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mc:AlternateContent xmlns:mc="http://schemas.openxmlformats.org/markup-compatibility/2006">
    <mc:Choice Requires="x15">
      <x15ac:absPath xmlns:x15ac="http://schemas.microsoft.com/office/spreadsheetml/2010/11/ac" url="L:\OTSUS\"/>
    </mc:Choice>
  </mc:AlternateContent>
  <bookViews>
    <workbookView xWindow="0" yWindow="0" windowWidth="20490" windowHeight="7650" tabRatio="817" activeTab="7"/>
  </bookViews>
  <sheets>
    <sheet name="A.1" sheetId="58" r:id="rId1"/>
    <sheet name="A.2" sheetId="1" r:id="rId2"/>
    <sheet name="A.3" sheetId="68" r:id="rId3"/>
    <sheet name="A.4 " sheetId="23" r:id="rId4"/>
    <sheet name="A.5 " sheetId="67" r:id="rId5"/>
    <sheet name="A.6 " sheetId="78" r:id="rId6"/>
    <sheet name="A.7 " sheetId="70" r:id="rId7"/>
    <sheet name="A.8 " sheetId="79" r:id="rId8"/>
    <sheet name="A.9 " sheetId="74" r:id="rId9"/>
    <sheet name="A.10" sheetId="75" r:id="rId10"/>
    <sheet name="%ALOKASI PEND,KESEH" sheetId="56" r:id="rId11"/>
    <sheet name="% REALISASI " sheetId="54" r:id="rId12"/>
    <sheet name="Sheet2" sheetId="53" r:id="rId13"/>
    <sheet name="B.1" sheetId="31" r:id="rId14"/>
    <sheet name="Sheet1" sheetId="44" r:id="rId15"/>
    <sheet name="B.2" sheetId="32" r:id="rId16"/>
    <sheet name="B.3" sheetId="33" r:id="rId17"/>
    <sheet name="B.4" sheetId="34" r:id="rId18"/>
    <sheet name="B.5" sheetId="35" r:id="rId19"/>
    <sheet name="B.6" sheetId="36" r:id="rId20"/>
  </sheets>
  <definedNames>
    <definedName name="_xlnm.Print_Area" localSheetId="0">A.1!$A$1:$G$57</definedName>
    <definedName name="_xlnm.Print_Area" localSheetId="1">A.2!$B$1:$L$42</definedName>
    <definedName name="_xlnm.Print_Area" localSheetId="2">A.3!$B$1:$I$4199</definedName>
    <definedName name="_xlnm.Print_Area" localSheetId="3">'A.4 '!$A$1:$N$4363</definedName>
    <definedName name="_xlnm.Print_Area" localSheetId="4">'A.5 '!$A$1:$H$856</definedName>
    <definedName name="_xlnm.Print_Area" localSheetId="5">'A.6 '!$A$1:$O$1034</definedName>
    <definedName name="_xlnm.Print_Area" localSheetId="13">B.1!$B$1:$G$33</definedName>
    <definedName name="_xlnm.Print_Area" localSheetId="15">B.2!$B$1:$L$38</definedName>
    <definedName name="_xlnm.Print_Area" localSheetId="16">B.3!$C$3:$N$68</definedName>
    <definedName name="_xlnm.Print_Area" localSheetId="17">B.4!$C$3:$T$71</definedName>
    <definedName name="_xlnm.Print_Area" localSheetId="18">B.5!$B$1:$I$94</definedName>
    <definedName name="_xlnm.Print_Titles" localSheetId="9">A.10!$A:$M,A.10!$8:$9</definedName>
    <definedName name="_xlnm.Print_Titles" localSheetId="2">A.3!$A:$H,A.3!$9:$10</definedName>
    <definedName name="_xlnm.Print_Titles" localSheetId="3">'A.4 '!$A:$N,'A.4 '!$10:$12</definedName>
    <definedName name="_xlnm.Print_Titles" localSheetId="4">'A.5 '!$A:$H,'A.5 '!$11:$13</definedName>
    <definedName name="_xlnm.Print_Titles" localSheetId="5">'A.6 '!$A:$N,'A.6 '!$11:$12</definedName>
    <definedName name="_xlnm.Print_Titles" localSheetId="6">'A.7 '!$A:$H,'A.7 '!$11:$13</definedName>
    <definedName name="_xlnm.Print_Titles" localSheetId="7">'A.8 '!$A:$N,'A.8 '!$11:$13</definedName>
    <definedName name="_xlnm.Print_Titles" localSheetId="8">'A.9 '!$A:$G,'A.9 '!$8:$9</definedName>
    <definedName name="_xlnm.Print_Titles" localSheetId="17">B.4!$15:$15</definedName>
    <definedName name="_xlnm.Print_Titles" localSheetId="18">B.5!$12:$12</definedName>
    <definedName name="_xlnm.Print_Titles" localSheetId="19">B.6!$12:$12</definedName>
  </definedNames>
  <calcPr calcId="162913"/>
</workbook>
</file>

<file path=xl/calcChain.xml><?xml version="1.0" encoding="utf-8"?>
<calcChain xmlns="http://schemas.openxmlformats.org/spreadsheetml/2006/main">
  <c r="F4176" i="68" l="1"/>
  <c r="D2524" i="23" l="1"/>
  <c r="D805" i="23"/>
  <c r="C51" i="54" l="1"/>
  <c r="D51" i="54" s="1"/>
  <c r="B51" i="54"/>
  <c r="D49" i="54"/>
  <c r="D48" i="54"/>
  <c r="F25" i="54"/>
  <c r="E25" i="54"/>
  <c r="D42" i="54" l="1"/>
  <c r="D40" i="54"/>
  <c r="D26" i="54"/>
  <c r="D27" i="54"/>
  <c r="D28" i="54"/>
  <c r="D29" i="54"/>
  <c r="D30" i="54"/>
  <c r="D31" i="54"/>
  <c r="D32" i="54"/>
  <c r="D33" i="54"/>
  <c r="D34" i="54"/>
  <c r="D35" i="54"/>
  <c r="D36" i="54"/>
  <c r="D37" i="54"/>
  <c r="D38" i="54"/>
  <c r="C25" i="54"/>
  <c r="D25" i="54" s="1"/>
  <c r="B25" i="54"/>
  <c r="D24" i="54"/>
  <c r="C43" i="54" l="1"/>
  <c r="B43" i="54"/>
  <c r="D43" i="54" s="1"/>
  <c r="G494" i="70"/>
  <c r="F488" i="70"/>
  <c r="F487" i="70"/>
  <c r="G486" i="70"/>
  <c r="E486" i="70"/>
  <c r="D486" i="70"/>
  <c r="F486" i="70" s="1"/>
  <c r="F484" i="70"/>
  <c r="E483" i="70"/>
  <c r="F483" i="70" s="1"/>
  <c r="D483" i="70"/>
  <c r="F481" i="70"/>
  <c r="F480" i="70"/>
  <c r="F479" i="70"/>
  <c r="F478" i="70"/>
  <c r="G477" i="70"/>
  <c r="E477" i="70"/>
  <c r="D477" i="70"/>
  <c r="F475" i="70"/>
  <c r="E474" i="70"/>
  <c r="D474" i="70"/>
  <c r="F472" i="70"/>
  <c r="E471" i="70"/>
  <c r="D471" i="70"/>
  <c r="F471" i="70" s="1"/>
  <c r="F469" i="70"/>
  <c r="F468" i="70"/>
  <c r="G467" i="70"/>
  <c r="E467" i="70"/>
  <c r="D467" i="70"/>
  <c r="F465" i="70"/>
  <c r="F464" i="70"/>
  <c r="G463" i="70"/>
  <c r="E463" i="70"/>
  <c r="D463" i="70"/>
  <c r="F463" i="70" s="1"/>
  <c r="F461" i="70"/>
  <c r="E460" i="70"/>
  <c r="F460" i="70" s="1"/>
  <c r="D460" i="70"/>
  <c r="F458" i="70"/>
  <c r="E457" i="70"/>
  <c r="D457" i="70"/>
  <c r="F457" i="70" s="1"/>
  <c r="F455" i="70"/>
  <c r="E454" i="70"/>
  <c r="F454" i="70" s="1"/>
  <c r="D454" i="70"/>
  <c r="G471" i="67"/>
  <c r="G2314" i="68"/>
  <c r="E471" i="67"/>
  <c r="F471" i="67" s="1"/>
  <c r="D471" i="67"/>
  <c r="G529" i="67"/>
  <c r="G513" i="67"/>
  <c r="G510" i="67"/>
  <c r="G503" i="67"/>
  <c r="G499" i="67"/>
  <c r="G468" i="67"/>
  <c r="G2698" i="68"/>
  <c r="G2692" i="68"/>
  <c r="G2680" i="68"/>
  <c r="G2662" i="68"/>
  <c r="G2661" i="68" s="1"/>
  <c r="G2654" i="68"/>
  <c r="G2650" i="68" s="1"/>
  <c r="G2643" i="68"/>
  <c r="G2613" i="68"/>
  <c r="G2607" i="68"/>
  <c r="G2606" i="68" s="1"/>
  <c r="G2595" i="68"/>
  <c r="G2589" i="68"/>
  <c r="G2578" i="68"/>
  <c r="G2568" i="68"/>
  <c r="G2555" i="68"/>
  <c r="G2540" i="68"/>
  <c r="G2534" i="68"/>
  <c r="G2528" i="68"/>
  <c r="G2520" i="68"/>
  <c r="G2519" i="68" s="1"/>
  <c r="G2416" i="68"/>
  <c r="G2407" i="68"/>
  <c r="G2397" i="68"/>
  <c r="G2393" i="68"/>
  <c r="G2372" i="68"/>
  <c r="G2356" i="68"/>
  <c r="G2346" i="68"/>
  <c r="G2342" i="68"/>
  <c r="G2139" i="68"/>
  <c r="G1779" i="68"/>
  <c r="F275" i="70"/>
  <c r="F274" i="70"/>
  <c r="F273" i="70"/>
  <c r="F272" i="70"/>
  <c r="F271" i="70"/>
  <c r="F270" i="70"/>
  <c r="F269" i="70"/>
  <c r="F268" i="70"/>
  <c r="G267" i="70"/>
  <c r="E267" i="70"/>
  <c r="F265" i="70"/>
  <c r="E264" i="70"/>
  <c r="F262" i="70"/>
  <c r="F261" i="70"/>
  <c r="F260" i="70"/>
  <c r="E259" i="70"/>
  <c r="F257" i="70"/>
  <c r="F256" i="70"/>
  <c r="F255" i="70"/>
  <c r="E254" i="70"/>
  <c r="F252" i="70"/>
  <c r="E251" i="70"/>
  <c r="F249" i="70"/>
  <c r="F248" i="70"/>
  <c r="F247" i="70"/>
  <c r="F246" i="70"/>
  <c r="F245" i="70"/>
  <c r="F244" i="70"/>
  <c r="F243" i="70"/>
  <c r="F242" i="70"/>
  <c r="G241" i="70"/>
  <c r="E241" i="70"/>
  <c r="F239" i="70"/>
  <c r="F238" i="70"/>
  <c r="E237" i="70"/>
  <c r="F235" i="70"/>
  <c r="F234" i="70"/>
  <c r="F233" i="70"/>
  <c r="G232" i="70"/>
  <c r="E232" i="70"/>
  <c r="F230" i="70"/>
  <c r="F229" i="70"/>
  <c r="F228" i="70"/>
  <c r="G227" i="70"/>
  <c r="E227" i="70"/>
  <c r="F225" i="70"/>
  <c r="F224" i="70"/>
  <c r="F223" i="70"/>
  <c r="F222" i="70"/>
  <c r="F221" i="70"/>
  <c r="F220" i="70"/>
  <c r="F219" i="70"/>
  <c r="F218" i="70"/>
  <c r="E217" i="70"/>
  <c r="F215" i="70"/>
  <c r="E214" i="70"/>
  <c r="F214" i="70" s="1"/>
  <c r="F273" i="67"/>
  <c r="F272" i="67"/>
  <c r="F271" i="67"/>
  <c r="F268" i="67"/>
  <c r="F267" i="67"/>
  <c r="F266" i="67"/>
  <c r="G265" i="67"/>
  <c r="E265" i="67"/>
  <c r="D265" i="67"/>
  <c r="G261" i="67"/>
  <c r="G246" i="67"/>
  <c r="F259" i="67"/>
  <c r="F258" i="67"/>
  <c r="F257" i="67"/>
  <c r="F256" i="67"/>
  <c r="F255" i="67"/>
  <c r="F254" i="67"/>
  <c r="F253" i="67"/>
  <c r="F252" i="67"/>
  <c r="F251" i="67"/>
  <c r="F250" i="67"/>
  <c r="F249" i="67"/>
  <c r="F248" i="67"/>
  <c r="F247" i="67"/>
  <c r="G42" i="70"/>
  <c r="F37" i="70"/>
  <c r="G33" i="70"/>
  <c r="G59" i="67"/>
  <c r="G54" i="67"/>
  <c r="F1491" i="68"/>
  <c r="G1342" i="68"/>
  <c r="G1300" i="68"/>
  <c r="G1281" i="68"/>
  <c r="G232" i="68"/>
  <c r="G212" i="68"/>
  <c r="G208" i="68" s="1"/>
  <c r="G159" i="68"/>
  <c r="G150" i="68"/>
  <c r="G136" i="68"/>
  <c r="G131" i="68"/>
  <c r="E4174" i="68"/>
  <c r="F4174" i="68" s="1"/>
  <c r="F4172" i="68"/>
  <c r="F4171" i="68"/>
  <c r="E4170" i="68"/>
  <c r="D4170" i="68"/>
  <c r="F4168" i="68"/>
  <c r="E4167" i="68"/>
  <c r="D4167" i="68"/>
  <c r="F4165" i="68"/>
  <c r="E4164" i="68"/>
  <c r="D4164" i="68"/>
  <c r="F4162" i="68"/>
  <c r="E4161" i="68"/>
  <c r="D4161" i="68"/>
  <c r="F4158" i="68"/>
  <c r="F4157" i="68"/>
  <c r="E4156" i="68"/>
  <c r="E4155" i="68" s="1"/>
  <c r="D4156" i="68"/>
  <c r="D4155" i="68" s="1"/>
  <c r="F4153" i="68"/>
  <c r="E4152" i="68"/>
  <c r="E4151" i="68" s="1"/>
  <c r="D4152" i="68"/>
  <c r="D4151" i="68" s="1"/>
  <c r="F4149" i="68"/>
  <c r="E4148" i="68"/>
  <c r="E4147" i="68" s="1"/>
  <c r="D4148" i="68"/>
  <c r="D4147" i="68" s="1"/>
  <c r="F4145" i="68"/>
  <c r="F4144" i="68"/>
  <c r="G4143" i="68"/>
  <c r="G4139" i="68" s="1"/>
  <c r="E4143" i="68"/>
  <c r="D4143" i="68"/>
  <c r="F4141" i="68"/>
  <c r="E4140" i="68"/>
  <c r="D4140" i="68"/>
  <c r="F4137" i="68"/>
  <c r="E4136" i="68"/>
  <c r="D4136" i="68"/>
  <c r="D4135" i="68" s="1"/>
  <c r="F4133" i="68"/>
  <c r="F4132" i="68"/>
  <c r="F4131" i="68"/>
  <c r="F4130" i="68"/>
  <c r="E4129" i="68"/>
  <c r="D4129" i="68"/>
  <c r="F4127" i="68"/>
  <c r="F4126" i="68"/>
  <c r="E4125" i="68"/>
  <c r="D4125" i="68"/>
  <c r="F4122" i="68"/>
  <c r="F4121" i="68"/>
  <c r="E4120" i="68"/>
  <c r="D4120" i="68"/>
  <c r="F4118" i="68"/>
  <c r="E4117" i="68"/>
  <c r="D4117" i="68"/>
  <c r="F4115" i="68"/>
  <c r="E4114" i="68"/>
  <c r="D4114" i="68"/>
  <c r="F4112" i="68"/>
  <c r="E4111" i="68"/>
  <c r="D4111" i="68"/>
  <c r="F4109" i="68"/>
  <c r="E4108" i="68"/>
  <c r="D4108" i="68"/>
  <c r="F4106" i="68"/>
  <c r="F4105" i="68"/>
  <c r="E4104" i="68"/>
  <c r="D4104" i="68"/>
  <c r="G4103" i="68"/>
  <c r="F4101" i="68"/>
  <c r="E4100" i="68"/>
  <c r="D4100" i="68"/>
  <c r="F4098" i="68"/>
  <c r="F4097" i="68"/>
  <c r="E4096" i="68"/>
  <c r="D4096" i="68"/>
  <c r="F4094" i="68"/>
  <c r="E4093" i="68"/>
  <c r="D4093" i="68"/>
  <c r="F4091" i="68"/>
  <c r="E4090" i="68"/>
  <c r="D4090" i="68"/>
  <c r="F4088" i="68"/>
  <c r="F4087" i="68"/>
  <c r="F4086" i="68"/>
  <c r="F4085" i="68"/>
  <c r="F4084" i="68"/>
  <c r="F4083" i="68"/>
  <c r="E4082" i="68"/>
  <c r="D4082" i="68"/>
  <c r="F4080" i="68"/>
  <c r="F4079" i="68"/>
  <c r="F4078" i="68"/>
  <c r="E4077" i="68"/>
  <c r="D4077" i="68"/>
  <c r="F4075" i="68"/>
  <c r="F4074" i="68"/>
  <c r="F4073" i="68"/>
  <c r="F4072" i="68"/>
  <c r="F4071" i="68"/>
  <c r="F4070" i="68"/>
  <c r="F4069" i="68"/>
  <c r="F4068" i="68"/>
  <c r="E4067" i="68"/>
  <c r="D4067" i="68"/>
  <c r="F4065" i="68"/>
  <c r="F4064" i="68"/>
  <c r="E4063" i="68"/>
  <c r="D4063" i="68"/>
  <c r="F4060" i="68"/>
  <c r="F4059" i="68"/>
  <c r="F4058" i="68"/>
  <c r="F4057" i="68"/>
  <c r="E4056" i="68"/>
  <c r="D4056" i="68"/>
  <c r="F4054" i="68"/>
  <c r="F4053" i="68"/>
  <c r="F4052" i="68"/>
  <c r="F4051" i="68"/>
  <c r="G4050" i="68"/>
  <c r="G4046" i="68" s="1"/>
  <c r="E4050" i="68"/>
  <c r="D4050" i="68"/>
  <c r="F4048" i="68"/>
  <c r="E4047" i="68"/>
  <c r="D4047" i="68"/>
  <c r="D4046" i="68" s="1"/>
  <c r="F4044" i="68"/>
  <c r="E4043" i="68"/>
  <c r="D4043" i="68"/>
  <c r="F4041" i="68"/>
  <c r="F4040" i="68"/>
  <c r="F4039" i="68"/>
  <c r="F4038" i="68"/>
  <c r="F4037" i="68"/>
  <c r="E4036" i="68"/>
  <c r="D4036" i="68"/>
  <c r="F4034" i="68"/>
  <c r="F4033" i="68"/>
  <c r="F4032" i="68"/>
  <c r="E4031" i="68"/>
  <c r="D4031" i="68"/>
  <c r="F4028" i="68"/>
  <c r="F4027" i="68"/>
  <c r="F4026" i="68"/>
  <c r="E4025" i="68"/>
  <c r="E4024" i="68" s="1"/>
  <c r="D4025" i="68"/>
  <c r="D4024" i="68" s="1"/>
  <c r="F4022" i="68"/>
  <c r="F4021" i="68"/>
  <c r="F4020" i="68"/>
  <c r="E4019" i="68"/>
  <c r="D4019" i="68"/>
  <c r="D4018" i="68" s="1"/>
  <c r="F4016" i="68"/>
  <c r="F4015" i="68"/>
  <c r="E4014" i="68"/>
  <c r="D4014" i="68"/>
  <c r="D4013" i="68" s="1"/>
  <c r="F4011" i="68"/>
  <c r="E4010" i="68"/>
  <c r="E4009" i="68" s="1"/>
  <c r="D4010" i="68"/>
  <c r="D4009" i="68" s="1"/>
  <c r="F4007" i="68"/>
  <c r="F4006" i="68"/>
  <c r="F4005" i="68"/>
  <c r="F4004" i="68"/>
  <c r="F4003" i="68"/>
  <c r="F4002" i="68"/>
  <c r="F4001" i="68"/>
  <c r="F4000" i="68"/>
  <c r="F3999" i="68"/>
  <c r="F3998" i="68"/>
  <c r="E3997" i="68"/>
  <c r="D3997" i="68"/>
  <c r="F3995" i="68"/>
  <c r="F3994" i="68"/>
  <c r="E3993" i="68"/>
  <c r="D3993" i="68"/>
  <c r="D3992" i="68" s="1"/>
  <c r="F3990" i="68"/>
  <c r="E3989" i="68"/>
  <c r="D3989" i="68"/>
  <c r="F3987" i="68"/>
  <c r="E3986" i="68"/>
  <c r="D3986" i="68"/>
  <c r="F3984" i="68"/>
  <c r="E3983" i="68"/>
  <c r="D3983" i="68"/>
  <c r="F3981" i="68"/>
  <c r="F3980" i="68"/>
  <c r="F3979" i="68"/>
  <c r="E3978" i="68"/>
  <c r="D3978" i="68"/>
  <c r="F3976" i="68"/>
  <c r="E3975" i="68"/>
  <c r="D3975" i="68"/>
  <c r="F3973" i="68"/>
  <c r="F3972" i="68"/>
  <c r="F3971" i="68"/>
  <c r="F3970" i="68"/>
  <c r="E3969" i="68"/>
  <c r="D3969" i="68"/>
  <c r="F3966" i="68"/>
  <c r="F3965" i="68"/>
  <c r="E3964" i="68"/>
  <c r="E3963" i="68" s="1"/>
  <c r="D3964" i="68"/>
  <c r="D3963" i="68" s="1"/>
  <c r="F3961" i="68"/>
  <c r="F3960" i="68"/>
  <c r="E3959" i="68"/>
  <c r="D3959" i="68"/>
  <c r="F3957" i="68"/>
  <c r="F3956" i="68"/>
  <c r="E3955" i="68"/>
  <c r="D3955" i="68"/>
  <c r="F3953" i="68"/>
  <c r="E3952" i="68"/>
  <c r="D3952" i="68"/>
  <c r="F3950" i="68"/>
  <c r="F3949" i="68"/>
  <c r="E3948" i="68"/>
  <c r="D3948" i="68"/>
  <c r="F3946" i="68"/>
  <c r="E3945" i="68"/>
  <c r="D3945" i="68"/>
  <c r="F3942" i="68"/>
  <c r="E3941" i="68"/>
  <c r="D3941" i="68"/>
  <c r="F3939" i="68"/>
  <c r="F3938" i="68"/>
  <c r="E3937" i="68"/>
  <c r="D3937" i="68"/>
  <c r="F3935" i="68"/>
  <c r="F3934" i="68"/>
  <c r="F3933" i="68"/>
  <c r="E3932" i="68"/>
  <c r="D3932" i="68"/>
  <c r="F3930" i="68"/>
  <c r="F3929" i="68"/>
  <c r="F3928" i="68"/>
  <c r="F3927" i="68"/>
  <c r="F3926" i="68"/>
  <c r="E3925" i="68"/>
  <c r="D3925" i="68"/>
  <c r="F3923" i="68"/>
  <c r="F3922" i="68"/>
  <c r="E3921" i="68"/>
  <c r="D3921" i="68"/>
  <c r="G3920" i="68"/>
  <c r="F3918" i="68"/>
  <c r="F3917" i="68"/>
  <c r="G3916" i="68"/>
  <c r="E3916" i="68"/>
  <c r="D3916" i="68"/>
  <c r="F3914" i="68"/>
  <c r="E3913" i="68"/>
  <c r="D3913" i="68"/>
  <c r="F3911" i="68"/>
  <c r="E3910" i="68"/>
  <c r="D3910" i="68"/>
  <c r="F3908" i="68"/>
  <c r="F3907" i="68"/>
  <c r="F3906" i="68"/>
  <c r="F3905" i="68"/>
  <c r="F3904" i="68"/>
  <c r="F3903" i="68"/>
  <c r="F3902" i="68"/>
  <c r="F3901" i="68"/>
  <c r="F3900" i="68"/>
  <c r="F3899" i="68"/>
  <c r="F3898" i="68"/>
  <c r="E3897" i="68"/>
  <c r="D3897" i="68"/>
  <c r="F3895" i="68"/>
  <c r="E3894" i="68"/>
  <c r="D3894" i="68"/>
  <c r="F3892" i="68"/>
  <c r="F3891" i="68"/>
  <c r="G3890" i="68"/>
  <c r="E3890" i="68"/>
  <c r="D3890" i="68"/>
  <c r="F3888" i="68"/>
  <c r="F3887" i="68"/>
  <c r="F3886" i="68"/>
  <c r="F3885" i="68"/>
  <c r="F3884" i="68"/>
  <c r="E3883" i="68"/>
  <c r="D3883" i="68"/>
  <c r="F3881" i="68"/>
  <c r="F3880" i="68"/>
  <c r="E3879" i="68"/>
  <c r="D3879" i="68"/>
  <c r="F3876" i="68"/>
  <c r="F3875" i="68"/>
  <c r="F3874" i="68"/>
  <c r="E3873" i="68"/>
  <c r="D3873" i="68"/>
  <c r="F3871" i="68"/>
  <c r="F3870" i="68"/>
  <c r="F3869" i="68"/>
  <c r="F3868" i="68"/>
  <c r="F3867" i="68"/>
  <c r="F3866" i="68"/>
  <c r="E3865" i="68"/>
  <c r="D3865" i="68"/>
  <c r="F3863" i="68"/>
  <c r="E3862" i="68"/>
  <c r="D3862" i="68"/>
  <c r="F3860" i="68"/>
  <c r="F3859" i="68"/>
  <c r="F3858" i="68"/>
  <c r="F3857" i="68"/>
  <c r="F3856" i="68"/>
  <c r="F3855" i="68"/>
  <c r="F3854" i="68"/>
  <c r="F3853" i="68"/>
  <c r="E3852" i="68"/>
  <c r="D3852" i="68"/>
  <c r="F3850" i="68"/>
  <c r="F3849" i="68"/>
  <c r="E3848" i="68"/>
  <c r="D3848" i="68"/>
  <c r="F3846" i="68"/>
  <c r="E3845" i="68"/>
  <c r="D3845" i="68"/>
  <c r="F3843" i="68"/>
  <c r="F3842" i="68"/>
  <c r="F3841" i="68"/>
  <c r="F3840" i="68"/>
  <c r="F3839" i="68"/>
  <c r="F3838" i="68"/>
  <c r="F3837" i="68"/>
  <c r="F3836" i="68"/>
  <c r="F3835" i="68"/>
  <c r="E3834" i="68"/>
  <c r="D3834" i="68"/>
  <c r="F3832" i="68"/>
  <c r="F3831" i="68"/>
  <c r="F3830" i="68"/>
  <c r="F3829" i="68"/>
  <c r="G3828" i="68"/>
  <c r="E3828" i="68"/>
  <c r="D3828" i="68"/>
  <c r="F3826" i="68"/>
  <c r="F3825" i="68"/>
  <c r="G3824" i="68"/>
  <c r="E3824" i="68"/>
  <c r="D3824" i="68"/>
  <c r="F3822" i="68"/>
  <c r="E3821" i="68"/>
  <c r="D3821" i="68"/>
  <c r="F3819" i="68"/>
  <c r="F3818" i="68"/>
  <c r="F3817" i="68"/>
  <c r="G3816" i="68"/>
  <c r="E3816" i="68"/>
  <c r="D3816" i="68"/>
  <c r="F3813" i="68"/>
  <c r="E3812" i="68"/>
  <c r="E3811" i="68" s="1"/>
  <c r="D3812" i="68"/>
  <c r="D3811" i="68" s="1"/>
  <c r="F3809" i="68"/>
  <c r="E3808" i="68"/>
  <c r="D3808" i="68"/>
  <c r="D3807" i="68" s="1"/>
  <c r="F3805" i="68"/>
  <c r="E3804" i="68"/>
  <c r="E3803" i="68" s="1"/>
  <c r="D3804" i="68"/>
  <c r="E3800" i="68"/>
  <c r="E3799" i="68" s="1"/>
  <c r="D3800" i="68"/>
  <c r="D3799" i="68" s="1"/>
  <c r="F3797" i="68"/>
  <c r="E3796" i="68"/>
  <c r="E3795" i="68" s="1"/>
  <c r="D3796" i="68"/>
  <c r="D3795" i="68" s="1"/>
  <c r="F3793" i="68"/>
  <c r="E3792" i="68"/>
  <c r="E3791" i="68" s="1"/>
  <c r="D3792" i="68"/>
  <c r="D3791" i="68" s="1"/>
  <c r="F3789" i="68"/>
  <c r="E3788" i="68"/>
  <c r="D3788" i="68"/>
  <c r="D3787" i="68" s="1"/>
  <c r="F3785" i="68"/>
  <c r="E3784" i="68"/>
  <c r="E3783" i="68" s="1"/>
  <c r="D3784" i="68"/>
  <c r="F3781" i="68"/>
  <c r="E3780" i="68"/>
  <c r="E3779" i="68" s="1"/>
  <c r="D3780" i="68"/>
  <c r="D3779" i="68" s="1"/>
  <c r="F3777" i="68"/>
  <c r="E3776" i="68"/>
  <c r="D3776" i="68"/>
  <c r="D3775" i="68" s="1"/>
  <c r="F3773" i="68"/>
  <c r="E3772" i="68"/>
  <c r="D3772" i="68"/>
  <c r="F3770" i="68"/>
  <c r="F3769" i="68"/>
  <c r="E3768" i="68"/>
  <c r="D3768" i="68"/>
  <c r="F3765" i="68"/>
  <c r="F3764" i="68"/>
  <c r="F3763" i="68"/>
  <c r="F3762" i="68"/>
  <c r="F3761" i="68"/>
  <c r="F3760" i="68"/>
  <c r="F3759" i="68"/>
  <c r="F3758" i="68"/>
  <c r="F3757" i="68"/>
  <c r="F3756" i="68"/>
  <c r="F3755" i="68"/>
  <c r="E3754" i="68"/>
  <c r="D3754" i="68"/>
  <c r="F3754" i="68" s="1"/>
  <c r="F3752" i="68"/>
  <c r="E3751" i="68"/>
  <c r="D3751" i="68"/>
  <c r="F3749" i="68"/>
  <c r="F3748" i="68"/>
  <c r="E3747" i="68"/>
  <c r="D3747" i="68"/>
  <c r="F3745" i="68"/>
  <c r="E3744" i="68"/>
  <c r="D3744" i="68"/>
  <c r="F3742" i="68"/>
  <c r="F3741" i="68"/>
  <c r="F3740" i="68"/>
  <c r="E3739" i="68"/>
  <c r="D3739" i="68"/>
  <c r="F3737" i="68"/>
  <c r="F3736" i="68"/>
  <c r="F3735" i="68"/>
  <c r="E3734" i="68"/>
  <c r="D3734" i="68"/>
  <c r="F3732" i="68"/>
  <c r="E3731" i="68"/>
  <c r="D3731" i="68"/>
  <c r="F3729" i="68"/>
  <c r="F3728" i="68"/>
  <c r="F3727" i="68"/>
  <c r="E3726" i="68"/>
  <c r="D3726" i="68"/>
  <c r="F3724" i="68"/>
  <c r="E3723" i="68"/>
  <c r="D3723" i="68"/>
  <c r="G3722" i="68"/>
  <c r="F3720" i="68"/>
  <c r="F3719" i="68"/>
  <c r="F3718" i="68"/>
  <c r="E3717" i="68"/>
  <c r="D3717" i="68"/>
  <c r="F3715" i="68"/>
  <c r="F3714" i="68"/>
  <c r="F3713" i="68"/>
  <c r="F3712" i="68"/>
  <c r="F3711" i="68"/>
  <c r="F3710" i="68"/>
  <c r="F3709" i="68"/>
  <c r="F3708" i="68"/>
  <c r="F3707" i="68"/>
  <c r="F3706" i="68"/>
  <c r="E3705" i="68"/>
  <c r="D3705" i="68"/>
  <c r="F3703" i="68"/>
  <c r="F3702" i="68"/>
  <c r="E3701" i="68"/>
  <c r="D3701" i="68"/>
  <c r="F3699" i="68"/>
  <c r="F3698" i="68"/>
  <c r="F3697" i="68"/>
  <c r="F3696" i="68"/>
  <c r="G3695" i="68"/>
  <c r="E3695" i="68"/>
  <c r="D3695" i="68"/>
  <c r="F3693" i="68"/>
  <c r="E3692" i="68"/>
  <c r="D3692" i="68"/>
  <c r="F3690" i="68"/>
  <c r="F3689" i="68"/>
  <c r="F3688" i="68"/>
  <c r="G3687" i="68"/>
  <c r="E3687" i="68"/>
  <c r="D3687" i="68"/>
  <c r="F3685" i="68"/>
  <c r="F3684" i="68"/>
  <c r="F3683" i="68"/>
  <c r="F3682" i="68"/>
  <c r="F3681" i="68"/>
  <c r="F3680" i="68"/>
  <c r="F3679" i="68"/>
  <c r="F3678" i="68"/>
  <c r="F3677" i="68"/>
  <c r="F3676" i="68"/>
  <c r="F3675" i="68"/>
  <c r="F3674" i="68"/>
  <c r="F3673" i="68"/>
  <c r="E3672" i="68"/>
  <c r="D3672" i="68"/>
  <c r="F3670" i="68"/>
  <c r="F3669" i="68"/>
  <c r="F3668" i="68"/>
  <c r="F3667" i="68"/>
  <c r="F3666" i="68"/>
  <c r="F3665" i="68"/>
  <c r="F3664" i="68"/>
  <c r="F3663" i="68"/>
  <c r="F3662" i="68"/>
  <c r="F3661" i="68"/>
  <c r="G3660" i="68"/>
  <c r="E3660" i="68"/>
  <c r="D3660" i="68"/>
  <c r="F3655" i="68"/>
  <c r="F3654" i="68"/>
  <c r="F3653" i="68"/>
  <c r="E3652" i="68"/>
  <c r="D3652" i="68"/>
  <c r="F3650" i="68"/>
  <c r="F3649" i="68"/>
  <c r="F3648" i="68"/>
  <c r="F3647" i="68"/>
  <c r="E3646" i="68"/>
  <c r="D3646" i="68"/>
  <c r="F3642" i="68"/>
  <c r="E3641" i="68"/>
  <c r="D3641" i="68"/>
  <c r="F3639" i="68"/>
  <c r="E3638" i="68"/>
  <c r="D3638" i="68"/>
  <c r="F3636" i="68"/>
  <c r="E3635" i="68"/>
  <c r="D3635" i="68"/>
  <c r="F3633" i="68"/>
  <c r="E3632" i="68"/>
  <c r="D3632" i="68"/>
  <c r="F3629" i="68"/>
  <c r="E3628" i="68"/>
  <c r="D3628" i="68"/>
  <c r="F3626" i="68"/>
  <c r="E3625" i="68"/>
  <c r="D3625" i="68"/>
  <c r="D3621" i="68"/>
  <c r="E3618" i="68"/>
  <c r="D3618" i="68"/>
  <c r="F3616" i="68"/>
  <c r="E3615" i="68"/>
  <c r="D3615" i="68"/>
  <c r="F3615" i="68" s="1"/>
  <c r="G3614" i="68"/>
  <c r="F3612" i="68"/>
  <c r="E3611" i="68"/>
  <c r="D3611" i="68"/>
  <c r="F3609" i="68"/>
  <c r="E3608" i="68"/>
  <c r="D3608" i="68"/>
  <c r="D3607" i="68" s="1"/>
  <c r="E3607" i="68"/>
  <c r="F3605" i="68"/>
  <c r="E3604" i="68"/>
  <c r="D3604" i="68"/>
  <c r="F3602" i="68"/>
  <c r="E3601" i="68"/>
  <c r="D3601" i="68"/>
  <c r="F3599" i="68"/>
  <c r="E3598" i="68"/>
  <c r="D3598" i="68"/>
  <c r="F3595" i="68"/>
  <c r="I3594" i="68"/>
  <c r="E3594" i="68"/>
  <c r="D3594" i="68"/>
  <c r="F3592" i="68"/>
  <c r="E3591" i="68"/>
  <c r="D3591" i="68"/>
  <c r="E3587" i="68"/>
  <c r="D3587" i="68"/>
  <c r="E3584" i="68"/>
  <c r="D3584" i="68"/>
  <c r="F3581" i="68"/>
  <c r="F3580" i="68"/>
  <c r="E3579" i="68"/>
  <c r="E3578" i="68" s="1"/>
  <c r="D3579" i="68"/>
  <c r="D3578" i="68" s="1"/>
  <c r="F3578" i="68" s="1"/>
  <c r="E3575" i="68"/>
  <c r="D3575" i="68"/>
  <c r="F3573" i="68"/>
  <c r="E3572" i="68"/>
  <c r="D3572" i="68"/>
  <c r="F3570" i="68"/>
  <c r="E3569" i="68"/>
  <c r="D3569" i="68"/>
  <c r="F3567" i="68"/>
  <c r="F3566" i="68"/>
  <c r="E3565" i="68"/>
  <c r="D3565" i="68"/>
  <c r="F3563" i="68"/>
  <c r="F3562" i="68"/>
  <c r="F3561" i="68"/>
  <c r="F3560" i="68"/>
  <c r="F3559" i="68"/>
  <c r="F3558" i="68"/>
  <c r="E3557" i="68"/>
  <c r="D3557" i="68"/>
  <c r="F3554" i="68"/>
  <c r="E3553" i="68"/>
  <c r="D3553" i="68"/>
  <c r="D3552" i="68" s="1"/>
  <c r="F3550" i="68"/>
  <c r="E3549" i="68"/>
  <c r="D3549" i="68"/>
  <c r="F3547" i="68"/>
  <c r="F3546" i="68"/>
  <c r="E3545" i="68"/>
  <c r="D3545" i="68"/>
  <c r="F3542" i="68"/>
  <c r="E3541" i="68"/>
  <c r="D3541" i="68"/>
  <c r="D3540" i="68" s="1"/>
  <c r="F3538" i="68"/>
  <c r="F3537" i="68"/>
  <c r="E3536" i="68"/>
  <c r="D3536" i="68"/>
  <c r="F3534" i="68"/>
  <c r="E3533" i="68"/>
  <c r="D3533" i="68"/>
  <c r="F3530" i="68"/>
  <c r="E3529" i="68"/>
  <c r="D3529" i="68"/>
  <c r="F3527" i="68"/>
  <c r="E3526" i="68"/>
  <c r="D3526" i="68"/>
  <c r="F3524" i="68"/>
  <c r="E3523" i="68"/>
  <c r="D3523" i="68"/>
  <c r="F3520" i="68"/>
  <c r="F3519" i="68"/>
  <c r="E3518" i="68"/>
  <c r="D3518" i="68"/>
  <c r="F3516" i="68"/>
  <c r="E3515" i="68"/>
  <c r="D3515" i="68"/>
  <c r="F3512" i="68"/>
  <c r="E3511" i="68"/>
  <c r="D3511" i="68"/>
  <c r="F3509" i="68"/>
  <c r="E3508" i="68"/>
  <c r="D3508" i="68"/>
  <c r="F3506" i="68"/>
  <c r="E3505" i="68"/>
  <c r="D3505" i="68"/>
  <c r="F3503" i="68"/>
  <c r="E3502" i="68"/>
  <c r="D3502" i="68"/>
  <c r="F3499" i="68"/>
  <c r="E3498" i="68"/>
  <c r="D3498" i="68"/>
  <c r="F3496" i="68"/>
  <c r="D3495" i="68"/>
  <c r="F3495" i="68" s="1"/>
  <c r="F3493" i="68"/>
  <c r="E3492" i="68"/>
  <c r="D3492" i="68"/>
  <c r="F3490" i="68"/>
  <c r="E3489" i="68"/>
  <c r="D3489" i="68"/>
  <c r="F3487" i="68"/>
  <c r="E3486" i="68"/>
  <c r="D3486" i="68"/>
  <c r="F3484" i="68"/>
  <c r="F3483" i="68"/>
  <c r="E3482" i="68"/>
  <c r="D3482" i="68"/>
  <c r="F3480" i="68"/>
  <c r="E3479" i="68"/>
  <c r="D3479" i="68"/>
  <c r="G3478" i="68"/>
  <c r="F3476" i="68"/>
  <c r="E3475" i="68"/>
  <c r="D3475" i="68"/>
  <c r="F3473" i="68"/>
  <c r="F3472" i="68"/>
  <c r="E3471" i="68"/>
  <c r="D3471" i="68"/>
  <c r="F3469" i="68"/>
  <c r="E3468" i="68"/>
  <c r="D3468" i="68"/>
  <c r="F3466" i="68"/>
  <c r="F3465" i="68"/>
  <c r="E3464" i="68"/>
  <c r="D3464" i="68"/>
  <c r="F3462" i="68"/>
  <c r="E3461" i="68"/>
  <c r="D3461" i="68"/>
  <c r="F3459" i="68"/>
  <c r="E3458" i="68"/>
  <c r="D3458" i="68"/>
  <c r="F3455" i="68"/>
  <c r="F3454" i="68"/>
  <c r="F3453" i="68"/>
  <c r="E3452" i="68"/>
  <c r="D3452" i="68"/>
  <c r="F3450" i="68"/>
  <c r="E3449" i="68"/>
  <c r="D3449" i="68"/>
  <c r="F3447" i="68"/>
  <c r="E3446" i="68"/>
  <c r="D3446" i="68"/>
  <c r="F3444" i="68"/>
  <c r="F3443" i="68"/>
  <c r="F3442" i="68"/>
  <c r="F3441" i="68"/>
  <c r="F3440" i="68"/>
  <c r="F3439" i="68"/>
  <c r="F3438" i="68"/>
  <c r="F3437" i="68"/>
  <c r="F3434" i="68"/>
  <c r="F3433" i="68"/>
  <c r="F3432" i="68"/>
  <c r="F3431" i="68"/>
  <c r="F3430" i="68"/>
  <c r="F3429" i="68"/>
  <c r="F3428" i="68"/>
  <c r="G3427" i="68"/>
  <c r="E3427" i="68"/>
  <c r="D3427" i="68"/>
  <c r="F3425" i="68"/>
  <c r="F3424" i="68"/>
  <c r="F3423" i="68"/>
  <c r="F3422" i="68"/>
  <c r="F3421" i="68"/>
  <c r="F3420" i="68"/>
  <c r="G3419" i="68"/>
  <c r="E3419" i="68"/>
  <c r="D3419" i="68"/>
  <c r="F3417" i="68"/>
  <c r="E3416" i="68"/>
  <c r="D3416" i="68"/>
  <c r="F3411" i="68"/>
  <c r="F3409" i="68"/>
  <c r="G3408" i="68"/>
  <c r="G3407" i="68" s="1"/>
  <c r="E3408" i="68"/>
  <c r="E3407" i="68" s="1"/>
  <c r="D3408" i="68"/>
  <c r="D3407" i="68" s="1"/>
  <c r="F3405" i="68"/>
  <c r="E3404" i="68"/>
  <c r="E3403" i="68" s="1"/>
  <c r="D3404" i="68"/>
  <c r="E3399" i="68"/>
  <c r="E3398" i="68" s="1"/>
  <c r="D3399" i="68"/>
  <c r="D3398" i="68" s="1"/>
  <c r="F3396" i="68"/>
  <c r="E3395" i="68"/>
  <c r="D3395" i="68"/>
  <c r="F3393" i="68"/>
  <c r="E3392" i="68"/>
  <c r="D3392" i="68"/>
  <c r="F3390" i="68"/>
  <c r="E3389" i="68"/>
  <c r="D3389" i="68"/>
  <c r="F3387" i="68"/>
  <c r="F3386" i="68"/>
  <c r="F3385" i="68"/>
  <c r="F3384" i="68"/>
  <c r="F3383" i="68"/>
  <c r="E3382" i="68"/>
  <c r="D3382" i="68"/>
  <c r="F3380" i="68"/>
  <c r="F3379" i="68"/>
  <c r="F3378" i="68"/>
  <c r="F3377" i="68"/>
  <c r="F3376" i="68"/>
  <c r="F3375" i="68"/>
  <c r="F3374" i="68"/>
  <c r="F3373" i="68"/>
  <c r="F3372" i="68"/>
  <c r="F3371" i="68"/>
  <c r="F3370" i="68"/>
  <c r="E3369" i="68"/>
  <c r="D3369" i="68"/>
  <c r="F3366" i="68"/>
  <c r="E3365" i="68"/>
  <c r="D3365" i="68"/>
  <c r="E3361" i="68"/>
  <c r="D3361" i="68"/>
  <c r="F3358" i="68"/>
  <c r="E3357" i="68"/>
  <c r="D3357" i="68"/>
  <c r="D3356" i="68" s="1"/>
  <c r="F3354" i="68"/>
  <c r="E3353" i="68"/>
  <c r="D3353" i="68"/>
  <c r="F3351" i="68"/>
  <c r="E3350" i="68"/>
  <c r="D3350" i="68"/>
  <c r="F3347" i="68"/>
  <c r="E3346" i="68"/>
  <c r="D3346" i="68"/>
  <c r="F3344" i="68"/>
  <c r="E3343" i="68"/>
  <c r="D3343" i="68"/>
  <c r="F3341" i="68"/>
  <c r="F3340" i="68"/>
  <c r="F3339" i="68"/>
  <c r="E3338" i="68"/>
  <c r="D3338" i="68"/>
  <c r="D3334" i="68"/>
  <c r="D3333" i="68" s="1"/>
  <c r="F3331" i="68"/>
  <c r="F3330" i="68"/>
  <c r="F3329" i="68"/>
  <c r="F3328" i="68"/>
  <c r="F3327" i="68"/>
  <c r="G3326" i="68"/>
  <c r="G3322" i="68" s="1"/>
  <c r="E3326" i="68"/>
  <c r="D3326" i="68"/>
  <c r="F3324" i="68"/>
  <c r="E3323" i="68"/>
  <c r="D3323" i="68"/>
  <c r="F3320" i="68"/>
  <c r="F3319" i="68"/>
  <c r="F3318" i="68"/>
  <c r="F3317" i="68"/>
  <c r="F3316" i="68"/>
  <c r="E3315" i="68"/>
  <c r="D3315" i="68"/>
  <c r="F3313" i="68"/>
  <c r="F3312" i="68"/>
  <c r="E3311" i="68"/>
  <c r="D3311" i="68"/>
  <c r="F3308" i="68"/>
  <c r="E3307" i="68"/>
  <c r="D3307" i="68"/>
  <c r="F3305" i="68"/>
  <c r="E3304" i="68"/>
  <c r="D3304" i="68"/>
  <c r="F3302" i="68"/>
  <c r="E3301" i="68"/>
  <c r="D3301" i="68"/>
  <c r="F3299" i="68"/>
  <c r="E3298" i="68"/>
  <c r="D3298" i="68"/>
  <c r="F3296" i="68"/>
  <c r="F3295" i="68"/>
  <c r="F3294" i="68"/>
  <c r="E3293" i="68"/>
  <c r="D3293" i="68"/>
  <c r="F3291" i="68"/>
  <c r="F3290" i="68"/>
  <c r="E3289" i="68"/>
  <c r="D3289" i="68"/>
  <c r="F3286" i="68"/>
  <c r="F3285" i="68"/>
  <c r="G3284" i="68"/>
  <c r="G3277" i="68" s="1"/>
  <c r="E3284" i="68"/>
  <c r="D3284" i="68"/>
  <c r="F3282" i="68"/>
  <c r="E3281" i="68"/>
  <c r="D3281" i="68"/>
  <c r="F3279" i="68"/>
  <c r="E3278" i="68"/>
  <c r="D3278" i="68"/>
  <c r="F3275" i="68"/>
  <c r="F3274" i="68"/>
  <c r="F3273" i="68"/>
  <c r="E3272" i="68"/>
  <c r="D3272" i="68"/>
  <c r="D3271" i="68" s="1"/>
  <c r="F3268" i="68"/>
  <c r="G3267" i="68"/>
  <c r="G3266" i="68" s="1"/>
  <c r="E3267" i="68"/>
  <c r="D3267" i="68"/>
  <c r="D3266" i="68" s="1"/>
  <c r="E3263" i="68"/>
  <c r="D3263" i="68"/>
  <c r="E3259" i="68"/>
  <c r="D3259" i="68"/>
  <c r="E3255" i="68"/>
  <c r="E3254" i="68" s="1"/>
  <c r="D3255" i="68"/>
  <c r="D3254" i="68" s="1"/>
  <c r="F3252" i="68"/>
  <c r="F3251" i="68"/>
  <c r="E3250" i="68"/>
  <c r="D3250" i="68"/>
  <c r="D3247" i="68"/>
  <c r="F3245" i="68"/>
  <c r="F3244" i="68"/>
  <c r="E3243" i="68"/>
  <c r="D3243" i="68"/>
  <c r="F3241" i="68"/>
  <c r="F3240" i="68"/>
  <c r="E3239" i="68"/>
  <c r="D3239" i="68"/>
  <c r="F3237" i="68"/>
  <c r="F3236" i="68"/>
  <c r="F3235" i="68"/>
  <c r="F3234" i="68"/>
  <c r="E3233" i="68"/>
  <c r="D3233" i="68"/>
  <c r="F3231" i="68"/>
  <c r="F3230" i="68"/>
  <c r="F3229" i="68"/>
  <c r="E3228" i="68"/>
  <c r="D3228" i="68"/>
  <c r="D3224" i="68"/>
  <c r="F3222" i="68"/>
  <c r="F3221" i="68"/>
  <c r="E3220" i="68"/>
  <c r="E3219" i="68" s="1"/>
  <c r="D3220" i="68"/>
  <c r="D3219" i="68" s="1"/>
  <c r="G3219" i="68"/>
  <c r="F3217" i="68"/>
  <c r="E3216" i="68"/>
  <c r="D3216" i="68"/>
  <c r="F3214" i="68"/>
  <c r="E3213" i="68"/>
  <c r="D3213" i="68"/>
  <c r="F3211" i="68"/>
  <c r="E3210" i="68"/>
  <c r="D3210" i="68"/>
  <c r="F3208" i="68"/>
  <c r="F3207" i="68"/>
  <c r="E3206" i="68"/>
  <c r="D3206" i="68"/>
  <c r="F3204" i="68"/>
  <c r="F3203" i="68"/>
  <c r="F3202" i="68"/>
  <c r="E3201" i="68"/>
  <c r="D3201" i="68"/>
  <c r="F3199" i="68"/>
  <c r="F3198" i="68"/>
  <c r="F3197" i="68"/>
  <c r="F3196" i="68"/>
  <c r="F3195" i="68"/>
  <c r="F3194" i="68"/>
  <c r="F3193" i="68"/>
  <c r="E3192" i="68"/>
  <c r="D3192" i="68"/>
  <c r="F3190" i="68"/>
  <c r="F3189" i="68"/>
  <c r="F3188" i="68"/>
  <c r="F3187" i="68"/>
  <c r="F3186" i="68"/>
  <c r="E3185" i="68"/>
  <c r="D3185" i="68"/>
  <c r="F3183" i="68"/>
  <c r="F3182" i="68"/>
  <c r="E3181" i="68"/>
  <c r="D3181" i="68"/>
  <c r="F3179" i="68"/>
  <c r="E3178" i="68"/>
  <c r="D3178" i="68"/>
  <c r="F3176" i="68"/>
  <c r="F3175" i="68"/>
  <c r="F3174" i="68"/>
  <c r="F3173" i="68"/>
  <c r="F3172" i="68"/>
  <c r="F3171" i="68"/>
  <c r="F3170" i="68"/>
  <c r="E3169" i="68"/>
  <c r="D3169" i="68"/>
  <c r="G3168" i="68"/>
  <c r="E3158" i="68"/>
  <c r="D3158" i="68"/>
  <c r="E3152" i="68"/>
  <c r="D3152" i="68"/>
  <c r="F3150" i="68"/>
  <c r="F3149" i="68"/>
  <c r="F3148" i="68"/>
  <c r="F3147" i="68"/>
  <c r="F3146" i="68"/>
  <c r="E3145" i="68"/>
  <c r="D3145" i="68"/>
  <c r="F3143" i="68"/>
  <c r="F3142" i="68"/>
  <c r="F3141" i="68"/>
  <c r="F3140" i="68"/>
  <c r="F3139" i="68"/>
  <c r="F3138" i="68"/>
  <c r="F3137" i="68"/>
  <c r="F3136" i="68"/>
  <c r="F3135" i="68"/>
  <c r="F3134" i="68"/>
  <c r="F3133" i="68"/>
  <c r="F3132" i="68"/>
  <c r="F3131" i="68"/>
  <c r="F3130" i="68"/>
  <c r="F3129" i="68"/>
  <c r="F3128" i="68"/>
  <c r="F3127" i="68"/>
  <c r="F3126" i="68"/>
  <c r="F3125" i="68"/>
  <c r="F3124" i="68"/>
  <c r="F3123" i="68"/>
  <c r="F3122" i="68"/>
  <c r="F3121" i="68"/>
  <c r="F3120" i="68"/>
  <c r="F3119" i="68"/>
  <c r="F3118" i="68"/>
  <c r="F3117" i="68"/>
  <c r="F3116" i="68"/>
  <c r="F3115" i="68"/>
  <c r="F3114" i="68"/>
  <c r="F3113" i="68"/>
  <c r="F3112" i="68"/>
  <c r="F3111" i="68"/>
  <c r="F3110" i="68"/>
  <c r="E3109" i="68"/>
  <c r="D3109" i="68"/>
  <c r="F3107" i="68"/>
  <c r="F3106" i="68"/>
  <c r="E3105" i="68"/>
  <c r="D3105" i="68"/>
  <c r="F3099" i="68"/>
  <c r="F3098" i="68"/>
  <c r="E3097" i="68"/>
  <c r="D3097" i="68"/>
  <c r="F3095" i="68"/>
  <c r="F3094" i="68"/>
  <c r="E3093" i="68"/>
  <c r="D3093" i="68"/>
  <c r="F3091" i="68"/>
  <c r="F3090" i="68"/>
  <c r="F3089" i="68"/>
  <c r="E3088" i="68"/>
  <c r="D3088" i="68"/>
  <c r="F3086" i="68"/>
  <c r="F3085" i="68"/>
  <c r="F3084" i="68"/>
  <c r="F3083" i="68"/>
  <c r="E3082" i="68"/>
  <c r="D3082" i="68"/>
  <c r="F3080" i="68"/>
  <c r="E3079" i="68"/>
  <c r="D3079" i="68"/>
  <c r="F3077" i="68"/>
  <c r="F3076" i="68"/>
  <c r="F3075" i="68"/>
  <c r="E3074" i="68"/>
  <c r="D3074" i="68"/>
  <c r="F3072" i="68"/>
  <c r="F3071" i="68"/>
  <c r="F3068" i="68"/>
  <c r="E3067" i="68"/>
  <c r="D3067" i="68"/>
  <c r="F3065" i="68"/>
  <c r="E3064" i="68"/>
  <c r="D3064" i="68"/>
  <c r="F3062" i="68"/>
  <c r="E3061" i="68"/>
  <c r="D3061" i="68"/>
  <c r="F3059" i="68"/>
  <c r="E3058" i="68"/>
  <c r="D3058" i="68"/>
  <c r="G3057" i="68"/>
  <c r="F3055" i="68"/>
  <c r="F3054" i="68"/>
  <c r="F3053" i="68"/>
  <c r="E3052" i="68"/>
  <c r="D3052" i="68"/>
  <c r="F3050" i="68"/>
  <c r="E3049" i="68"/>
  <c r="D3049" i="68"/>
  <c r="F3047" i="68"/>
  <c r="E3046" i="68"/>
  <c r="D3046" i="68"/>
  <c r="F3043" i="68"/>
  <c r="E3042" i="68"/>
  <c r="D3042" i="68"/>
  <c r="F3040" i="68"/>
  <c r="F3039" i="68"/>
  <c r="E3038" i="68"/>
  <c r="D3038" i="68"/>
  <c r="F3036" i="68"/>
  <c r="E3035" i="68"/>
  <c r="D3035" i="68"/>
  <c r="F3032" i="68"/>
  <c r="E3031" i="68"/>
  <c r="D3031" i="68"/>
  <c r="F3029" i="68"/>
  <c r="F3028" i="68"/>
  <c r="E3027" i="68"/>
  <c r="D3027" i="68"/>
  <c r="F3024" i="68"/>
  <c r="E3023" i="68"/>
  <c r="D3023" i="68"/>
  <c r="F3021" i="68"/>
  <c r="F3020" i="68"/>
  <c r="F3019" i="68"/>
  <c r="G3018" i="68"/>
  <c r="G3014" i="68" s="1"/>
  <c r="E3018" i="68"/>
  <c r="D3018" i="68"/>
  <c r="F3016" i="68"/>
  <c r="E3015" i="68"/>
  <c r="D3015" i="68"/>
  <c r="F3012" i="68"/>
  <c r="E3011" i="68"/>
  <c r="D3011" i="68"/>
  <c r="F3009" i="68"/>
  <c r="E3008" i="68"/>
  <c r="D3008" i="68"/>
  <c r="F3006" i="68"/>
  <c r="F3005" i="68"/>
  <c r="F3004" i="68"/>
  <c r="E3003" i="68"/>
  <c r="D3003" i="68"/>
  <c r="F3001" i="68"/>
  <c r="E3000" i="68"/>
  <c r="D3000" i="68"/>
  <c r="F2998" i="68"/>
  <c r="F2997" i="68"/>
  <c r="E2996" i="68"/>
  <c r="D2996" i="68"/>
  <c r="F2994" i="68"/>
  <c r="E2993" i="68"/>
  <c r="D2993" i="68"/>
  <c r="F2991" i="68"/>
  <c r="E2990" i="68"/>
  <c r="D2990" i="68"/>
  <c r="F2988" i="68"/>
  <c r="F2987" i="68"/>
  <c r="E2986" i="68"/>
  <c r="D2986" i="68"/>
  <c r="F2984" i="68"/>
  <c r="F2983" i="68"/>
  <c r="F2981" i="68"/>
  <c r="F2980" i="68"/>
  <c r="G2979" i="68"/>
  <c r="G2978" i="68" s="1"/>
  <c r="E2979" i="68"/>
  <c r="D2979" i="68"/>
  <c r="F2976" i="68"/>
  <c r="E2975" i="68"/>
  <c r="D2975" i="68"/>
  <c r="F2973" i="68"/>
  <c r="E2972" i="68"/>
  <c r="D2972" i="68"/>
  <c r="F2970" i="68"/>
  <c r="F2969" i="68"/>
  <c r="E2968" i="68"/>
  <c r="D2968" i="68"/>
  <c r="F2966" i="68"/>
  <c r="F2965" i="68"/>
  <c r="F2964" i="68"/>
  <c r="F2963" i="68"/>
  <c r="E2962" i="68"/>
  <c r="D2962" i="68"/>
  <c r="F2960" i="68"/>
  <c r="E2959" i="68"/>
  <c r="D2959" i="68"/>
  <c r="F2957" i="68"/>
  <c r="E2956" i="68"/>
  <c r="D2956" i="68"/>
  <c r="F2951" i="68"/>
  <c r="E2950" i="68"/>
  <c r="D2950" i="68"/>
  <c r="F2948" i="68"/>
  <c r="E2947" i="68"/>
  <c r="D2947" i="68"/>
  <c r="G2946" i="68"/>
  <c r="F2944" i="68"/>
  <c r="F2943" i="68"/>
  <c r="F2942" i="68"/>
  <c r="E2941" i="68"/>
  <c r="E2940" i="68" s="1"/>
  <c r="D2941" i="68"/>
  <c r="D2940" i="68" s="1"/>
  <c r="F2938" i="68"/>
  <c r="F2937" i="68"/>
  <c r="E2936" i="68"/>
  <c r="E2935" i="68" s="1"/>
  <c r="D2936" i="68"/>
  <c r="D2935" i="68" s="1"/>
  <c r="F2933" i="68"/>
  <c r="E2932" i="68"/>
  <c r="D2932" i="68"/>
  <c r="F2930" i="68"/>
  <c r="E2929" i="68"/>
  <c r="D2929" i="68"/>
  <c r="F2926" i="68"/>
  <c r="E2925" i="68"/>
  <c r="D2925" i="68"/>
  <c r="D2924" i="68" s="1"/>
  <c r="F2922" i="68"/>
  <c r="E2921" i="68"/>
  <c r="D2921" i="68"/>
  <c r="F2919" i="68"/>
  <c r="E2918" i="68"/>
  <c r="D2918" i="68"/>
  <c r="F2916" i="68"/>
  <c r="F2915" i="68"/>
  <c r="F2914" i="68"/>
  <c r="F2913" i="68"/>
  <c r="G2912" i="68"/>
  <c r="G2900" i="68" s="1"/>
  <c r="E2912" i="68"/>
  <c r="D2912" i="68"/>
  <c r="F2910" i="68"/>
  <c r="F2909" i="68"/>
  <c r="F2908" i="68"/>
  <c r="F2907" i="68"/>
  <c r="F2906" i="68"/>
  <c r="F2905" i="68"/>
  <c r="E2904" i="68"/>
  <c r="D2904" i="68"/>
  <c r="F2902" i="68"/>
  <c r="E2901" i="68"/>
  <c r="D2901" i="68"/>
  <c r="F2898" i="68"/>
  <c r="F2897" i="68"/>
  <c r="E2896" i="68"/>
  <c r="D2896" i="68"/>
  <c r="E2893" i="68"/>
  <c r="D2893" i="68"/>
  <c r="F2891" i="68"/>
  <c r="F2890" i="68"/>
  <c r="F2889" i="68"/>
  <c r="F2888" i="68"/>
  <c r="F2887" i="68"/>
  <c r="F2886" i="68"/>
  <c r="F2885" i="68"/>
  <c r="F2884" i="68"/>
  <c r="F2883" i="68"/>
  <c r="G2882" i="68"/>
  <c r="G2841" i="68" s="1"/>
  <c r="E2882" i="68"/>
  <c r="D2882" i="68"/>
  <c r="F2880" i="68"/>
  <c r="F2879" i="68"/>
  <c r="F2878" i="68"/>
  <c r="F2877" i="68"/>
  <c r="F2876" i="68"/>
  <c r="F2875" i="68"/>
  <c r="F2874" i="68"/>
  <c r="F2873" i="68"/>
  <c r="F2872" i="68"/>
  <c r="F2871" i="68"/>
  <c r="F2870" i="68"/>
  <c r="E2869" i="68"/>
  <c r="D2869" i="68"/>
  <c r="F2867" i="68"/>
  <c r="F2866" i="68"/>
  <c r="F2865" i="68"/>
  <c r="F2864" i="68"/>
  <c r="E2863" i="68"/>
  <c r="D2863" i="68"/>
  <c r="F2861" i="68"/>
  <c r="F2860" i="68"/>
  <c r="E2859" i="68"/>
  <c r="D2859" i="68"/>
  <c r="F2857" i="68"/>
  <c r="F2856" i="68"/>
  <c r="F2855" i="68"/>
  <c r="F2854" i="68"/>
  <c r="F2853" i="68"/>
  <c r="F2852" i="68"/>
  <c r="F2851" i="68"/>
  <c r="F2850" i="68"/>
  <c r="F2849" i="68"/>
  <c r="F2848" i="68"/>
  <c r="F2847" i="68"/>
  <c r="F2846" i="68"/>
  <c r="E2845" i="68"/>
  <c r="D2845" i="68"/>
  <c r="F2843" i="68"/>
  <c r="E2842" i="68"/>
  <c r="D2842" i="68"/>
  <c r="F2839" i="68"/>
  <c r="F2838" i="68"/>
  <c r="F2837" i="68"/>
  <c r="F2836" i="68"/>
  <c r="F2835" i="68"/>
  <c r="F2834" i="68"/>
  <c r="F2833" i="68"/>
  <c r="F2832" i="68"/>
  <c r="E2831" i="68"/>
  <c r="D2831" i="68"/>
  <c r="F2829" i="68"/>
  <c r="F2828" i="68"/>
  <c r="F2827" i="68"/>
  <c r="F2826" i="68"/>
  <c r="F2825" i="68"/>
  <c r="E2824" i="68"/>
  <c r="D2824" i="68"/>
  <c r="F2822" i="68"/>
  <c r="F2821" i="68"/>
  <c r="F2820" i="68"/>
  <c r="F2819" i="68"/>
  <c r="F2818" i="68"/>
  <c r="F2817" i="68"/>
  <c r="F2816" i="68"/>
  <c r="F2815" i="68"/>
  <c r="F2814" i="68"/>
  <c r="F2813" i="68"/>
  <c r="F2812" i="68"/>
  <c r="F2811" i="68"/>
  <c r="F2810" i="68"/>
  <c r="F2809" i="68"/>
  <c r="F2808" i="68"/>
  <c r="F2807" i="68"/>
  <c r="F2806" i="68"/>
  <c r="F2805" i="68"/>
  <c r="F2804" i="68"/>
  <c r="F2803" i="68"/>
  <c r="F2802" i="68"/>
  <c r="F2801" i="68"/>
  <c r="F2800" i="68"/>
  <c r="F2799" i="68"/>
  <c r="G2798" i="68"/>
  <c r="E2798" i="68"/>
  <c r="D2798" i="68"/>
  <c r="F2796" i="68"/>
  <c r="F2795" i="68"/>
  <c r="F2794" i="68"/>
  <c r="F2793" i="68"/>
  <c r="F2792" i="68"/>
  <c r="F2791" i="68"/>
  <c r="F2790" i="68"/>
  <c r="F2789" i="68"/>
  <c r="F2788" i="68"/>
  <c r="F2787" i="68"/>
  <c r="F2786" i="68"/>
  <c r="F2785" i="68"/>
  <c r="F2784" i="68"/>
  <c r="F2783" i="68"/>
  <c r="G2782" i="68"/>
  <c r="E2782" i="68"/>
  <c r="D2782" i="68"/>
  <c r="F2780" i="68"/>
  <c r="F2779" i="68"/>
  <c r="F2778" i="68"/>
  <c r="F2777" i="68"/>
  <c r="E2776" i="68"/>
  <c r="D2776" i="68"/>
  <c r="E2770" i="68"/>
  <c r="D2770" i="68"/>
  <c r="F2768" i="68"/>
  <c r="F2767" i="68"/>
  <c r="F2766" i="68"/>
  <c r="F2765" i="68"/>
  <c r="F2764" i="68"/>
  <c r="F2763" i="68"/>
  <c r="F2762" i="68"/>
  <c r="F2761" i="68"/>
  <c r="E2760" i="68"/>
  <c r="D2760" i="68"/>
  <c r="F2758" i="68"/>
  <c r="F2757" i="68"/>
  <c r="E2756" i="68"/>
  <c r="D2756" i="68"/>
  <c r="F2753" i="68"/>
  <c r="F2752" i="68"/>
  <c r="E2751" i="68"/>
  <c r="D2751" i="68"/>
  <c r="F2749" i="68"/>
  <c r="F2748" i="68"/>
  <c r="F2747" i="68"/>
  <c r="F2746" i="68"/>
  <c r="F2745" i="68"/>
  <c r="F2744" i="68"/>
  <c r="F2743" i="68"/>
  <c r="F2742" i="68"/>
  <c r="F2741" i="68"/>
  <c r="F2740" i="68"/>
  <c r="F2739" i="68"/>
  <c r="F2738" i="68"/>
  <c r="E2737" i="68"/>
  <c r="D2737" i="68"/>
  <c r="F2735" i="68"/>
  <c r="F2734" i="68"/>
  <c r="F2733" i="68"/>
  <c r="F2732" i="68"/>
  <c r="F2731" i="68"/>
  <c r="F2730" i="68"/>
  <c r="F2729" i="68"/>
  <c r="F2728" i="68"/>
  <c r="F2727" i="68"/>
  <c r="F2726" i="68"/>
  <c r="F2725" i="68"/>
  <c r="F2724" i="68"/>
  <c r="F2723" i="68"/>
  <c r="F2722" i="68"/>
  <c r="F2721" i="68"/>
  <c r="F2720" i="68"/>
  <c r="F2719" i="68"/>
  <c r="F2718" i="68"/>
  <c r="F2717" i="68"/>
  <c r="E2716" i="68"/>
  <c r="D2716" i="68"/>
  <c r="F2714" i="68"/>
  <c r="F2713" i="68"/>
  <c r="F2712" i="68"/>
  <c r="F2711" i="68"/>
  <c r="F2710" i="68"/>
  <c r="F2709" i="68"/>
  <c r="F2708" i="68"/>
  <c r="F2707" i="68"/>
  <c r="E2706" i="68"/>
  <c r="D2706" i="68"/>
  <c r="F2703" i="68"/>
  <c r="F2702" i="68"/>
  <c r="F2701" i="68"/>
  <c r="F2700" i="68"/>
  <c r="F2699" i="68"/>
  <c r="E2698" i="68"/>
  <c r="D2698" i="68"/>
  <c r="F2696" i="68"/>
  <c r="F2695" i="68"/>
  <c r="F2694" i="68"/>
  <c r="F2693" i="68"/>
  <c r="E2692" i="68"/>
  <c r="D2692" i="68"/>
  <c r="F2690" i="68"/>
  <c r="F2689" i="68"/>
  <c r="F2688" i="68"/>
  <c r="F2687" i="68"/>
  <c r="F2686" i="68"/>
  <c r="F2685" i="68"/>
  <c r="F2684" i="68"/>
  <c r="F2683" i="68"/>
  <c r="F2682" i="68"/>
  <c r="F2681" i="68"/>
  <c r="E2680" i="68"/>
  <c r="D2680" i="68"/>
  <c r="F2677" i="68"/>
  <c r="F2676" i="68"/>
  <c r="F2675" i="68"/>
  <c r="F2674" i="68"/>
  <c r="F2673" i="68"/>
  <c r="F2672" i="68"/>
  <c r="F2671" i="68"/>
  <c r="F2670" i="68"/>
  <c r="F2669" i="68"/>
  <c r="F2668" i="68"/>
  <c r="F2667" i="68"/>
  <c r="F2666" i="68"/>
  <c r="F2665" i="68"/>
  <c r="F2664" i="68"/>
  <c r="F2663" i="68"/>
  <c r="E2662" i="68"/>
  <c r="E2661" i="68" s="1"/>
  <c r="D2662" i="68"/>
  <c r="D2661" i="68" s="1"/>
  <c r="F2659" i="68"/>
  <c r="F2658" i="68"/>
  <c r="F2657" i="68"/>
  <c r="F2656" i="68"/>
  <c r="F2655" i="68"/>
  <c r="E2654" i="68"/>
  <c r="D2654" i="68"/>
  <c r="F2652" i="68"/>
  <c r="E2651" i="68"/>
  <c r="D2651" i="68"/>
  <c r="E2650" i="68"/>
  <c r="F2648" i="68"/>
  <c r="E2647" i="68"/>
  <c r="D2647" i="68"/>
  <c r="F2645" i="68"/>
  <c r="F2644" i="68"/>
  <c r="E2643" i="68"/>
  <c r="D2643" i="68"/>
  <c r="F2641" i="68"/>
  <c r="E2640" i="68"/>
  <c r="D2640" i="68"/>
  <c r="F2638" i="68"/>
  <c r="E2637" i="68"/>
  <c r="D2637" i="68"/>
  <c r="F2635" i="68"/>
  <c r="F2634" i="68"/>
  <c r="F2633" i="68"/>
  <c r="F2632" i="68"/>
  <c r="F2631" i="68"/>
  <c r="F2630" i="68"/>
  <c r="F2629" i="68"/>
  <c r="F2628" i="68"/>
  <c r="F2627" i="68"/>
  <c r="F2626" i="68"/>
  <c r="F2625" i="68"/>
  <c r="F2624" i="68"/>
  <c r="F2623" i="68"/>
  <c r="F2622" i="68"/>
  <c r="F2621" i="68"/>
  <c r="F2620" i="68"/>
  <c r="F2619" i="68"/>
  <c r="F2618" i="68"/>
  <c r="F2617" i="68"/>
  <c r="F2616" i="68"/>
  <c r="F2615" i="68"/>
  <c r="F2614" i="68"/>
  <c r="E2613" i="68"/>
  <c r="D2613" i="68"/>
  <c r="F2610" i="68"/>
  <c r="F2609" i="68"/>
  <c r="F2608" i="68"/>
  <c r="E2607" i="68"/>
  <c r="E2606" i="68" s="1"/>
  <c r="D2607" i="68"/>
  <c r="F2604" i="68"/>
  <c r="F2603" i="68"/>
  <c r="F2602" i="68"/>
  <c r="F2601" i="68"/>
  <c r="F2600" i="68"/>
  <c r="F2599" i="68"/>
  <c r="F2598" i="68"/>
  <c r="F2597" i="68"/>
  <c r="F2596" i="68"/>
  <c r="E2595" i="68"/>
  <c r="D2595" i="68"/>
  <c r="F2593" i="68"/>
  <c r="F2592" i="68"/>
  <c r="F2591" i="68"/>
  <c r="F2590" i="68"/>
  <c r="E2589" i="68"/>
  <c r="D2589" i="68"/>
  <c r="E2588" i="68"/>
  <c r="F2586" i="68"/>
  <c r="E2585" i="68"/>
  <c r="E2584" i="68" s="1"/>
  <c r="D2585" i="68"/>
  <c r="D2584" i="68" s="1"/>
  <c r="F2582" i="68"/>
  <c r="F2581" i="68"/>
  <c r="F2580" i="68"/>
  <c r="F2579" i="68"/>
  <c r="E2578" i="68"/>
  <c r="D2578" i="68"/>
  <c r="F2576" i="68"/>
  <c r="F2575" i="68"/>
  <c r="F2574" i="68"/>
  <c r="F2573" i="68"/>
  <c r="F2572" i="68"/>
  <c r="F2571" i="68"/>
  <c r="F2570" i="68"/>
  <c r="F2569" i="68"/>
  <c r="E2568" i="68"/>
  <c r="D2568" i="68"/>
  <c r="F2566" i="68"/>
  <c r="F2565" i="68"/>
  <c r="F2564" i="68"/>
  <c r="F2563" i="68"/>
  <c r="E2562" i="68"/>
  <c r="D2562" i="68"/>
  <c r="F2560" i="68"/>
  <c r="F2559" i="68"/>
  <c r="F2558" i="68"/>
  <c r="F2557" i="68"/>
  <c r="F2556" i="68"/>
  <c r="E2555" i="68"/>
  <c r="D2555" i="68"/>
  <c r="F2552" i="68"/>
  <c r="F2551" i="68"/>
  <c r="F2550" i="68"/>
  <c r="F2549" i="68"/>
  <c r="F2548" i="68"/>
  <c r="E2547" i="68"/>
  <c r="D2547" i="68"/>
  <c r="F2545" i="68"/>
  <c r="F2544" i="68"/>
  <c r="F2543" i="68"/>
  <c r="F2542" i="68"/>
  <c r="F2541" i="68"/>
  <c r="E2540" i="68"/>
  <c r="D2540" i="68"/>
  <c r="F2538" i="68"/>
  <c r="F2537" i="68"/>
  <c r="F2536" i="68"/>
  <c r="F2535" i="68"/>
  <c r="E2534" i="68"/>
  <c r="D2534" i="68"/>
  <c r="F2532" i="68"/>
  <c r="F2531" i="68"/>
  <c r="F2530" i="68"/>
  <c r="F2529" i="68"/>
  <c r="E2528" i="68"/>
  <c r="D2528" i="68"/>
  <c r="F2525" i="68"/>
  <c r="E2524" i="68"/>
  <c r="D2524" i="68"/>
  <c r="F2522" i="68"/>
  <c r="F2521" i="68"/>
  <c r="E2520" i="68"/>
  <c r="D2520" i="68"/>
  <c r="F2517" i="68"/>
  <c r="F2516" i="68"/>
  <c r="F2515" i="68"/>
  <c r="F2514" i="68"/>
  <c r="F2513" i="68"/>
  <c r="F2512" i="68"/>
  <c r="F2511" i="68"/>
  <c r="F2510" i="68"/>
  <c r="F2509" i="68"/>
  <c r="F2508" i="68"/>
  <c r="F2507" i="68"/>
  <c r="F2506" i="68"/>
  <c r="F2505" i="68"/>
  <c r="F2504" i="68"/>
  <c r="F2503" i="68"/>
  <c r="F2502" i="68"/>
  <c r="F2501" i="68"/>
  <c r="F2500" i="68"/>
  <c r="F2499" i="68"/>
  <c r="F2498" i="68"/>
  <c r="F2497" i="68"/>
  <c r="F2496" i="68"/>
  <c r="F2495" i="68"/>
  <c r="F2494" i="68"/>
  <c r="F2493" i="68"/>
  <c r="F2492" i="68"/>
  <c r="F2491" i="68"/>
  <c r="F2490" i="68"/>
  <c r="F2489" i="68"/>
  <c r="F2488" i="68"/>
  <c r="F2487" i="68"/>
  <c r="F2486" i="68"/>
  <c r="F2485" i="68"/>
  <c r="F2484" i="68"/>
  <c r="F2483" i="68"/>
  <c r="F2482" i="68"/>
  <c r="F2481" i="68"/>
  <c r="F2480" i="68"/>
  <c r="F2479" i="68"/>
  <c r="F2478" i="68"/>
  <c r="F2477" i="68"/>
  <c r="F2476" i="68"/>
  <c r="F2475" i="68"/>
  <c r="F2474" i="68"/>
  <c r="F2473" i="68"/>
  <c r="F2472" i="68"/>
  <c r="F2471" i="68"/>
  <c r="F2470" i="68"/>
  <c r="F2469" i="68"/>
  <c r="F2468" i="68"/>
  <c r="F2467" i="68"/>
  <c r="F2466" i="68"/>
  <c r="F2465" i="68"/>
  <c r="F2464" i="68"/>
  <c r="F2463" i="68"/>
  <c r="F2462" i="68"/>
  <c r="F2461" i="68"/>
  <c r="F2460" i="68"/>
  <c r="F2459" i="68"/>
  <c r="F2458" i="68"/>
  <c r="F2457" i="68"/>
  <c r="F2456" i="68"/>
  <c r="F2455" i="68"/>
  <c r="F2454" i="68"/>
  <c r="F2453" i="68"/>
  <c r="F2452" i="68"/>
  <c r="F2451" i="68"/>
  <c r="F2450" i="68"/>
  <c r="F2449" i="68"/>
  <c r="F2448" i="68"/>
  <c r="F2447" i="68"/>
  <c r="F2446" i="68"/>
  <c r="F2445" i="68"/>
  <c r="F2444" i="68"/>
  <c r="F2443" i="68"/>
  <c r="F2442" i="68"/>
  <c r="E2441" i="68"/>
  <c r="D2441" i="68"/>
  <c r="F2439" i="68"/>
  <c r="F2438" i="68"/>
  <c r="F2437" i="68"/>
  <c r="F2436" i="68"/>
  <c r="F2435" i="68"/>
  <c r="F2434" i="68"/>
  <c r="F2433" i="68"/>
  <c r="F2432" i="68"/>
  <c r="F2431" i="68"/>
  <c r="F2430" i="68"/>
  <c r="E2429" i="68"/>
  <c r="D2429" i="68"/>
  <c r="F2426" i="68"/>
  <c r="F2425" i="68"/>
  <c r="E2424" i="68"/>
  <c r="D2424" i="68"/>
  <c r="F2422" i="68"/>
  <c r="E2421" i="68"/>
  <c r="D2421" i="68"/>
  <c r="F2418" i="68"/>
  <c r="F2417" i="68"/>
  <c r="E2416" i="68"/>
  <c r="D2416" i="68"/>
  <c r="F2414" i="68"/>
  <c r="E2413" i="68"/>
  <c r="D2413" i="68"/>
  <c r="F2411" i="68"/>
  <c r="F2410" i="68"/>
  <c r="F2409" i="68"/>
  <c r="F2408" i="68"/>
  <c r="E2407" i="68"/>
  <c r="D2407" i="68"/>
  <c r="F2405" i="68"/>
  <c r="E2404" i="68"/>
  <c r="D2404" i="68"/>
  <c r="F2402" i="68"/>
  <c r="E2401" i="68"/>
  <c r="D2401" i="68"/>
  <c r="F2399" i="68"/>
  <c r="F2398" i="68"/>
  <c r="E2397" i="68"/>
  <c r="D2397" i="68"/>
  <c r="F2395" i="68"/>
  <c r="F2394" i="68"/>
  <c r="E2393" i="68"/>
  <c r="D2393" i="68"/>
  <c r="F2391" i="68"/>
  <c r="E2390" i="68"/>
  <c r="D2390" i="68"/>
  <c r="F2388" i="68"/>
  <c r="E2387" i="68"/>
  <c r="D2387" i="68"/>
  <c r="F2385" i="68"/>
  <c r="E2384" i="68"/>
  <c r="D2384" i="68"/>
  <c r="F2381" i="68"/>
  <c r="F2380" i="68"/>
  <c r="F2379" i="68"/>
  <c r="F2378" i="68"/>
  <c r="F2376" i="68"/>
  <c r="F2375" i="68"/>
  <c r="F2374" i="68"/>
  <c r="F2373" i="68"/>
  <c r="E2372" i="68"/>
  <c r="D2372" i="68"/>
  <c r="F2370" i="68"/>
  <c r="F2369" i="68"/>
  <c r="F2368" i="68"/>
  <c r="F2367" i="68"/>
  <c r="F2366" i="68"/>
  <c r="F2365" i="68"/>
  <c r="F2364" i="68"/>
  <c r="F2363" i="68"/>
  <c r="F2362" i="68"/>
  <c r="F2361" i="68"/>
  <c r="F2360" i="68"/>
  <c r="F2359" i="68"/>
  <c r="F2358" i="68"/>
  <c r="F2357" i="68"/>
  <c r="E2356" i="68"/>
  <c r="D2356" i="68"/>
  <c r="F2354" i="68"/>
  <c r="E2353" i="68"/>
  <c r="D2353" i="68"/>
  <c r="F2351" i="68"/>
  <c r="F2350" i="68"/>
  <c r="F2349" i="68"/>
  <c r="F2348" i="68"/>
  <c r="F2347" i="68"/>
  <c r="E2346" i="68"/>
  <c r="D2346" i="68"/>
  <c r="F2344" i="68"/>
  <c r="F2343" i="68"/>
  <c r="E2342" i="68"/>
  <c r="D2342" i="68"/>
  <c r="F2340" i="68"/>
  <c r="F2339" i="68"/>
  <c r="F2338" i="68"/>
  <c r="F2337" i="68"/>
  <c r="F2336" i="68"/>
  <c r="F2335" i="68"/>
  <c r="F2334" i="68"/>
  <c r="F2333" i="68"/>
  <c r="F2332" i="68"/>
  <c r="F2331" i="68"/>
  <c r="F2330" i="68"/>
  <c r="F2329" i="68"/>
  <c r="F2328" i="68"/>
  <c r="F2327" i="68"/>
  <c r="F2326" i="68"/>
  <c r="F2325" i="68"/>
  <c r="F2324" i="68"/>
  <c r="F2323" i="68"/>
  <c r="F2322" i="68"/>
  <c r="F2321" i="68"/>
  <c r="F2320" i="68"/>
  <c r="F2319" i="68"/>
  <c r="F2318" i="68"/>
  <c r="F2317" i="68"/>
  <c r="F2316" i="68"/>
  <c r="F2315" i="68"/>
  <c r="E2314" i="68"/>
  <c r="D2314" i="68"/>
  <c r="F2312" i="68"/>
  <c r="E2311" i="68"/>
  <c r="D2311" i="68"/>
  <c r="F2306" i="68"/>
  <c r="F2305" i="68"/>
  <c r="F2304" i="68"/>
  <c r="F2302" i="68"/>
  <c r="F2301" i="68"/>
  <c r="F2300" i="68"/>
  <c r="F2299" i="68"/>
  <c r="G2298" i="68"/>
  <c r="G2297" i="68" s="1"/>
  <c r="E2298" i="68"/>
  <c r="D2298" i="68"/>
  <c r="D2297" i="68" s="1"/>
  <c r="E2294" i="68"/>
  <c r="E2293" i="68" s="1"/>
  <c r="D2294" i="68"/>
  <c r="D2293" i="68" s="1"/>
  <c r="F2291" i="68"/>
  <c r="F2290" i="68"/>
  <c r="G2289" i="68"/>
  <c r="E2289" i="68"/>
  <c r="D2289" i="68"/>
  <c r="F2287" i="68"/>
  <c r="E2286" i="68"/>
  <c r="D2286" i="68"/>
  <c r="F2283" i="68"/>
  <c r="F2282" i="68"/>
  <c r="F2281" i="68"/>
  <c r="F2280" i="68"/>
  <c r="G2279" i="68"/>
  <c r="G2275" i="68" s="1"/>
  <c r="E2279" i="68"/>
  <c r="D2279" i="68"/>
  <c r="F2277" i="68"/>
  <c r="E2276" i="68"/>
  <c r="D2276" i="68"/>
  <c r="F2273" i="68"/>
  <c r="F2272" i="68"/>
  <c r="F2270" i="68"/>
  <c r="E2269" i="68"/>
  <c r="D2269" i="68"/>
  <c r="D2268" i="68" s="1"/>
  <c r="F2266" i="68"/>
  <c r="F2265" i="68"/>
  <c r="E2264" i="68"/>
  <c r="E2263" i="68" s="1"/>
  <c r="D2264" i="68"/>
  <c r="D2263" i="68" s="1"/>
  <c r="F2261" i="68"/>
  <c r="E2260" i="68"/>
  <c r="D2260" i="68"/>
  <c r="F2258" i="68"/>
  <c r="E2257" i="68"/>
  <c r="D2257" i="68"/>
  <c r="F2254" i="68"/>
  <c r="E2253" i="68"/>
  <c r="D2253" i="68"/>
  <c r="F2251" i="68"/>
  <c r="E2250" i="68"/>
  <c r="D2250" i="68"/>
  <c r="F2248" i="68"/>
  <c r="F2247" i="68"/>
  <c r="F2246" i="68"/>
  <c r="E2245" i="68"/>
  <c r="D2245" i="68"/>
  <c r="F2243" i="68"/>
  <c r="F2242" i="68"/>
  <c r="E2241" i="68"/>
  <c r="D2241" i="68"/>
  <c r="F2239" i="68"/>
  <c r="F2238" i="68"/>
  <c r="E2237" i="68"/>
  <c r="D2237" i="68"/>
  <c r="F2235" i="68"/>
  <c r="E2234" i="68"/>
  <c r="D2234" i="68"/>
  <c r="F2232" i="68"/>
  <c r="F2231" i="68"/>
  <c r="F2230" i="68"/>
  <c r="E2229" i="68"/>
  <c r="D2229" i="68"/>
  <c r="F2227" i="68"/>
  <c r="F2226" i="68"/>
  <c r="E2225" i="68"/>
  <c r="D2225" i="68"/>
  <c r="F2222" i="68"/>
  <c r="F2221" i="68"/>
  <c r="F2220" i="68"/>
  <c r="F2219" i="68"/>
  <c r="F2218" i="68"/>
  <c r="F2217" i="68"/>
  <c r="F2216" i="68"/>
  <c r="F2215" i="68"/>
  <c r="E2214" i="68"/>
  <c r="D2214" i="68"/>
  <c r="F2212" i="68"/>
  <c r="F2211" i="68"/>
  <c r="F2210" i="68"/>
  <c r="F2209" i="68"/>
  <c r="F2208" i="68"/>
  <c r="F2207" i="68"/>
  <c r="F2206" i="68"/>
  <c r="F2205" i="68"/>
  <c r="F2204" i="68"/>
  <c r="F2203" i="68"/>
  <c r="E2202" i="68"/>
  <c r="D2202" i="68"/>
  <c r="F2200" i="68"/>
  <c r="F2199" i="68"/>
  <c r="F2198" i="68"/>
  <c r="F2197" i="68"/>
  <c r="F2196" i="68"/>
  <c r="F2195" i="68"/>
  <c r="F2194" i="68"/>
  <c r="G2193" i="68"/>
  <c r="E2193" i="68"/>
  <c r="D2193" i="68"/>
  <c r="F2190" i="68"/>
  <c r="F2189" i="68"/>
  <c r="F2188" i="68"/>
  <c r="F2187" i="68"/>
  <c r="F2186" i="68"/>
  <c r="G2185" i="68"/>
  <c r="G2159" i="68" s="1"/>
  <c r="E2185" i="68"/>
  <c r="D2185" i="68"/>
  <c r="F2183" i="68"/>
  <c r="F2182" i="68"/>
  <c r="F2181" i="68"/>
  <c r="F2180" i="68"/>
  <c r="F2179" i="68"/>
  <c r="F2178" i="68"/>
  <c r="F2177" i="68"/>
  <c r="F2176" i="68"/>
  <c r="F2175" i="68"/>
  <c r="F2174" i="68"/>
  <c r="F2173" i="68"/>
  <c r="F2172" i="68"/>
  <c r="F2171" i="68"/>
  <c r="F2170" i="68"/>
  <c r="F2169" i="68"/>
  <c r="E2168" i="68"/>
  <c r="D2168" i="68"/>
  <c r="F2166" i="68"/>
  <c r="F2165" i="68"/>
  <c r="F2164" i="68"/>
  <c r="E2163" i="68"/>
  <c r="D2163" i="68"/>
  <c r="F2161" i="68"/>
  <c r="E2160" i="68"/>
  <c r="D2160" i="68"/>
  <c r="F2155" i="68"/>
  <c r="F2154" i="68"/>
  <c r="F2153" i="68"/>
  <c r="D2153" i="68"/>
  <c r="G2152" i="68"/>
  <c r="E2152" i="68"/>
  <c r="D2152" i="68"/>
  <c r="D2150" i="68"/>
  <c r="F2150" i="68" s="1"/>
  <c r="F2149" i="68"/>
  <c r="F2148" i="68"/>
  <c r="F2147" i="68"/>
  <c r="F2146" i="68"/>
  <c r="G2145" i="68"/>
  <c r="G2144" i="68" s="1"/>
  <c r="E2145" i="68"/>
  <c r="E2144" i="68" s="1"/>
  <c r="F2142" i="68"/>
  <c r="F2141" i="68"/>
  <c r="F2140" i="68"/>
  <c r="E2139" i="68"/>
  <c r="D2139" i="68"/>
  <c r="F2137" i="68"/>
  <c r="F2136" i="68"/>
  <c r="G2135" i="68"/>
  <c r="E2135" i="68"/>
  <c r="D2135" i="68"/>
  <c r="F2132" i="68"/>
  <c r="F2131" i="68"/>
  <c r="F2130" i="68"/>
  <c r="F2129" i="68"/>
  <c r="F2128" i="68"/>
  <c r="F2127" i="68"/>
  <c r="F2126" i="68"/>
  <c r="F2125" i="68"/>
  <c r="E2124" i="68"/>
  <c r="E2123" i="68" s="1"/>
  <c r="D2124" i="68"/>
  <c r="D2123" i="68" s="1"/>
  <c r="D2122" i="68" s="1"/>
  <c r="F2120" i="68"/>
  <c r="E2119" i="68"/>
  <c r="D2119" i="68"/>
  <c r="F2117" i="68"/>
  <c r="F2116" i="68"/>
  <c r="E2115" i="68"/>
  <c r="D2115" i="68"/>
  <c r="F2113" i="68"/>
  <c r="F2112" i="68"/>
  <c r="F2111" i="68"/>
  <c r="F2110" i="68"/>
  <c r="F2109" i="68"/>
  <c r="F2108" i="68"/>
  <c r="F2107" i="68"/>
  <c r="F2106" i="68"/>
  <c r="F2105" i="68"/>
  <c r="F2104" i="68"/>
  <c r="F2103" i="68"/>
  <c r="F2102" i="68"/>
  <c r="F2101" i="68"/>
  <c r="E2100" i="68"/>
  <c r="D2100" i="68"/>
  <c r="F2098" i="68"/>
  <c r="F2097" i="68"/>
  <c r="F2096" i="68"/>
  <c r="F2095" i="68"/>
  <c r="E2094" i="68"/>
  <c r="D2094" i="68"/>
  <c r="F2091" i="68"/>
  <c r="F2090" i="68"/>
  <c r="F2089" i="68"/>
  <c r="F2088" i="68"/>
  <c r="G2087" i="68"/>
  <c r="E2087" i="68"/>
  <c r="D2087" i="68"/>
  <c r="F2085" i="68"/>
  <c r="F2084" i="68"/>
  <c r="E2083" i="68"/>
  <c r="D2083" i="68"/>
  <c r="F2081" i="68"/>
  <c r="F2080" i="68"/>
  <c r="F2079" i="68"/>
  <c r="F2078" i="68"/>
  <c r="E2077" i="68"/>
  <c r="D2077" i="68"/>
  <c r="F2075" i="68"/>
  <c r="E2074" i="68"/>
  <c r="D2074" i="68"/>
  <c r="G2073" i="68"/>
  <c r="F2071" i="68"/>
  <c r="E2070" i="68"/>
  <c r="D2070" i="68"/>
  <c r="F2068" i="68"/>
  <c r="F2067" i="68"/>
  <c r="F2066" i="68"/>
  <c r="F2065" i="68"/>
  <c r="F2064" i="68"/>
  <c r="F2063" i="68"/>
  <c r="F2062" i="68"/>
  <c r="F2061" i="68"/>
  <c r="F2060" i="68"/>
  <c r="G2059" i="68"/>
  <c r="G2058" i="68" s="1"/>
  <c r="E2059" i="68"/>
  <c r="D2059" i="68"/>
  <c r="D2058" i="68" s="1"/>
  <c r="F2056" i="68"/>
  <c r="F2055" i="68"/>
  <c r="E2054" i="68"/>
  <c r="D2054" i="68"/>
  <c r="F2052" i="68"/>
  <c r="F2051" i="68"/>
  <c r="F2050" i="68"/>
  <c r="E2049" i="68"/>
  <c r="D2049" i="68"/>
  <c r="F2047" i="68"/>
  <c r="F2046" i="68"/>
  <c r="E2045" i="68"/>
  <c r="D2045" i="68"/>
  <c r="F2043" i="68"/>
  <c r="F2042" i="68"/>
  <c r="E2041" i="68"/>
  <c r="D2041" i="68"/>
  <c r="F2039" i="68"/>
  <c r="F2038" i="68"/>
  <c r="F2037" i="68"/>
  <c r="G2036" i="68"/>
  <c r="G2030" i="68" s="1"/>
  <c r="E2036" i="68"/>
  <c r="D2036" i="68"/>
  <c r="F2034" i="68"/>
  <c r="F2033" i="68"/>
  <c r="F2032" i="68"/>
  <c r="E2031" i="68"/>
  <c r="D2031" i="68"/>
  <c r="F2028" i="68"/>
  <c r="E2027" i="68"/>
  <c r="D2027" i="68"/>
  <c r="F2025" i="68"/>
  <c r="E2024" i="68"/>
  <c r="D2024" i="68"/>
  <c r="F2022" i="68"/>
  <c r="F2021" i="68"/>
  <c r="E2020" i="68"/>
  <c r="D2020" i="68"/>
  <c r="F2018" i="68"/>
  <c r="E2017" i="68"/>
  <c r="D2017" i="68"/>
  <c r="F2015" i="68"/>
  <c r="E2014" i="68"/>
  <c r="D2014" i="68"/>
  <c r="F2011" i="68"/>
  <c r="E2010" i="68"/>
  <c r="D2010" i="68"/>
  <c r="D2009" i="68" s="1"/>
  <c r="F2007" i="68"/>
  <c r="F2006" i="68"/>
  <c r="E2005" i="68"/>
  <c r="D2005" i="68"/>
  <c r="F2003" i="68"/>
  <c r="F2002" i="68"/>
  <c r="E2001" i="68"/>
  <c r="D2001" i="68"/>
  <c r="F1999" i="68"/>
  <c r="E1998" i="68"/>
  <c r="D1998" i="68"/>
  <c r="D1997" i="68"/>
  <c r="F1995" i="68"/>
  <c r="F1994" i="68"/>
  <c r="F1993" i="68"/>
  <c r="E1992" i="68"/>
  <c r="D1992" i="68"/>
  <c r="F1990" i="68"/>
  <c r="E1989" i="68"/>
  <c r="D1989" i="68"/>
  <c r="F1987" i="68"/>
  <c r="E1986" i="68"/>
  <c r="D1986" i="68"/>
  <c r="F1984" i="68"/>
  <c r="F1983" i="68"/>
  <c r="E1982" i="68"/>
  <c r="D1982" i="68"/>
  <c r="F1980" i="68"/>
  <c r="E1979" i="68"/>
  <c r="D1979" i="68"/>
  <c r="F1976" i="68"/>
  <c r="F1975" i="68"/>
  <c r="F1974" i="68"/>
  <c r="F1973" i="68"/>
  <c r="E1972" i="68"/>
  <c r="D1972" i="68"/>
  <c r="F1970" i="68"/>
  <c r="F1969" i="68"/>
  <c r="G1968" i="68"/>
  <c r="G1967" i="68" s="1"/>
  <c r="E1968" i="68"/>
  <c r="E1967" i="68" s="1"/>
  <c r="D1968" i="68"/>
  <c r="F1965" i="68"/>
  <c r="E1964" i="68"/>
  <c r="D1964" i="68"/>
  <c r="F1962" i="68"/>
  <c r="E1961" i="68"/>
  <c r="D1961" i="68"/>
  <c r="F1959" i="68"/>
  <c r="F1958" i="68"/>
  <c r="G1957" i="68"/>
  <c r="G1956" i="68" s="1"/>
  <c r="E1957" i="68"/>
  <c r="D1957" i="68"/>
  <c r="F1954" i="68"/>
  <c r="E1953" i="68"/>
  <c r="D1953" i="68"/>
  <c r="F1951" i="68"/>
  <c r="F1950" i="68"/>
  <c r="E1949" i="68"/>
  <c r="D1949" i="68"/>
  <c r="F1947" i="68"/>
  <c r="F1946" i="68"/>
  <c r="F1945" i="68"/>
  <c r="E1944" i="68"/>
  <c r="D1944" i="68"/>
  <c r="F1941" i="68"/>
  <c r="F1940" i="68"/>
  <c r="F1939" i="68"/>
  <c r="F1938" i="68"/>
  <c r="F1937" i="68"/>
  <c r="F1936" i="68"/>
  <c r="F1935" i="68"/>
  <c r="F1934" i="68"/>
  <c r="F1933" i="68"/>
  <c r="F1932" i="68"/>
  <c r="F1931" i="68"/>
  <c r="F1930" i="68"/>
  <c r="F1929" i="68"/>
  <c r="F1928" i="68"/>
  <c r="F1927" i="68"/>
  <c r="F1926" i="68"/>
  <c r="F1925" i="68"/>
  <c r="F1924" i="68"/>
  <c r="F1923" i="68"/>
  <c r="F1922" i="68"/>
  <c r="F1921" i="68"/>
  <c r="F1920" i="68"/>
  <c r="F1919" i="68"/>
  <c r="F1918" i="68"/>
  <c r="F1917" i="68"/>
  <c r="F1916" i="68"/>
  <c r="F1915" i="68"/>
  <c r="F1914" i="68"/>
  <c r="F1913" i="68"/>
  <c r="F1912" i="68"/>
  <c r="F1911" i="68"/>
  <c r="F1910" i="68"/>
  <c r="F1909" i="68"/>
  <c r="F1908" i="68"/>
  <c r="F1907" i="68"/>
  <c r="F1906" i="68"/>
  <c r="F1905" i="68"/>
  <c r="F1904" i="68"/>
  <c r="F1903" i="68"/>
  <c r="F1902" i="68"/>
  <c r="F1901" i="68"/>
  <c r="F1900" i="68"/>
  <c r="F1899" i="68"/>
  <c r="F1898" i="68"/>
  <c r="F1897" i="68"/>
  <c r="F1896" i="68"/>
  <c r="G1895" i="68"/>
  <c r="E1895" i="68"/>
  <c r="D1895" i="68"/>
  <c r="F1893" i="68"/>
  <c r="E1892" i="68"/>
  <c r="D1892" i="68"/>
  <c r="F1890" i="68"/>
  <c r="E1889" i="68"/>
  <c r="D1889" i="68"/>
  <c r="F1887" i="68"/>
  <c r="F1886" i="68"/>
  <c r="F1885" i="68"/>
  <c r="F1884" i="68"/>
  <c r="F1883" i="68"/>
  <c r="E1882" i="68"/>
  <c r="D1882" i="68"/>
  <c r="F1880" i="68"/>
  <c r="F1879" i="68"/>
  <c r="F1878" i="68"/>
  <c r="F1877" i="68"/>
  <c r="G1876" i="68"/>
  <c r="E1876" i="68"/>
  <c r="D1876" i="68"/>
  <c r="F1874" i="68"/>
  <c r="F1873" i="68"/>
  <c r="F1872" i="68"/>
  <c r="E1871" i="68"/>
  <c r="D1871" i="68"/>
  <c r="F1868" i="68"/>
  <c r="E1867" i="68"/>
  <c r="D1867" i="68"/>
  <c r="F1865" i="68"/>
  <c r="E1864" i="68"/>
  <c r="D1864" i="68"/>
  <c r="F1862" i="68"/>
  <c r="E1861" i="68"/>
  <c r="D1861" i="68"/>
  <c r="F1859" i="68"/>
  <c r="F1858" i="68"/>
  <c r="F1857" i="68"/>
  <c r="F1856" i="68"/>
  <c r="F1855" i="68"/>
  <c r="F1854" i="68"/>
  <c r="F1853" i="68"/>
  <c r="F1852" i="68"/>
  <c r="F1851" i="68"/>
  <c r="F1850" i="68"/>
  <c r="F1849" i="68"/>
  <c r="F1848" i="68"/>
  <c r="E1847" i="68"/>
  <c r="D1847" i="68"/>
  <c r="G1846" i="68"/>
  <c r="F1844" i="68"/>
  <c r="F1843" i="68"/>
  <c r="F1842" i="68"/>
  <c r="E1841" i="68"/>
  <c r="D1841" i="68"/>
  <c r="F1839" i="68"/>
  <c r="F1838" i="68"/>
  <c r="F1837" i="68"/>
  <c r="G1836" i="68"/>
  <c r="E1836" i="68"/>
  <c r="D1836" i="68"/>
  <c r="F1834" i="68"/>
  <c r="F1833" i="68"/>
  <c r="F1832" i="68"/>
  <c r="E1831" i="68"/>
  <c r="D1831" i="68"/>
  <c r="F1829" i="68"/>
  <c r="F1828" i="68"/>
  <c r="F1827" i="68"/>
  <c r="F1826" i="68"/>
  <c r="F1825" i="68"/>
  <c r="F1824" i="68"/>
  <c r="F1823" i="68"/>
  <c r="F1822" i="68"/>
  <c r="F1821" i="68"/>
  <c r="F1820" i="68"/>
  <c r="G1819" i="68"/>
  <c r="E1819" i="68"/>
  <c r="D1819" i="68"/>
  <c r="F1817" i="68"/>
  <c r="F1816" i="68"/>
  <c r="F1815" i="68"/>
  <c r="E1814" i="68"/>
  <c r="D1814" i="68"/>
  <c r="F1812" i="68"/>
  <c r="F1811" i="68"/>
  <c r="F1810" i="68"/>
  <c r="F1809" i="68"/>
  <c r="F1808" i="68"/>
  <c r="E1807" i="68"/>
  <c r="D1807" i="68"/>
  <c r="E1804" i="68"/>
  <c r="D1804" i="68"/>
  <c r="F1802" i="68"/>
  <c r="E1801" i="68"/>
  <c r="D1801" i="68"/>
  <c r="F1799" i="68"/>
  <c r="F1798" i="68"/>
  <c r="F1797" i="68"/>
  <c r="F1796" i="68"/>
  <c r="E1795" i="68"/>
  <c r="D1795" i="68"/>
  <c r="F1792" i="68"/>
  <c r="F1791" i="68"/>
  <c r="G1790" i="68"/>
  <c r="E1790" i="68"/>
  <c r="D1790" i="68"/>
  <c r="F1788" i="68"/>
  <c r="E1787" i="68"/>
  <c r="D1787" i="68"/>
  <c r="F1785" i="68"/>
  <c r="F1784" i="68"/>
  <c r="F1783" i="68"/>
  <c r="F1782" i="68"/>
  <c r="F1781" i="68"/>
  <c r="F1780" i="68"/>
  <c r="E1779" i="68"/>
  <c r="D1779" i="68"/>
  <c r="F1777" i="68"/>
  <c r="E1776" i="68"/>
  <c r="D1776" i="68"/>
  <c r="F1774" i="68"/>
  <c r="F1773" i="68"/>
  <c r="F1772" i="68"/>
  <c r="F1771" i="68"/>
  <c r="E1770" i="68"/>
  <c r="D1770" i="68"/>
  <c r="F1768" i="68"/>
  <c r="E1767" i="68"/>
  <c r="D1767" i="68"/>
  <c r="F1765" i="68"/>
  <c r="F1764" i="68"/>
  <c r="F1763" i="68"/>
  <c r="F1762" i="68"/>
  <c r="F1761" i="68"/>
  <c r="F1760" i="68"/>
  <c r="F1759" i="68"/>
  <c r="G1758" i="68"/>
  <c r="E1758" i="68"/>
  <c r="D1758" i="68"/>
  <c r="F1756" i="68"/>
  <c r="F1755" i="68"/>
  <c r="F1754" i="68"/>
  <c r="F1753" i="68"/>
  <c r="F1752" i="68"/>
  <c r="F1751" i="68"/>
  <c r="E1750" i="68"/>
  <c r="D1750" i="68"/>
  <c r="F1748" i="68"/>
  <c r="E1747" i="68"/>
  <c r="D1747" i="68"/>
  <c r="F1745" i="68"/>
  <c r="E1744" i="68"/>
  <c r="D1744" i="68"/>
  <c r="F1739" i="68"/>
  <c r="F1738" i="68"/>
  <c r="F1737" i="68"/>
  <c r="G1736" i="68"/>
  <c r="E1736" i="68"/>
  <c r="D1736" i="68"/>
  <c r="F1734" i="68"/>
  <c r="E1733" i="68"/>
  <c r="D1733" i="68"/>
  <c r="D1732" i="68" s="1"/>
  <c r="F1730" i="68"/>
  <c r="E1729" i="68"/>
  <c r="E1728" i="68" s="1"/>
  <c r="D1729" i="68"/>
  <c r="D1728" i="68" s="1"/>
  <c r="F1726" i="68"/>
  <c r="E1725" i="68"/>
  <c r="E1724" i="68" s="1"/>
  <c r="D1725" i="68"/>
  <c r="D1724" i="68" s="1"/>
  <c r="F1722" i="68"/>
  <c r="E1721" i="68"/>
  <c r="D1721" i="68"/>
  <c r="D1720" i="68" s="1"/>
  <c r="F1718" i="68"/>
  <c r="E1717" i="68"/>
  <c r="E1716" i="68" s="1"/>
  <c r="D1717" i="68"/>
  <c r="D1716" i="68" s="1"/>
  <c r="F1714" i="68"/>
  <c r="E1713" i="68"/>
  <c r="E1712" i="68" s="1"/>
  <c r="D1713" i="68"/>
  <c r="D1712" i="68" s="1"/>
  <c r="F1710" i="68"/>
  <c r="E1709" i="68"/>
  <c r="E1708" i="68" s="1"/>
  <c r="D1709" i="68"/>
  <c r="D1708" i="68" s="1"/>
  <c r="F1706" i="68"/>
  <c r="E1705" i="68"/>
  <c r="E1704" i="68" s="1"/>
  <c r="D1705" i="68"/>
  <c r="D1704" i="68" s="1"/>
  <c r="F1702" i="68"/>
  <c r="E1701" i="68"/>
  <c r="D1701" i="68"/>
  <c r="D1700" i="68" s="1"/>
  <c r="F1698" i="68"/>
  <c r="E1697" i="68"/>
  <c r="D1697" i="68"/>
  <c r="D1696" i="68" s="1"/>
  <c r="E1696" i="68"/>
  <c r="F1694" i="68"/>
  <c r="E1693" i="68"/>
  <c r="E1692" i="68" s="1"/>
  <c r="D1693" i="68"/>
  <c r="F1690" i="68"/>
  <c r="F1689" i="68"/>
  <c r="E1688" i="68"/>
  <c r="E1687" i="68" s="1"/>
  <c r="D1688" i="68"/>
  <c r="F1685" i="68"/>
  <c r="F1684" i="68"/>
  <c r="F1683" i="68"/>
  <c r="E1682" i="68"/>
  <c r="E1681" i="68" s="1"/>
  <c r="D1682" i="68"/>
  <c r="D1681" i="68" s="1"/>
  <c r="F1679" i="68"/>
  <c r="F1678" i="68"/>
  <c r="E1677" i="68"/>
  <c r="D1677" i="68"/>
  <c r="F1675" i="68"/>
  <c r="E1674" i="68"/>
  <c r="D1674" i="68"/>
  <c r="F1672" i="68"/>
  <c r="E1671" i="68"/>
  <c r="D1671" i="68"/>
  <c r="F1668" i="68"/>
  <c r="E1667" i="68"/>
  <c r="D1667" i="68"/>
  <c r="D1666" i="68" s="1"/>
  <c r="F1664" i="68"/>
  <c r="E1663" i="68"/>
  <c r="D1663" i="68"/>
  <c r="D1662" i="68" s="1"/>
  <c r="F1660" i="68"/>
  <c r="E1659" i="68"/>
  <c r="D1659" i="68"/>
  <c r="F1657" i="68"/>
  <c r="E1656" i="68"/>
  <c r="D1656" i="68"/>
  <c r="F1654" i="68"/>
  <c r="E1653" i="68"/>
  <c r="D1653" i="68"/>
  <c r="F1651" i="68"/>
  <c r="F1650" i="68"/>
  <c r="E1649" i="68"/>
  <c r="D1649" i="68"/>
  <c r="F1647" i="68"/>
  <c r="F1646" i="68"/>
  <c r="F1645" i="68"/>
  <c r="F1644" i="68"/>
  <c r="E1643" i="68"/>
  <c r="D1643" i="68"/>
  <c r="G1642" i="68"/>
  <c r="F1640" i="68"/>
  <c r="E1639" i="68"/>
  <c r="D1639" i="68"/>
  <c r="F1637" i="68"/>
  <c r="E1636" i="68"/>
  <c r="D1636" i="68"/>
  <c r="F1634" i="68"/>
  <c r="E1633" i="68"/>
  <c r="D1633" i="68"/>
  <c r="F1631" i="68"/>
  <c r="E1630" i="68"/>
  <c r="D1630" i="68"/>
  <c r="F1628" i="68"/>
  <c r="E1627" i="68"/>
  <c r="D1627" i="68"/>
  <c r="F1624" i="68"/>
  <c r="E1623" i="68"/>
  <c r="E1622" i="68" s="1"/>
  <c r="D1623" i="68"/>
  <c r="D1622" i="68" s="1"/>
  <c r="F1620" i="68"/>
  <c r="E1619" i="68"/>
  <c r="D1619" i="68"/>
  <c r="F1617" i="68"/>
  <c r="E1616" i="68"/>
  <c r="D1616" i="68"/>
  <c r="F1613" i="68"/>
  <c r="E1612" i="68"/>
  <c r="D1612" i="68"/>
  <c r="F1610" i="68"/>
  <c r="E1609" i="68"/>
  <c r="D1609" i="68"/>
  <c r="F1607" i="68"/>
  <c r="F1606" i="68"/>
  <c r="F1605" i="68"/>
  <c r="G1604" i="68"/>
  <c r="E1604" i="68"/>
  <c r="D1604" i="68"/>
  <c r="F1602" i="68"/>
  <c r="F1601" i="68"/>
  <c r="F1600" i="68"/>
  <c r="E1599" i="68"/>
  <c r="D1599" i="68"/>
  <c r="F1596" i="68"/>
  <c r="F1595" i="68"/>
  <c r="F1594" i="68"/>
  <c r="F1593" i="68"/>
  <c r="F1592" i="68"/>
  <c r="F1591" i="68"/>
  <c r="F1590" i="68"/>
  <c r="F1589" i="68"/>
  <c r="F1588" i="68"/>
  <c r="G1587" i="68"/>
  <c r="G1586" i="68" s="1"/>
  <c r="E1587" i="68"/>
  <c r="E1586" i="68" s="1"/>
  <c r="D1587" i="68"/>
  <c r="D1586" i="68" s="1"/>
  <c r="F1584" i="68"/>
  <c r="F1583" i="68"/>
  <c r="F1581" i="68"/>
  <c r="F1580" i="68"/>
  <c r="F1579" i="68"/>
  <c r="F1578" i="68"/>
  <c r="F1577" i="68"/>
  <c r="G1576" i="68"/>
  <c r="E1576" i="68"/>
  <c r="D1576" i="68"/>
  <c r="F1574" i="68"/>
  <c r="F1573" i="68"/>
  <c r="F1572" i="68"/>
  <c r="E1571" i="68"/>
  <c r="D1571" i="68"/>
  <c r="F1569" i="68"/>
  <c r="E1568" i="68"/>
  <c r="D1568" i="68"/>
  <c r="F1566" i="68"/>
  <c r="F1565" i="68"/>
  <c r="F1564" i="68"/>
  <c r="G1563" i="68"/>
  <c r="G1559" i="68" s="1"/>
  <c r="E1563" i="68"/>
  <c r="D1563" i="68"/>
  <c r="F1561" i="68"/>
  <c r="E1560" i="68"/>
  <c r="D1560" i="68"/>
  <c r="F1557" i="68"/>
  <c r="F1556" i="68"/>
  <c r="F1555" i="68"/>
  <c r="F1554" i="68"/>
  <c r="F1553" i="68"/>
  <c r="F1552" i="68"/>
  <c r="G1551" i="68"/>
  <c r="E1551" i="68"/>
  <c r="D1551" i="68"/>
  <c r="F1549" i="68"/>
  <c r="F1548" i="68"/>
  <c r="F1547" i="68"/>
  <c r="F1546" i="68"/>
  <c r="F1545" i="68"/>
  <c r="E1544" i="68"/>
  <c r="D1544" i="68"/>
  <c r="F1542" i="68"/>
  <c r="E1541" i="68"/>
  <c r="D1541" i="68"/>
  <c r="F1539" i="68"/>
  <c r="F1538" i="68"/>
  <c r="F1537" i="68"/>
  <c r="F1536" i="68"/>
  <c r="G1535" i="68"/>
  <c r="E1535" i="68"/>
  <c r="D1535" i="68"/>
  <c r="F1528" i="68"/>
  <c r="E1527" i="68"/>
  <c r="D1527" i="68"/>
  <c r="F1525" i="68"/>
  <c r="E1524" i="68"/>
  <c r="D1524" i="68"/>
  <c r="F1519" i="68"/>
  <c r="F1518" i="68"/>
  <c r="F1517" i="68"/>
  <c r="F1516" i="68"/>
  <c r="F1515" i="68"/>
  <c r="G1514" i="68"/>
  <c r="E1514" i="68"/>
  <c r="F1514" i="68" s="1"/>
  <c r="D1514" i="68"/>
  <c r="F1512" i="68"/>
  <c r="F1511" i="68"/>
  <c r="E1510" i="68"/>
  <c r="D1510" i="68"/>
  <c r="F1508" i="68"/>
  <c r="E1507" i="68"/>
  <c r="D1507" i="68"/>
  <c r="F1505" i="68"/>
  <c r="E1504" i="68"/>
  <c r="F1504" i="68" s="1"/>
  <c r="F1502" i="68"/>
  <c r="F1501" i="68"/>
  <c r="E1500" i="68"/>
  <c r="D1500" i="68"/>
  <c r="D1497" i="68"/>
  <c r="F1497" i="68" s="1"/>
  <c r="F1496" i="68"/>
  <c r="F1494" i="68"/>
  <c r="F1493" i="68"/>
  <c r="F1492" i="68"/>
  <c r="G1490" i="68"/>
  <c r="E1490" i="68"/>
  <c r="D1490" i="68"/>
  <c r="F1488" i="68"/>
  <c r="F1487" i="68"/>
  <c r="F1486" i="68"/>
  <c r="G1485" i="68"/>
  <c r="E1485" i="68"/>
  <c r="D1485" i="68"/>
  <c r="F1482" i="68"/>
  <c r="F1481" i="68"/>
  <c r="E1480" i="68"/>
  <c r="D1480" i="68"/>
  <c r="F1478" i="68"/>
  <c r="F1477" i="68"/>
  <c r="G1476" i="68"/>
  <c r="G1469" i="68" s="1"/>
  <c r="E1476" i="68"/>
  <c r="D1476" i="68"/>
  <c r="F1474" i="68"/>
  <c r="E1473" i="68"/>
  <c r="D1473" i="68"/>
  <c r="F1471" i="68"/>
  <c r="E1470" i="68"/>
  <c r="D1470" i="68"/>
  <c r="F1467" i="68"/>
  <c r="F1466" i="68"/>
  <c r="E1465" i="68"/>
  <c r="D1465" i="68"/>
  <c r="F1463" i="68"/>
  <c r="F1462" i="68"/>
  <c r="E1461" i="68"/>
  <c r="D1461" i="68"/>
  <c r="F1459" i="68"/>
  <c r="F1458" i="68"/>
  <c r="E1457" i="68"/>
  <c r="D1457" i="68"/>
  <c r="F1454" i="68"/>
  <c r="F1453" i="68"/>
  <c r="F1452" i="68"/>
  <c r="E1451" i="68"/>
  <c r="D1451" i="68"/>
  <c r="F1449" i="68"/>
  <c r="F1448" i="68"/>
  <c r="F1447" i="68"/>
  <c r="F1446" i="68"/>
  <c r="E1445" i="68"/>
  <c r="D1445" i="68"/>
  <c r="F1442" i="68"/>
  <c r="E1441" i="68"/>
  <c r="D1441" i="68"/>
  <c r="F1439" i="68"/>
  <c r="F1438" i="68"/>
  <c r="F1437" i="68"/>
  <c r="F1436" i="68"/>
  <c r="F1435" i="68"/>
  <c r="F1434" i="68"/>
  <c r="E1433" i="68"/>
  <c r="D1433" i="68"/>
  <c r="F1431" i="68"/>
  <c r="F1430" i="68"/>
  <c r="E1429" i="68"/>
  <c r="D1429" i="68"/>
  <c r="F1427" i="68"/>
  <c r="E1426" i="68"/>
  <c r="D1426" i="68"/>
  <c r="F1424" i="68"/>
  <c r="E1423" i="68"/>
  <c r="D1423" i="68"/>
  <c r="F1420" i="68"/>
  <c r="E1419" i="68"/>
  <c r="D1419" i="68"/>
  <c r="D1418" i="68" s="1"/>
  <c r="F1416" i="68"/>
  <c r="E1415" i="68"/>
  <c r="D1415" i="68"/>
  <c r="F1413" i="68"/>
  <c r="I1412" i="68"/>
  <c r="E1412" i="68"/>
  <c r="D1412" i="68"/>
  <c r="F1410" i="68"/>
  <c r="F1409" i="68"/>
  <c r="F1408" i="68"/>
  <c r="G1407" i="68"/>
  <c r="G1406" i="68" s="1"/>
  <c r="E1407" i="68"/>
  <c r="D1407" i="68"/>
  <c r="F1404" i="68"/>
  <c r="E1403" i="68"/>
  <c r="E1402" i="68" s="1"/>
  <c r="D1403" i="68"/>
  <c r="D1399" i="68"/>
  <c r="F1397" i="68"/>
  <c r="E1396" i="68"/>
  <c r="D1396" i="68"/>
  <c r="F1394" i="68"/>
  <c r="E1393" i="68"/>
  <c r="D1393" i="68"/>
  <c r="F1391" i="68"/>
  <c r="F1390" i="68"/>
  <c r="G1389" i="68"/>
  <c r="G1388" i="68" s="1"/>
  <c r="E1389" i="68"/>
  <c r="D1389" i="68"/>
  <c r="F1386" i="68"/>
  <c r="F1385" i="68"/>
  <c r="E1384" i="68"/>
  <c r="D1384" i="68"/>
  <c r="F1382" i="68"/>
  <c r="F1381" i="68"/>
  <c r="F1380" i="68"/>
  <c r="E1379" i="68"/>
  <c r="D1379" i="68"/>
  <c r="F1376" i="68"/>
  <c r="F1375" i="68"/>
  <c r="F1374" i="68"/>
  <c r="F1373" i="68"/>
  <c r="F1372" i="68"/>
  <c r="F1371" i="68"/>
  <c r="F1370" i="68"/>
  <c r="F1369" i="68"/>
  <c r="G1368" i="68"/>
  <c r="E1368" i="68"/>
  <c r="D1368" i="68"/>
  <c r="F1366" i="68"/>
  <c r="E1365" i="68"/>
  <c r="D1365" i="68"/>
  <c r="F1363" i="68"/>
  <c r="F1362" i="68"/>
  <c r="F1361" i="68"/>
  <c r="E1360" i="68"/>
  <c r="D1360" i="68"/>
  <c r="F1358" i="68"/>
  <c r="F1357" i="68"/>
  <c r="F1356" i="68"/>
  <c r="E1355" i="68"/>
  <c r="D1355" i="68"/>
  <c r="F1353" i="68"/>
  <c r="E1352" i="68"/>
  <c r="D1352" i="68"/>
  <c r="F1350" i="68"/>
  <c r="F1349" i="68"/>
  <c r="F1348" i="68"/>
  <c r="F1347" i="68"/>
  <c r="F1346" i="68"/>
  <c r="F1345" i="68"/>
  <c r="F1344" i="68"/>
  <c r="F1343" i="68"/>
  <c r="E1342" i="68"/>
  <c r="D1342" i="68"/>
  <c r="F1340" i="68"/>
  <c r="F1339" i="68"/>
  <c r="E1338" i="68"/>
  <c r="D1338" i="68"/>
  <c r="F1336" i="68"/>
  <c r="F1335" i="68"/>
  <c r="F1334" i="68"/>
  <c r="G1333" i="68"/>
  <c r="E1333" i="68"/>
  <c r="D1333" i="68"/>
  <c r="F1331" i="68"/>
  <c r="F1330" i="68"/>
  <c r="F1329" i="68"/>
  <c r="G1328" i="68"/>
  <c r="E1328" i="68"/>
  <c r="D1328" i="68"/>
  <c r="F1326" i="68"/>
  <c r="F1325" i="68"/>
  <c r="F1324" i="68"/>
  <c r="F1323" i="68"/>
  <c r="F1322" i="68"/>
  <c r="F1321" i="68"/>
  <c r="F1320" i="68"/>
  <c r="F1319" i="68"/>
  <c r="E1318" i="68"/>
  <c r="D1318" i="68"/>
  <c r="F1316" i="68"/>
  <c r="E1315" i="68"/>
  <c r="F1312" i="68"/>
  <c r="F1311" i="68"/>
  <c r="E1310" i="68"/>
  <c r="D1310" i="68"/>
  <c r="F1308" i="68"/>
  <c r="F1307" i="68"/>
  <c r="F1306" i="68"/>
  <c r="F1303" i="68"/>
  <c r="F1302" i="68"/>
  <c r="F1301" i="68"/>
  <c r="E1300" i="68"/>
  <c r="D1300" i="68"/>
  <c r="F1298" i="68"/>
  <c r="F1297" i="68"/>
  <c r="G1296" i="68"/>
  <c r="E1296" i="68"/>
  <c r="D1296" i="68"/>
  <c r="F1294" i="68"/>
  <c r="F1293" i="68"/>
  <c r="F1292" i="68"/>
  <c r="F1291" i="68"/>
  <c r="F1290" i="68"/>
  <c r="F1289" i="68"/>
  <c r="F1288" i="68"/>
  <c r="F1287" i="68"/>
  <c r="F1286" i="68"/>
  <c r="F1285" i="68"/>
  <c r="F1284" i="68"/>
  <c r="F1283" i="68"/>
  <c r="F1282" i="68"/>
  <c r="E1281" i="68"/>
  <c r="D1281" i="68"/>
  <c r="F1277" i="68"/>
  <c r="F1276" i="68"/>
  <c r="G1275" i="68"/>
  <c r="E1275" i="68"/>
  <c r="D1275" i="68"/>
  <c r="F1273" i="68"/>
  <c r="F1272" i="68"/>
  <c r="F1271" i="68"/>
  <c r="F1270" i="68"/>
  <c r="G1269" i="68"/>
  <c r="E1269" i="68"/>
  <c r="D1269" i="68"/>
  <c r="D1268" i="68" s="1"/>
  <c r="F1266" i="68"/>
  <c r="E1265" i="68"/>
  <c r="D1265" i="68"/>
  <c r="F1261" i="68"/>
  <c r="G1260" i="68"/>
  <c r="E1260" i="68"/>
  <c r="D1260" i="68"/>
  <c r="F1258" i="68"/>
  <c r="E1257" i="68"/>
  <c r="D1257" i="68"/>
  <c r="F1254" i="68"/>
  <c r="F1253" i="68"/>
  <c r="G1252" i="68"/>
  <c r="G1251" i="68" s="1"/>
  <c r="E1252" i="68"/>
  <c r="D1252" i="68"/>
  <c r="F1249" i="68"/>
  <c r="E1248" i="68"/>
  <c r="D1248" i="68"/>
  <c r="D1247" i="68" s="1"/>
  <c r="F1245" i="68"/>
  <c r="F1244" i="68"/>
  <c r="E1243" i="68"/>
  <c r="D1243" i="68"/>
  <c r="F1241" i="68"/>
  <c r="F1240" i="68"/>
  <c r="E1239" i="68"/>
  <c r="E1238" i="68" s="1"/>
  <c r="D1239" i="68"/>
  <c r="F1236" i="68"/>
  <c r="E1235" i="68"/>
  <c r="D1235" i="68"/>
  <c r="F1233" i="68"/>
  <c r="E1232" i="68"/>
  <c r="D1232" i="68"/>
  <c r="G1231" i="68"/>
  <c r="F1229" i="68"/>
  <c r="F1228" i="68"/>
  <c r="F1227" i="68"/>
  <c r="E1226" i="68"/>
  <c r="D1226" i="68"/>
  <c r="F1224" i="68"/>
  <c r="F1223" i="68"/>
  <c r="E1222" i="68"/>
  <c r="D1222" i="68"/>
  <c r="F1220" i="68"/>
  <c r="E1219" i="68"/>
  <c r="D1219" i="68"/>
  <c r="D1218" i="68" s="1"/>
  <c r="F1216" i="68"/>
  <c r="E1215" i="68"/>
  <c r="D1215" i="68"/>
  <c r="F1213" i="68"/>
  <c r="E1212" i="68"/>
  <c r="D1212" i="68"/>
  <c r="F1210" i="68"/>
  <c r="E1209" i="68"/>
  <c r="D1209" i="68"/>
  <c r="F1207" i="68"/>
  <c r="F1206" i="68"/>
  <c r="F1205" i="68"/>
  <c r="E1204" i="68"/>
  <c r="D1204" i="68"/>
  <c r="F1202" i="68"/>
  <c r="F1201" i="68"/>
  <c r="F1200" i="68"/>
  <c r="F1199" i="68"/>
  <c r="F1198" i="68"/>
  <c r="F1197" i="68"/>
  <c r="F1196" i="68"/>
  <c r="F1195" i="68"/>
  <c r="F1194" i="68"/>
  <c r="E1193" i="68"/>
  <c r="D1193" i="68"/>
  <c r="F1191" i="68"/>
  <c r="E1190" i="68"/>
  <c r="D1190" i="68"/>
  <c r="F1190" i="68" s="1"/>
  <c r="F1187" i="68"/>
  <c r="F1186" i="68"/>
  <c r="E1185" i="68"/>
  <c r="D1185" i="68"/>
  <c r="F1183" i="68"/>
  <c r="F1182" i="68"/>
  <c r="E1181" i="68"/>
  <c r="D1181" i="68"/>
  <c r="F1181" i="68" s="1"/>
  <c r="F1179" i="68"/>
  <c r="E1178" i="68"/>
  <c r="D1178" i="68"/>
  <c r="F1176" i="68"/>
  <c r="E1175" i="68"/>
  <c r="D1175" i="68"/>
  <c r="F1172" i="68"/>
  <c r="F1171" i="68"/>
  <c r="E1170" i="68"/>
  <c r="D1170" i="68"/>
  <c r="F1168" i="68"/>
  <c r="F1167" i="68"/>
  <c r="E1166" i="68"/>
  <c r="D1166" i="68"/>
  <c r="F1164" i="68"/>
  <c r="E1163" i="68"/>
  <c r="D1163" i="68"/>
  <c r="F1161" i="68"/>
  <c r="F1160" i="68"/>
  <c r="F1159" i="68"/>
  <c r="F1158" i="68"/>
  <c r="F1157" i="68"/>
  <c r="F1156" i="68"/>
  <c r="F1155" i="68"/>
  <c r="F1154" i="68"/>
  <c r="F1153" i="68"/>
  <c r="E1152" i="68"/>
  <c r="D1152" i="68"/>
  <c r="F1150" i="68"/>
  <c r="E1149" i="68"/>
  <c r="D1149" i="68"/>
  <c r="F1147" i="68"/>
  <c r="F1146" i="68"/>
  <c r="E1145" i="68"/>
  <c r="D1145" i="68"/>
  <c r="F1143" i="68"/>
  <c r="E1142" i="68"/>
  <c r="D1142" i="68"/>
  <c r="F1140" i="68"/>
  <c r="E1139" i="68"/>
  <c r="D1139" i="68"/>
  <c r="G1138" i="68"/>
  <c r="F1136" i="68"/>
  <c r="E1135" i="68"/>
  <c r="D1135" i="68"/>
  <c r="F1133" i="68"/>
  <c r="E1132" i="68"/>
  <c r="D1132" i="68"/>
  <c r="F1128" i="68"/>
  <c r="F1127" i="68"/>
  <c r="G1126" i="68"/>
  <c r="E1126" i="68"/>
  <c r="D1126" i="68"/>
  <c r="F1124" i="68"/>
  <c r="F1123" i="68"/>
  <c r="G1122" i="68"/>
  <c r="E1122" i="68"/>
  <c r="D1122" i="68"/>
  <c r="F1120" i="68"/>
  <c r="F1119" i="68"/>
  <c r="E1118" i="68"/>
  <c r="D1118" i="68"/>
  <c r="F1116" i="68"/>
  <c r="E1115" i="68"/>
  <c r="D1115" i="68"/>
  <c r="F1112" i="68"/>
  <c r="E1111" i="68"/>
  <c r="D1111" i="68"/>
  <c r="F1109" i="68"/>
  <c r="E1108" i="68"/>
  <c r="D1108" i="68"/>
  <c r="F1106" i="68"/>
  <c r="E1105" i="68"/>
  <c r="D1105" i="68"/>
  <c r="F1102" i="68"/>
  <c r="E1101" i="68"/>
  <c r="D1101" i="68"/>
  <c r="F1099" i="68"/>
  <c r="E1098" i="68"/>
  <c r="D1098" i="68"/>
  <c r="F1096" i="68"/>
  <c r="F1095" i="68"/>
  <c r="E1094" i="68"/>
  <c r="D1094" i="68"/>
  <c r="F1092" i="68"/>
  <c r="E1091" i="68"/>
  <c r="D1091" i="68"/>
  <c r="F1089" i="68"/>
  <c r="F1088" i="68"/>
  <c r="E1087" i="68"/>
  <c r="D1087" i="68"/>
  <c r="F1084" i="68"/>
  <c r="E1083" i="68"/>
  <c r="E1082" i="68" s="1"/>
  <c r="D1083" i="68"/>
  <c r="D1082" i="68" s="1"/>
  <c r="F1080" i="68"/>
  <c r="E1079" i="68"/>
  <c r="D1079" i="68"/>
  <c r="F1077" i="68"/>
  <c r="E1076" i="68"/>
  <c r="D1076" i="68"/>
  <c r="F1074" i="68"/>
  <c r="E1073" i="68"/>
  <c r="D1073" i="68"/>
  <c r="F1071" i="68"/>
  <c r="F1070" i="68"/>
  <c r="E1069" i="68"/>
  <c r="D1069" i="68"/>
  <c r="F1067" i="68"/>
  <c r="E1066" i="68"/>
  <c r="D1066" i="68"/>
  <c r="F1063" i="68"/>
  <c r="E1062" i="68"/>
  <c r="D1062" i="68"/>
  <c r="F1060" i="68"/>
  <c r="E1059" i="68"/>
  <c r="D1059" i="68"/>
  <c r="F1057" i="68"/>
  <c r="E1056" i="68"/>
  <c r="D1056" i="68"/>
  <c r="F1054" i="68"/>
  <c r="E1053" i="68"/>
  <c r="D1053" i="68"/>
  <c r="F1051" i="68"/>
  <c r="E1050" i="68"/>
  <c r="D1050" i="68"/>
  <c r="F1048" i="68"/>
  <c r="F1047" i="68"/>
  <c r="F1046" i="68"/>
  <c r="E1045" i="68"/>
  <c r="D1045" i="68"/>
  <c r="F1043" i="68"/>
  <c r="E1042" i="68"/>
  <c r="D1042" i="68"/>
  <c r="F1040" i="68"/>
  <c r="F1039" i="68"/>
  <c r="E1038" i="68"/>
  <c r="D1038" i="68"/>
  <c r="F1036" i="68"/>
  <c r="E1035" i="68"/>
  <c r="D1035" i="68"/>
  <c r="F1033" i="68"/>
  <c r="E1032" i="68"/>
  <c r="D1032" i="68"/>
  <c r="F1030" i="68"/>
  <c r="E1029" i="68"/>
  <c r="D1029" i="68"/>
  <c r="F1027" i="68"/>
  <c r="F1026" i="68"/>
  <c r="F1025" i="68"/>
  <c r="F1024" i="68"/>
  <c r="F1023" i="68"/>
  <c r="F1022" i="68"/>
  <c r="F1021" i="68"/>
  <c r="E1020" i="68"/>
  <c r="D1020" i="68"/>
  <c r="F1018" i="68"/>
  <c r="F1017" i="68"/>
  <c r="E1016" i="68"/>
  <c r="D1016" i="68"/>
  <c r="F1013" i="68"/>
  <c r="E1012" i="68"/>
  <c r="D1012" i="68"/>
  <c r="F1010" i="68"/>
  <c r="E1009" i="68"/>
  <c r="D1009" i="68"/>
  <c r="F1006" i="68"/>
  <c r="E1005" i="68"/>
  <c r="D1005" i="68"/>
  <c r="F1003" i="68"/>
  <c r="E1002" i="68"/>
  <c r="D1002" i="68"/>
  <c r="F1000" i="68"/>
  <c r="E999" i="68"/>
  <c r="D999" i="68"/>
  <c r="F997" i="68"/>
  <c r="E996" i="68"/>
  <c r="D996" i="68"/>
  <c r="F994" i="68"/>
  <c r="F993" i="68"/>
  <c r="F992" i="68"/>
  <c r="F991" i="68"/>
  <c r="F990" i="68"/>
  <c r="F989" i="68"/>
  <c r="E988" i="68"/>
  <c r="D988" i="68"/>
  <c r="F986" i="68"/>
  <c r="E985" i="68"/>
  <c r="D985" i="68"/>
  <c r="F982" i="68"/>
  <c r="F981" i="68"/>
  <c r="G980" i="68"/>
  <c r="G979" i="68" s="1"/>
  <c r="E980" i="68"/>
  <c r="D980" i="68"/>
  <c r="F977" i="68"/>
  <c r="E976" i="68"/>
  <c r="D976" i="68"/>
  <c r="F974" i="68"/>
  <c r="E973" i="68"/>
  <c r="D973" i="68"/>
  <c r="F971" i="68"/>
  <c r="E970" i="68"/>
  <c r="D970" i="68"/>
  <c r="F967" i="68"/>
  <c r="E966" i="68"/>
  <c r="D966" i="68"/>
  <c r="F964" i="68"/>
  <c r="E963" i="68"/>
  <c r="D963" i="68"/>
  <c r="F961" i="68"/>
  <c r="E960" i="68"/>
  <c r="D960" i="68"/>
  <c r="F957" i="68"/>
  <c r="E956" i="68"/>
  <c r="D956" i="68"/>
  <c r="D955" i="68" s="1"/>
  <c r="F953" i="68"/>
  <c r="E952" i="68"/>
  <c r="D952" i="68"/>
  <c r="F950" i="68"/>
  <c r="E949" i="68"/>
  <c r="D949" i="68"/>
  <c r="F947" i="68"/>
  <c r="F946" i="68"/>
  <c r="F945" i="68"/>
  <c r="E944" i="68"/>
  <c r="D944" i="68"/>
  <c r="F942" i="68"/>
  <c r="F941" i="68"/>
  <c r="E940" i="68"/>
  <c r="D940" i="68"/>
  <c r="F938" i="68"/>
  <c r="F937" i="68"/>
  <c r="F936" i="68"/>
  <c r="F935" i="68"/>
  <c r="F934" i="68"/>
  <c r="G933" i="68"/>
  <c r="E933" i="68"/>
  <c r="D933" i="68"/>
  <c r="F931" i="68"/>
  <c r="F930" i="68"/>
  <c r="F929" i="68"/>
  <c r="F928" i="68"/>
  <c r="G927" i="68"/>
  <c r="E927" i="68"/>
  <c r="D927" i="68"/>
  <c r="F925" i="68"/>
  <c r="F924" i="68"/>
  <c r="E923" i="68"/>
  <c r="D923" i="68"/>
  <c r="F921" i="68"/>
  <c r="E920" i="68"/>
  <c r="D920" i="68"/>
  <c r="F918" i="68"/>
  <c r="F917" i="68"/>
  <c r="F916" i="68"/>
  <c r="E915" i="68"/>
  <c r="D915" i="68"/>
  <c r="F913" i="68"/>
  <c r="E912" i="68"/>
  <c r="D912" i="68"/>
  <c r="F910" i="68"/>
  <c r="E909" i="68"/>
  <c r="D909" i="68"/>
  <c r="F907" i="68"/>
  <c r="F906" i="68"/>
  <c r="F905" i="68"/>
  <c r="F904" i="68"/>
  <c r="F903" i="68"/>
  <c r="F902" i="68"/>
  <c r="F901" i="68"/>
  <c r="F900" i="68"/>
  <c r="F899" i="68"/>
  <c r="F898" i="68"/>
  <c r="F897" i="68"/>
  <c r="F896" i="68"/>
  <c r="G895" i="68"/>
  <c r="E895" i="68"/>
  <c r="D895" i="68"/>
  <c r="F893" i="68"/>
  <c r="F892" i="68"/>
  <c r="E891" i="68"/>
  <c r="D891" i="68"/>
  <c r="F889" i="68"/>
  <c r="E888" i="68"/>
  <c r="D888" i="68"/>
  <c r="F885" i="68"/>
  <c r="F884" i="68"/>
  <c r="F883" i="68"/>
  <c r="F882" i="68"/>
  <c r="F881" i="68"/>
  <c r="G880" i="68"/>
  <c r="E880" i="68"/>
  <c r="D880" i="68"/>
  <c r="F878" i="68"/>
  <c r="F877" i="68"/>
  <c r="F876" i="68"/>
  <c r="F875" i="68"/>
  <c r="F874" i="68"/>
  <c r="F873" i="68"/>
  <c r="F872" i="68"/>
  <c r="F871" i="68"/>
  <c r="G870" i="68"/>
  <c r="E870" i="68"/>
  <c r="D870" i="68"/>
  <c r="F868" i="68"/>
  <c r="F867" i="68"/>
  <c r="F866" i="68"/>
  <c r="F865" i="68"/>
  <c r="E864" i="68"/>
  <c r="D864" i="68"/>
  <c r="F862" i="68"/>
  <c r="F861" i="68"/>
  <c r="F860" i="68"/>
  <c r="E859" i="68"/>
  <c r="D859" i="68"/>
  <c r="F857" i="68"/>
  <c r="E856" i="68"/>
  <c r="D856" i="68"/>
  <c r="F854" i="68"/>
  <c r="F853" i="68"/>
  <c r="F852" i="68"/>
  <c r="F851" i="68"/>
  <c r="F850" i="68"/>
  <c r="E849" i="68"/>
  <c r="D849" i="68"/>
  <c r="F847" i="68"/>
  <c r="F846" i="68"/>
  <c r="F845" i="68"/>
  <c r="F844" i="68"/>
  <c r="F843" i="68"/>
  <c r="F842" i="68"/>
  <c r="F841" i="68"/>
  <c r="F840" i="68"/>
  <c r="F839" i="68"/>
  <c r="F838" i="68"/>
  <c r="F837" i="68"/>
  <c r="F836" i="68"/>
  <c r="F835" i="68"/>
  <c r="F834" i="68"/>
  <c r="F833" i="68"/>
  <c r="F832" i="68"/>
  <c r="E831" i="68"/>
  <c r="D831" i="68"/>
  <c r="F829" i="68"/>
  <c r="F828" i="68"/>
  <c r="F827" i="68"/>
  <c r="F826" i="68"/>
  <c r="E825" i="68"/>
  <c r="D825" i="68"/>
  <c r="F823" i="68"/>
  <c r="E822" i="68"/>
  <c r="D822" i="68"/>
  <c r="F817" i="68"/>
  <c r="F816" i="68"/>
  <c r="F815" i="68"/>
  <c r="F814" i="68"/>
  <c r="E813" i="68"/>
  <c r="D813" i="68"/>
  <c r="D812" i="68" s="1"/>
  <c r="F809" i="68"/>
  <c r="G807" i="68"/>
  <c r="G806" i="68" s="1"/>
  <c r="E807" i="68"/>
  <c r="E806" i="68" s="1"/>
  <c r="D807" i="68"/>
  <c r="D806" i="68" s="1"/>
  <c r="F804" i="68"/>
  <c r="F803" i="68"/>
  <c r="F802" i="68"/>
  <c r="F801" i="68"/>
  <c r="E800" i="68"/>
  <c r="E799" i="68" s="1"/>
  <c r="D800" i="68"/>
  <c r="D799" i="68" s="1"/>
  <c r="F797" i="68"/>
  <c r="F796" i="68"/>
  <c r="E795" i="68"/>
  <c r="D795" i="68"/>
  <c r="F793" i="68"/>
  <c r="E792" i="68"/>
  <c r="D792" i="68"/>
  <c r="F789" i="68"/>
  <c r="F788" i="68"/>
  <c r="F787" i="68"/>
  <c r="E786" i="68"/>
  <c r="D786" i="68"/>
  <c r="F784" i="68"/>
  <c r="F783" i="68"/>
  <c r="F782" i="68"/>
  <c r="E781" i="68"/>
  <c r="D781" i="68"/>
  <c r="F779" i="68"/>
  <c r="F778" i="68"/>
  <c r="F777" i="68"/>
  <c r="E776" i="68"/>
  <c r="D776" i="68"/>
  <c r="F774" i="68"/>
  <c r="E773" i="68"/>
  <c r="D773" i="68"/>
  <c r="F770" i="68"/>
  <c r="F769" i="68"/>
  <c r="E768" i="68"/>
  <c r="D768" i="68"/>
  <c r="D767" i="68" s="1"/>
  <c r="F765" i="68"/>
  <c r="E764" i="68"/>
  <c r="E763" i="68" s="1"/>
  <c r="D764" i="68"/>
  <c r="D763" i="68" s="1"/>
  <c r="F761" i="68"/>
  <c r="E760" i="68"/>
  <c r="D760" i="68"/>
  <c r="D759" i="68" s="1"/>
  <c r="F757" i="68"/>
  <c r="E756" i="68"/>
  <c r="E755" i="68" s="1"/>
  <c r="D756" i="68"/>
  <c r="F753" i="68"/>
  <c r="F752" i="68"/>
  <c r="E751" i="68"/>
  <c r="D751" i="68"/>
  <c r="F749" i="68"/>
  <c r="E748" i="68"/>
  <c r="D748" i="68"/>
  <c r="D747" i="68" s="1"/>
  <c r="F745" i="68"/>
  <c r="F744" i="68"/>
  <c r="E743" i="68"/>
  <c r="D743" i="68"/>
  <c r="F741" i="68"/>
  <c r="F740" i="68"/>
  <c r="E739" i="68"/>
  <c r="D739" i="68"/>
  <c r="F737" i="68"/>
  <c r="E736" i="68"/>
  <c r="D736" i="68"/>
  <c r="D735" i="68"/>
  <c r="F733" i="68"/>
  <c r="E732" i="68"/>
  <c r="F732" i="68" s="1"/>
  <c r="D732" i="68"/>
  <c r="D731" i="68" s="1"/>
  <c r="F729" i="68"/>
  <c r="E728" i="68"/>
  <c r="D728" i="68"/>
  <c r="D727" i="68" s="1"/>
  <c r="F725" i="68"/>
  <c r="E724" i="68"/>
  <c r="D724" i="68"/>
  <c r="F722" i="68"/>
  <c r="G720" i="68"/>
  <c r="G701" i="68" s="1"/>
  <c r="E720" i="68"/>
  <c r="D720" i="68"/>
  <c r="F718" i="68"/>
  <c r="E717" i="68"/>
  <c r="D717" i="68"/>
  <c r="F715" i="68"/>
  <c r="E714" i="68"/>
  <c r="D714" i="68"/>
  <c r="D711" i="68"/>
  <c r="D708" i="68"/>
  <c r="F706" i="68"/>
  <c r="E705" i="68"/>
  <c r="D705" i="68"/>
  <c r="D702" i="68"/>
  <c r="F699" i="68"/>
  <c r="E698" i="68"/>
  <c r="D698" i="68"/>
  <c r="F696" i="68"/>
  <c r="E695" i="68"/>
  <c r="D695" i="68"/>
  <c r="F693" i="68"/>
  <c r="F692" i="68"/>
  <c r="E691" i="68"/>
  <c r="D691" i="68"/>
  <c r="F689" i="68"/>
  <c r="E688" i="68"/>
  <c r="D688" i="68"/>
  <c r="F686" i="68"/>
  <c r="E685" i="68"/>
  <c r="D685" i="68"/>
  <c r="F683" i="68"/>
  <c r="E682" i="68"/>
  <c r="D682" i="68"/>
  <c r="F680" i="68"/>
  <c r="E679" i="68"/>
  <c r="D679" i="68"/>
  <c r="F677" i="68"/>
  <c r="E676" i="68"/>
  <c r="D676" i="68"/>
  <c r="D672" i="68"/>
  <c r="D668" i="68"/>
  <c r="D664" i="68"/>
  <c r="F662" i="68"/>
  <c r="E661" i="68"/>
  <c r="D661" i="68"/>
  <c r="D658" i="68"/>
  <c r="F656" i="68"/>
  <c r="E655" i="68"/>
  <c r="D655" i="68"/>
  <c r="D652" i="68"/>
  <c r="G651" i="68"/>
  <c r="F649" i="68"/>
  <c r="E648" i="68"/>
  <c r="D648" i="68"/>
  <c r="F646" i="68"/>
  <c r="E645" i="68"/>
  <c r="D645" i="68"/>
  <c r="F643" i="68"/>
  <c r="E642" i="68"/>
  <c r="D642" i="68"/>
  <c r="F640" i="68"/>
  <c r="E639" i="68"/>
  <c r="D639" i="68"/>
  <c r="F637" i="68"/>
  <c r="E636" i="68"/>
  <c r="D636" i="68"/>
  <c r="F634" i="68"/>
  <c r="E633" i="68"/>
  <c r="D633" i="68"/>
  <c r="F631" i="68"/>
  <c r="E630" i="68"/>
  <c r="D630" i="68"/>
  <c r="F628" i="68"/>
  <c r="F627" i="68"/>
  <c r="F624" i="68"/>
  <c r="E623" i="68"/>
  <c r="D623" i="68"/>
  <c r="F621" i="68"/>
  <c r="E620" i="68"/>
  <c r="D620" i="68"/>
  <c r="F618" i="68"/>
  <c r="E617" i="68"/>
  <c r="D617" i="68"/>
  <c r="F615" i="68"/>
  <c r="E614" i="68"/>
  <c r="D614" i="68"/>
  <c r="F612" i="68"/>
  <c r="E611" i="68"/>
  <c r="D611" i="68"/>
  <c r="F609" i="68"/>
  <c r="E608" i="68"/>
  <c r="D608" i="68"/>
  <c r="F606" i="68"/>
  <c r="E605" i="68"/>
  <c r="D605" i="68"/>
  <c r="F603" i="68"/>
  <c r="E602" i="68"/>
  <c r="D602" i="68"/>
  <c r="F599" i="68"/>
  <c r="E598" i="68"/>
  <c r="D598" i="68"/>
  <c r="F596" i="68"/>
  <c r="F595" i="68"/>
  <c r="E594" i="68"/>
  <c r="D594" i="68"/>
  <c r="F592" i="68"/>
  <c r="E591" i="68"/>
  <c r="D591" i="68"/>
  <c r="F589" i="68"/>
  <c r="E588" i="68"/>
  <c r="D588" i="68"/>
  <c r="F586" i="68"/>
  <c r="E585" i="68"/>
  <c r="D585" i="68"/>
  <c r="F582" i="68"/>
  <c r="E581" i="68"/>
  <c r="D581" i="68"/>
  <c r="F579" i="68"/>
  <c r="E578" i="68"/>
  <c r="D578" i="68"/>
  <c r="F576" i="68"/>
  <c r="E575" i="68"/>
  <c r="D575" i="68"/>
  <c r="F573" i="68"/>
  <c r="E572" i="68"/>
  <c r="D572" i="68"/>
  <c r="F570" i="68"/>
  <c r="E569" i="68"/>
  <c r="D569" i="68"/>
  <c r="F567" i="68"/>
  <c r="E566" i="68"/>
  <c r="D566" i="68"/>
  <c r="F564" i="68"/>
  <c r="E563" i="68"/>
  <c r="D563" i="68"/>
  <c r="F561" i="68"/>
  <c r="E560" i="68"/>
  <c r="D560" i="68"/>
  <c r="F557" i="68"/>
  <c r="F556" i="68"/>
  <c r="E555" i="68"/>
  <c r="D555" i="68"/>
  <c r="F553" i="68"/>
  <c r="F552" i="68"/>
  <c r="E551" i="68"/>
  <c r="D551" i="68"/>
  <c r="F549" i="68"/>
  <c r="E548" i="68"/>
  <c r="D548" i="68"/>
  <c r="F546" i="68"/>
  <c r="E545" i="68"/>
  <c r="D545" i="68"/>
  <c r="F543" i="68"/>
  <c r="E542" i="68"/>
  <c r="D542" i="68"/>
  <c r="F540" i="68"/>
  <c r="E539" i="68"/>
  <c r="D539" i="68"/>
  <c r="F536" i="68"/>
  <c r="E535" i="68"/>
  <c r="D535" i="68"/>
  <c r="F533" i="68"/>
  <c r="E532" i="68"/>
  <c r="D532" i="68"/>
  <c r="F530" i="68"/>
  <c r="E529" i="68"/>
  <c r="D529" i="68"/>
  <c r="F527" i="68"/>
  <c r="E526" i="68"/>
  <c r="D526" i="68"/>
  <c r="D523" i="68"/>
  <c r="F521" i="68"/>
  <c r="E520" i="68"/>
  <c r="D520" i="68"/>
  <c r="F518" i="68"/>
  <c r="E517" i="68"/>
  <c r="D517" i="68"/>
  <c r="D514" i="68"/>
  <c r="G513" i="68"/>
  <c r="F511" i="68"/>
  <c r="E510" i="68"/>
  <c r="D510" i="68"/>
  <c r="D509" i="68" s="1"/>
  <c r="F507" i="68"/>
  <c r="F505" i="68"/>
  <c r="F504" i="68"/>
  <c r="F503" i="68"/>
  <c r="G502" i="68"/>
  <c r="G501" i="68" s="1"/>
  <c r="E502" i="68"/>
  <c r="E501" i="68" s="1"/>
  <c r="D502" i="68"/>
  <c r="F499" i="68"/>
  <c r="E498" i="68"/>
  <c r="E497" i="68" s="1"/>
  <c r="D498" i="68"/>
  <c r="F495" i="68"/>
  <c r="F494" i="68"/>
  <c r="E493" i="68"/>
  <c r="D493" i="68"/>
  <c r="F491" i="68"/>
  <c r="E490" i="68"/>
  <c r="D490" i="68"/>
  <c r="F488" i="68"/>
  <c r="F487" i="68"/>
  <c r="F486" i="68"/>
  <c r="F485" i="68"/>
  <c r="F484" i="68"/>
  <c r="F483" i="68"/>
  <c r="E482" i="68"/>
  <c r="D482" i="68"/>
  <c r="F479" i="68"/>
  <c r="E478" i="68"/>
  <c r="D478" i="68"/>
  <c r="F476" i="68"/>
  <c r="E475" i="68"/>
  <c r="D475" i="68"/>
  <c r="F473" i="68"/>
  <c r="E472" i="68"/>
  <c r="D472" i="68"/>
  <c r="F470" i="68"/>
  <c r="F469" i="68"/>
  <c r="E468" i="68"/>
  <c r="D468" i="68"/>
  <c r="F466" i="68"/>
  <c r="E465" i="68"/>
  <c r="D465" i="68"/>
  <c r="F463" i="68"/>
  <c r="E462" i="68"/>
  <c r="D462" i="68"/>
  <c r="F460" i="68"/>
  <c r="E459" i="68"/>
  <c r="D459" i="68"/>
  <c r="F457" i="68"/>
  <c r="F456" i="68"/>
  <c r="E455" i="68"/>
  <c r="D455" i="68"/>
  <c r="F453" i="68"/>
  <c r="E452" i="68"/>
  <c r="D452" i="68"/>
  <c r="F449" i="68"/>
  <c r="E448" i="68"/>
  <c r="D448" i="68"/>
  <c r="D447" i="68" s="1"/>
  <c r="F445" i="68"/>
  <c r="E444" i="68"/>
  <c r="D444" i="68"/>
  <c r="D443" i="68" s="1"/>
  <c r="F441" i="68"/>
  <c r="F440" i="68"/>
  <c r="E439" i="68"/>
  <c r="D439" i="68"/>
  <c r="F437" i="68"/>
  <c r="F436" i="68"/>
  <c r="F435" i="68"/>
  <c r="E434" i="68"/>
  <c r="D434" i="68"/>
  <c r="F432" i="68"/>
  <c r="E431" i="68"/>
  <c r="D431" i="68"/>
  <c r="F429" i="68"/>
  <c r="F428" i="68"/>
  <c r="E427" i="68"/>
  <c r="D427" i="68"/>
  <c r="F425" i="68"/>
  <c r="F424" i="68"/>
  <c r="E423" i="68"/>
  <c r="D423" i="68"/>
  <c r="F421" i="68"/>
  <c r="F420" i="68"/>
  <c r="E419" i="68"/>
  <c r="D419" i="68"/>
  <c r="F417" i="68"/>
  <c r="F416" i="68"/>
  <c r="E415" i="68"/>
  <c r="D415" i="68"/>
  <c r="F413" i="68"/>
  <c r="E412" i="68"/>
  <c r="D412" i="68"/>
  <c r="F409" i="68"/>
  <c r="E408" i="68"/>
  <c r="D408" i="68"/>
  <c r="F406" i="68"/>
  <c r="E405" i="68"/>
  <c r="D405" i="68"/>
  <c r="F402" i="68"/>
  <c r="E401" i="68"/>
  <c r="D401" i="68"/>
  <c r="F399" i="68"/>
  <c r="E398" i="68"/>
  <c r="D398" i="68"/>
  <c r="F395" i="68"/>
  <c r="E394" i="68"/>
  <c r="D394" i="68"/>
  <c r="D393" i="68" s="1"/>
  <c r="F391" i="68"/>
  <c r="F390" i="68"/>
  <c r="F388" i="68"/>
  <c r="G387" i="68"/>
  <c r="G371" i="68" s="1"/>
  <c r="E387" i="68"/>
  <c r="D387" i="68"/>
  <c r="F385" i="68"/>
  <c r="F384" i="68"/>
  <c r="F383" i="68"/>
  <c r="F382" i="68"/>
  <c r="E381" i="68"/>
  <c r="D381" i="68"/>
  <c r="F379" i="68"/>
  <c r="E378" i="68"/>
  <c r="D378" i="68"/>
  <c r="F376" i="68"/>
  <c r="E375" i="68"/>
  <c r="D375" i="68"/>
  <c r="F373" i="68"/>
  <c r="E372" i="68"/>
  <c r="D372" i="68"/>
  <c r="F369" i="68"/>
  <c r="F368" i="68"/>
  <c r="E367" i="68"/>
  <c r="D367" i="68"/>
  <c r="D366" i="68" s="1"/>
  <c r="F364" i="68"/>
  <c r="E363" i="68"/>
  <c r="D363" i="68"/>
  <c r="F361" i="68"/>
  <c r="E360" i="68"/>
  <c r="D360" i="68"/>
  <c r="F358" i="68"/>
  <c r="E357" i="68"/>
  <c r="D357" i="68"/>
  <c r="F354" i="68"/>
  <c r="E353" i="68"/>
  <c r="D353" i="68"/>
  <c r="F351" i="68"/>
  <c r="F350" i="68"/>
  <c r="E349" i="68"/>
  <c r="D349" i="68"/>
  <c r="F347" i="68"/>
  <c r="E346" i="68"/>
  <c r="D346" i="68"/>
  <c r="F343" i="68"/>
  <c r="E342" i="68"/>
  <c r="D342" i="68"/>
  <c r="F340" i="68"/>
  <c r="E339" i="68"/>
  <c r="D339" i="68"/>
  <c r="F336" i="68"/>
  <c r="F335" i="68"/>
  <c r="F334" i="68"/>
  <c r="E333" i="68"/>
  <c r="D333" i="68"/>
  <c r="F331" i="68"/>
  <c r="E330" i="68"/>
  <c r="D330" i="68"/>
  <c r="F328" i="68"/>
  <c r="F327" i="68"/>
  <c r="F326" i="68"/>
  <c r="E325" i="68"/>
  <c r="D325" i="68"/>
  <c r="F323" i="68"/>
  <c r="F322" i="68"/>
  <c r="F321" i="68"/>
  <c r="I320" i="68"/>
  <c r="E320" i="68"/>
  <c r="D320" i="68"/>
  <c r="F318" i="68"/>
  <c r="F317" i="68"/>
  <c r="G316" i="68"/>
  <c r="G300" i="68" s="1"/>
  <c r="E316" i="68"/>
  <c r="D316" i="68"/>
  <c r="F314" i="68"/>
  <c r="F313" i="68"/>
  <c r="F312" i="68"/>
  <c r="F311" i="68"/>
  <c r="F310" i="68"/>
  <c r="F309" i="68"/>
  <c r="F308" i="68"/>
  <c r="E307" i="68"/>
  <c r="D307" i="68"/>
  <c r="F305" i="68"/>
  <c r="E304" i="68"/>
  <c r="D304" i="68"/>
  <c r="F302" i="68"/>
  <c r="E301" i="68"/>
  <c r="D301" i="68"/>
  <c r="F298" i="68"/>
  <c r="E297" i="68"/>
  <c r="D297" i="68"/>
  <c r="F295" i="68"/>
  <c r="F294" i="68"/>
  <c r="F293" i="68"/>
  <c r="E292" i="68"/>
  <c r="D292" i="68"/>
  <c r="F290" i="68"/>
  <c r="F289" i="68"/>
  <c r="F288" i="68"/>
  <c r="F287" i="68"/>
  <c r="F286" i="68"/>
  <c r="F285" i="68"/>
  <c r="F284" i="68"/>
  <c r="E283" i="68"/>
  <c r="D283" i="68"/>
  <c r="F281" i="68"/>
  <c r="F280" i="68"/>
  <c r="F279" i="68"/>
  <c r="F278" i="68"/>
  <c r="E277" i="68"/>
  <c r="D277" i="68"/>
  <c r="F275" i="68"/>
  <c r="F274" i="68"/>
  <c r="F273" i="68"/>
  <c r="F272" i="68"/>
  <c r="F271" i="68"/>
  <c r="I270" i="68"/>
  <c r="E270" i="68"/>
  <c r="D270" i="68"/>
  <c r="F268" i="68"/>
  <c r="F267" i="68"/>
  <c r="F266" i="68"/>
  <c r="F265" i="68"/>
  <c r="F264" i="68"/>
  <c r="F263" i="68"/>
  <c r="F262" i="68"/>
  <c r="F261" i="68"/>
  <c r="F260" i="68"/>
  <c r="F259" i="68"/>
  <c r="F258" i="68"/>
  <c r="F257" i="68"/>
  <c r="E256" i="68"/>
  <c r="D256" i="68"/>
  <c r="F254" i="68"/>
  <c r="F253" i="68"/>
  <c r="F252" i="68"/>
  <c r="F251" i="68"/>
  <c r="E250" i="68"/>
  <c r="D250" i="68"/>
  <c r="F245" i="68"/>
  <c r="E244" i="68"/>
  <c r="D244" i="68"/>
  <c r="F242" i="68"/>
  <c r="E241" i="68"/>
  <c r="D241" i="68"/>
  <c r="G240" i="68"/>
  <c r="F238" i="68"/>
  <c r="E237" i="68"/>
  <c r="D237" i="68"/>
  <c r="F235" i="68"/>
  <c r="F234" i="68"/>
  <c r="F233" i="68"/>
  <c r="G231" i="68"/>
  <c r="E232" i="68"/>
  <c r="E231" i="68" s="1"/>
  <c r="D232" i="68"/>
  <c r="F229" i="68"/>
  <c r="F228" i="68"/>
  <c r="F227" i="68"/>
  <c r="F226" i="68"/>
  <c r="E225" i="68"/>
  <c r="D225" i="68"/>
  <c r="D224" i="68" s="1"/>
  <c r="F222" i="68"/>
  <c r="E221" i="68"/>
  <c r="D221" i="68"/>
  <c r="F219" i="68"/>
  <c r="E218" i="68"/>
  <c r="D218" i="68"/>
  <c r="F215" i="68"/>
  <c r="F214" i="68"/>
  <c r="E212" i="68"/>
  <c r="D212" i="68"/>
  <c r="F210" i="68"/>
  <c r="E209" i="68"/>
  <c r="D209" i="68"/>
  <c r="F206" i="68"/>
  <c r="F205" i="68"/>
  <c r="F204" i="68"/>
  <c r="F203" i="68"/>
  <c r="F202" i="68"/>
  <c r="E201" i="68"/>
  <c r="E200" i="68" s="1"/>
  <c r="D201" i="68"/>
  <c r="F198" i="68"/>
  <c r="F197" i="68"/>
  <c r="E196" i="68"/>
  <c r="D196" i="68"/>
  <c r="F194" i="68"/>
  <c r="E193" i="68"/>
  <c r="D193" i="68"/>
  <c r="F190" i="68"/>
  <c r="F189" i="68"/>
  <c r="E188" i="68"/>
  <c r="D188" i="68"/>
  <c r="D187" i="68" s="1"/>
  <c r="F185" i="68"/>
  <c r="F184" i="68"/>
  <c r="F183" i="68"/>
  <c r="F182" i="68"/>
  <c r="F181" i="68"/>
  <c r="F180" i="68"/>
  <c r="F179" i="68"/>
  <c r="F178" i="68"/>
  <c r="F177" i="68"/>
  <c r="F176" i="68"/>
  <c r="F175" i="68"/>
  <c r="F174" i="68"/>
  <c r="F173" i="68"/>
  <c r="F172" i="68"/>
  <c r="F171" i="68"/>
  <c r="F170" i="68"/>
  <c r="F169" i="68"/>
  <c r="F168" i="68"/>
  <c r="F167" i="68"/>
  <c r="F166" i="68"/>
  <c r="F165" i="68"/>
  <c r="F164" i="68"/>
  <c r="F163" i="68"/>
  <c r="F162" i="68"/>
  <c r="F161" i="68"/>
  <c r="F160" i="68"/>
  <c r="E159" i="68"/>
  <c r="D159" i="68"/>
  <c r="F157" i="68"/>
  <c r="E156" i="68"/>
  <c r="D156" i="68"/>
  <c r="F154" i="68"/>
  <c r="F153" i="68"/>
  <c r="F152" i="68"/>
  <c r="F151" i="68"/>
  <c r="E150" i="68"/>
  <c r="D150" i="68"/>
  <c r="F148" i="68"/>
  <c r="E147" i="68"/>
  <c r="D147" i="68"/>
  <c r="F144" i="68"/>
  <c r="E143" i="68"/>
  <c r="D143" i="68"/>
  <c r="F141" i="68"/>
  <c r="F140" i="68"/>
  <c r="F139" i="68"/>
  <c r="F138" i="68"/>
  <c r="F137" i="68"/>
  <c r="E136" i="68"/>
  <c r="D136" i="68"/>
  <c r="F134" i="68"/>
  <c r="F133" i="68"/>
  <c r="F132" i="68"/>
  <c r="E131" i="68"/>
  <c r="D131" i="68"/>
  <c r="D124" i="68"/>
  <c r="F124" i="68" s="1"/>
  <c r="E123" i="68"/>
  <c r="F121" i="68"/>
  <c r="E120" i="68"/>
  <c r="D120" i="68"/>
  <c r="F117" i="68"/>
  <c r="F116" i="68"/>
  <c r="G115" i="68"/>
  <c r="G111" i="68" s="1"/>
  <c r="E115" i="68"/>
  <c r="D115" i="68"/>
  <c r="F115" i="68" s="1"/>
  <c r="F113" i="68"/>
  <c r="E112" i="68"/>
  <c r="D112" i="68"/>
  <c r="F109" i="68"/>
  <c r="E108" i="68"/>
  <c r="D108" i="68"/>
  <c r="F106" i="68"/>
  <c r="E105" i="68"/>
  <c r="D105" i="68"/>
  <c r="F103" i="68"/>
  <c r="D102" i="68"/>
  <c r="G101" i="68"/>
  <c r="F99" i="68"/>
  <c r="E98" i="68"/>
  <c r="D98" i="68"/>
  <c r="F96" i="68"/>
  <c r="E95" i="68"/>
  <c r="D95" i="68"/>
  <c r="F93" i="68"/>
  <c r="E92" i="68"/>
  <c r="D92" i="68"/>
  <c r="F89" i="68"/>
  <c r="F88" i="68"/>
  <c r="E87" i="68"/>
  <c r="D87" i="68"/>
  <c r="F85" i="68"/>
  <c r="E84" i="68"/>
  <c r="D84" i="68"/>
  <c r="F81" i="68"/>
  <c r="E80" i="68"/>
  <c r="D80" i="68"/>
  <c r="F78" i="68"/>
  <c r="E77" i="68"/>
  <c r="D77" i="68"/>
  <c r="F75" i="68"/>
  <c r="E74" i="68"/>
  <c r="D74" i="68"/>
  <c r="D73" i="68" s="1"/>
  <c r="F71" i="68"/>
  <c r="E70" i="68"/>
  <c r="E69" i="68" s="1"/>
  <c r="D70" i="68"/>
  <c r="D69" i="68" s="1"/>
  <c r="F69" i="68" s="1"/>
  <c r="F67" i="68"/>
  <c r="F66" i="68"/>
  <c r="E65" i="68"/>
  <c r="D65" i="68"/>
  <c r="D64" i="68" s="1"/>
  <c r="F62" i="68"/>
  <c r="E61" i="68"/>
  <c r="D61" i="68"/>
  <c r="F59" i="68"/>
  <c r="E58" i="68"/>
  <c r="D58" i="68"/>
  <c r="G57" i="68"/>
  <c r="F55" i="68"/>
  <c r="E54" i="68"/>
  <c r="D54" i="68"/>
  <c r="F52" i="68"/>
  <c r="E51" i="68"/>
  <c r="D51" i="68"/>
  <c r="F49" i="68"/>
  <c r="E48" i="68"/>
  <c r="D48" i="68"/>
  <c r="F45" i="68"/>
  <c r="E44" i="68"/>
  <c r="D44" i="68"/>
  <c r="F42" i="68"/>
  <c r="F41" i="68"/>
  <c r="G40" i="68"/>
  <c r="E40" i="68"/>
  <c r="D40" i="68"/>
  <c r="G39" i="68"/>
  <c r="F37" i="68"/>
  <c r="F36" i="68"/>
  <c r="F35" i="68"/>
  <c r="F34" i="68"/>
  <c r="F33" i="68"/>
  <c r="F32" i="68"/>
  <c r="G31" i="68"/>
  <c r="E31" i="68"/>
  <c r="D31" i="68"/>
  <c r="F29" i="68"/>
  <c r="F28" i="68"/>
  <c r="F27" i="68"/>
  <c r="G26" i="68"/>
  <c r="E26" i="68"/>
  <c r="D26" i="68"/>
  <c r="F24" i="68"/>
  <c r="F23" i="68"/>
  <c r="G22" i="68"/>
  <c r="E22" i="68"/>
  <c r="D22" i="68"/>
  <c r="F20" i="68"/>
  <c r="F19" i="68"/>
  <c r="F18" i="68"/>
  <c r="F17" i="68"/>
  <c r="F16" i="68"/>
  <c r="F15" i="68"/>
  <c r="E14" i="68"/>
  <c r="D14" i="68"/>
  <c r="F2520" i="68" l="1"/>
  <c r="F2562" i="68"/>
  <c r="F2975" i="68"/>
  <c r="F3000" i="68"/>
  <c r="F3008" i="68"/>
  <c r="F3808" i="68"/>
  <c r="F3828" i="68"/>
  <c r="F3989" i="68"/>
  <c r="F825" i="68"/>
  <c r="D3360" i="68"/>
  <c r="G3101" i="68"/>
  <c r="F3389" i="68"/>
  <c r="F474" i="70"/>
  <c r="F477" i="70"/>
  <c r="G453" i="70"/>
  <c r="F265" i="67"/>
  <c r="F1524" i="68"/>
  <c r="F1544" i="68"/>
  <c r="F773" i="68"/>
  <c r="F781" i="68"/>
  <c r="F799" i="68"/>
  <c r="F131" i="68"/>
  <c r="F196" i="68"/>
  <c r="F330" i="68"/>
  <c r="F401" i="68"/>
  <c r="F423" i="68"/>
  <c r="F431" i="68"/>
  <c r="F551" i="68"/>
  <c r="F751" i="68"/>
  <c r="F859" i="68"/>
  <c r="F973" i="68"/>
  <c r="F1020" i="68"/>
  <c r="F1118" i="68"/>
  <c r="F1166" i="68"/>
  <c r="F1212" i="68"/>
  <c r="E1268" i="68"/>
  <c r="F1268" i="68" s="1"/>
  <c r="D1378" i="68"/>
  <c r="F1461" i="68"/>
  <c r="D1615" i="68"/>
  <c r="E1615" i="68"/>
  <c r="F2152" i="68"/>
  <c r="F2311" i="68"/>
  <c r="F2314" i="68"/>
  <c r="F2929" i="68"/>
  <c r="F3064" i="68"/>
  <c r="E3349" i="68"/>
  <c r="F3353" i="68"/>
  <c r="F3492" i="68"/>
  <c r="E3514" i="68"/>
  <c r="F3751" i="68"/>
  <c r="F4108" i="68"/>
  <c r="F4125" i="68"/>
  <c r="F4151" i="68"/>
  <c r="G2588" i="68"/>
  <c r="F806" i="68"/>
  <c r="F1122" i="68"/>
  <c r="F3284" i="68"/>
  <c r="F3304" i="68"/>
  <c r="F3404" i="68"/>
  <c r="F3468" i="68"/>
  <c r="G146" i="68"/>
  <c r="G2612" i="68"/>
  <c r="F150" i="68"/>
  <c r="F1219" i="68"/>
  <c r="F1235" i="68"/>
  <c r="F1396" i="68"/>
  <c r="F1831" i="68"/>
  <c r="F2241" i="68"/>
  <c r="F2245" i="68"/>
  <c r="F3038" i="68"/>
  <c r="F3744" i="68"/>
  <c r="G2679" i="68"/>
  <c r="F77" i="68"/>
  <c r="F482" i="68"/>
  <c r="F490" i="68"/>
  <c r="F1126" i="68"/>
  <c r="F1193" i="68"/>
  <c r="G1268" i="68"/>
  <c r="F1576" i="68"/>
  <c r="F1616" i="68"/>
  <c r="F1992" i="68"/>
  <c r="F2014" i="68"/>
  <c r="F2031" i="68"/>
  <c r="F2070" i="68"/>
  <c r="D2383" i="68"/>
  <c r="D2650" i="68"/>
  <c r="F2650" i="68" s="1"/>
  <c r="F2845" i="68"/>
  <c r="F2869" i="68"/>
  <c r="F3219" i="68"/>
  <c r="F3243" i="68"/>
  <c r="F3315" i="68"/>
  <c r="D3544" i="68"/>
  <c r="F3672" i="68"/>
  <c r="F3726" i="68"/>
  <c r="F4164" i="68"/>
  <c r="G130" i="68"/>
  <c r="F792" i="68"/>
  <c r="F822" i="68"/>
  <c r="F1222" i="68"/>
  <c r="F1243" i="68"/>
  <c r="F1248" i="68"/>
  <c r="F1318" i="68"/>
  <c r="F1360" i="68"/>
  <c r="F1384" i="68"/>
  <c r="F1639" i="68"/>
  <c r="F1697" i="68"/>
  <c r="G1870" i="68"/>
  <c r="F2250" i="68"/>
  <c r="F2342" i="68"/>
  <c r="F2384" i="68"/>
  <c r="F2416" i="68"/>
  <c r="E2420" i="68"/>
  <c r="F2420" i="68" s="1"/>
  <c r="F2585" i="68"/>
  <c r="F3031" i="68"/>
  <c r="F3049" i="68"/>
  <c r="F3178" i="68"/>
  <c r="F3210" i="68"/>
  <c r="F3638" i="68"/>
  <c r="F3883" i="68"/>
  <c r="G3878" i="68"/>
  <c r="F3975" i="68"/>
  <c r="F4056" i="68"/>
  <c r="F4077" i="68"/>
  <c r="F307" i="68"/>
  <c r="F895" i="68"/>
  <c r="F966" i="68"/>
  <c r="F462" i="68"/>
  <c r="F478" i="68"/>
  <c r="F510" i="68"/>
  <c r="F44" i="68"/>
  <c r="F156" i="68"/>
  <c r="E411" i="68"/>
  <c r="F493" i="68"/>
  <c r="F912" i="68"/>
  <c r="F920" i="68"/>
  <c r="F1328" i="68"/>
  <c r="F1429" i="68"/>
  <c r="F1476" i="68"/>
  <c r="F1571" i="68"/>
  <c r="F1599" i="68"/>
  <c r="F1998" i="68"/>
  <c r="F2896" i="68"/>
  <c r="F3281" i="68"/>
  <c r="D453" i="70"/>
  <c r="G213" i="70"/>
  <c r="E453" i="70"/>
  <c r="F467" i="70"/>
  <c r="G2383" i="68"/>
  <c r="G2310" i="68"/>
  <c r="E213" i="70"/>
  <c r="G1280" i="68"/>
  <c r="G128" i="68"/>
  <c r="F591" i="68"/>
  <c r="F608" i="68"/>
  <c r="D1104" i="68"/>
  <c r="F1252" i="68"/>
  <c r="F1795" i="68"/>
  <c r="F1944" i="68"/>
  <c r="D1956" i="68"/>
  <c r="F2010" i="68"/>
  <c r="F2027" i="68"/>
  <c r="F2036" i="68"/>
  <c r="F2083" i="68"/>
  <c r="F2253" i="68"/>
  <c r="F2269" i="68"/>
  <c r="F2353" i="68"/>
  <c r="F2706" i="68"/>
  <c r="F2918" i="68"/>
  <c r="D2928" i="68"/>
  <c r="F2972" i="68"/>
  <c r="F3201" i="68"/>
  <c r="F3267" i="68"/>
  <c r="D3277" i="68"/>
  <c r="F3338" i="68"/>
  <c r="F3346" i="68"/>
  <c r="D3403" i="68"/>
  <c r="F3403" i="68" s="1"/>
  <c r="F3464" i="68"/>
  <c r="F3641" i="68"/>
  <c r="F3791" i="68"/>
  <c r="D404" i="68"/>
  <c r="F542" i="68"/>
  <c r="F575" i="68"/>
  <c r="F617" i="68"/>
  <c r="F763" i="68"/>
  <c r="F988" i="68"/>
  <c r="F1079" i="68"/>
  <c r="F1115" i="68"/>
  <c r="D1131" i="68"/>
  <c r="E1247" i="68"/>
  <c r="F1247" i="68" s="1"/>
  <c r="F1500" i="68"/>
  <c r="F1633" i="68"/>
  <c r="F1649" i="68"/>
  <c r="F1712" i="68"/>
  <c r="F1750" i="68"/>
  <c r="F1882" i="68"/>
  <c r="F2289" i="68"/>
  <c r="F2372" i="68"/>
  <c r="D2420" i="68"/>
  <c r="F2534" i="68"/>
  <c r="F2831" i="68"/>
  <c r="E2946" i="68"/>
  <c r="F3023" i="68"/>
  <c r="E3057" i="68"/>
  <c r="F3228" i="68"/>
  <c r="F3416" i="68"/>
  <c r="F3862" i="68"/>
  <c r="F3879" i="68"/>
  <c r="F3894" i="68"/>
  <c r="F3959" i="68"/>
  <c r="F1032" i="68"/>
  <c r="F1451" i="68"/>
  <c r="D1499" i="68"/>
  <c r="G1743" i="68"/>
  <c r="F22" i="68"/>
  <c r="F1215" i="68"/>
  <c r="E1280" i="68"/>
  <c r="F1563" i="68"/>
  <c r="F2185" i="68"/>
  <c r="F2397" i="68"/>
  <c r="E2928" i="68"/>
  <c r="D3026" i="68"/>
  <c r="F3067" i="68"/>
  <c r="F3145" i="68"/>
  <c r="F3181" i="68"/>
  <c r="F3897" i="68"/>
  <c r="F3952" i="68"/>
  <c r="F4096" i="68"/>
  <c r="F4129" i="68"/>
  <c r="E47" i="68"/>
  <c r="E3767" i="68"/>
  <c r="F676" i="68"/>
  <c r="F849" i="68"/>
  <c r="E1008" i="68"/>
  <c r="F1541" i="68"/>
  <c r="F2202" i="68"/>
  <c r="F2647" i="68"/>
  <c r="F2962" i="68"/>
  <c r="F3011" i="68"/>
  <c r="F3088" i="68"/>
  <c r="F3250" i="68"/>
  <c r="F3427" i="68"/>
  <c r="F3452" i="68"/>
  <c r="F3461" i="68"/>
  <c r="F3511" i="68"/>
  <c r="F3557" i="68"/>
  <c r="F3611" i="68"/>
  <c r="F3632" i="68"/>
  <c r="F3660" i="68"/>
  <c r="F3921" i="68"/>
  <c r="F4024" i="68"/>
  <c r="F4050" i="68"/>
  <c r="F4114" i="68"/>
  <c r="F40" i="68"/>
  <c r="F241" i="68"/>
  <c r="F949" i="68"/>
  <c r="F985" i="68"/>
  <c r="F1094" i="68"/>
  <c r="F1612" i="68"/>
  <c r="F2429" i="68"/>
  <c r="E2428" i="68"/>
  <c r="E13" i="68"/>
  <c r="E64" i="68"/>
  <c r="F65" i="68"/>
  <c r="F452" i="68"/>
  <c r="F795" i="68"/>
  <c r="E1231" i="68"/>
  <c r="F1724" i="68"/>
  <c r="F3042" i="68"/>
  <c r="G3815" i="68"/>
  <c r="F3910" i="68"/>
  <c r="F434" i="68"/>
  <c r="D959" i="68"/>
  <c r="F1152" i="68"/>
  <c r="F1185" i="68"/>
  <c r="E1218" i="68"/>
  <c r="F1218" i="68" s="1"/>
  <c r="D1670" i="68"/>
  <c r="F1725" i="68"/>
  <c r="F1767" i="68"/>
  <c r="F2968" i="68"/>
  <c r="F3018" i="68"/>
  <c r="F1667" i="68"/>
  <c r="E1666" i="68"/>
  <c r="F1666" i="68" s="1"/>
  <c r="D208" i="68"/>
  <c r="D338" i="68"/>
  <c r="F1510" i="68"/>
  <c r="D3034" i="68"/>
  <c r="F3941" i="68"/>
  <c r="F960" i="68"/>
  <c r="E959" i="68"/>
  <c r="F1069" i="68"/>
  <c r="F1087" i="68"/>
  <c r="F1615" i="68"/>
  <c r="D1870" i="68"/>
  <c r="F2260" i="68"/>
  <c r="D481" i="68"/>
  <c r="D791" i="68"/>
  <c r="F791" i="68" s="1"/>
  <c r="F1310" i="68"/>
  <c r="G1523" i="68"/>
  <c r="G1521" i="68" s="1"/>
  <c r="F1622" i="68"/>
  <c r="F1701" i="68"/>
  <c r="F3604" i="68"/>
  <c r="D4139" i="68"/>
  <c r="F31" i="68"/>
  <c r="F545" i="68"/>
  <c r="F620" i="68"/>
  <c r="D626" i="68"/>
  <c r="F655" i="68"/>
  <c r="F698" i="68"/>
  <c r="F2020" i="68"/>
  <c r="D3368" i="68"/>
  <c r="F3392" i="68"/>
  <c r="D4030" i="68"/>
  <c r="F4043" i="68"/>
  <c r="F4120" i="68"/>
  <c r="F4143" i="68"/>
  <c r="F48" i="68"/>
  <c r="F64" i="68"/>
  <c r="F80" i="68"/>
  <c r="F520" i="68"/>
  <c r="F529" i="68"/>
  <c r="F563" i="68"/>
  <c r="F588" i="68"/>
  <c r="F605" i="68"/>
  <c r="F614" i="68"/>
  <c r="F944" i="68"/>
  <c r="D979" i="68"/>
  <c r="F1012" i="68"/>
  <c r="F1038" i="68"/>
  <c r="F1045" i="68"/>
  <c r="D1114" i="68"/>
  <c r="F1145" i="68"/>
  <c r="F1170" i="68"/>
  <c r="F1204" i="68"/>
  <c r="F1226" i="68"/>
  <c r="F1296" i="68"/>
  <c r="F1389" i="68"/>
  <c r="F1415" i="68"/>
  <c r="F1423" i="68"/>
  <c r="F1465" i="68"/>
  <c r="F1473" i="68"/>
  <c r="D1523" i="68"/>
  <c r="F1630" i="68"/>
  <c r="F1677" i="68"/>
  <c r="F1709" i="68"/>
  <c r="F1776" i="68"/>
  <c r="F1807" i="68"/>
  <c r="F1876" i="68"/>
  <c r="F1892" i="68"/>
  <c r="F1964" i="68"/>
  <c r="D2013" i="68"/>
  <c r="D2030" i="68"/>
  <c r="F2045" i="68"/>
  <c r="F2054" i="68"/>
  <c r="F2077" i="68"/>
  <c r="G2134" i="68"/>
  <c r="F2229" i="68"/>
  <c r="F2286" i="68"/>
  <c r="F2407" i="68"/>
  <c r="F2424" i="68"/>
  <c r="E2612" i="68"/>
  <c r="F2692" i="68"/>
  <c r="F2912" i="68"/>
  <c r="F2950" i="68"/>
  <c r="F2986" i="68"/>
  <c r="F3093" i="68"/>
  <c r="D3168" i="68"/>
  <c r="F3357" i="68"/>
  <c r="F3471" i="68"/>
  <c r="F3505" i="68"/>
  <c r="F3515" i="68"/>
  <c r="D3597" i="68"/>
  <c r="F3705" i="68"/>
  <c r="F3788" i="68"/>
  <c r="F3865" i="68"/>
  <c r="F3993" i="68"/>
  <c r="F4009" i="68"/>
  <c r="F4036" i="68"/>
  <c r="F4082" i="68"/>
  <c r="F4136" i="68"/>
  <c r="E4160" i="68"/>
  <c r="D2900" i="68"/>
  <c r="D3457" i="68"/>
  <c r="D3631" i="68"/>
  <c r="G3659" i="68"/>
  <c r="F3779" i="68"/>
  <c r="E3878" i="68"/>
  <c r="F74" i="68"/>
  <c r="F92" i="68"/>
  <c r="F221" i="68"/>
  <c r="F237" i="68"/>
  <c r="F244" i="68"/>
  <c r="F325" i="68"/>
  <c r="F455" i="68"/>
  <c r="F548" i="68"/>
  <c r="F581" i="68"/>
  <c r="F598" i="68"/>
  <c r="F623" i="68"/>
  <c r="F648" i="68"/>
  <c r="D701" i="68"/>
  <c r="F963" i="68"/>
  <c r="F1005" i="68"/>
  <c r="F1139" i="68"/>
  <c r="F1281" i="68"/>
  <c r="E1314" i="68"/>
  <c r="E1499" i="68"/>
  <c r="F1656" i="68"/>
  <c r="E1670" i="68"/>
  <c r="F1670" i="68" s="1"/>
  <c r="F1696" i="68"/>
  <c r="F1747" i="68"/>
  <c r="F1770" i="68"/>
  <c r="F1801" i="68"/>
  <c r="F1864" i="68"/>
  <c r="F1949" i="68"/>
  <c r="F1972" i="68"/>
  <c r="F1982" i="68"/>
  <c r="F2005" i="68"/>
  <c r="F2087" i="68"/>
  <c r="F2119" i="68"/>
  <c r="F2160" i="68"/>
  <c r="F2168" i="68"/>
  <c r="F2214" i="68"/>
  <c r="F2263" i="68"/>
  <c r="F2751" i="68"/>
  <c r="G2953" i="68"/>
  <c r="F2996" i="68"/>
  <c r="F3061" i="68"/>
  <c r="F3206" i="68"/>
  <c r="F3220" i="68"/>
  <c r="F3458" i="68"/>
  <c r="F3498" i="68"/>
  <c r="F3692" i="68"/>
  <c r="F3731" i="68"/>
  <c r="F3739" i="68"/>
  <c r="F3747" i="68"/>
  <c r="F3780" i="68"/>
  <c r="F3804" i="68"/>
  <c r="F3834" i="68"/>
  <c r="F3913" i="68"/>
  <c r="D3920" i="68"/>
  <c r="F3978" i="68"/>
  <c r="F4100" i="68"/>
  <c r="D4124" i="68"/>
  <c r="E2519" i="68"/>
  <c r="D13" i="68"/>
  <c r="D47" i="68"/>
  <c r="E57" i="68"/>
  <c r="D231" i="68"/>
  <c r="F231" i="68" s="1"/>
  <c r="F472" i="68"/>
  <c r="F661" i="68"/>
  <c r="F724" i="68"/>
  <c r="F856" i="68"/>
  <c r="E969" i="68"/>
  <c r="F1091" i="68"/>
  <c r="F1108" i="68"/>
  <c r="F1132" i="68"/>
  <c r="F1426" i="68"/>
  <c r="G1484" i="68"/>
  <c r="D2224" i="68"/>
  <c r="F2935" i="68"/>
  <c r="D3014" i="68"/>
  <c r="E3045" i="68"/>
  <c r="E3360" i="68"/>
  <c r="E3544" i="68"/>
  <c r="F3544" i="68" s="1"/>
  <c r="F320" i="68"/>
  <c r="F415" i="68"/>
  <c r="D559" i="68"/>
  <c r="F642" i="68"/>
  <c r="F695" i="68"/>
  <c r="D887" i="68"/>
  <c r="F999" i="68"/>
  <c r="D1008" i="68"/>
  <c r="D1086" i="68"/>
  <c r="D1444" i="68"/>
  <c r="F1507" i="68"/>
  <c r="F1787" i="68"/>
  <c r="D1943" i="68"/>
  <c r="F2049" i="68"/>
  <c r="D2073" i="68"/>
  <c r="F2193" i="68"/>
  <c r="F2737" i="68"/>
  <c r="D2946" i="68"/>
  <c r="F2946" i="68" s="1"/>
  <c r="E3014" i="68"/>
  <c r="D3103" i="68"/>
  <c r="F3307" i="68"/>
  <c r="F3382" i="68"/>
  <c r="F3518" i="68"/>
  <c r="D3590" i="68"/>
  <c r="F3628" i="68"/>
  <c r="F3687" i="68"/>
  <c r="F3701" i="68"/>
  <c r="F3717" i="68"/>
  <c r="F3784" i="68"/>
  <c r="F3997" i="68"/>
  <c r="D57" i="68"/>
  <c r="E119" i="68"/>
  <c r="D240" i="68"/>
  <c r="F398" i="68"/>
  <c r="F475" i="68"/>
  <c r="E584" i="68"/>
  <c r="D651" i="68"/>
  <c r="F880" i="68"/>
  <c r="F1300" i="68"/>
  <c r="E1388" i="68"/>
  <c r="F1587" i="68"/>
  <c r="D1626" i="68"/>
  <c r="G1794" i="68"/>
  <c r="F1836" i="68"/>
  <c r="E2058" i="68"/>
  <c r="F2058" i="68" s="1"/>
  <c r="F2115" i="68"/>
  <c r="F2413" i="68"/>
  <c r="F2547" i="68"/>
  <c r="D2554" i="68"/>
  <c r="D2755" i="68"/>
  <c r="D2775" i="68"/>
  <c r="G2775" i="68"/>
  <c r="G2773" i="68" s="1"/>
  <c r="F2959" i="68"/>
  <c r="G3415" i="68"/>
  <c r="G3413" i="68" s="1"/>
  <c r="D3583" i="68"/>
  <c r="F3824" i="68"/>
  <c r="F3529" i="68"/>
  <c r="E3522" i="68"/>
  <c r="F283" i="68"/>
  <c r="F459" i="68"/>
  <c r="E73" i="68"/>
  <c r="F73" i="68" s="1"/>
  <c r="D249" i="68"/>
  <c r="F54" i="68"/>
  <c r="D83" i="68"/>
  <c r="F95" i="68"/>
  <c r="F105" i="68"/>
  <c r="F212" i="68"/>
  <c r="D217" i="68"/>
  <c r="E240" i="68"/>
  <c r="F250" i="68"/>
  <c r="F297" i="68"/>
  <c r="F353" i="68"/>
  <c r="F363" i="68"/>
  <c r="F387" i="68"/>
  <c r="F412" i="68"/>
  <c r="F419" i="68"/>
  <c r="F427" i="68"/>
  <c r="F465" i="68"/>
  <c r="F532" i="68"/>
  <c r="F566" i="68"/>
  <c r="F633" i="68"/>
  <c r="F685" i="68"/>
  <c r="F714" i="68"/>
  <c r="F739" i="68"/>
  <c r="F748" i="68"/>
  <c r="F764" i="68"/>
  <c r="E791" i="68"/>
  <c r="F813" i="68"/>
  <c r="F831" i="68"/>
  <c r="F891" i="68"/>
  <c r="F970" i="68"/>
  <c r="F1016" i="68"/>
  <c r="D1065" i="68"/>
  <c r="F1265" i="68"/>
  <c r="F1861" i="68"/>
  <c r="F2059" i="68"/>
  <c r="F2163" i="68"/>
  <c r="D2275" i="68"/>
  <c r="F2782" i="68"/>
  <c r="D2841" i="68"/>
  <c r="D3556" i="68"/>
  <c r="F3572" i="68"/>
  <c r="F3594" i="68"/>
  <c r="F3890" i="68"/>
  <c r="E601" i="68"/>
  <c r="F1619" i="68"/>
  <c r="D1846" i="68"/>
  <c r="F1847" i="68"/>
  <c r="F2578" i="68"/>
  <c r="E2554" i="68"/>
  <c r="F2698" i="68"/>
  <c r="G247" i="68"/>
  <c r="F468" i="68"/>
  <c r="F517" i="68"/>
  <c r="F569" i="68"/>
  <c r="F594" i="68"/>
  <c r="F611" i="68"/>
  <c r="F636" i="68"/>
  <c r="F688" i="68"/>
  <c r="E701" i="68"/>
  <c r="F717" i="68"/>
  <c r="F768" i="68"/>
  <c r="F1042" i="68"/>
  <c r="F1315" i="68"/>
  <c r="F1779" i="68"/>
  <c r="F1989" i="68"/>
  <c r="F2940" i="68"/>
  <c r="F3082" i="68"/>
  <c r="D300" i="68"/>
  <c r="F444" i="68"/>
  <c r="F776" i="68"/>
  <c r="F870" i="68"/>
  <c r="F3097" i="68"/>
  <c r="F292" i="68"/>
  <c r="F535" i="68"/>
  <c r="F270" i="68"/>
  <c r="F277" i="68"/>
  <c r="F349" i="68"/>
  <c r="F375" i="68"/>
  <c r="F578" i="68"/>
  <c r="F645" i="68"/>
  <c r="F743" i="68"/>
  <c r="F786" i="68"/>
  <c r="F807" i="68"/>
  <c r="F864" i="68"/>
  <c r="F909" i="68"/>
  <c r="F940" i="68"/>
  <c r="F996" i="68"/>
  <c r="D1692" i="68"/>
  <c r="F1692" i="68" s="1"/>
  <c r="F1693" i="68"/>
  <c r="D1743" i="68"/>
  <c r="F2094" i="68"/>
  <c r="E2093" i="68"/>
  <c r="F2279" i="68"/>
  <c r="F3293" i="68"/>
  <c r="F3301" i="68"/>
  <c r="D3310" i="68"/>
  <c r="F3311" i="68"/>
  <c r="F3408" i="68"/>
  <c r="F3598" i="68"/>
  <c r="E3597" i="68"/>
  <c r="F3597" i="68" s="1"/>
  <c r="E3815" i="68"/>
  <c r="D3815" i="68"/>
  <c r="F3852" i="68"/>
  <c r="D3944" i="68"/>
  <c r="F3955" i="68"/>
  <c r="F4031" i="68"/>
  <c r="E4124" i="68"/>
  <c r="E1559" i="68"/>
  <c r="F1560" i="68"/>
  <c r="F560" i="68"/>
  <c r="F915" i="68"/>
  <c r="F301" i="68"/>
  <c r="F408" i="68"/>
  <c r="G13" i="68"/>
  <c r="G12" i="68" s="1"/>
  <c r="F630" i="68"/>
  <c r="F682" i="68"/>
  <c r="F736" i="68"/>
  <c r="F800" i="68"/>
  <c r="D821" i="68"/>
  <c r="D1231" i="68"/>
  <c r="F1232" i="68"/>
  <c r="F1968" i="68"/>
  <c r="D1967" i="68"/>
  <c r="F1967" i="68" s="1"/>
  <c r="F3508" i="68"/>
  <c r="F3768" i="68"/>
  <c r="F3816" i="68"/>
  <c r="F3948" i="68"/>
  <c r="F4117" i="68"/>
  <c r="E4103" i="68"/>
  <c r="E3968" i="68"/>
  <c r="F3969" i="68"/>
  <c r="F381" i="68"/>
  <c r="F923" i="68"/>
  <c r="F1009" i="68"/>
  <c r="F1365" i="68"/>
  <c r="F1636" i="68"/>
  <c r="E3457" i="68"/>
  <c r="F14" i="68"/>
  <c r="F232" i="68"/>
  <c r="F339" i="68"/>
  <c r="D39" i="68"/>
  <c r="F51" i="68"/>
  <c r="F58" i="68"/>
  <c r="E83" i="68"/>
  <c r="D111" i="68"/>
  <c r="F209" i="68"/>
  <c r="E217" i="68"/>
  <c r="F256" i="68"/>
  <c r="F304" i="68"/>
  <c r="F333" i="68"/>
  <c r="F342" i="68"/>
  <c r="F360" i="68"/>
  <c r="F378" i="68"/>
  <c r="F394" i="68"/>
  <c r="D411" i="68"/>
  <c r="F439" i="68"/>
  <c r="F448" i="68"/>
  <c r="E538" i="68"/>
  <c r="F555" i="68"/>
  <c r="F572" i="68"/>
  <c r="F639" i="68"/>
  <c r="D675" i="68"/>
  <c r="F691" i="68"/>
  <c r="F720" i="68"/>
  <c r="F728" i="68"/>
  <c r="D772" i="68"/>
  <c r="G821" i="68"/>
  <c r="F888" i="68"/>
  <c r="G887" i="68"/>
  <c r="F927" i="68"/>
  <c r="F976" i="68"/>
  <c r="E1131" i="68"/>
  <c r="F1135" i="68"/>
  <c r="F1393" i="68"/>
  <c r="F1485" i="68"/>
  <c r="E1484" i="68"/>
  <c r="F1609" i="68"/>
  <c r="D1687" i="68"/>
  <c r="F1687" i="68" s="1"/>
  <c r="F1688" i="68"/>
  <c r="F1733" i="68"/>
  <c r="F2882" i="68"/>
  <c r="F3027" i="68"/>
  <c r="F3369" i="68"/>
  <c r="D3501" i="68"/>
  <c r="D3614" i="68"/>
  <c r="D3722" i="68"/>
  <c r="F3723" i="68"/>
  <c r="F3932" i="68"/>
  <c r="D4103" i="68"/>
  <c r="E4139" i="68"/>
  <c r="F3486" i="68"/>
  <c r="E3478" i="68"/>
  <c r="F316" i="68"/>
  <c r="F526" i="68"/>
  <c r="F679" i="68"/>
  <c r="F1705" i="68"/>
  <c r="F3792" i="68"/>
  <c r="D146" i="68"/>
  <c r="E513" i="68"/>
  <c r="F3502" i="68"/>
  <c r="E3501" i="68"/>
  <c r="F1490" i="68"/>
  <c r="F1586" i="68"/>
  <c r="F1889" i="68"/>
  <c r="F2100" i="68"/>
  <c r="F2237" i="68"/>
  <c r="F2356" i="68"/>
  <c r="F2387" i="68"/>
  <c r="F2640" i="68"/>
  <c r="F2654" i="68"/>
  <c r="F2680" i="68"/>
  <c r="F2904" i="68"/>
  <c r="F2932" i="68"/>
  <c r="F2956" i="68"/>
  <c r="F3003" i="68"/>
  <c r="D3057" i="68"/>
  <c r="F3057" i="68" s="1"/>
  <c r="F3350" i="68"/>
  <c r="F1035" i="68"/>
  <c r="F1066" i="68"/>
  <c r="F1142" i="68"/>
  <c r="D1189" i="68"/>
  <c r="F1352" i="68"/>
  <c r="D1598" i="68"/>
  <c r="D1642" i="68"/>
  <c r="F1674" i="68"/>
  <c r="F1819" i="68"/>
  <c r="E1846" i="68"/>
  <c r="F1953" i="68"/>
  <c r="G2157" i="68"/>
  <c r="F2390" i="68"/>
  <c r="F2441" i="68"/>
  <c r="F2595" i="68"/>
  <c r="D2612" i="68"/>
  <c r="F2643" i="68"/>
  <c r="F2756" i="68"/>
  <c r="E2775" i="68"/>
  <c r="F2798" i="68"/>
  <c r="F2859" i="68"/>
  <c r="F2921" i="68"/>
  <c r="F2990" i="68"/>
  <c r="F3052" i="68"/>
  <c r="F3213" i="68"/>
  <c r="D3258" i="68"/>
  <c r="E3310" i="68"/>
  <c r="F3326" i="68"/>
  <c r="D3337" i="68"/>
  <c r="F3479" i="68"/>
  <c r="F3523" i="68"/>
  <c r="F3541" i="68"/>
  <c r="E3583" i="68"/>
  <c r="E3645" i="68"/>
  <c r="E3644" i="68" s="1"/>
  <c r="F3983" i="68"/>
  <c r="F4067" i="68"/>
  <c r="F4090" i="68"/>
  <c r="F4104" i="68"/>
  <c r="F4111" i="68"/>
  <c r="F4170" i="68"/>
  <c r="E1174" i="68"/>
  <c r="D1251" i="68"/>
  <c r="D1280" i="68"/>
  <c r="E1598" i="68"/>
  <c r="E1794" i="68"/>
  <c r="F1871" i="68"/>
  <c r="F2041" i="68"/>
  <c r="F2264" i="68"/>
  <c r="D2588" i="68"/>
  <c r="F2588" i="68" s="1"/>
  <c r="F2716" i="68"/>
  <c r="F2776" i="68"/>
  <c r="D3045" i="68"/>
  <c r="F3109" i="68"/>
  <c r="F3239" i="68"/>
  <c r="F3272" i="68"/>
  <c r="F3395" i="68"/>
  <c r="E3532" i="68"/>
  <c r="F3812" i="68"/>
  <c r="F1059" i="68"/>
  <c r="F1082" i="68"/>
  <c r="F1111" i="68"/>
  <c r="F1708" i="68"/>
  <c r="F1728" i="68"/>
  <c r="D2159" i="68"/>
  <c r="E2224" i="68"/>
  <c r="E2310" i="68"/>
  <c r="F2421" i="68"/>
  <c r="D2428" i="68"/>
  <c r="F2589" i="68"/>
  <c r="F2637" i="68"/>
  <c r="F2651" i="68"/>
  <c r="F3192" i="68"/>
  <c r="D3288" i="68"/>
  <c r="D3522" i="68"/>
  <c r="D3624" i="68"/>
  <c r="D3878" i="68"/>
  <c r="D3968" i="68"/>
  <c r="F1076" i="68"/>
  <c r="F1083" i="68"/>
  <c r="F1105" i="68"/>
  <c r="F1535" i="68"/>
  <c r="D1978" i="68"/>
  <c r="E1978" i="68"/>
  <c r="D2134" i="68"/>
  <c r="F2346" i="68"/>
  <c r="F2393" i="68"/>
  <c r="F2568" i="68"/>
  <c r="F2824" i="68"/>
  <c r="E2955" i="68"/>
  <c r="F2993" i="68"/>
  <c r="F3185" i="68"/>
  <c r="F3216" i="68"/>
  <c r="D3349" i="68"/>
  <c r="F3349" i="68" s="1"/>
  <c r="F3446" i="68"/>
  <c r="F3475" i="68"/>
  <c r="F3482" i="68"/>
  <c r="F3526" i="68"/>
  <c r="F3601" i="68"/>
  <c r="E3624" i="68"/>
  <c r="D3659" i="68"/>
  <c r="F3695" i="68"/>
  <c r="F3848" i="68"/>
  <c r="F3964" i="68"/>
  <c r="F3986" i="68"/>
  <c r="F4010" i="68"/>
  <c r="D4062" i="68"/>
  <c r="F4093" i="68"/>
  <c r="F4140" i="68"/>
  <c r="F4155" i="68"/>
  <c r="F1053" i="68"/>
  <c r="F1098" i="68"/>
  <c r="F1178" i="68"/>
  <c r="F1814" i="68"/>
  <c r="F1867" i="68"/>
  <c r="F1895" i="68"/>
  <c r="F1986" i="68"/>
  <c r="E2275" i="68"/>
  <c r="D2310" i="68"/>
  <c r="F2401" i="68"/>
  <c r="F2555" i="68"/>
  <c r="D2679" i="68"/>
  <c r="F2760" i="68"/>
  <c r="F2863" i="68"/>
  <c r="D2955" i="68"/>
  <c r="F2955" i="68" s="1"/>
  <c r="D2978" i="68"/>
  <c r="F3079" i="68"/>
  <c r="F3298" i="68"/>
  <c r="D3322" i="68"/>
  <c r="F3365" i="68"/>
  <c r="F3536" i="68"/>
  <c r="F3545" i="68"/>
  <c r="F3569" i="68"/>
  <c r="E3614" i="68"/>
  <c r="E3659" i="68"/>
  <c r="F3734" i="68"/>
  <c r="F3821" i="68"/>
  <c r="F3873" i="68"/>
  <c r="F3937" i="68"/>
  <c r="E3944" i="68"/>
  <c r="F4063" i="68"/>
  <c r="F4167" i="68"/>
  <c r="F3635" i="68"/>
  <c r="E3631" i="68"/>
  <c r="F26" i="68"/>
  <c r="F87" i="68"/>
  <c r="F188" i="68"/>
  <c r="E366" i="68"/>
  <c r="F366" i="68" s="1"/>
  <c r="F367" i="68"/>
  <c r="D501" i="68"/>
  <c r="F501" i="68" s="1"/>
  <c r="F502" i="68"/>
  <c r="E759" i="68"/>
  <c r="F759" i="68" s="1"/>
  <c r="F760" i="68"/>
  <c r="D538" i="68"/>
  <c r="F539" i="68"/>
  <c r="E1469" i="68"/>
  <c r="F1470" i="68"/>
  <c r="D130" i="68"/>
  <c r="D192" i="68"/>
  <c r="D200" i="68"/>
  <c r="F200" i="68" s="1"/>
  <c r="F201" i="68"/>
  <c r="D345" i="68"/>
  <c r="F346" i="68"/>
  <c r="D371" i="68"/>
  <c r="F372" i="68"/>
  <c r="D397" i="68"/>
  <c r="E404" i="68"/>
  <c r="F404" i="68" s="1"/>
  <c r="F405" i="68"/>
  <c r="E451" i="68"/>
  <c r="D497" i="68"/>
  <c r="F497" i="68" s="1"/>
  <c r="F498" i="68"/>
  <c r="D755" i="68"/>
  <c r="F755" i="68" s="1"/>
  <c r="F756" i="68"/>
  <c r="E955" i="68"/>
  <c r="F955" i="68" s="1"/>
  <c r="F956" i="68"/>
  <c r="D1174" i="68"/>
  <c r="F1175" i="68"/>
  <c r="F1433" i="68"/>
  <c r="E1422" i="68"/>
  <c r="E2073" i="68"/>
  <c r="F2074" i="68"/>
  <c r="F112" i="68"/>
  <c r="E111" i="68"/>
  <c r="F143" i="68"/>
  <c r="F136" i="68"/>
  <c r="E130" i="68"/>
  <c r="F70" i="68"/>
  <c r="D91" i="68"/>
  <c r="F108" i="68"/>
  <c r="E101" i="68"/>
  <c r="D123" i="68"/>
  <c r="D119" i="68" s="1"/>
  <c r="F159" i="68"/>
  <c r="F193" i="68"/>
  <c r="F225" i="68"/>
  <c r="E300" i="68"/>
  <c r="D451" i="68"/>
  <c r="F1407" i="68"/>
  <c r="D1406" i="68"/>
  <c r="F1568" i="68"/>
  <c r="D1559" i="68"/>
  <c r="F98" i="68"/>
  <c r="E39" i="68"/>
  <c r="D356" i="68"/>
  <c r="F357" i="68"/>
  <c r="D584" i="68"/>
  <c r="F585" i="68"/>
  <c r="D601" i="68"/>
  <c r="F602" i="68"/>
  <c r="D513" i="68"/>
  <c r="F1333" i="68"/>
  <c r="D1314" i="68"/>
  <c r="F1314" i="68" s="1"/>
  <c r="F1663" i="68"/>
  <c r="E1662" i="68"/>
  <c r="F1662" i="68" s="1"/>
  <c r="F102" i="68"/>
  <c r="D101" i="68"/>
  <c r="F61" i="68"/>
  <c r="F147" i="68"/>
  <c r="E146" i="68"/>
  <c r="E208" i="68"/>
  <c r="E447" i="68"/>
  <c r="F447" i="68" s="1"/>
  <c r="E481" i="68"/>
  <c r="E509" i="68"/>
  <c r="F509" i="68" s="1"/>
  <c r="E626" i="68"/>
  <c r="E735" i="68"/>
  <c r="F735" i="68" s="1"/>
  <c r="E821" i="68"/>
  <c r="E887" i="68"/>
  <c r="F1062" i="68"/>
  <c r="E1114" i="68"/>
  <c r="D1138" i="68"/>
  <c r="F1355" i="68"/>
  <c r="F1457" i="68"/>
  <c r="E1456" i="68"/>
  <c r="E1523" i="68"/>
  <c r="F1627" i="68"/>
  <c r="E1626" i="68"/>
  <c r="F1704" i="68"/>
  <c r="F1716" i="68"/>
  <c r="F1841" i="68"/>
  <c r="E4013" i="68"/>
  <c r="F4013" i="68" s="1"/>
  <c r="F4014" i="68"/>
  <c r="D4160" i="68"/>
  <c r="F4161" i="68"/>
  <c r="E187" i="68"/>
  <c r="F187" i="68" s="1"/>
  <c r="E192" i="68"/>
  <c r="E224" i="68"/>
  <c r="F224" i="68" s="1"/>
  <c r="E397" i="68"/>
  <c r="E443" i="68"/>
  <c r="F443" i="68" s="1"/>
  <c r="E651" i="68"/>
  <c r="F651" i="68" s="1"/>
  <c r="E731" i="68"/>
  <c r="F731" i="68" s="1"/>
  <c r="E747" i="68"/>
  <c r="F747" i="68" s="1"/>
  <c r="E1104" i="68"/>
  <c r="F1104" i="68" s="1"/>
  <c r="F1643" i="68"/>
  <c r="E1642" i="68"/>
  <c r="F1790" i="68"/>
  <c r="E1870" i="68"/>
  <c r="D2145" i="68"/>
  <c r="D2144" i="68" s="1"/>
  <c r="F2144" i="68" s="1"/>
  <c r="F3419" i="68"/>
  <c r="E3415" i="68"/>
  <c r="D3532" i="68"/>
  <c r="F3533" i="68"/>
  <c r="F84" i="68"/>
  <c r="E91" i="68"/>
  <c r="F120" i="68"/>
  <c r="F218" i="68"/>
  <c r="E249" i="68"/>
  <c r="E338" i="68"/>
  <c r="F338" i="68" s="1"/>
  <c r="E393" i="68"/>
  <c r="F393" i="68" s="1"/>
  <c r="E559" i="68"/>
  <c r="E675" i="68"/>
  <c r="E727" i="68"/>
  <c r="F727" i="68" s="1"/>
  <c r="E767" i="68"/>
  <c r="F767" i="68" s="1"/>
  <c r="E772" i="68"/>
  <c r="F772" i="68" s="1"/>
  <c r="E812" i="68"/>
  <c r="F812" i="68" s="1"/>
  <c r="F952" i="68"/>
  <c r="D969" i="68"/>
  <c r="F1056" i="68"/>
  <c r="E1065" i="68"/>
  <c r="G1114" i="68"/>
  <c r="D1238" i="68"/>
  <c r="F1238" i="68" s="1"/>
  <c r="F1239" i="68"/>
  <c r="F1257" i="68"/>
  <c r="E1251" i="68"/>
  <c r="F1342" i="68"/>
  <c r="F1379" i="68"/>
  <c r="E1378" i="68"/>
  <c r="F1378" i="68" s="1"/>
  <c r="D1484" i="68"/>
  <c r="F1484" i="68" s="1"/>
  <c r="F1551" i="68"/>
  <c r="F1604" i="68"/>
  <c r="F1659" i="68"/>
  <c r="F1671" i="68"/>
  <c r="E1956" i="68"/>
  <c r="F1956" i="68" s="1"/>
  <c r="F1957" i="68"/>
  <c r="G1314" i="68"/>
  <c r="D1402" i="68"/>
  <c r="F1402" i="68" s="1"/>
  <c r="F1403" i="68"/>
  <c r="F1445" i="68"/>
  <c r="E1444" i="68"/>
  <c r="F2524" i="68"/>
  <c r="D2519" i="68"/>
  <c r="D2606" i="68"/>
  <c r="F2606" i="68" s="1"/>
  <c r="F2607" i="68"/>
  <c r="F3772" i="68"/>
  <c r="D3767" i="68"/>
  <c r="E371" i="68"/>
  <c r="F705" i="68"/>
  <c r="F933" i="68"/>
  <c r="D1015" i="68"/>
  <c r="E1015" i="68"/>
  <c r="F1015" i="68" s="1"/>
  <c r="F1050" i="68"/>
  <c r="F1163" i="68"/>
  <c r="D1469" i="68"/>
  <c r="F1480" i="68"/>
  <c r="F1623" i="68"/>
  <c r="F1653" i="68"/>
  <c r="F1681" i="68"/>
  <c r="E1720" i="68"/>
  <c r="F1720" i="68" s="1"/>
  <c r="F1721" i="68"/>
  <c r="F1758" i="68"/>
  <c r="E2122" i="68"/>
  <c r="F2122" i="68" s="1"/>
  <c r="F2123" i="68"/>
  <c r="E2159" i="68"/>
  <c r="E345" i="68"/>
  <c r="E356" i="68"/>
  <c r="E979" i="68"/>
  <c r="F979" i="68" s="1"/>
  <c r="F1002" i="68"/>
  <c r="F1029" i="68"/>
  <c r="F1073" i="68"/>
  <c r="E1138" i="68"/>
  <c r="F1260" i="68"/>
  <c r="F1275" i="68"/>
  <c r="D1388" i="68"/>
  <c r="E1743" i="68"/>
  <c r="F1744" i="68"/>
  <c r="F2001" i="68"/>
  <c r="E1997" i="68"/>
  <c r="F1997" i="68" s="1"/>
  <c r="E1086" i="68"/>
  <c r="F1101" i="68"/>
  <c r="F1149" i="68"/>
  <c r="F1209" i="68"/>
  <c r="E1189" i="68"/>
  <c r="F1189" i="68" s="1"/>
  <c r="F1269" i="68"/>
  <c r="F1338" i="68"/>
  <c r="F1368" i="68"/>
  <c r="F1412" i="68"/>
  <c r="E1406" i="68"/>
  <c r="E1418" i="68"/>
  <c r="F1418" i="68" s="1"/>
  <c r="F1419" i="68"/>
  <c r="D1422" i="68"/>
  <c r="F1441" i="68"/>
  <c r="D1456" i="68"/>
  <c r="F1527" i="68"/>
  <c r="F1736" i="68"/>
  <c r="D1794" i="68"/>
  <c r="F2017" i="68"/>
  <c r="E2013" i="68"/>
  <c r="F2024" i="68"/>
  <c r="E2134" i="68"/>
  <c r="F2135" i="68"/>
  <c r="F980" i="68"/>
  <c r="F1682" i="68"/>
  <c r="F1729" i="68"/>
  <c r="F1961" i="68"/>
  <c r="D2093" i="68"/>
  <c r="F2139" i="68"/>
  <c r="F2225" i="68"/>
  <c r="E2268" i="68"/>
  <c r="F2268" i="68" s="1"/>
  <c r="F2775" i="68"/>
  <c r="E2978" i="68"/>
  <c r="D3070" i="68"/>
  <c r="E3168" i="68"/>
  <c r="F3168" i="68" s="1"/>
  <c r="E3258" i="68"/>
  <c r="E3590" i="68"/>
  <c r="F3591" i="68"/>
  <c r="F3795" i="68"/>
  <c r="E3920" i="68"/>
  <c r="F3925" i="68"/>
  <c r="E2030" i="68"/>
  <c r="F2030" i="68" s="1"/>
  <c r="E2527" i="68"/>
  <c r="F2540" i="68"/>
  <c r="F3233" i="68"/>
  <c r="E3288" i="68"/>
  <c r="F3288" i="68" s="1"/>
  <c r="D3478" i="68"/>
  <c r="F3489" i="68"/>
  <c r="F3549" i="68"/>
  <c r="E3556" i="68"/>
  <c r="F3565" i="68"/>
  <c r="F3652" i="68"/>
  <c r="E1700" i="68"/>
  <c r="F1700" i="68" s="1"/>
  <c r="F1717" i="68"/>
  <c r="E1732" i="68"/>
  <c r="F1732" i="68" s="1"/>
  <c r="E1943" i="68"/>
  <c r="F1943" i="68" s="1"/>
  <c r="E2009" i="68"/>
  <c r="F2009" i="68" s="1"/>
  <c r="F2124" i="68"/>
  <c r="F2234" i="68"/>
  <c r="D2256" i="68"/>
  <c r="F2661" i="68"/>
  <c r="F3035" i="68"/>
  <c r="E3103" i="68"/>
  <c r="F3105" i="68"/>
  <c r="E3227" i="68"/>
  <c r="D3645" i="68"/>
  <c r="E3722" i="68"/>
  <c r="F3916" i="68"/>
  <c r="F3963" i="68"/>
  <c r="E4030" i="68"/>
  <c r="F1713" i="68"/>
  <c r="F1979" i="68"/>
  <c r="F2257" i="68"/>
  <c r="E2256" i="68"/>
  <c r="D2527" i="68"/>
  <c r="F2528" i="68"/>
  <c r="F2584" i="68"/>
  <c r="E2900" i="68"/>
  <c r="F2901" i="68"/>
  <c r="E3070" i="68"/>
  <c r="F3074" i="68"/>
  <c r="D3227" i="68"/>
  <c r="E3322" i="68"/>
  <c r="F3322" i="68" s="1"/>
  <c r="F3323" i="68"/>
  <c r="F3407" i="68"/>
  <c r="F3607" i="68"/>
  <c r="F4025" i="68"/>
  <c r="E2383" i="68"/>
  <c r="F2383" i="68" s="1"/>
  <c r="F2404" i="68"/>
  <c r="D2705" i="68"/>
  <c r="E2924" i="68"/>
  <c r="F2924" i="68" s="1"/>
  <c r="F2925" i="68"/>
  <c r="E4046" i="68"/>
  <c r="F4046" i="68" s="1"/>
  <c r="F4047" i="68"/>
  <c r="F4147" i="68"/>
  <c r="E2297" i="68"/>
  <c r="F2297" i="68" s="1"/>
  <c r="F2298" i="68"/>
  <c r="E3337" i="68"/>
  <c r="F3337" i="68" s="1"/>
  <c r="F3343" i="68"/>
  <c r="D3415" i="68"/>
  <c r="F3449" i="68"/>
  <c r="E3552" i="68"/>
  <c r="F3552" i="68" s="1"/>
  <c r="F3553" i="68"/>
  <c r="E3775" i="68"/>
  <c r="F3775" i="68" s="1"/>
  <c r="F3776" i="68"/>
  <c r="E4018" i="68"/>
  <c r="F4018" i="68" s="1"/>
  <c r="F4019" i="68"/>
  <c r="E2841" i="68"/>
  <c r="E3277" i="68"/>
  <c r="F3278" i="68"/>
  <c r="F3811" i="68"/>
  <c r="F3845" i="68"/>
  <c r="F3878" i="68"/>
  <c r="E3992" i="68"/>
  <c r="F3992" i="68" s="1"/>
  <c r="F2662" i="68"/>
  <c r="E2755" i="68"/>
  <c r="E3026" i="68"/>
  <c r="F3026" i="68" s="1"/>
  <c r="F3046" i="68"/>
  <c r="E3266" i="68"/>
  <c r="F3266" i="68" s="1"/>
  <c r="F3289" i="68"/>
  <c r="E3368" i="68"/>
  <c r="F3368" i="68" s="1"/>
  <c r="D3514" i="68"/>
  <c r="F3514" i="68" s="1"/>
  <c r="E3540" i="68"/>
  <c r="F3540" i="68" s="1"/>
  <c r="F3625" i="68"/>
  <c r="D3783" i="68"/>
  <c r="E3787" i="68"/>
  <c r="F3787" i="68" s="1"/>
  <c r="D3803" i="68"/>
  <c r="F3803" i="68" s="1"/>
  <c r="E3807" i="68"/>
  <c r="F3807" i="68" s="1"/>
  <c r="F4156" i="68"/>
  <c r="F2276" i="68"/>
  <c r="E2679" i="68"/>
  <c r="F2936" i="68"/>
  <c r="F2941" i="68"/>
  <c r="F3169" i="68"/>
  <c r="E3271" i="68"/>
  <c r="F3271" i="68" s="1"/>
  <c r="E3356" i="68"/>
  <c r="F3356" i="68" s="1"/>
  <c r="F3579" i="68"/>
  <c r="F3646" i="68"/>
  <c r="F3945" i="68"/>
  <c r="E4062" i="68"/>
  <c r="E4135" i="68"/>
  <c r="F4135" i="68" s="1"/>
  <c r="F4152" i="68"/>
  <c r="F2613" i="68"/>
  <c r="F2842" i="68"/>
  <c r="F2979" i="68"/>
  <c r="F3015" i="68"/>
  <c r="F3058" i="68"/>
  <c r="F3608" i="68"/>
  <c r="F3796" i="68"/>
  <c r="F4148" i="68"/>
  <c r="F2947" i="68"/>
  <c r="E3034" i="68"/>
  <c r="F3034" i="68" s="1"/>
  <c r="D898" i="79"/>
  <c r="D897" i="79" s="1"/>
  <c r="E895" i="79"/>
  <c r="E892" i="79"/>
  <c r="E889" i="79"/>
  <c r="D894" i="79"/>
  <c r="E894" i="79" s="1"/>
  <c r="D891" i="79"/>
  <c r="E891" i="79" s="1"/>
  <c r="D888" i="79"/>
  <c r="E888" i="79" s="1"/>
  <c r="E753" i="79"/>
  <c r="E754" i="79"/>
  <c r="E755" i="79"/>
  <c r="E758" i="79"/>
  <c r="E752" i="79"/>
  <c r="D757" i="79"/>
  <c r="E757" i="79" s="1"/>
  <c r="D751" i="79"/>
  <c r="E751" i="79" s="1"/>
  <c r="E742" i="79"/>
  <c r="E743" i="79"/>
  <c r="E744" i="79"/>
  <c r="E745" i="79"/>
  <c r="E746" i="79"/>
  <c r="E747" i="79"/>
  <c r="E748" i="79"/>
  <c r="E749" i="79"/>
  <c r="D740" i="79"/>
  <c r="E740" i="79" s="1"/>
  <c r="E741" i="79"/>
  <c r="E736" i="79"/>
  <c r="D735" i="79"/>
  <c r="D734" i="79" s="1"/>
  <c r="E734" i="79" s="1"/>
  <c r="E732" i="79"/>
  <c r="D731" i="79"/>
  <c r="E731" i="79" s="1"/>
  <c r="E728" i="79"/>
  <c r="D727" i="79"/>
  <c r="D726" i="79" s="1"/>
  <c r="E726" i="79" s="1"/>
  <c r="E650" i="79"/>
  <c r="D649" i="79"/>
  <c r="D648" i="79" s="1"/>
  <c r="E648" i="79" s="1"/>
  <c r="E589" i="79"/>
  <c r="D588" i="79"/>
  <c r="D587" i="79" s="1"/>
  <c r="E587" i="79" s="1"/>
  <c r="E594" i="79"/>
  <c r="E595" i="79"/>
  <c r="E593" i="79"/>
  <c r="D592" i="79"/>
  <c r="E592" i="79" s="1"/>
  <c r="E599" i="79"/>
  <c r="D598" i="79"/>
  <c r="E598" i="79" s="1"/>
  <c r="E509" i="79"/>
  <c r="E508" i="79"/>
  <c r="D507" i="79"/>
  <c r="E507" i="79" s="1"/>
  <c r="D517" i="79"/>
  <c r="D2522" i="23"/>
  <c r="D797" i="23"/>
  <c r="E138" i="79"/>
  <c r="D137" i="79"/>
  <c r="D136" i="79" s="1"/>
  <c r="E136" i="79" s="1"/>
  <c r="E100" i="79"/>
  <c r="E97" i="79"/>
  <c r="D99" i="79"/>
  <c r="E99" i="79" s="1"/>
  <c r="D96" i="79"/>
  <c r="E43" i="79"/>
  <c r="E39" i="79"/>
  <c r="E35" i="79"/>
  <c r="D42" i="79"/>
  <c r="E42" i="79" s="1"/>
  <c r="D38" i="79"/>
  <c r="E38" i="79" s="1"/>
  <c r="D34" i="79"/>
  <c r="D33" i="79" s="1"/>
  <c r="E33" i="79" s="1"/>
  <c r="D1652" i="23"/>
  <c r="F584" i="68" l="1"/>
  <c r="F2612" i="68"/>
  <c r="F453" i="70"/>
  <c r="F3457" i="68"/>
  <c r="F4062" i="68"/>
  <c r="F3920" i="68"/>
  <c r="F2013" i="68"/>
  <c r="F2519" i="68"/>
  <c r="F1065" i="68"/>
  <c r="F626" i="68"/>
  <c r="F411" i="68"/>
  <c r="G2308" i="68"/>
  <c r="D887" i="79"/>
  <c r="E887" i="79" s="1"/>
  <c r="E735" i="79"/>
  <c r="D739" i="79"/>
  <c r="E739" i="79" s="1"/>
  <c r="G3657" i="68"/>
  <c r="F2928" i="68"/>
  <c r="F3277" i="68"/>
  <c r="F1008" i="68"/>
  <c r="F2841" i="68"/>
  <c r="F2256" i="68"/>
  <c r="F2134" i="68"/>
  <c r="F1642" i="68"/>
  <c r="F538" i="68"/>
  <c r="F1846" i="68"/>
  <c r="F2554" i="68"/>
  <c r="F3014" i="68"/>
  <c r="F3659" i="68"/>
  <c r="F1131" i="68"/>
  <c r="F83" i="68"/>
  <c r="F47" i="68"/>
  <c r="F1499" i="68"/>
  <c r="F3767" i="68"/>
  <c r="G1741" i="68"/>
  <c r="G1279" i="68"/>
  <c r="F1086" i="68"/>
  <c r="F123" i="68"/>
  <c r="F300" i="68"/>
  <c r="F2428" i="68"/>
  <c r="F4124" i="68"/>
  <c r="F4160" i="68"/>
  <c r="F13" i="68"/>
  <c r="F1870" i="68"/>
  <c r="F1280" i="68"/>
  <c r="F3478" i="68"/>
  <c r="F2755" i="68"/>
  <c r="F2900" i="68"/>
  <c r="G819" i="68"/>
  <c r="F91" i="68"/>
  <c r="F397" i="68"/>
  <c r="F601" i="68"/>
  <c r="F1559" i="68"/>
  <c r="F2224" i="68"/>
  <c r="F3532" i="68"/>
  <c r="F3310" i="68"/>
  <c r="F240" i="68"/>
  <c r="F959" i="68"/>
  <c r="F1231" i="68"/>
  <c r="F481" i="68"/>
  <c r="F111" i="68"/>
  <c r="F3631" i="68"/>
  <c r="F3045" i="68"/>
  <c r="F2093" i="68"/>
  <c r="F559" i="68"/>
  <c r="F2527" i="68"/>
  <c r="F969" i="68"/>
  <c r="F1626" i="68"/>
  <c r="F208" i="68"/>
  <c r="F3614" i="68"/>
  <c r="F3815" i="68"/>
  <c r="D2773" i="68"/>
  <c r="F57" i="68"/>
  <c r="F3556" i="68"/>
  <c r="F1406" i="68"/>
  <c r="F2978" i="68"/>
  <c r="F356" i="68"/>
  <c r="F1114" i="68"/>
  <c r="F119" i="68"/>
  <c r="F1978" i="68"/>
  <c r="F217" i="68"/>
  <c r="F3522" i="68"/>
  <c r="D3657" i="68"/>
  <c r="F4030" i="68"/>
  <c r="F1444" i="68"/>
  <c r="F887" i="68"/>
  <c r="D12" i="68"/>
  <c r="F701" i="68"/>
  <c r="F3968" i="68"/>
  <c r="F2073" i="68"/>
  <c r="F2679" i="68"/>
  <c r="E2705" i="68"/>
  <c r="F2705" i="68" s="1"/>
  <c r="F3590" i="68"/>
  <c r="D1521" i="68"/>
  <c r="F2310" i="68"/>
  <c r="E2773" i="68"/>
  <c r="F2773" i="68" s="1"/>
  <c r="F39" i="68"/>
  <c r="F2275" i="68"/>
  <c r="F4139" i="68"/>
  <c r="D1741" i="68"/>
  <c r="D247" i="68"/>
  <c r="D1279" i="68"/>
  <c r="D2157" i="68"/>
  <c r="F1251" i="68"/>
  <c r="F192" i="68"/>
  <c r="F1174" i="68"/>
  <c r="F3944" i="68"/>
  <c r="F3624" i="68"/>
  <c r="F3722" i="68"/>
  <c r="D3101" i="68"/>
  <c r="F371" i="68"/>
  <c r="F146" i="68"/>
  <c r="F1598" i="68"/>
  <c r="D2308" i="68"/>
  <c r="F513" i="68"/>
  <c r="F3501" i="68"/>
  <c r="D2953" i="68"/>
  <c r="F675" i="68"/>
  <c r="F4103" i="68"/>
  <c r="F345" i="68"/>
  <c r="E247" i="68"/>
  <c r="F249" i="68"/>
  <c r="F101" i="68"/>
  <c r="F451" i="68"/>
  <c r="E3657" i="68"/>
  <c r="F3657" i="68" s="1"/>
  <c r="E2157" i="68"/>
  <c r="F2159" i="68"/>
  <c r="F1469" i="68"/>
  <c r="F1138" i="68"/>
  <c r="F1794" i="68"/>
  <c r="F3783" i="68"/>
  <c r="F2145" i="68"/>
  <c r="F1523" i="68"/>
  <c r="E1521" i="68"/>
  <c r="E819" i="68"/>
  <c r="F819" i="68" s="1"/>
  <c r="F821" i="68"/>
  <c r="D128" i="68"/>
  <c r="E3413" i="68"/>
  <c r="F3415" i="68"/>
  <c r="D3644" i="68"/>
  <c r="F3644" i="68" s="1"/>
  <c r="F3645" i="68"/>
  <c r="F1456" i="68"/>
  <c r="E128" i="68"/>
  <c r="F130" i="68"/>
  <c r="F1422" i="68"/>
  <c r="E12" i="68"/>
  <c r="F12" i="68" s="1"/>
  <c r="F3103" i="68"/>
  <c r="E3101" i="68"/>
  <c r="F3227" i="68"/>
  <c r="F1388" i="68"/>
  <c r="E2953" i="68"/>
  <c r="F3070" i="68"/>
  <c r="F1743" i="68"/>
  <c r="E1741" i="68"/>
  <c r="E1279" i="68"/>
  <c r="F1279" i="68" s="1"/>
  <c r="D819" i="68"/>
  <c r="D730" i="79"/>
  <c r="E730" i="79" s="1"/>
  <c r="E727" i="79"/>
  <c r="E649" i="79"/>
  <c r="D591" i="79"/>
  <c r="E591" i="79" s="1"/>
  <c r="D597" i="79"/>
  <c r="E597" i="79" s="1"/>
  <c r="E588" i="79"/>
  <c r="E137" i="79"/>
  <c r="D95" i="79"/>
  <c r="E95" i="79" s="1"/>
  <c r="E96" i="79"/>
  <c r="E34" i="79"/>
  <c r="D37" i="79"/>
  <c r="E37" i="79" s="1"/>
  <c r="D41" i="79"/>
  <c r="E41" i="79" s="1"/>
  <c r="D54" i="56"/>
  <c r="E379" i="78"/>
  <c r="D378" i="78"/>
  <c r="D377" i="78" s="1"/>
  <c r="E377" i="78" s="1"/>
  <c r="E349" i="78"/>
  <c r="E352" i="78"/>
  <c r="E361" i="78"/>
  <c r="E362" i="78"/>
  <c r="E375" i="78"/>
  <c r="E374" i="78"/>
  <c r="E370" i="78"/>
  <c r="E366" i="78"/>
  <c r="E360" i="78"/>
  <c r="E356" i="78"/>
  <c r="E346" i="78"/>
  <c r="E342" i="78"/>
  <c r="D373" i="78"/>
  <c r="D372" i="78" s="1"/>
  <c r="E372" i="78" s="1"/>
  <c r="D369" i="78"/>
  <c r="E369" i="78" s="1"/>
  <c r="D368" i="78"/>
  <c r="E368" i="78" s="1"/>
  <c r="D365" i="78"/>
  <c r="D364" i="78" s="1"/>
  <c r="E364" i="78" s="1"/>
  <c r="D359" i="78"/>
  <c r="D358" i="78" s="1"/>
  <c r="E358" i="78" s="1"/>
  <c r="D355" i="78"/>
  <c r="D354" i="78" s="1"/>
  <c r="E354" i="78" s="1"/>
  <c r="D351" i="78"/>
  <c r="D348" i="78"/>
  <c r="E348" i="78" s="1"/>
  <c r="D341" i="78"/>
  <c r="D340" i="78" s="1"/>
  <c r="E340" i="78" s="1"/>
  <c r="E819" i="78"/>
  <c r="E809" i="78"/>
  <c r="E812" i="78"/>
  <c r="E813" i="78"/>
  <c r="E814" i="78"/>
  <c r="E808" i="78"/>
  <c r="E818" i="78"/>
  <c r="E817" i="78"/>
  <c r="E823" i="78"/>
  <c r="E826" i="78"/>
  <c r="D825" i="78"/>
  <c r="E825" i="78" s="1"/>
  <c r="D822" i="78"/>
  <c r="D821" i="78" s="1"/>
  <c r="E821" i="78" s="1"/>
  <c r="D816" i="78"/>
  <c r="E816" i="78" s="1"/>
  <c r="D811" i="78"/>
  <c r="E811" i="78" s="1"/>
  <c r="D807" i="78"/>
  <c r="E807" i="78" s="1"/>
  <c r="D829" i="78"/>
  <c r="D828" i="78" s="1"/>
  <c r="E744" i="78"/>
  <c r="E743" i="78"/>
  <c r="E736" i="78"/>
  <c r="E739" i="78"/>
  <c r="E735" i="78"/>
  <c r="E731" i="78"/>
  <c r="E730" i="78"/>
  <c r="D742" i="78"/>
  <c r="D741" i="78" s="1"/>
  <c r="E741" i="78" s="1"/>
  <c r="D738" i="78"/>
  <c r="E738" i="78" s="1"/>
  <c r="D734" i="78"/>
  <c r="E734" i="78" s="1"/>
  <c r="D729" i="78"/>
  <c r="E729" i="78" s="1"/>
  <c r="D49" i="56"/>
  <c r="E359" i="78" l="1"/>
  <c r="D3413" i="68"/>
  <c r="D126" i="68" s="1"/>
  <c r="D4178" i="68" s="1"/>
  <c r="G126" i="68"/>
  <c r="G4178" i="68" s="1"/>
  <c r="E2308" i="68"/>
  <c r="F2308" i="68" s="1"/>
  <c r="F1521" i="68"/>
  <c r="F3101" i="68"/>
  <c r="F2953" i="68"/>
  <c r="F247" i="68"/>
  <c r="F2157" i="68"/>
  <c r="F1741" i="68"/>
  <c r="F3413" i="68"/>
  <c r="F128" i="68"/>
  <c r="D345" i="78"/>
  <c r="E345" i="78" s="1"/>
  <c r="E355" i="78"/>
  <c r="E373" i="78"/>
  <c r="E378" i="78"/>
  <c r="D344" i="78"/>
  <c r="E344" i="78" s="1"/>
  <c r="E341" i="78"/>
  <c r="E365" i="78"/>
  <c r="E351" i="78"/>
  <c r="E822" i="78"/>
  <c r="D806" i="78"/>
  <c r="E806" i="78" s="1"/>
  <c r="D733" i="78"/>
  <c r="E733" i="78" s="1"/>
  <c r="E742" i="78"/>
  <c r="E50" i="56"/>
  <c r="E22" i="79"/>
  <c r="E25" i="79"/>
  <c r="E28" i="79"/>
  <c r="E31" i="79"/>
  <c r="E19" i="79"/>
  <c r="E78" i="78"/>
  <c r="E77" i="78"/>
  <c r="E81" i="78"/>
  <c r="E20" i="78"/>
  <c r="E21" i="78"/>
  <c r="E22" i="78"/>
  <c r="E23" i="78"/>
  <c r="E24" i="78"/>
  <c r="E25" i="78"/>
  <c r="E26" i="78"/>
  <c r="E27" i="78"/>
  <c r="E28" i="78"/>
  <c r="E29" i="78"/>
  <c r="E30" i="78"/>
  <c r="E31" i="78"/>
  <c r="E32" i="78"/>
  <c r="E33" i="78"/>
  <c r="E34" i="78"/>
  <c r="E35" i="78"/>
  <c r="E36" i="78"/>
  <c r="E37" i="78"/>
  <c r="E38" i="78"/>
  <c r="E39" i="78"/>
  <c r="E40" i="78"/>
  <c r="E41" i="78"/>
  <c r="E42" i="78"/>
  <c r="E43" i="78"/>
  <c r="E44" i="78"/>
  <c r="E45" i="78"/>
  <c r="E46" i="78"/>
  <c r="E47" i="78"/>
  <c r="E48" i="78"/>
  <c r="E49" i="78"/>
  <c r="E50" i="78"/>
  <c r="E51" i="78"/>
  <c r="E52" i="78"/>
  <c r="E53" i="78"/>
  <c r="E56" i="78"/>
  <c r="E57" i="78"/>
  <c r="E60" i="78"/>
  <c r="E63" i="78"/>
  <c r="E64" i="78"/>
  <c r="E65" i="78"/>
  <c r="E66" i="78"/>
  <c r="E67" i="78"/>
  <c r="E68" i="78"/>
  <c r="E69" i="78"/>
  <c r="E70" i="78"/>
  <c r="E71" i="78"/>
  <c r="E74" i="78"/>
  <c r="E17" i="78"/>
  <c r="E126" i="68" l="1"/>
  <c r="E769" i="79"/>
  <c r="E770" i="79"/>
  <c r="E771" i="79"/>
  <c r="E774" i="79"/>
  <c r="E775" i="79"/>
  <c r="E776" i="79"/>
  <c r="E777" i="79"/>
  <c r="E778" i="79"/>
  <c r="E779" i="79"/>
  <c r="E780" i="79"/>
  <c r="E781" i="79"/>
  <c r="E782" i="79"/>
  <c r="E783" i="79"/>
  <c r="E784" i="79"/>
  <c r="E785" i="79"/>
  <c r="E786" i="79"/>
  <c r="E787" i="79"/>
  <c r="E790" i="79"/>
  <c r="E791" i="79"/>
  <c r="E792" i="79"/>
  <c r="E793" i="79"/>
  <c r="E794" i="79"/>
  <c r="E795" i="79"/>
  <c r="E796" i="79"/>
  <c r="E797" i="79"/>
  <c r="E798" i="79"/>
  <c r="E799" i="79"/>
  <c r="E800" i="79"/>
  <c r="E801" i="79"/>
  <c r="E802" i="79"/>
  <c r="E803" i="79"/>
  <c r="E806" i="79"/>
  <c r="E807" i="79"/>
  <c r="E808" i="79"/>
  <c r="E809" i="79"/>
  <c r="E810" i="79"/>
  <c r="E811" i="79"/>
  <c r="E814" i="79"/>
  <c r="E815" i="79"/>
  <c r="E816" i="79"/>
  <c r="E817" i="79"/>
  <c r="E818" i="79"/>
  <c r="E819" i="79"/>
  <c r="E820" i="79"/>
  <c r="E821" i="79"/>
  <c r="E822" i="79"/>
  <c r="E823" i="79"/>
  <c r="E824" i="79"/>
  <c r="E825" i="79"/>
  <c r="E826" i="79"/>
  <c r="E827" i="79"/>
  <c r="E828" i="79"/>
  <c r="E829" i="79"/>
  <c r="E830" i="79"/>
  <c r="E831" i="79"/>
  <c r="E834" i="79"/>
  <c r="E835" i="79"/>
  <c r="E836" i="79"/>
  <c r="E837" i="79"/>
  <c r="E838" i="79"/>
  <c r="E839" i="79"/>
  <c r="E842" i="79"/>
  <c r="E843" i="79"/>
  <c r="E846" i="79"/>
  <c r="E847" i="79"/>
  <c r="E850" i="79"/>
  <c r="E851" i="79"/>
  <c r="E768" i="79"/>
  <c r="E915" i="78"/>
  <c r="E836" i="78"/>
  <c r="E839" i="78"/>
  <c r="E840" i="78"/>
  <c r="E841" i="78"/>
  <c r="E842" i="78"/>
  <c r="E843" i="78"/>
  <c r="E846" i="78"/>
  <c r="E847" i="78"/>
  <c r="E848" i="78"/>
  <c r="E849" i="78"/>
  <c r="E850" i="78"/>
  <c r="E851" i="78"/>
  <c r="E852" i="78"/>
  <c r="E853" i="78"/>
  <c r="E854" i="78"/>
  <c r="E855" i="78"/>
  <c r="E856" i="78"/>
  <c r="E857" i="78"/>
  <c r="E858" i="78"/>
  <c r="E859" i="78"/>
  <c r="E860" i="78"/>
  <c r="E863" i="78"/>
  <c r="E866" i="78"/>
  <c r="E867" i="78"/>
  <c r="E868" i="78"/>
  <c r="E869" i="78"/>
  <c r="E870" i="78"/>
  <c r="E871" i="78"/>
  <c r="E872" i="78"/>
  <c r="E873" i="78"/>
  <c r="E874" i="78"/>
  <c r="E875" i="78"/>
  <c r="E876" i="78"/>
  <c r="E877" i="78"/>
  <c r="E878" i="78"/>
  <c r="E881" i="78"/>
  <c r="E884" i="78"/>
  <c r="E885" i="78"/>
  <c r="E886" i="78"/>
  <c r="E887" i="78"/>
  <c r="E888" i="78"/>
  <c r="E889" i="78"/>
  <c r="E890" i="78"/>
  <c r="E891" i="78"/>
  <c r="E892" i="78"/>
  <c r="E893" i="78"/>
  <c r="E896" i="78"/>
  <c r="E899" i="78"/>
  <c r="E900" i="78"/>
  <c r="E901" i="78"/>
  <c r="E902" i="78"/>
  <c r="E903" i="78"/>
  <c r="E904" i="78"/>
  <c r="E905" i="78"/>
  <c r="E906" i="78"/>
  <c r="E907" i="78"/>
  <c r="E908" i="78"/>
  <c r="E911" i="78"/>
  <c r="E835" i="78"/>
  <c r="D3668" i="23"/>
  <c r="D3666" i="23" s="1"/>
  <c r="E603" i="79"/>
  <c r="E602" i="79"/>
  <c r="E524" i="79"/>
  <c r="E525" i="79"/>
  <c r="E526" i="79"/>
  <c r="E529" i="79"/>
  <c r="E532" i="79"/>
  <c r="E535" i="79"/>
  <c r="E538" i="79"/>
  <c r="E539" i="79"/>
  <c r="E542" i="79"/>
  <c r="E543" i="79"/>
  <c r="E544" i="79"/>
  <c r="E545" i="79"/>
  <c r="E546" i="79"/>
  <c r="E547" i="79"/>
  <c r="E548" i="79"/>
  <c r="E551" i="79"/>
  <c r="E554" i="79"/>
  <c r="E555" i="79"/>
  <c r="E556" i="79"/>
  <c r="E557" i="79"/>
  <c r="E558" i="79"/>
  <c r="E559" i="79"/>
  <c r="E560" i="79"/>
  <c r="E561" i="79"/>
  <c r="E562" i="79"/>
  <c r="E563" i="79"/>
  <c r="E564" i="79"/>
  <c r="E565" i="79"/>
  <c r="E568" i="79"/>
  <c r="E569" i="79"/>
  <c r="E572" i="79"/>
  <c r="E575" i="79"/>
  <c r="E576" i="79"/>
  <c r="E577" i="79"/>
  <c r="E578" i="79"/>
  <c r="E581" i="79"/>
  <c r="E582" i="79"/>
  <c r="E585" i="79"/>
  <c r="E523" i="79"/>
  <c r="D692" i="78"/>
  <c r="D691" i="78" s="1"/>
  <c r="E691" i="78" s="1"/>
  <c r="E598" i="78"/>
  <c r="E599" i="78"/>
  <c r="E600" i="78"/>
  <c r="E603" i="78"/>
  <c r="E604" i="78"/>
  <c r="E605" i="78"/>
  <c r="E606" i="78"/>
  <c r="E607" i="78"/>
  <c r="E608" i="78"/>
  <c r="E609" i="78"/>
  <c r="E610" i="78"/>
  <c r="E611" i="78"/>
  <c r="E612" i="78"/>
  <c r="E613" i="78"/>
  <c r="E614" i="78"/>
  <c r="E615" i="78"/>
  <c r="E616" i="78"/>
  <c r="E617" i="78"/>
  <c r="E618" i="78"/>
  <c r="E619" i="78"/>
  <c r="E620" i="78"/>
  <c r="E621" i="78"/>
  <c r="E622" i="78"/>
  <c r="E623" i="78"/>
  <c r="E624" i="78"/>
  <c r="E625" i="78"/>
  <c r="E626" i="78"/>
  <c r="E627" i="78"/>
  <c r="E628" i="78"/>
  <c r="E629" i="78"/>
  <c r="E630" i="78"/>
  <c r="E631" i="78"/>
  <c r="E632" i="78"/>
  <c r="E633" i="78"/>
  <c r="E634" i="78"/>
  <c r="E635" i="78"/>
  <c r="E636" i="78"/>
  <c r="E637" i="78"/>
  <c r="E638" i="78"/>
  <c r="E639" i="78"/>
  <c r="E640" i="78"/>
  <c r="E643" i="78"/>
  <c r="E644" i="78"/>
  <c r="E645" i="78"/>
  <c r="E646" i="78"/>
  <c r="E649" i="78"/>
  <c r="E650" i="78"/>
  <c r="E651" i="78"/>
  <c r="E652" i="78"/>
  <c r="E653" i="78"/>
  <c r="E654" i="78"/>
  <c r="E655" i="78"/>
  <c r="E656" i="78"/>
  <c r="E657" i="78"/>
  <c r="E658" i="78"/>
  <c r="E659" i="78"/>
  <c r="E660" i="78"/>
  <c r="E661" i="78"/>
  <c r="E662" i="78"/>
  <c r="E663" i="78"/>
  <c r="E664" i="78"/>
  <c r="E667" i="78"/>
  <c r="E668" i="78"/>
  <c r="E669" i="78"/>
  <c r="E672" i="78"/>
  <c r="E673" i="78"/>
  <c r="E674" i="78"/>
  <c r="E675" i="78"/>
  <c r="E676" i="78"/>
  <c r="E677" i="78"/>
  <c r="E678" i="78"/>
  <c r="E679" i="78"/>
  <c r="E680" i="78"/>
  <c r="E681" i="78"/>
  <c r="E684" i="78"/>
  <c r="E685" i="78"/>
  <c r="E686" i="78"/>
  <c r="E687" i="78"/>
  <c r="E688" i="78"/>
  <c r="E689" i="78"/>
  <c r="E693" i="78"/>
  <c r="E694" i="78"/>
  <c r="E597" i="78"/>
  <c r="D2950" i="23"/>
  <c r="E4178" i="68" l="1"/>
  <c r="F4178" i="68" s="1"/>
  <c r="F126" i="68"/>
  <c r="E692" i="78"/>
  <c r="E349" i="79"/>
  <c r="E350" i="79"/>
  <c r="E351" i="79"/>
  <c r="E352" i="79"/>
  <c r="E353" i="79"/>
  <c r="E354" i="79"/>
  <c r="E355" i="79"/>
  <c r="E358" i="79"/>
  <c r="E359" i="79"/>
  <c r="E360" i="79"/>
  <c r="E361" i="79"/>
  <c r="E364" i="79"/>
  <c r="E365" i="79"/>
  <c r="E366" i="79"/>
  <c r="E367" i="79"/>
  <c r="E370" i="79"/>
  <c r="E371" i="79"/>
  <c r="E372" i="79"/>
  <c r="E373" i="79"/>
  <c r="E374" i="79"/>
  <c r="E375" i="79"/>
  <c r="E376" i="79"/>
  <c r="E377" i="79"/>
  <c r="E378" i="79"/>
  <c r="E379" i="79"/>
  <c r="E380" i="79"/>
  <c r="E381" i="79"/>
  <c r="E382" i="79"/>
  <c r="E383" i="79"/>
  <c r="E384" i="79"/>
  <c r="E385" i="79"/>
  <c r="E386" i="79"/>
  <c r="E387" i="79"/>
  <c r="E388" i="79"/>
  <c r="E389" i="79"/>
  <c r="E390" i="79"/>
  <c r="E391" i="79"/>
  <c r="E392" i="79"/>
  <c r="E393" i="79"/>
  <c r="E394" i="79"/>
  <c r="E395" i="79"/>
  <c r="E396" i="79"/>
  <c r="E397" i="79"/>
  <c r="E400" i="79"/>
  <c r="E401" i="79"/>
  <c r="E402" i="79"/>
  <c r="E403" i="79"/>
  <c r="E406" i="79"/>
  <c r="E407" i="79"/>
  <c r="E408" i="79"/>
  <c r="E409" i="79"/>
  <c r="E410" i="79"/>
  <c r="E411" i="79"/>
  <c r="E412" i="79"/>
  <c r="E413" i="79"/>
  <c r="E414" i="79"/>
  <c r="E415" i="79"/>
  <c r="E419" i="79"/>
  <c r="E422" i="79"/>
  <c r="E425" i="79"/>
  <c r="E426" i="79"/>
  <c r="E427" i="79"/>
  <c r="E428" i="79"/>
  <c r="E429" i="79"/>
  <c r="E432" i="79"/>
  <c r="E436" i="79"/>
  <c r="E348" i="79"/>
  <c r="E532" i="78"/>
  <c r="E533" i="78"/>
  <c r="E534" i="78"/>
  <c r="E535" i="78"/>
  <c r="E536" i="78"/>
  <c r="E537" i="78"/>
  <c r="E538" i="78"/>
  <c r="E539" i="78"/>
  <c r="E495" i="78"/>
  <c r="E496" i="78"/>
  <c r="E497" i="78"/>
  <c r="E498" i="78"/>
  <c r="E499" i="78"/>
  <c r="E500" i="78"/>
  <c r="E501" i="78"/>
  <c r="E502" i="78"/>
  <c r="E503" i="78"/>
  <c r="E504" i="78"/>
  <c r="E507" i="78"/>
  <c r="E508" i="78"/>
  <c r="E509" i="78"/>
  <c r="E510" i="78"/>
  <c r="E511" i="78"/>
  <c r="E512" i="78"/>
  <c r="E513" i="78"/>
  <c r="E514" i="78"/>
  <c r="E517" i="78"/>
  <c r="E520" i="78"/>
  <c r="E521" i="78"/>
  <c r="E522" i="78"/>
  <c r="E523" i="78"/>
  <c r="E524" i="78"/>
  <c r="E525" i="78"/>
  <c r="E526" i="78"/>
  <c r="E527" i="78"/>
  <c r="E528" i="78"/>
  <c r="E491" i="78"/>
  <c r="E492" i="78"/>
  <c r="E481" i="78"/>
  <c r="E482" i="78"/>
  <c r="E483" i="78"/>
  <c r="E484" i="78"/>
  <c r="E485" i="78"/>
  <c r="E486" i="78"/>
  <c r="E487" i="78"/>
  <c r="E488" i="78"/>
  <c r="E470" i="78"/>
  <c r="E471" i="78"/>
  <c r="E472" i="78"/>
  <c r="E473" i="78"/>
  <c r="E474" i="78"/>
  <c r="E475" i="78"/>
  <c r="E476" i="78"/>
  <c r="E477" i="78"/>
  <c r="E478" i="78"/>
  <c r="E464" i="78"/>
  <c r="E465" i="78"/>
  <c r="E466" i="78"/>
  <c r="E467" i="78"/>
  <c r="E440" i="78"/>
  <c r="E441" i="78"/>
  <c r="E442" i="78"/>
  <c r="E443" i="78"/>
  <c r="E444" i="78"/>
  <c r="E445" i="78"/>
  <c r="E446" i="78"/>
  <c r="E447" i="78"/>
  <c r="E448" i="78"/>
  <c r="E449" i="78"/>
  <c r="E450" i="78"/>
  <c r="E451" i="78"/>
  <c r="E452" i="78"/>
  <c r="E453" i="78"/>
  <c r="E454" i="78"/>
  <c r="E455" i="78"/>
  <c r="E456" i="78"/>
  <c r="E457" i="78"/>
  <c r="E458" i="78"/>
  <c r="E459" i="78"/>
  <c r="E460" i="78"/>
  <c r="E461" i="78"/>
  <c r="E437" i="78"/>
  <c r="Q1956" i="23"/>
  <c r="Q1955" i="23" s="1"/>
  <c r="D2158" i="23"/>
  <c r="D2185" i="23"/>
  <c r="D2194" i="23"/>
  <c r="D2199" i="23"/>
  <c r="D2204" i="23"/>
  <c r="D2333" i="23"/>
  <c r="D2337" i="23"/>
  <c r="D2301" i="23"/>
  <c r="D2304" i="23"/>
  <c r="D2193" i="23" l="1"/>
  <c r="D2332" i="23"/>
  <c r="D2300" i="23"/>
  <c r="E4336" i="23" l="1"/>
  <c r="E4338" i="23"/>
  <c r="F168" i="67" l="1"/>
  <c r="D3720" i="23" l="1"/>
  <c r="D3723" i="23"/>
  <c r="D3728" i="23"/>
  <c r="D3748" i="23"/>
  <c r="D3752" i="23"/>
  <c r="D3755" i="23"/>
  <c r="D3719" i="23" l="1"/>
  <c r="E1021" i="79" l="1"/>
  <c r="E1018" i="79"/>
  <c r="E1014" i="79"/>
  <c r="E1010" i="79"/>
  <c r="E1006" i="79"/>
  <c r="E1002" i="79"/>
  <c r="E998" i="79"/>
  <c r="E994" i="79"/>
  <c r="E993" i="79"/>
  <c r="E992" i="79"/>
  <c r="E990" i="79"/>
  <c r="E986" i="79"/>
  <c r="E982" i="79"/>
  <c r="E978" i="79"/>
  <c r="E974" i="79"/>
  <c r="E970" i="79"/>
  <c r="E966" i="79"/>
  <c r="E909" i="79"/>
  <c r="E910" i="79"/>
  <c r="E911" i="79"/>
  <c r="E912" i="79"/>
  <c r="E913" i="79"/>
  <c r="E914" i="79"/>
  <c r="E915" i="79"/>
  <c r="E916" i="79"/>
  <c r="E919" i="79"/>
  <c r="E922" i="79"/>
  <c r="E923" i="79"/>
  <c r="E924" i="79"/>
  <c r="E927" i="79"/>
  <c r="E928" i="79"/>
  <c r="E929" i="79"/>
  <c r="E930" i="79"/>
  <c r="E933" i="79"/>
  <c r="E934" i="79"/>
  <c r="E935" i="79"/>
  <c r="E936" i="79"/>
  <c r="E939" i="79"/>
  <c r="E942" i="79"/>
  <c r="E943" i="79"/>
  <c r="E944" i="79"/>
  <c r="E945" i="79"/>
  <c r="E946" i="79"/>
  <c r="E947" i="79"/>
  <c r="E948" i="79"/>
  <c r="E949" i="79"/>
  <c r="E952" i="79"/>
  <c r="E955" i="79"/>
  <c r="E958" i="79"/>
  <c r="E959" i="79"/>
  <c r="E960" i="79"/>
  <c r="E961" i="79"/>
  <c r="E962" i="79"/>
  <c r="E906" i="79"/>
  <c r="E1020" i="78"/>
  <c r="E961" i="78"/>
  <c r="E962" i="78"/>
  <c r="E963" i="78"/>
  <c r="E964" i="78"/>
  <c r="E965" i="78"/>
  <c r="E966" i="78"/>
  <c r="E969" i="78"/>
  <c r="E970" i="78"/>
  <c r="E971" i="78"/>
  <c r="E972" i="78"/>
  <c r="E973" i="78"/>
  <c r="E974" i="78"/>
  <c r="E975" i="78"/>
  <c r="E976" i="78"/>
  <c r="E977" i="78"/>
  <c r="E978" i="78"/>
  <c r="E981" i="78"/>
  <c r="E982" i="78"/>
  <c r="E983" i="78"/>
  <c r="E984" i="78"/>
  <c r="E985" i="78"/>
  <c r="E988" i="78"/>
  <c r="E989" i="78"/>
  <c r="E992" i="78"/>
  <c r="E993" i="78"/>
  <c r="E996" i="78"/>
  <c r="E997" i="78"/>
  <c r="E1000" i="78"/>
  <c r="E1001" i="78"/>
  <c r="E1002" i="78"/>
  <c r="E1005" i="78"/>
  <c r="E1006" i="78"/>
  <c r="E1007" i="78"/>
  <c r="E1008" i="78"/>
  <c r="E1009" i="78"/>
  <c r="E1010" i="78"/>
  <c r="E1011" i="78"/>
  <c r="E1012" i="78"/>
  <c r="E1013" i="78"/>
  <c r="E1014" i="78"/>
  <c r="E1015" i="78"/>
  <c r="E1016" i="78"/>
  <c r="E960" i="78"/>
  <c r="D4333" i="23"/>
  <c r="D4332" i="23" s="1"/>
  <c r="E859" i="79"/>
  <c r="E860" i="79"/>
  <c r="E862" i="79"/>
  <c r="E863" i="79"/>
  <c r="E864" i="79"/>
  <c r="E865" i="79"/>
  <c r="E867" i="79"/>
  <c r="E868" i="79"/>
  <c r="E870" i="79"/>
  <c r="E871" i="79"/>
  <c r="E872" i="79"/>
  <c r="E874" i="79"/>
  <c r="E875" i="79"/>
  <c r="E877" i="79"/>
  <c r="E878" i="79"/>
  <c r="E879" i="79"/>
  <c r="E881" i="79"/>
  <c r="E882" i="79"/>
  <c r="E884" i="79"/>
  <c r="E885" i="79"/>
  <c r="E857" i="79"/>
  <c r="E856" i="79"/>
  <c r="E923" i="78"/>
  <c r="E924" i="78"/>
  <c r="E925" i="78"/>
  <c r="E926" i="78"/>
  <c r="E928" i="78"/>
  <c r="E929" i="78"/>
  <c r="E930" i="78"/>
  <c r="E931" i="78"/>
  <c r="E932" i="78"/>
  <c r="E933" i="78"/>
  <c r="E934" i="78"/>
  <c r="E935" i="78"/>
  <c r="E936" i="78"/>
  <c r="E937" i="78"/>
  <c r="E938" i="78"/>
  <c r="E939" i="78"/>
  <c r="E940" i="78"/>
  <c r="E941" i="78"/>
  <c r="E942" i="78"/>
  <c r="E943" i="78"/>
  <c r="E944" i="78"/>
  <c r="E945" i="78"/>
  <c r="E946" i="78"/>
  <c r="E948" i="78"/>
  <c r="E949" i="78"/>
  <c r="E921" i="78"/>
  <c r="E920" i="78"/>
  <c r="D3937" i="23"/>
  <c r="E762" i="79"/>
  <c r="E761" i="79"/>
  <c r="E723" i="79"/>
  <c r="E724" i="79"/>
  <c r="E720" i="79"/>
  <c r="E657" i="79"/>
  <c r="E660" i="79"/>
  <c r="E661" i="79"/>
  <c r="E662" i="79"/>
  <c r="E663" i="79"/>
  <c r="E664" i="79"/>
  <c r="E665" i="79"/>
  <c r="E666" i="79"/>
  <c r="E667" i="79"/>
  <c r="E668" i="79"/>
  <c r="E669" i="79"/>
  <c r="E670" i="79"/>
  <c r="E671" i="79"/>
  <c r="E672" i="79"/>
  <c r="E675" i="79"/>
  <c r="E676" i="79"/>
  <c r="E677" i="79"/>
  <c r="E679" i="79"/>
  <c r="E680" i="79"/>
  <c r="E681" i="79"/>
  <c r="E682" i="79"/>
  <c r="E683" i="79"/>
  <c r="E684" i="79"/>
  <c r="E685" i="79"/>
  <c r="E686" i="79"/>
  <c r="E687" i="79"/>
  <c r="E688" i="79"/>
  <c r="E691" i="79"/>
  <c r="E692" i="79"/>
  <c r="E693" i="79"/>
  <c r="E694" i="79"/>
  <c r="E695" i="79"/>
  <c r="E696" i="79"/>
  <c r="E699" i="79"/>
  <c r="E700" i="79"/>
  <c r="E701" i="79"/>
  <c r="E702" i="79"/>
  <c r="E703" i="79"/>
  <c r="E704" i="79"/>
  <c r="E705" i="79"/>
  <c r="E706" i="79"/>
  <c r="E707" i="79"/>
  <c r="E708" i="79"/>
  <c r="E709" i="79"/>
  <c r="E710" i="79"/>
  <c r="E711" i="79"/>
  <c r="E712" i="79"/>
  <c r="E713" i="79"/>
  <c r="E714" i="79"/>
  <c r="E715" i="79"/>
  <c r="E716" i="79"/>
  <c r="E656" i="79"/>
  <c r="E830" i="78"/>
  <c r="E753" i="78"/>
  <c r="E754" i="78"/>
  <c r="E755" i="78"/>
  <c r="E756" i="78"/>
  <c r="E759" i="78"/>
  <c r="E760" i="78"/>
  <c r="E761" i="78"/>
  <c r="E762" i="78"/>
  <c r="E763" i="78"/>
  <c r="E764" i="78"/>
  <c r="E765" i="78"/>
  <c r="E766" i="78"/>
  <c r="E767" i="78"/>
  <c r="E768" i="78"/>
  <c r="E769" i="78"/>
  <c r="E770" i="78"/>
  <c r="E771" i="78"/>
  <c r="E772" i="78"/>
  <c r="E773" i="78"/>
  <c r="E774" i="78"/>
  <c r="E775" i="78"/>
  <c r="E776" i="78"/>
  <c r="E779" i="78"/>
  <c r="E780" i="78"/>
  <c r="E783" i="78"/>
  <c r="E784" i="78"/>
  <c r="E785" i="78"/>
  <c r="E786" i="78"/>
  <c r="E787" i="78"/>
  <c r="E788" i="78"/>
  <c r="E791" i="78"/>
  <c r="E792" i="78"/>
  <c r="E795" i="78"/>
  <c r="E796" i="78"/>
  <c r="E799" i="78"/>
  <c r="E802" i="78"/>
  <c r="E803" i="78"/>
  <c r="E804" i="78"/>
  <c r="E750" i="78"/>
  <c r="E751" i="78"/>
  <c r="E752" i="78"/>
  <c r="E749" i="78"/>
  <c r="D3470" i="23"/>
  <c r="E612" i="79"/>
  <c r="E613" i="79"/>
  <c r="E614" i="79"/>
  <c r="E617" i="79"/>
  <c r="E618" i="79"/>
  <c r="E621" i="79"/>
  <c r="E624" i="79"/>
  <c r="E627" i="79"/>
  <c r="E630" i="79"/>
  <c r="E631" i="79"/>
  <c r="E634" i="79"/>
  <c r="E635" i="79"/>
  <c r="E636" i="79"/>
  <c r="E639" i="79"/>
  <c r="E640" i="79"/>
  <c r="E643" i="79"/>
  <c r="E646" i="79"/>
  <c r="E609" i="79"/>
  <c r="E727" i="78"/>
  <c r="E703" i="78"/>
  <c r="E706" i="78"/>
  <c r="E707" i="78"/>
  <c r="E708" i="78"/>
  <c r="E709" i="78"/>
  <c r="E710" i="78"/>
  <c r="E711" i="78"/>
  <c r="E714" i="78"/>
  <c r="E717" i="78"/>
  <c r="E718" i="78"/>
  <c r="E721" i="78"/>
  <c r="E722" i="78"/>
  <c r="E723" i="78"/>
  <c r="E700" i="78"/>
  <c r="D3157" i="23"/>
  <c r="D3156" i="23" s="1"/>
  <c r="E517" i="79"/>
  <c r="E513" i="79"/>
  <c r="E443" i="79"/>
  <c r="E444" i="79"/>
  <c r="E445" i="79"/>
  <c r="E446" i="79"/>
  <c r="E447" i="79"/>
  <c r="E448" i="79"/>
  <c r="E449" i="79"/>
  <c r="E450" i="79"/>
  <c r="E451" i="79"/>
  <c r="E452" i="79"/>
  <c r="E453" i="79"/>
  <c r="E454" i="79"/>
  <c r="E455" i="79"/>
  <c r="E456" i="79"/>
  <c r="E458" i="79"/>
  <c r="E459" i="79"/>
  <c r="E460" i="79"/>
  <c r="E461" i="79"/>
  <c r="E462" i="79"/>
  <c r="E464" i="79"/>
  <c r="E465" i="79"/>
  <c r="E466" i="79"/>
  <c r="E467" i="79"/>
  <c r="E469" i="79"/>
  <c r="E470" i="79"/>
  <c r="E471" i="79"/>
  <c r="E472" i="79"/>
  <c r="E473" i="79"/>
  <c r="E474" i="79"/>
  <c r="E476" i="79"/>
  <c r="E477" i="79"/>
  <c r="E478" i="79"/>
  <c r="E479" i="79"/>
  <c r="E480" i="79"/>
  <c r="E481" i="79"/>
  <c r="E483" i="79"/>
  <c r="E484" i="79"/>
  <c r="E485" i="79"/>
  <c r="E486" i="79"/>
  <c r="E487" i="79"/>
  <c r="E488" i="79"/>
  <c r="E489" i="79"/>
  <c r="E490" i="79"/>
  <c r="E491" i="79"/>
  <c r="E492" i="79"/>
  <c r="E494" i="79"/>
  <c r="E495" i="79"/>
  <c r="E496" i="79"/>
  <c r="E497" i="79"/>
  <c r="E498" i="79"/>
  <c r="E499" i="79"/>
  <c r="E500" i="79"/>
  <c r="E501" i="79"/>
  <c r="E502" i="79"/>
  <c r="E503" i="79"/>
  <c r="E504" i="79"/>
  <c r="E505" i="79"/>
  <c r="E442" i="79"/>
  <c r="E441" i="79"/>
  <c r="E592" i="78"/>
  <c r="E591" i="78"/>
  <c r="E587" i="78"/>
  <c r="E547" i="78"/>
  <c r="E548" i="78"/>
  <c r="E549" i="78"/>
  <c r="E551" i="78"/>
  <c r="E552" i="78"/>
  <c r="E553" i="78"/>
  <c r="E554" i="78"/>
  <c r="E556" i="78"/>
  <c r="E557" i="78"/>
  <c r="E558" i="78"/>
  <c r="E559" i="78"/>
  <c r="E560" i="78"/>
  <c r="E561" i="78"/>
  <c r="E562" i="78"/>
  <c r="E563" i="78"/>
  <c r="E564" i="78"/>
  <c r="E565" i="78"/>
  <c r="E566" i="78"/>
  <c r="E567" i="78"/>
  <c r="E568" i="78"/>
  <c r="E570" i="78"/>
  <c r="E571" i="78"/>
  <c r="E573" i="78"/>
  <c r="E574" i="78"/>
  <c r="E575" i="78"/>
  <c r="E576" i="78"/>
  <c r="E577" i="78"/>
  <c r="E578" i="78"/>
  <c r="E579" i="78"/>
  <c r="E580" i="78"/>
  <c r="E582" i="78"/>
  <c r="E583" i="78"/>
  <c r="E545" i="78"/>
  <c r="E544" i="78"/>
  <c r="D2520" i="23"/>
  <c r="D2519" i="23" s="1"/>
  <c r="E270" i="79"/>
  <c r="E271" i="79"/>
  <c r="E272" i="79"/>
  <c r="E273" i="79"/>
  <c r="E269" i="79"/>
  <c r="E268" i="79"/>
  <c r="E236" i="79"/>
  <c r="E237" i="79"/>
  <c r="E238" i="79"/>
  <c r="E240" i="79"/>
  <c r="E241" i="79"/>
  <c r="E243" i="79"/>
  <c r="E244" i="79"/>
  <c r="E245" i="79"/>
  <c r="E247" i="79"/>
  <c r="E248" i="79"/>
  <c r="E251" i="79"/>
  <c r="E252" i="79"/>
  <c r="E253" i="79"/>
  <c r="E254" i="79"/>
  <c r="E257" i="79"/>
  <c r="E259" i="79"/>
  <c r="E260" i="79"/>
  <c r="E263" i="79"/>
  <c r="E264" i="79"/>
  <c r="E233" i="79"/>
  <c r="E234" i="79"/>
  <c r="E382" i="78"/>
  <c r="E320" i="78"/>
  <c r="E323" i="78"/>
  <c r="E324" i="78"/>
  <c r="E327" i="78"/>
  <c r="E328" i="78"/>
  <c r="E330" i="78"/>
  <c r="E331" i="78"/>
  <c r="E332" i="78"/>
  <c r="E334" i="78"/>
  <c r="E335" i="78"/>
  <c r="E337" i="78"/>
  <c r="E338" i="78"/>
  <c r="E313" i="78"/>
  <c r="E314" i="78"/>
  <c r="E315" i="78"/>
  <c r="E316" i="78"/>
  <c r="E317" i="78"/>
  <c r="E342" i="79"/>
  <c r="E282" i="79"/>
  <c r="E283" i="79"/>
  <c r="E284" i="79"/>
  <c r="E285" i="79"/>
  <c r="E286" i="79"/>
  <c r="E287" i="79"/>
  <c r="E288" i="79"/>
  <c r="E289" i="79"/>
  <c r="E290" i="79"/>
  <c r="E293" i="79"/>
  <c r="E294" i="79"/>
  <c r="E295" i="79"/>
  <c r="E298" i="79"/>
  <c r="E299" i="79"/>
  <c r="E300" i="79"/>
  <c r="E303" i="79"/>
  <c r="E306" i="79"/>
  <c r="E307" i="79"/>
  <c r="E308" i="79"/>
  <c r="E309" i="79"/>
  <c r="E310" i="79"/>
  <c r="E311" i="79"/>
  <c r="E312" i="79"/>
  <c r="E315" i="79"/>
  <c r="E318" i="79"/>
  <c r="E319" i="79"/>
  <c r="E322" i="79"/>
  <c r="E325" i="79"/>
  <c r="E328" i="79"/>
  <c r="E329" i="79"/>
  <c r="E330" i="79"/>
  <c r="E331" i="79"/>
  <c r="E332" i="79"/>
  <c r="E333" i="79"/>
  <c r="E334" i="79"/>
  <c r="E335" i="79"/>
  <c r="E279" i="79"/>
  <c r="E432" i="78"/>
  <c r="E407" i="78"/>
  <c r="E408" i="78"/>
  <c r="E409" i="78"/>
  <c r="E412" i="78"/>
  <c r="E413" i="78"/>
  <c r="E416" i="78"/>
  <c r="E417" i="78"/>
  <c r="E418" i="78"/>
  <c r="E419" i="78"/>
  <c r="E420" i="78"/>
  <c r="E421" i="78"/>
  <c r="E422" i="78"/>
  <c r="E423" i="78"/>
  <c r="E424" i="78"/>
  <c r="E425" i="78"/>
  <c r="E426" i="78"/>
  <c r="E429" i="78"/>
  <c r="E392" i="78"/>
  <c r="E393" i="78"/>
  <c r="E394" i="78"/>
  <c r="E395" i="78"/>
  <c r="E396" i="78"/>
  <c r="E397" i="78"/>
  <c r="E398" i="78"/>
  <c r="E399" i="78"/>
  <c r="E400" i="78"/>
  <c r="E401" i="78"/>
  <c r="E402" i="78"/>
  <c r="E403" i="78"/>
  <c r="E404" i="78"/>
  <c r="E387" i="78"/>
  <c r="E388" i="78"/>
  <c r="E389" i="78"/>
  <c r="D1940" i="23"/>
  <c r="E227" i="79" l="1"/>
  <c r="E224" i="79"/>
  <c r="E220" i="79"/>
  <c r="E216" i="79"/>
  <c r="E212" i="79"/>
  <c r="E209" i="79"/>
  <c r="E206" i="79"/>
  <c r="E205" i="79"/>
  <c r="E204" i="79"/>
  <c r="E201" i="79"/>
  <c r="E200" i="79"/>
  <c r="E194" i="79"/>
  <c r="E195" i="79"/>
  <c r="E196" i="79"/>
  <c r="E197" i="79"/>
  <c r="E193" i="79"/>
  <c r="E187" i="79"/>
  <c r="E188" i="79"/>
  <c r="E189" i="79"/>
  <c r="E190" i="79"/>
  <c r="E183" i="79"/>
  <c r="E184" i="79"/>
  <c r="E180" i="79"/>
  <c r="E175" i="79"/>
  <c r="E176" i="79"/>
  <c r="E177" i="79"/>
  <c r="E172" i="79"/>
  <c r="E169" i="79"/>
  <c r="E157" i="79"/>
  <c r="E158" i="79"/>
  <c r="E159" i="79"/>
  <c r="E160" i="79"/>
  <c r="E161" i="79"/>
  <c r="E162" i="79"/>
  <c r="E163" i="79"/>
  <c r="E164" i="79"/>
  <c r="E165" i="79"/>
  <c r="E166" i="79"/>
  <c r="E156" i="79"/>
  <c r="E155" i="79"/>
  <c r="E151" i="79"/>
  <c r="E152" i="79"/>
  <c r="E148" i="79"/>
  <c r="D1369" i="23"/>
  <c r="E142" i="79"/>
  <c r="E134" i="79"/>
  <c r="E130" i="79"/>
  <c r="E127" i="79"/>
  <c r="E126" i="79"/>
  <c r="E125" i="79"/>
  <c r="E120" i="79"/>
  <c r="E121" i="79"/>
  <c r="E122" i="79"/>
  <c r="E115" i="79"/>
  <c r="E116" i="79"/>
  <c r="E117" i="79"/>
  <c r="E114" i="79"/>
  <c r="E113" i="79"/>
  <c r="E110" i="79"/>
  <c r="E307" i="78"/>
  <c r="E304" i="78"/>
  <c r="E299" i="78"/>
  <c r="E300" i="78"/>
  <c r="E298" i="78"/>
  <c r="E294" i="78"/>
  <c r="E287" i="78"/>
  <c r="E290" i="78"/>
  <c r="E281" i="78"/>
  <c r="E282" i="78"/>
  <c r="E283" i="78"/>
  <c r="E284" i="78"/>
  <c r="E277" i="78"/>
  <c r="E278" i="78"/>
  <c r="E272" i="78"/>
  <c r="E273" i="78"/>
  <c r="E274" i="78"/>
  <c r="E265" i="78"/>
  <c r="E266" i="78"/>
  <c r="E267" i="78"/>
  <c r="E268" i="78"/>
  <c r="E269" i="78"/>
  <c r="E246" i="78"/>
  <c r="E245" i="78"/>
  <c r="E247" i="78"/>
  <c r="E248" i="78"/>
  <c r="E249" i="78"/>
  <c r="E250" i="78"/>
  <c r="E251" i="78"/>
  <c r="E252" i="78"/>
  <c r="E253" i="78"/>
  <c r="E254" i="78"/>
  <c r="E255" i="78"/>
  <c r="E256" i="78"/>
  <c r="E257" i="78"/>
  <c r="E258" i="78"/>
  <c r="E259" i="78"/>
  <c r="E260" i="78"/>
  <c r="E261" i="78"/>
  <c r="E262" i="78"/>
  <c r="E244" i="78"/>
  <c r="E243" i="78"/>
  <c r="E242" i="78"/>
  <c r="E228" i="78"/>
  <c r="E229" i="78"/>
  <c r="E230" i="78"/>
  <c r="E231" i="78"/>
  <c r="E232" i="78"/>
  <c r="E233" i="78"/>
  <c r="E234" i="78"/>
  <c r="E235" i="78"/>
  <c r="E236" i="78"/>
  <c r="E237" i="78"/>
  <c r="E238" i="78"/>
  <c r="E239" i="78"/>
  <c r="E226" i="78"/>
  <c r="E227" i="78"/>
  <c r="E225" i="78"/>
  <c r="E222" i="78"/>
  <c r="E216" i="78" l="1"/>
  <c r="E212" i="78"/>
  <c r="E208" i="78"/>
  <c r="E204" i="78"/>
  <c r="E200" i="78"/>
  <c r="E196" i="78"/>
  <c r="E192" i="78"/>
  <c r="E188" i="78"/>
  <c r="E187" i="78"/>
  <c r="E184" i="78"/>
  <c r="E178" i="78"/>
  <c r="E179" i="78"/>
  <c r="E180" i="78"/>
  <c r="E181" i="78"/>
  <c r="E177" i="78"/>
  <c r="E176" i="78"/>
  <c r="E175" i="78"/>
  <c r="E172" i="78"/>
  <c r="E171" i="78"/>
  <c r="E170" i="78"/>
  <c r="E166" i="78"/>
  <c r="E167" i="78"/>
  <c r="E165" i="78"/>
  <c r="E164" i="78"/>
  <c r="E163" i="78"/>
  <c r="E150" i="78"/>
  <c r="E151" i="78"/>
  <c r="E152" i="78"/>
  <c r="E153" i="78"/>
  <c r="E154" i="78"/>
  <c r="E155" i="78"/>
  <c r="E156" i="78"/>
  <c r="E157" i="78"/>
  <c r="E158" i="78"/>
  <c r="E159" i="78"/>
  <c r="E160" i="78"/>
  <c r="E149" i="78"/>
  <c r="E145" i="78"/>
  <c r="E146" i="78"/>
  <c r="E140" i="78"/>
  <c r="E141" i="78"/>
  <c r="E142" i="78"/>
  <c r="E143" i="78"/>
  <c r="E144" i="78"/>
  <c r="E18" i="1"/>
  <c r="D796" i="23"/>
  <c r="E31" i="1"/>
  <c r="E30" i="1"/>
  <c r="E19" i="1"/>
  <c r="E20" i="1"/>
  <c r="E21" i="1"/>
  <c r="E22" i="1"/>
  <c r="E23" i="1"/>
  <c r="E24" i="1"/>
  <c r="E25" i="1"/>
  <c r="E26" i="1"/>
  <c r="E27" i="1"/>
  <c r="E28" i="1"/>
  <c r="E29" i="1"/>
  <c r="E17" i="1"/>
  <c r="E104" i="79"/>
  <c r="E93" i="79"/>
  <c r="E82" i="79"/>
  <c r="E83" i="79"/>
  <c r="E84" i="79"/>
  <c r="E85" i="79"/>
  <c r="E86" i="79"/>
  <c r="E87" i="79"/>
  <c r="E88" i="79"/>
  <c r="E54" i="79"/>
  <c r="E55" i="79"/>
  <c r="E56" i="79"/>
  <c r="E57" i="79"/>
  <c r="E58" i="79"/>
  <c r="E59" i="79"/>
  <c r="E60" i="79"/>
  <c r="E61" i="79"/>
  <c r="E62" i="79"/>
  <c r="E63" i="79"/>
  <c r="E64" i="79"/>
  <c r="E65" i="79"/>
  <c r="E66" i="79"/>
  <c r="E67" i="79"/>
  <c r="E68" i="79"/>
  <c r="E69" i="79"/>
  <c r="E70" i="79"/>
  <c r="E71" i="79"/>
  <c r="E72" i="79"/>
  <c r="E73" i="79"/>
  <c r="E74" i="79"/>
  <c r="E75" i="79"/>
  <c r="E76" i="79"/>
  <c r="E77" i="79"/>
  <c r="E78" i="79"/>
  <c r="E79" i="79"/>
  <c r="E51" i="79"/>
  <c r="D92" i="79"/>
  <c r="E92" i="79" s="1"/>
  <c r="D81" i="79"/>
  <c r="E81" i="79" s="1"/>
  <c r="D53" i="79"/>
  <c r="E53" i="79" s="1"/>
  <c r="D50" i="79"/>
  <c r="E50" i="79" s="1"/>
  <c r="E133" i="78"/>
  <c r="E134" i="78"/>
  <c r="E132" i="78"/>
  <c r="E126" i="78"/>
  <c r="E127" i="78"/>
  <c r="E128" i="78"/>
  <c r="E104" i="78"/>
  <c r="E105" i="78"/>
  <c r="E106" i="78"/>
  <c r="E107" i="78"/>
  <c r="E108" i="78"/>
  <c r="E109" i="78"/>
  <c r="E110" i="78"/>
  <c r="E111" i="78"/>
  <c r="E112" i="78"/>
  <c r="E113" i="78"/>
  <c r="E114" i="78"/>
  <c r="E115" i="78"/>
  <c r="E116" i="78"/>
  <c r="E117" i="78"/>
  <c r="E118" i="78"/>
  <c r="E119" i="78"/>
  <c r="E120" i="78"/>
  <c r="E121" i="78"/>
  <c r="E122" i="78"/>
  <c r="E123" i="78"/>
  <c r="E103" i="78"/>
  <c r="E91" i="78"/>
  <c r="E92" i="78"/>
  <c r="E93" i="78"/>
  <c r="E94" i="78"/>
  <c r="E95" i="78"/>
  <c r="E96" i="78"/>
  <c r="E97" i="78"/>
  <c r="E90" i="78"/>
  <c r="E89" i="78"/>
  <c r="E88" i="78"/>
  <c r="D400" i="23"/>
  <c r="D399" i="23" s="1"/>
  <c r="P258" i="23"/>
  <c r="D125" i="78"/>
  <c r="E125" i="78" s="1"/>
  <c r="D102" i="78"/>
  <c r="E102" i="78" s="1"/>
  <c r="D99" i="78"/>
  <c r="D87" i="78"/>
  <c r="E87" i="78" s="1"/>
  <c r="D390" i="23"/>
  <c r="D385" i="23"/>
  <c r="D380" i="23"/>
  <c r="D375" i="23"/>
  <c r="D370" i="23"/>
  <c r="D423" i="23"/>
  <c r="D415" i="23"/>
  <c r="D408" i="23"/>
  <c r="D361" i="23"/>
  <c r="D351" i="23"/>
  <c r="D340" i="23"/>
  <c r="D302" i="23"/>
  <c r="D333" i="23"/>
  <c r="D305" i="23"/>
  <c r="D795" i="23" l="1"/>
  <c r="D369" i="23"/>
  <c r="D49" i="79"/>
  <c r="D86" i="78"/>
  <c r="E86" i="78" s="1"/>
  <c r="D350" i="23"/>
  <c r="D301" i="23"/>
  <c r="E49" i="79" l="1"/>
  <c r="D258" i="23"/>
  <c r="D296" i="23"/>
  <c r="D273" i="23"/>
  <c r="D270" i="23"/>
  <c r="D257" i="23" l="1"/>
  <c r="F49" i="56" l="1"/>
  <c r="B50" i="56" l="1"/>
  <c r="B66" i="56" s="1"/>
  <c r="F63" i="56"/>
  <c r="D63" i="56"/>
  <c r="F62" i="56"/>
  <c r="D62" i="56"/>
  <c r="F61" i="56"/>
  <c r="D61" i="56"/>
  <c r="F60" i="56"/>
  <c r="D60" i="56"/>
  <c r="F59" i="56"/>
  <c r="D59" i="56"/>
  <c r="F58" i="56"/>
  <c r="D58" i="56"/>
  <c r="F57" i="56"/>
  <c r="D57" i="56"/>
  <c r="F56" i="56"/>
  <c r="D56" i="56"/>
  <c r="F55" i="56"/>
  <c r="D55" i="56"/>
  <c r="F54" i="56"/>
  <c r="F53" i="56"/>
  <c r="D53" i="56"/>
  <c r="F52" i="56"/>
  <c r="D52" i="56"/>
  <c r="F51" i="56"/>
  <c r="D51" i="56"/>
  <c r="C50" i="56"/>
  <c r="C66" i="56" s="1"/>
  <c r="D66" i="56" s="1"/>
  <c r="D50" i="56" l="1"/>
  <c r="F50" i="56"/>
  <c r="E66" i="56"/>
  <c r="F66" i="56" s="1"/>
  <c r="G461" i="67" l="1"/>
  <c r="G386" i="67" l="1"/>
  <c r="E386" i="67"/>
  <c r="D391" i="67"/>
  <c r="F391" i="67" s="1"/>
  <c r="F390" i="67"/>
  <c r="F389" i="67"/>
  <c r="F388" i="67"/>
  <c r="F387" i="67"/>
  <c r="D386" i="67" l="1"/>
  <c r="F386" i="67" s="1"/>
  <c r="E352" i="67" l="1"/>
  <c r="D352" i="67"/>
  <c r="D340" i="67"/>
  <c r="E332" i="67"/>
  <c r="D332" i="67"/>
  <c r="F374" i="67"/>
  <c r="F373" i="67"/>
  <c r="G372" i="67"/>
  <c r="E372" i="67"/>
  <c r="D372" i="67"/>
  <c r="F370" i="67"/>
  <c r="E369" i="67"/>
  <c r="D369" i="67"/>
  <c r="G361" i="67"/>
  <c r="F362" i="67"/>
  <c r="F363" i="67"/>
  <c r="F364" i="67"/>
  <c r="F365" i="67"/>
  <c r="F366" i="67"/>
  <c r="E361" i="67"/>
  <c r="F367" i="67"/>
  <c r="E349" i="67"/>
  <c r="F347" i="67"/>
  <c r="F346" i="67"/>
  <c r="F345" i="67"/>
  <c r="F344" i="67"/>
  <c r="F343" i="67"/>
  <c r="F342" i="67"/>
  <c r="F341" i="67"/>
  <c r="G340" i="67"/>
  <c r="E340" i="67"/>
  <c r="F334" i="67"/>
  <c r="F335" i="67"/>
  <c r="F336" i="67"/>
  <c r="F337" i="67"/>
  <c r="F338" i="67"/>
  <c r="D377" i="67"/>
  <c r="F383" i="67"/>
  <c r="F380" i="67"/>
  <c r="F379" i="67"/>
  <c r="F378" i="67"/>
  <c r="E377" i="67"/>
  <c r="F377" i="67" s="1"/>
  <c r="E382" i="67"/>
  <c r="D382" i="67"/>
  <c r="E17" i="67"/>
  <c r="D18" i="70"/>
  <c r="F411" i="70"/>
  <c r="E386" i="70"/>
  <c r="D386" i="70"/>
  <c r="F398" i="70"/>
  <c r="F397" i="70"/>
  <c r="F396" i="70"/>
  <c r="F395" i="70"/>
  <c r="F394" i="70"/>
  <c r="F393" i="70"/>
  <c r="F392" i="70"/>
  <c r="F391" i="70"/>
  <c r="F390" i="70"/>
  <c r="F389" i="70"/>
  <c r="F388" i="70"/>
  <c r="F387" i="70"/>
  <c r="F407" i="70"/>
  <c r="E406" i="70"/>
  <c r="D406" i="70"/>
  <c r="E400" i="70"/>
  <c r="F401" i="70"/>
  <c r="F382" i="70"/>
  <c r="F383" i="70"/>
  <c r="G375" i="70"/>
  <c r="F377" i="70"/>
  <c r="F376" i="70"/>
  <c r="G370" i="70"/>
  <c r="F372" i="70"/>
  <c r="F373" i="70"/>
  <c r="G358" i="70"/>
  <c r="F365" i="70"/>
  <c r="F366" i="70"/>
  <c r="F367" i="70"/>
  <c r="F364" i="70"/>
  <c r="F363" i="70"/>
  <c r="F360" i="70"/>
  <c r="F359" i="70"/>
  <c r="G353" i="70"/>
  <c r="F355" i="70"/>
  <c r="F354" i="70"/>
  <c r="F350" i="70"/>
  <c r="F351" i="70"/>
  <c r="E343" i="70"/>
  <c r="D334" i="70"/>
  <c r="E334" i="70"/>
  <c r="F406" i="70" l="1"/>
  <c r="F372" i="67"/>
  <c r="D376" i="67"/>
  <c r="F340" i="67"/>
  <c r="F369" i="67"/>
  <c r="F73" i="70"/>
  <c r="F72" i="70"/>
  <c r="E71" i="70"/>
  <c r="F71" i="70" s="1"/>
  <c r="D71" i="70"/>
  <c r="D70" i="70" s="1"/>
  <c r="F68" i="70"/>
  <c r="F67" i="70"/>
  <c r="F66" i="70"/>
  <c r="F65" i="70"/>
  <c r="F64" i="70"/>
  <c r="F63" i="70"/>
  <c r="F62" i="70"/>
  <c r="F61" i="70"/>
  <c r="F60" i="70"/>
  <c r="F59" i="70"/>
  <c r="F58" i="70"/>
  <c r="F57" i="70"/>
  <c r="F56" i="70"/>
  <c r="F55" i="70"/>
  <c r="F54" i="70"/>
  <c r="F53" i="70"/>
  <c r="F52" i="70"/>
  <c r="F51" i="70"/>
  <c r="F50" i="70"/>
  <c r="F49" i="70"/>
  <c r="F48" i="70"/>
  <c r="F47" i="70"/>
  <c r="F46" i="70"/>
  <c r="F45" i="70"/>
  <c r="F44" i="70"/>
  <c r="F43" i="70"/>
  <c r="E42" i="70"/>
  <c r="D42" i="70"/>
  <c r="F40" i="70"/>
  <c r="E39" i="70"/>
  <c r="D39" i="70"/>
  <c r="F36" i="70"/>
  <c r="F35" i="70"/>
  <c r="F34" i="70"/>
  <c r="G29" i="70"/>
  <c r="G27" i="70" s="1"/>
  <c r="E33" i="70"/>
  <c r="D33" i="70"/>
  <c r="F31" i="70"/>
  <c r="E30" i="70"/>
  <c r="D30" i="70"/>
  <c r="G70" i="67"/>
  <c r="G69" i="67" s="1"/>
  <c r="F71" i="67"/>
  <c r="F67" i="67"/>
  <c r="E66" i="67"/>
  <c r="D66" i="67"/>
  <c r="F64" i="67"/>
  <c r="F63" i="67"/>
  <c r="F62" i="67"/>
  <c r="F61" i="67"/>
  <c r="F60" i="67"/>
  <c r="E59" i="67"/>
  <c r="D59" i="67"/>
  <c r="F57" i="67"/>
  <c r="F56" i="67"/>
  <c r="F55" i="67"/>
  <c r="E54" i="67"/>
  <c r="D54" i="67"/>
  <c r="G53" i="67"/>
  <c r="D29" i="70" l="1"/>
  <c r="F30" i="70"/>
  <c r="E53" i="67"/>
  <c r="F54" i="67"/>
  <c r="F66" i="67"/>
  <c r="D53" i="67"/>
  <c r="F59" i="67"/>
  <c r="E70" i="70"/>
  <c r="F70" i="70" s="1"/>
  <c r="E29" i="70"/>
  <c r="F29" i="70" s="1"/>
  <c r="F42" i="70"/>
  <c r="F39" i="70"/>
  <c r="F33" i="70"/>
  <c r="F53" i="67" l="1"/>
  <c r="G119" i="70" l="1"/>
  <c r="F124" i="70"/>
  <c r="E123" i="70"/>
  <c r="D123" i="70"/>
  <c r="F121" i="70"/>
  <c r="E120" i="70"/>
  <c r="D120" i="70"/>
  <c r="F117" i="70"/>
  <c r="F116" i="70"/>
  <c r="F115" i="70"/>
  <c r="E114" i="70"/>
  <c r="D114" i="70"/>
  <c r="F112" i="70"/>
  <c r="E111" i="70"/>
  <c r="D111" i="70"/>
  <c r="F109" i="70"/>
  <c r="F108" i="70"/>
  <c r="F107" i="70"/>
  <c r="E106" i="70"/>
  <c r="D106" i="70"/>
  <c r="F104" i="70"/>
  <c r="F103" i="70"/>
  <c r="F102" i="70"/>
  <c r="E101" i="70"/>
  <c r="D101" i="70"/>
  <c r="F99" i="70"/>
  <c r="F98" i="70"/>
  <c r="G97" i="70"/>
  <c r="G81" i="70" s="1"/>
  <c r="G79" i="70" s="1"/>
  <c r="E97" i="70"/>
  <c r="D97" i="70"/>
  <c r="F95" i="70"/>
  <c r="F94" i="70"/>
  <c r="F93" i="70"/>
  <c r="F92" i="70"/>
  <c r="F91" i="70"/>
  <c r="F90" i="70"/>
  <c r="F89" i="70"/>
  <c r="E88" i="70"/>
  <c r="D88" i="70"/>
  <c r="F86" i="70"/>
  <c r="E85" i="70"/>
  <c r="D85" i="70"/>
  <c r="F83" i="70"/>
  <c r="E82" i="70"/>
  <c r="D82" i="70"/>
  <c r="F160" i="67"/>
  <c r="F128" i="67"/>
  <c r="E127" i="67"/>
  <c r="E126" i="67" s="1"/>
  <c r="F124" i="67"/>
  <c r="E123" i="67"/>
  <c r="D123" i="67"/>
  <c r="F121" i="67"/>
  <c r="F120" i="67"/>
  <c r="F119" i="67"/>
  <c r="E118" i="67"/>
  <c r="D118" i="67"/>
  <c r="F116" i="67"/>
  <c r="F115" i="67"/>
  <c r="F114" i="67"/>
  <c r="F113" i="67"/>
  <c r="F112" i="67"/>
  <c r="F111" i="67"/>
  <c r="F110" i="67"/>
  <c r="E109" i="67"/>
  <c r="D109" i="67"/>
  <c r="F107" i="67"/>
  <c r="F106" i="67"/>
  <c r="F105" i="67"/>
  <c r="F104" i="67"/>
  <c r="E103" i="67"/>
  <c r="D103" i="67"/>
  <c r="F101" i="67"/>
  <c r="F100" i="67"/>
  <c r="F99" i="67"/>
  <c r="F98" i="67"/>
  <c r="F97" i="67"/>
  <c r="E96" i="67"/>
  <c r="D96" i="67"/>
  <c r="F94" i="67"/>
  <c r="F93" i="67"/>
  <c r="F92" i="67"/>
  <c r="F91" i="67"/>
  <c r="F90" i="67"/>
  <c r="F89" i="67"/>
  <c r="F88" i="67"/>
  <c r="F87" i="67"/>
  <c r="F86" i="67"/>
  <c r="F85" i="67"/>
  <c r="F84" i="67"/>
  <c r="F83" i="67"/>
  <c r="E82" i="67"/>
  <c r="D82" i="67"/>
  <c r="F80" i="67"/>
  <c r="F79" i="67"/>
  <c r="F78" i="67"/>
  <c r="F77" i="67"/>
  <c r="E76" i="67"/>
  <c r="D76" i="67"/>
  <c r="J247" i="68"/>
  <c r="F114" i="70" l="1"/>
  <c r="D119" i="70"/>
  <c r="F111" i="70"/>
  <c r="E119" i="70"/>
  <c r="F119" i="70" s="1"/>
  <c r="E81" i="70"/>
  <c r="F101" i="70"/>
  <c r="F88" i="70"/>
  <c r="D81" i="70"/>
  <c r="D79" i="70" s="1"/>
  <c r="F85" i="70"/>
  <c r="F118" i="67"/>
  <c r="F123" i="67"/>
  <c r="F109" i="67"/>
  <c r="F82" i="67"/>
  <c r="F103" i="67"/>
  <c r="F76" i="67"/>
  <c r="F96" i="67"/>
  <c r="F82" i="70"/>
  <c r="F106" i="70"/>
  <c r="F123" i="70"/>
  <c r="F97" i="70"/>
  <c r="F120" i="70"/>
  <c r="F81" i="70" l="1"/>
  <c r="D306" i="78"/>
  <c r="E306" i="78" s="1"/>
  <c r="D297" i="78"/>
  <c r="D293" i="78"/>
  <c r="D289" i="78"/>
  <c r="E289" i="78" s="1"/>
  <c r="D286" i="78"/>
  <c r="E286" i="78" s="1"/>
  <c r="D280" i="78"/>
  <c r="E280" i="78" s="1"/>
  <c r="D276" i="78"/>
  <c r="E276" i="78" s="1"/>
  <c r="D271" i="78"/>
  <c r="E271" i="78" s="1"/>
  <c r="D264" i="78"/>
  <c r="E264" i="78" s="1"/>
  <c r="D241" i="78"/>
  <c r="E241" i="78" s="1"/>
  <c r="D224" i="78"/>
  <c r="E224" i="78" s="1"/>
  <c r="D221" i="78"/>
  <c r="E221" i="78" s="1"/>
  <c r="D292" i="78" l="1"/>
  <c r="E292" i="78" s="1"/>
  <c r="E293" i="78"/>
  <c r="D296" i="78"/>
  <c r="E296" i="78" s="1"/>
  <c r="E297" i="78"/>
  <c r="D220" i="78"/>
  <c r="E220" i="78" s="1"/>
  <c r="D1365" i="23"/>
  <c r="D1368" i="23"/>
  <c r="D1358" i="23"/>
  <c r="D1357" i="23" s="1"/>
  <c r="D1353" i="23"/>
  <c r="D1348" i="23"/>
  <c r="D1280" i="23"/>
  <c r="D1279" i="23" s="1"/>
  <c r="D1284" i="23"/>
  <c r="D1283" i="23" s="1"/>
  <c r="D1288" i="23"/>
  <c r="D1287" i="23" s="1"/>
  <c r="D1292" i="23"/>
  <c r="D1291" i="23" s="1"/>
  <c r="D1296" i="23"/>
  <c r="D1295" i="23" s="1"/>
  <c r="D1300" i="23"/>
  <c r="D1299" i="23" s="1"/>
  <c r="D1304" i="23"/>
  <c r="D1303" i="23" s="1"/>
  <c r="D1308" i="23"/>
  <c r="D1307" i="23" s="1"/>
  <c r="D1312" i="23"/>
  <c r="D1311" i="23" s="1"/>
  <c r="D1316" i="23"/>
  <c r="D1315" i="23" s="1"/>
  <c r="D1320" i="23"/>
  <c r="D1319" i="23" s="1"/>
  <c r="D1324" i="23"/>
  <c r="D1323" i="23" s="1"/>
  <c r="D1328" i="23"/>
  <c r="D1327" i="23" s="1"/>
  <c r="D1332" i="23"/>
  <c r="D1331" i="23" s="1"/>
  <c r="D1336" i="23"/>
  <c r="D1335" i="23" s="1"/>
  <c r="D1340" i="23"/>
  <c r="D1339" i="23" s="1"/>
  <c r="D1344" i="23"/>
  <c r="D1343" i="23" s="1"/>
  <c r="D1276" i="23"/>
  <c r="D1275" i="23" s="1"/>
  <c r="D1264" i="23"/>
  <c r="D1262" i="23"/>
  <c r="D1258" i="23"/>
  <c r="D1257" i="23" s="1"/>
  <c r="D1253" i="23"/>
  <c r="D1249" i="23"/>
  <c r="D1246" i="23"/>
  <c r="D1242" i="23"/>
  <c r="D1239" i="23"/>
  <c r="D1236" i="23"/>
  <c r="D1232" i="23"/>
  <c r="D1220" i="23"/>
  <c r="D1215" i="23"/>
  <c r="D1191" i="23"/>
  <c r="D1187" i="23"/>
  <c r="D1184" i="23"/>
  <c r="D1181" i="23"/>
  <c r="D1173" i="23"/>
  <c r="D1170" i="23"/>
  <c r="D1167" i="23"/>
  <c r="D1164" i="23"/>
  <c r="D1161" i="23"/>
  <c r="D1157" i="23"/>
  <c r="D1154" i="23"/>
  <c r="D1149" i="23"/>
  <c r="D1145" i="23"/>
  <c r="D1142" i="23"/>
  <c r="D1137" i="23"/>
  <c r="D1134" i="23"/>
  <c r="D1129" i="23"/>
  <c r="D1126" i="23"/>
  <c r="D1123" i="23"/>
  <c r="D1119" i="23"/>
  <c r="D1115" i="23"/>
  <c r="D1111" i="23"/>
  <c r="D1107" i="23"/>
  <c r="D1103" i="23"/>
  <c r="D1098" i="23"/>
  <c r="D1097" i="23" s="1"/>
  <c r="D1084" i="23"/>
  <c r="D1364" i="23" l="1"/>
  <c r="D1356" i="23" s="1"/>
  <c r="D1347" i="23"/>
  <c r="D1245" i="23"/>
  <c r="D1214" i="23"/>
  <c r="D1160" i="23"/>
  <c r="D1148" i="23"/>
  <c r="D1133" i="23"/>
  <c r="D1122" i="23"/>
  <c r="D1102" i="23"/>
  <c r="D1094" i="23" l="1"/>
  <c r="D1091" i="23"/>
  <c r="D1088" i="23"/>
  <c r="D1081" i="23"/>
  <c r="E1069" i="23"/>
  <c r="D1077" i="23"/>
  <c r="D1074" i="23"/>
  <c r="D1071" i="23"/>
  <c r="D1068" i="23"/>
  <c r="D1065" i="23"/>
  <c r="D1062" i="23"/>
  <c r="D1059" i="23"/>
  <c r="D1056" i="23"/>
  <c r="D1051" i="23"/>
  <c r="D1048" i="23"/>
  <c r="D1045" i="23"/>
  <c r="D1036" i="23"/>
  <c r="D1032" i="23"/>
  <c r="D1029" i="23"/>
  <c r="D1026" i="23"/>
  <c r="D1023" i="23"/>
  <c r="D1020" i="23"/>
  <c r="D1080" i="23" l="1"/>
  <c r="D1035" i="23"/>
  <c r="D1019" i="23"/>
  <c r="D1016" i="23" l="1"/>
  <c r="D1013" i="23"/>
  <c r="D1010" i="23"/>
  <c r="D1004" i="23"/>
  <c r="D1000" i="23"/>
  <c r="D986" i="23"/>
  <c r="D979" i="23"/>
  <c r="D972" i="23"/>
  <c r="D969" i="23"/>
  <c r="D956" i="23"/>
  <c r="D937" i="23"/>
  <c r="D882" i="23"/>
  <c r="D949" i="23"/>
  <c r="D940" i="23"/>
  <c r="D932" i="23"/>
  <c r="D925" i="23"/>
  <c r="D922" i="23"/>
  <c r="D918" i="23"/>
  <c r="D913" i="23"/>
  <c r="D910" i="23"/>
  <c r="D892" i="23"/>
  <c r="D889" i="23"/>
  <c r="D886" i="23"/>
  <c r="D813" i="23"/>
  <c r="D878" i="23"/>
  <c r="D875" i="23"/>
  <c r="D869" i="23"/>
  <c r="D865" i="23"/>
  <c r="E863" i="23"/>
  <c r="E862" i="23"/>
  <c r="D860" i="23"/>
  <c r="D853" i="23"/>
  <c r="D830" i="23"/>
  <c r="D810" i="23"/>
  <c r="E1068" i="23" s="1"/>
  <c r="D809" i="23" l="1"/>
  <c r="G201" i="70" l="1"/>
  <c r="G200" i="70" s="1"/>
  <c r="G197" i="70" l="1"/>
  <c r="G196" i="70" s="1"/>
  <c r="F198" i="70"/>
  <c r="F194" i="70"/>
  <c r="E193" i="70"/>
  <c r="D193" i="70"/>
  <c r="F191" i="70"/>
  <c r="E190" i="70"/>
  <c r="D190" i="70"/>
  <c r="F188" i="70"/>
  <c r="F187" i="70"/>
  <c r="F186" i="70"/>
  <c r="E185" i="70"/>
  <c r="F185" i="70" s="1"/>
  <c r="D185" i="70"/>
  <c r="F183" i="70"/>
  <c r="F182" i="70"/>
  <c r="E181" i="70"/>
  <c r="D181" i="70"/>
  <c r="F179" i="70"/>
  <c r="F178" i="70"/>
  <c r="F177" i="70"/>
  <c r="F176" i="70"/>
  <c r="F175" i="70"/>
  <c r="G174" i="70"/>
  <c r="E174" i="70"/>
  <c r="D174" i="70"/>
  <c r="F172" i="70"/>
  <c r="F171" i="70"/>
  <c r="F170" i="70"/>
  <c r="F169" i="70"/>
  <c r="G168" i="70"/>
  <c r="E168" i="70"/>
  <c r="D168" i="70"/>
  <c r="F166" i="70"/>
  <c r="F165" i="70"/>
  <c r="E164" i="70"/>
  <c r="D164" i="70"/>
  <c r="F162" i="70"/>
  <c r="E161" i="70"/>
  <c r="D161" i="70"/>
  <c r="F159" i="70"/>
  <c r="F158" i="70"/>
  <c r="F157" i="70"/>
  <c r="E156" i="70"/>
  <c r="D156" i="70"/>
  <c r="F154" i="70"/>
  <c r="E153" i="70"/>
  <c r="D153" i="70"/>
  <c r="F151" i="70"/>
  <c r="E150" i="70"/>
  <c r="D150" i="70"/>
  <c r="F148" i="70"/>
  <c r="F147" i="70"/>
  <c r="F146" i="70"/>
  <c r="F145" i="70"/>
  <c r="F144" i="70"/>
  <c r="F143" i="70"/>
  <c r="F142" i="70"/>
  <c r="F141" i="70"/>
  <c r="F140" i="70"/>
  <c r="F139" i="70"/>
  <c r="F138" i="70"/>
  <c r="F137" i="70"/>
  <c r="G136" i="70"/>
  <c r="E136" i="70"/>
  <c r="D136" i="70"/>
  <c r="F134" i="70"/>
  <c r="F133" i="70"/>
  <c r="E132" i="70"/>
  <c r="D132" i="70"/>
  <c r="F130" i="70"/>
  <c r="E129" i="70"/>
  <c r="D129" i="70"/>
  <c r="G240" i="67"/>
  <c r="F241" i="67"/>
  <c r="F240" i="67" s="1"/>
  <c r="G237" i="67"/>
  <c r="F238" i="67"/>
  <c r="F237" i="67" s="1"/>
  <c r="F230" i="67"/>
  <c r="F229" i="67"/>
  <c r="F228" i="67"/>
  <c r="F227" i="67"/>
  <c r="F226" i="67"/>
  <c r="G225" i="67"/>
  <c r="E225" i="67"/>
  <c r="D225" i="67"/>
  <c r="F223" i="67"/>
  <c r="F222" i="67"/>
  <c r="F221" i="67"/>
  <c r="F220" i="67"/>
  <c r="F219" i="67"/>
  <c r="F218" i="67"/>
  <c r="F217" i="67"/>
  <c r="F216" i="67"/>
  <c r="G215" i="67"/>
  <c r="E215" i="67"/>
  <c r="D215" i="67"/>
  <c r="F213" i="67"/>
  <c r="F212" i="67"/>
  <c r="F211" i="67"/>
  <c r="F210" i="67"/>
  <c r="E209" i="67"/>
  <c r="D209" i="67"/>
  <c r="F207" i="67"/>
  <c r="F206" i="67"/>
  <c r="F205" i="67"/>
  <c r="E204" i="67"/>
  <c r="D204" i="67"/>
  <c r="F202" i="67"/>
  <c r="E201" i="67"/>
  <c r="D201" i="67"/>
  <c r="F199" i="67"/>
  <c r="F198" i="67"/>
  <c r="F197" i="67"/>
  <c r="F196" i="67"/>
  <c r="F195" i="67"/>
  <c r="E194" i="67"/>
  <c r="D194" i="67"/>
  <c r="F192" i="67"/>
  <c r="F191" i="67"/>
  <c r="F190" i="67"/>
  <c r="F189" i="67"/>
  <c r="F188" i="67"/>
  <c r="F187" i="67"/>
  <c r="F186" i="67"/>
  <c r="F185" i="67"/>
  <c r="F184" i="67"/>
  <c r="F183" i="67"/>
  <c r="F182" i="67"/>
  <c r="F181" i="67"/>
  <c r="F180" i="67"/>
  <c r="F179" i="67"/>
  <c r="F178" i="67"/>
  <c r="F177" i="67"/>
  <c r="E176" i="67"/>
  <c r="D176" i="67"/>
  <c r="F174" i="67"/>
  <c r="F173" i="67"/>
  <c r="F172" i="67"/>
  <c r="F171" i="67"/>
  <c r="E170" i="67"/>
  <c r="D170" i="67"/>
  <c r="E167" i="67"/>
  <c r="D167" i="67"/>
  <c r="F156" i="70" l="1"/>
  <c r="G128" i="70"/>
  <c r="F193" i="70"/>
  <c r="F153" i="70"/>
  <c r="F161" i="70"/>
  <c r="F150" i="70"/>
  <c r="D128" i="70"/>
  <c r="F136" i="70"/>
  <c r="F181" i="70"/>
  <c r="F176" i="67"/>
  <c r="F204" i="67"/>
  <c r="G166" i="67"/>
  <c r="E166" i="67"/>
  <c r="F215" i="67"/>
  <c r="G236" i="67"/>
  <c r="F209" i="67"/>
  <c r="D166" i="67"/>
  <c r="F170" i="67"/>
  <c r="F167" i="67"/>
  <c r="F194" i="67"/>
  <c r="F201" i="67"/>
  <c r="F225" i="67"/>
  <c r="F132" i="70"/>
  <c r="F174" i="70"/>
  <c r="F190" i="70"/>
  <c r="F129" i="70"/>
  <c r="F164" i="70"/>
  <c r="F168" i="70"/>
  <c r="E128" i="70"/>
  <c r="L821" i="68"/>
  <c r="F128" i="70" l="1"/>
  <c r="F166" i="67"/>
  <c r="G165" i="67"/>
  <c r="D586" i="78" l="1"/>
  <c r="D440" i="79"/>
  <c r="D543" i="78"/>
  <c r="E543" i="78" s="1"/>
  <c r="D849" i="79"/>
  <c r="E849" i="79" s="1"/>
  <c r="D845" i="79"/>
  <c r="E845" i="79" s="1"/>
  <c r="D841" i="79"/>
  <c r="E841" i="79" s="1"/>
  <c r="D833" i="79"/>
  <c r="E833" i="79" s="1"/>
  <c r="D813" i="79"/>
  <c r="E813" i="79" s="1"/>
  <c r="D805" i="79"/>
  <c r="E805" i="79" s="1"/>
  <c r="D789" i="79"/>
  <c r="E789" i="79" s="1"/>
  <c r="D773" i="79"/>
  <c r="E773" i="79" s="1"/>
  <c r="D767" i="79"/>
  <c r="E767" i="79" s="1"/>
  <c r="D608" i="79"/>
  <c r="E608" i="79" s="1"/>
  <c r="D611" i="79"/>
  <c r="E611" i="79" s="1"/>
  <c r="D616" i="79"/>
  <c r="E616" i="79" s="1"/>
  <c r="D620" i="79"/>
  <c r="E620" i="79" s="1"/>
  <c r="D623" i="79"/>
  <c r="E623" i="79" s="1"/>
  <c r="D626" i="79"/>
  <c r="E626" i="79" s="1"/>
  <c r="D629" i="79"/>
  <c r="E629" i="79" s="1"/>
  <c r="D914" i="78"/>
  <c r="D910" i="78"/>
  <c r="E910" i="78" s="1"/>
  <c r="D898" i="78"/>
  <c r="E898" i="78" s="1"/>
  <c r="D895" i="78"/>
  <c r="E895" i="78" s="1"/>
  <c r="D883" i="78"/>
  <c r="E883" i="78" s="1"/>
  <c r="D880" i="78"/>
  <c r="E880" i="78" s="1"/>
  <c r="D865" i="78"/>
  <c r="E865" i="78" s="1"/>
  <c r="D862" i="78"/>
  <c r="E862" i="78" s="1"/>
  <c r="D845" i="78"/>
  <c r="E845" i="78" s="1"/>
  <c r="D838" i="78"/>
  <c r="E838" i="78" s="1"/>
  <c r="D834" i="78"/>
  <c r="E834" i="78" s="1"/>
  <c r="D699" i="78"/>
  <c r="E699" i="78" s="1"/>
  <c r="E440" i="79" l="1"/>
  <c r="D913" i="78"/>
  <c r="E913" i="78" s="1"/>
  <c r="E914" i="78"/>
  <c r="D766" i="79"/>
  <c r="D585" i="78"/>
  <c r="E585" i="78" s="1"/>
  <c r="E586" i="78"/>
  <c r="D833" i="78"/>
  <c r="D832" i="78" l="1"/>
  <c r="E833" i="78"/>
  <c r="D764" i="79"/>
  <c r="E766" i="79"/>
  <c r="D3711" i="23"/>
  <c r="D3707" i="23"/>
  <c r="D3704" i="23"/>
  <c r="D3700" i="23"/>
  <c r="D3699" i="23" s="1"/>
  <c r="D3696" i="23"/>
  <c r="D3690" i="23"/>
  <c r="D3686" i="23"/>
  <c r="D3682" i="23"/>
  <c r="D3681" i="23" s="1"/>
  <c r="D3678" i="23"/>
  <c r="D3675" i="23"/>
  <c r="D3672" i="23"/>
  <c r="D3665" i="23" s="1"/>
  <c r="D3659" i="23"/>
  <c r="D3654" i="23"/>
  <c r="D3648" i="23"/>
  <c r="D3641" i="23"/>
  <c r="D3636" i="23"/>
  <c r="D3632" i="23"/>
  <c r="D3628" i="23"/>
  <c r="D3620" i="23"/>
  <c r="D3600" i="23"/>
  <c r="D3592" i="23"/>
  <c r="D3576" i="23"/>
  <c r="D3560" i="23"/>
  <c r="D3554" i="23"/>
  <c r="D3538" i="23"/>
  <c r="D3535" i="23"/>
  <c r="D3520" i="23"/>
  <c r="D3523" i="23"/>
  <c r="D3478" i="23"/>
  <c r="D3550" i="23"/>
  <c r="D3505" i="23"/>
  <c r="D3502" i="23"/>
  <c r="D3474" i="23"/>
  <c r="F620" i="67"/>
  <c r="F619" i="67"/>
  <c r="F618" i="67"/>
  <c r="F617" i="67"/>
  <c r="F616" i="67"/>
  <c r="F615" i="67"/>
  <c r="F614" i="67"/>
  <c r="F613" i="67"/>
  <c r="E612" i="67"/>
  <c r="D612" i="67"/>
  <c r="F610" i="67"/>
  <c r="F609" i="67"/>
  <c r="F608" i="67"/>
  <c r="F607" i="67"/>
  <c r="F606" i="67"/>
  <c r="E605" i="67"/>
  <c r="D605" i="67"/>
  <c r="F603" i="67"/>
  <c r="F602" i="67"/>
  <c r="F601" i="67"/>
  <c r="F600" i="67"/>
  <c r="F599" i="67"/>
  <c r="F598" i="67"/>
  <c r="F597" i="67"/>
  <c r="F596" i="67"/>
  <c r="F595" i="67"/>
  <c r="F594" i="67"/>
  <c r="F593" i="67"/>
  <c r="F592" i="67"/>
  <c r="F591" i="67"/>
  <c r="F590" i="67"/>
  <c r="F589" i="67"/>
  <c r="F588" i="67"/>
  <c r="F587" i="67"/>
  <c r="F586" i="67"/>
  <c r="F585" i="67"/>
  <c r="F584" i="67"/>
  <c r="F583" i="67"/>
  <c r="F582" i="67"/>
  <c r="F581" i="67"/>
  <c r="F580" i="67"/>
  <c r="E579" i="67"/>
  <c r="D579" i="67"/>
  <c r="F577" i="67"/>
  <c r="F576" i="67"/>
  <c r="F575" i="67"/>
  <c r="F574" i="67"/>
  <c r="F573" i="67"/>
  <c r="F572" i="67"/>
  <c r="F571" i="67"/>
  <c r="F570" i="67"/>
  <c r="F569" i="67"/>
  <c r="F568" i="67"/>
  <c r="F567" i="67"/>
  <c r="F566" i="67"/>
  <c r="F565" i="67"/>
  <c r="F564" i="67"/>
  <c r="E563" i="67"/>
  <c r="D563" i="67"/>
  <c r="F561" i="67"/>
  <c r="F560" i="67"/>
  <c r="F559" i="67"/>
  <c r="F558" i="67"/>
  <c r="E557" i="67"/>
  <c r="D557" i="67"/>
  <c r="F557" i="67" l="1"/>
  <c r="F612" i="67"/>
  <c r="F563" i="67"/>
  <c r="F605" i="67"/>
  <c r="F579" i="67"/>
  <c r="D3703" i="23"/>
  <c r="D3689" i="23"/>
  <c r="D3640" i="23"/>
  <c r="D3553" i="23"/>
  <c r="F565" i="70" l="1"/>
  <c r="F561" i="70"/>
  <c r="F560" i="70"/>
  <c r="E559" i="70"/>
  <c r="D559" i="70"/>
  <c r="E556" i="70"/>
  <c r="D556" i="70"/>
  <c r="F554" i="70"/>
  <c r="F553" i="70"/>
  <c r="F552" i="70"/>
  <c r="F551" i="70"/>
  <c r="F550" i="70"/>
  <c r="F549" i="70"/>
  <c r="F548" i="70"/>
  <c r="F547" i="70"/>
  <c r="F546" i="70"/>
  <c r="G545" i="70"/>
  <c r="G504" i="70" s="1"/>
  <c r="G502" i="70" s="1"/>
  <c r="E545" i="70"/>
  <c r="D545" i="70"/>
  <c r="F543" i="70"/>
  <c r="F542" i="70"/>
  <c r="F541" i="70"/>
  <c r="F540" i="70"/>
  <c r="F539" i="70"/>
  <c r="F538" i="70"/>
  <c r="F537" i="70"/>
  <c r="F536" i="70"/>
  <c r="F535" i="70"/>
  <c r="F534" i="70"/>
  <c r="F533" i="70"/>
  <c r="E532" i="70"/>
  <c r="D532" i="70"/>
  <c r="F530" i="70"/>
  <c r="F529" i="70"/>
  <c r="F528" i="70"/>
  <c r="F527" i="70"/>
  <c r="E526" i="70"/>
  <c r="D526" i="70"/>
  <c r="F524" i="70"/>
  <c r="F523" i="70"/>
  <c r="E522" i="70"/>
  <c r="D522" i="70"/>
  <c r="F520" i="70"/>
  <c r="F519" i="70"/>
  <c r="F518" i="70"/>
  <c r="F517" i="70"/>
  <c r="F516" i="70"/>
  <c r="F515" i="70"/>
  <c r="F514" i="70"/>
  <c r="F513" i="70"/>
  <c r="F512" i="70"/>
  <c r="F511" i="70"/>
  <c r="F510" i="70"/>
  <c r="F509" i="70"/>
  <c r="E508" i="70"/>
  <c r="D508" i="70"/>
  <c r="F506" i="70"/>
  <c r="E505" i="70"/>
  <c r="D505" i="70"/>
  <c r="D564" i="70"/>
  <c r="D563" i="70" s="1"/>
  <c r="E556" i="67"/>
  <c r="D556" i="67"/>
  <c r="G579" i="67"/>
  <c r="G563" i="67"/>
  <c r="F532" i="70" l="1"/>
  <c r="G556" i="67"/>
  <c r="F556" i="67"/>
  <c r="F522" i="70"/>
  <c r="D504" i="70"/>
  <c r="F508" i="70"/>
  <c r="F505" i="70"/>
  <c r="F559" i="70"/>
  <c r="E504" i="70"/>
  <c r="F526" i="70"/>
  <c r="F545" i="70"/>
  <c r="F504" i="70" l="1"/>
  <c r="D1020" i="79"/>
  <c r="E1020" i="79" s="1"/>
  <c r="D1017" i="79"/>
  <c r="E1017" i="79" s="1"/>
  <c r="D1013" i="79"/>
  <c r="D1009" i="79"/>
  <c r="D1005" i="79"/>
  <c r="D1001" i="79"/>
  <c r="E1001" i="79" s="1"/>
  <c r="D997" i="79"/>
  <c r="D989" i="79"/>
  <c r="D985" i="79"/>
  <c r="D981" i="79"/>
  <c r="D977" i="79"/>
  <c r="E977" i="79" s="1"/>
  <c r="D973" i="79"/>
  <c r="D969" i="79"/>
  <c r="D965" i="79"/>
  <c r="E965" i="79" s="1"/>
  <c r="D957" i="79"/>
  <c r="E957" i="79" s="1"/>
  <c r="D954" i="79"/>
  <c r="E954" i="79" s="1"/>
  <c r="D951" i="79"/>
  <c r="E951" i="79" s="1"/>
  <c r="D941" i="79"/>
  <c r="E941" i="79" s="1"/>
  <c r="D938" i="79"/>
  <c r="E938" i="79" s="1"/>
  <c r="D932" i="79"/>
  <c r="E932" i="79" s="1"/>
  <c r="D926" i="79"/>
  <c r="E926" i="79" s="1"/>
  <c r="D921" i="79"/>
  <c r="E921" i="79" s="1"/>
  <c r="D918" i="79"/>
  <c r="E918" i="79" s="1"/>
  <c r="D908" i="79"/>
  <c r="E908" i="79" s="1"/>
  <c r="D905" i="79"/>
  <c r="E905" i="79" s="1"/>
  <c r="D1004" i="78"/>
  <c r="E1004" i="78" s="1"/>
  <c r="D999" i="78"/>
  <c r="E999" i="78" s="1"/>
  <c r="D995" i="78"/>
  <c r="E995" i="78" s="1"/>
  <c r="D991" i="78"/>
  <c r="E991" i="78" s="1"/>
  <c r="D987" i="78"/>
  <c r="E987" i="78" s="1"/>
  <c r="D980" i="78"/>
  <c r="E980" i="78" s="1"/>
  <c r="D968" i="78"/>
  <c r="E968" i="78" s="1"/>
  <c r="D959" i="78"/>
  <c r="E959" i="78" s="1"/>
  <c r="D976" i="79" l="1"/>
  <c r="E976" i="79" s="1"/>
  <c r="D968" i="79"/>
  <c r="E968" i="79" s="1"/>
  <c r="E969" i="79"/>
  <c r="D980" i="79"/>
  <c r="E980" i="79" s="1"/>
  <c r="E981" i="79"/>
  <c r="D972" i="79"/>
  <c r="E972" i="79" s="1"/>
  <c r="E973" i="79"/>
  <c r="D984" i="79"/>
  <c r="E984" i="79" s="1"/>
  <c r="E985" i="79"/>
  <c r="D1004" i="79"/>
  <c r="E1004" i="79" s="1"/>
  <c r="E1005" i="79"/>
  <c r="D988" i="79"/>
  <c r="E988" i="79" s="1"/>
  <c r="E989" i="79"/>
  <c r="D1008" i="79"/>
  <c r="E1008" i="79" s="1"/>
  <c r="E1009" i="79"/>
  <c r="D996" i="79"/>
  <c r="E996" i="79" s="1"/>
  <c r="E997" i="79"/>
  <c r="D1012" i="79"/>
  <c r="E1012" i="79" s="1"/>
  <c r="E1013" i="79"/>
  <c r="D964" i="79"/>
  <c r="E964" i="79" s="1"/>
  <c r="D904" i="79"/>
  <c r="E904" i="79" s="1"/>
  <c r="D1000" i="79"/>
  <c r="E1000" i="79" s="1"/>
  <c r="D958" i="78"/>
  <c r="E958" i="78" s="1"/>
  <c r="D1016" i="79"/>
  <c r="E1016" i="79" s="1"/>
  <c r="D902" i="79" l="1"/>
  <c r="D4326" i="23"/>
  <c r="D4317" i="23"/>
  <c r="D4310" i="23"/>
  <c r="D4309" i="23" s="1"/>
  <c r="D4296" i="23"/>
  <c r="D4306" i="23"/>
  <c r="D4303" i="23"/>
  <c r="D4300" i="23"/>
  <c r="D4290" i="23"/>
  <c r="D4267" i="23"/>
  <c r="D4282" i="23"/>
  <c r="D4224" i="23"/>
  <c r="D4220" i="23"/>
  <c r="D4208" i="23"/>
  <c r="D4169" i="23"/>
  <c r="D4010" i="23"/>
  <c r="D645" i="79" l="1"/>
  <c r="E645" i="79" s="1"/>
  <c r="D642" i="79"/>
  <c r="E642" i="79" s="1"/>
  <c r="D638" i="79"/>
  <c r="E638" i="79" s="1"/>
  <c r="D633" i="79"/>
  <c r="E633" i="79" s="1"/>
  <c r="D726" i="78"/>
  <c r="D720" i="78"/>
  <c r="E720" i="78" s="1"/>
  <c r="D716" i="78"/>
  <c r="E716" i="78" s="1"/>
  <c r="D713" i="78"/>
  <c r="E713" i="78" s="1"/>
  <c r="D705" i="78"/>
  <c r="E705" i="78" s="1"/>
  <c r="D702" i="78"/>
  <c r="E702" i="78" s="1"/>
  <c r="D725" i="78" l="1"/>
  <c r="E725" i="78" s="1"/>
  <c r="E726" i="78"/>
  <c r="D607" i="79"/>
  <c r="D605" i="79" s="1"/>
  <c r="D698" i="78"/>
  <c r="D696" i="78" s="1"/>
  <c r="D3153" i="23"/>
  <c r="D3149" i="23"/>
  <c r="D3145" i="23"/>
  <c r="D3140" i="23"/>
  <c r="D3134" i="23"/>
  <c r="D3133" i="23" s="1"/>
  <c r="D3126" i="23"/>
  <c r="D3122" i="23"/>
  <c r="D3121" i="23" s="1"/>
  <c r="D3114" i="23"/>
  <c r="D3107" i="23"/>
  <c r="D3104" i="23"/>
  <c r="D3100" i="23"/>
  <c r="D3097" i="23"/>
  <c r="D3092" i="23"/>
  <c r="D3086" i="23"/>
  <c r="D3082" i="23"/>
  <c r="D3079" i="23"/>
  <c r="D3076" i="23"/>
  <c r="D3072" i="23"/>
  <c r="D3068" i="23"/>
  <c r="D3063" i="23"/>
  <c r="D3047" i="23"/>
  <c r="D3043" i="23"/>
  <c r="D3040" i="23"/>
  <c r="D3024" i="23"/>
  <c r="D3020" i="23"/>
  <c r="D3015" i="23"/>
  <c r="D2998" i="23"/>
  <c r="D2993" i="23"/>
  <c r="D2984" i="23"/>
  <c r="D2980" i="23"/>
  <c r="D2977" i="23"/>
  <c r="D2969" i="23"/>
  <c r="G570" i="70"/>
  <c r="G569" i="70" s="1"/>
  <c r="G567" i="70" s="1"/>
  <c r="F603" i="70"/>
  <c r="E602" i="70"/>
  <c r="D602" i="70"/>
  <c r="F600" i="70"/>
  <c r="E599" i="70"/>
  <c r="D599" i="70"/>
  <c r="F597" i="70"/>
  <c r="F596" i="70"/>
  <c r="F595" i="70"/>
  <c r="E594" i="70"/>
  <c r="D594" i="70"/>
  <c r="F592" i="70"/>
  <c r="E591" i="70"/>
  <c r="D591" i="70"/>
  <c r="F589" i="70"/>
  <c r="F588" i="70"/>
  <c r="E587" i="70"/>
  <c r="D587" i="70"/>
  <c r="F585" i="70"/>
  <c r="E584" i="70"/>
  <c r="D584" i="70"/>
  <c r="F582" i="70"/>
  <c r="E581" i="70"/>
  <c r="D581" i="70"/>
  <c r="F579" i="70"/>
  <c r="F578" i="70"/>
  <c r="E577" i="70"/>
  <c r="D577" i="70"/>
  <c r="F575" i="70"/>
  <c r="F574" i="70"/>
  <c r="F572" i="70"/>
  <c r="F571" i="70"/>
  <c r="E570" i="70"/>
  <c r="D570" i="70"/>
  <c r="G627" i="67"/>
  <c r="G626" i="67" s="1"/>
  <c r="F649" i="67"/>
  <c r="E648" i="67"/>
  <c r="D648" i="67"/>
  <c r="F646" i="67"/>
  <c r="E645" i="67"/>
  <c r="D645" i="67"/>
  <c r="F643" i="67"/>
  <c r="F642" i="67"/>
  <c r="E641" i="67"/>
  <c r="D641" i="67"/>
  <c r="F639" i="67"/>
  <c r="F638" i="67"/>
  <c r="F637" i="67"/>
  <c r="F636" i="67"/>
  <c r="E635" i="67"/>
  <c r="D635" i="67"/>
  <c r="F633" i="67"/>
  <c r="E632" i="67"/>
  <c r="D632" i="67"/>
  <c r="F630" i="67"/>
  <c r="E629" i="67"/>
  <c r="D629" i="67"/>
  <c r="D4279" i="23"/>
  <c r="D4275" i="23"/>
  <c r="D4262" i="23"/>
  <c r="D4287" i="23"/>
  <c r="D4286" i="23" s="1"/>
  <c r="D4257" i="23"/>
  <c r="D4256" i="23" s="1"/>
  <c r="D4253" i="23"/>
  <c r="D4249" i="23"/>
  <c r="D4245" i="23"/>
  <c r="D4240" i="23"/>
  <c r="D4232" i="23"/>
  <c r="D4228" i="23"/>
  <c r="D4214" i="23"/>
  <c r="D4203" i="23"/>
  <c r="D4196" i="23"/>
  <c r="D4193" i="23"/>
  <c r="D4187" i="23"/>
  <c r="D4175" i="23"/>
  <c r="D4158" i="23"/>
  <c r="D4152" i="23"/>
  <c r="D4147" i="23"/>
  <c r="D569" i="70" l="1"/>
  <c r="E569" i="70"/>
  <c r="F569" i="70"/>
  <c r="E607" i="79"/>
  <c r="E698" i="78"/>
  <c r="D627" i="67"/>
  <c r="D626" i="67" s="1"/>
  <c r="F632" i="67"/>
  <c r="F648" i="67"/>
  <c r="F591" i="70"/>
  <c r="D4207" i="23"/>
  <c r="F581" i="70"/>
  <c r="F584" i="70"/>
  <c r="F594" i="70"/>
  <c r="D4261" i="23"/>
  <c r="D4219" i="23"/>
  <c r="D3139" i="23"/>
  <c r="D3125" i="23"/>
  <c r="D3091" i="23"/>
  <c r="D4239" i="23"/>
  <c r="F577" i="70"/>
  <c r="F587" i="70"/>
  <c r="F570" i="70"/>
  <c r="F602" i="70"/>
  <c r="F599" i="70"/>
  <c r="F641" i="67"/>
  <c r="E627" i="67"/>
  <c r="E626" i="67" s="1"/>
  <c r="F635" i="67"/>
  <c r="F629" i="67"/>
  <c r="F645" i="67"/>
  <c r="D3132" i="23" l="1"/>
  <c r="D4143" i="23"/>
  <c r="D4142" i="23" s="1"/>
  <c r="D4139" i="23"/>
  <c r="D4134" i="23"/>
  <c r="D4126" i="23"/>
  <c r="D4119" i="23"/>
  <c r="D4115" i="23"/>
  <c r="D4111" i="23"/>
  <c r="D4107" i="23"/>
  <c r="D4103" i="23"/>
  <c r="D4099" i="23"/>
  <c r="D4091" i="23"/>
  <c r="D4087" i="23"/>
  <c r="D4083" i="23"/>
  <c r="D4079" i="23"/>
  <c r="D4122" i="23"/>
  <c r="D4075" i="23"/>
  <c r="D4071" i="23"/>
  <c r="D4067" i="23"/>
  <c r="D4059" i="23"/>
  <c r="D4056" i="23"/>
  <c r="D4053" i="23"/>
  <c r="D4043" i="23"/>
  <c r="D4040" i="23"/>
  <c r="D4034" i="23"/>
  <c r="D4028" i="23"/>
  <c r="D4023" i="23"/>
  <c r="D4020" i="23"/>
  <c r="D4007" i="23"/>
  <c r="D3956" i="23"/>
  <c r="D3992" i="23"/>
  <c r="D3987" i="23"/>
  <c r="D3983" i="23"/>
  <c r="D3979" i="23"/>
  <c r="D3975" i="23"/>
  <c r="D3968" i="23"/>
  <c r="D3947" i="23"/>
  <c r="F787" i="70"/>
  <c r="E786" i="70"/>
  <c r="D786" i="70"/>
  <c r="D785" i="70" s="1"/>
  <c r="F783" i="70"/>
  <c r="E782" i="70"/>
  <c r="D782" i="70"/>
  <c r="D781" i="70" s="1"/>
  <c r="F779" i="70"/>
  <c r="E778" i="70"/>
  <c r="E777" i="70" s="1"/>
  <c r="D778" i="70"/>
  <c r="D777" i="70" s="1"/>
  <c r="E774" i="70"/>
  <c r="E773" i="70" s="1"/>
  <c r="D774" i="70"/>
  <c r="D773" i="70" s="1"/>
  <c r="F771" i="70"/>
  <c r="E770" i="70"/>
  <c r="D770" i="70"/>
  <c r="D769" i="70" s="1"/>
  <c r="F767" i="70"/>
  <c r="E766" i="70"/>
  <c r="D766" i="70"/>
  <c r="D765" i="70" s="1"/>
  <c r="F763" i="70"/>
  <c r="E762" i="70"/>
  <c r="D762" i="70"/>
  <c r="D761" i="70" s="1"/>
  <c r="F759" i="70"/>
  <c r="E758" i="70"/>
  <c r="E757" i="70" s="1"/>
  <c r="D758" i="70"/>
  <c r="D757" i="70" s="1"/>
  <c r="F755" i="70"/>
  <c r="E754" i="70"/>
  <c r="D754" i="70"/>
  <c r="D753" i="70" s="1"/>
  <c r="F751" i="70"/>
  <c r="E750" i="70"/>
  <c r="D750" i="70"/>
  <c r="D749" i="70" s="1"/>
  <c r="F747" i="70"/>
  <c r="E746" i="70"/>
  <c r="D746" i="70"/>
  <c r="F744" i="70"/>
  <c r="F743" i="70"/>
  <c r="E742" i="70"/>
  <c r="E741" i="70" s="1"/>
  <c r="D742" i="70"/>
  <c r="D741" i="70" s="1"/>
  <c r="G696" i="70"/>
  <c r="F739" i="70"/>
  <c r="F738" i="70"/>
  <c r="F737" i="70"/>
  <c r="F736" i="70"/>
  <c r="F735" i="70"/>
  <c r="F734" i="70"/>
  <c r="F733" i="70"/>
  <c r="F732" i="70"/>
  <c r="F731" i="70"/>
  <c r="F730" i="70"/>
  <c r="F729" i="70"/>
  <c r="E728" i="70"/>
  <c r="D728" i="70"/>
  <c r="F726" i="70"/>
  <c r="E725" i="70"/>
  <c r="D725" i="70"/>
  <c r="F723" i="70"/>
  <c r="F722" i="70"/>
  <c r="E721" i="70"/>
  <c r="D721" i="70"/>
  <c r="F719" i="70"/>
  <c r="E718" i="70"/>
  <c r="D718" i="70"/>
  <c r="F716" i="70"/>
  <c r="F715" i="70"/>
  <c r="F714" i="70"/>
  <c r="E713" i="70"/>
  <c r="D713" i="70"/>
  <c r="F711" i="70"/>
  <c r="F710" i="70"/>
  <c r="F709" i="70"/>
  <c r="E708" i="70"/>
  <c r="D708" i="70"/>
  <c r="F706" i="70"/>
  <c r="E705" i="70"/>
  <c r="D705" i="70"/>
  <c r="F703" i="70"/>
  <c r="F702" i="70"/>
  <c r="F701" i="70"/>
  <c r="E700" i="70"/>
  <c r="D700" i="70"/>
  <c r="F698" i="70"/>
  <c r="E697" i="70"/>
  <c r="D697" i="70"/>
  <c r="G852" i="67"/>
  <c r="E852" i="67"/>
  <c r="D852" i="67"/>
  <c r="F850" i="67"/>
  <c r="F849" i="67"/>
  <c r="F848" i="67"/>
  <c r="E847" i="67"/>
  <c r="D847" i="67"/>
  <c r="F845" i="67"/>
  <c r="F844" i="67"/>
  <c r="F843" i="67"/>
  <c r="F842" i="67"/>
  <c r="F841" i="67"/>
  <c r="F840" i="67"/>
  <c r="F839" i="67"/>
  <c r="F838" i="67"/>
  <c r="F837" i="67"/>
  <c r="F836" i="67"/>
  <c r="E835" i="67"/>
  <c r="D835" i="67"/>
  <c r="F833" i="67"/>
  <c r="F832" i="67"/>
  <c r="E831" i="67"/>
  <c r="D831" i="67"/>
  <c r="F829" i="67"/>
  <c r="F828" i="67"/>
  <c r="F827" i="67"/>
  <c r="F826" i="67"/>
  <c r="G825" i="67"/>
  <c r="E825" i="67"/>
  <c r="D825" i="67"/>
  <c r="F823" i="67"/>
  <c r="E822" i="67"/>
  <c r="D822" i="67"/>
  <c r="F820" i="67"/>
  <c r="F819" i="67"/>
  <c r="F818" i="67"/>
  <c r="G817" i="67"/>
  <c r="E817" i="67"/>
  <c r="D817" i="67"/>
  <c r="F815" i="67"/>
  <c r="F814" i="67"/>
  <c r="F813" i="67"/>
  <c r="F812" i="67"/>
  <c r="F811" i="67"/>
  <c r="F810" i="67"/>
  <c r="F809" i="67"/>
  <c r="F808" i="67"/>
  <c r="F807" i="67"/>
  <c r="F806" i="67"/>
  <c r="F805" i="67"/>
  <c r="F804" i="67"/>
  <c r="F803" i="67"/>
  <c r="E802" i="67"/>
  <c r="D802" i="67"/>
  <c r="F800" i="67"/>
  <c r="F799" i="67"/>
  <c r="F798" i="67"/>
  <c r="F797" i="67"/>
  <c r="F796" i="67"/>
  <c r="F795" i="67"/>
  <c r="F794" i="67"/>
  <c r="F793" i="67"/>
  <c r="F792" i="67"/>
  <c r="F791" i="67"/>
  <c r="G790" i="67"/>
  <c r="E790" i="67"/>
  <c r="D790" i="67"/>
  <c r="D4070" i="23" l="1"/>
  <c r="D4006" i="23"/>
  <c r="D4074" i="23"/>
  <c r="D4086" i="23"/>
  <c r="D4106" i="23"/>
  <c r="D4082" i="23"/>
  <c r="D4090" i="23"/>
  <c r="D4110" i="23"/>
  <c r="D4102" i="23"/>
  <c r="D4066" i="23"/>
  <c r="D4078" i="23"/>
  <c r="D4098" i="23"/>
  <c r="D4114" i="23"/>
  <c r="F777" i="70"/>
  <c r="F766" i="70"/>
  <c r="D696" i="70"/>
  <c r="D694" i="70" s="1"/>
  <c r="F700" i="70"/>
  <c r="F728" i="70"/>
  <c r="F778" i="70"/>
  <c r="F770" i="70"/>
  <c r="G788" i="67"/>
  <c r="G786" i="67" s="1"/>
  <c r="D4125" i="23"/>
  <c r="D4118" i="23"/>
  <c r="D3946" i="23"/>
  <c r="F754" i="70"/>
  <c r="F758" i="70"/>
  <c r="F786" i="70"/>
  <c r="F750" i="70"/>
  <c r="F762" i="70"/>
  <c r="F782" i="70"/>
  <c r="F757" i="70"/>
  <c r="E753" i="70"/>
  <c r="F753" i="70" s="1"/>
  <c r="E769" i="70"/>
  <c r="F769" i="70" s="1"/>
  <c r="E749" i="70"/>
  <c r="F749" i="70" s="1"/>
  <c r="E765" i="70"/>
  <c r="F765" i="70" s="1"/>
  <c r="E785" i="70"/>
  <c r="F785" i="70" s="1"/>
  <c r="E761" i="70"/>
  <c r="F761" i="70" s="1"/>
  <c r="E781" i="70"/>
  <c r="F781" i="70" s="1"/>
  <c r="E696" i="70"/>
  <c r="F725" i="70"/>
  <c r="F713" i="70"/>
  <c r="F721" i="70"/>
  <c r="F742" i="70"/>
  <c r="F746" i="70"/>
  <c r="F708" i="70"/>
  <c r="F705" i="70"/>
  <c r="F697" i="70"/>
  <c r="F718" i="70"/>
  <c r="F847" i="67"/>
  <c r="F802" i="67"/>
  <c r="F825" i="67"/>
  <c r="E788" i="67"/>
  <c r="E786" i="67" s="1"/>
  <c r="D788" i="67"/>
  <c r="D786" i="67" s="1"/>
  <c r="F822" i="67"/>
  <c r="F790" i="67"/>
  <c r="F817" i="67"/>
  <c r="F831" i="67"/>
  <c r="F835" i="67"/>
  <c r="E694" i="70" l="1"/>
  <c r="F786" i="67"/>
  <c r="D760" i="79" l="1"/>
  <c r="E760" i="79" s="1"/>
  <c r="D722" i="79"/>
  <c r="E722" i="79" s="1"/>
  <c r="D719" i="79"/>
  <c r="D698" i="79"/>
  <c r="E698" i="79" s="1"/>
  <c r="D690" i="79"/>
  <c r="E690" i="79" s="1"/>
  <c r="D674" i="79"/>
  <c r="E674" i="79" s="1"/>
  <c r="D659" i="79"/>
  <c r="E659" i="79" s="1"/>
  <c r="D655" i="79"/>
  <c r="E655" i="79" s="1"/>
  <c r="D855" i="79"/>
  <c r="D853" i="79" s="1"/>
  <c r="D801" i="78"/>
  <c r="E801" i="78" s="1"/>
  <c r="D798" i="78"/>
  <c r="E798" i="78" s="1"/>
  <c r="D794" i="78"/>
  <c r="E794" i="78" s="1"/>
  <c r="D790" i="78"/>
  <c r="E790" i="78" s="1"/>
  <c r="D782" i="78"/>
  <c r="E782" i="78" s="1"/>
  <c r="D778" i="78"/>
  <c r="E778" i="78" s="1"/>
  <c r="D758" i="78"/>
  <c r="E758" i="78" s="1"/>
  <c r="D3467" i="23"/>
  <c r="D3464" i="23"/>
  <c r="D3461" i="23"/>
  <c r="D3452" i="23"/>
  <c r="D3421" i="23"/>
  <c r="D3413" i="23"/>
  <c r="D3441" i="23"/>
  <c r="D3438" i="23"/>
  <c r="D3432" i="23"/>
  <c r="D3409" i="23"/>
  <c r="D3408" i="23" s="1"/>
  <c r="D3405" i="23"/>
  <c r="D3402" i="23"/>
  <c r="D718" i="79" l="1"/>
  <c r="E718" i="79" s="1"/>
  <c r="E719" i="79"/>
  <c r="E855" i="79"/>
  <c r="E828" i="78"/>
  <c r="E829" i="78"/>
  <c r="D748" i="78"/>
  <c r="D746" i="78" s="1"/>
  <c r="D3460" i="23"/>
  <c r="D3412" i="23"/>
  <c r="D3401" i="23"/>
  <c r="D3398" i="23"/>
  <c r="D3395" i="23"/>
  <c r="D3388" i="23"/>
  <c r="D3381" i="23"/>
  <c r="D3373" i="23"/>
  <c r="D3367" i="23"/>
  <c r="D3364" i="23"/>
  <c r="D3360" i="23"/>
  <c r="D3356" i="23"/>
  <c r="D3345" i="23"/>
  <c r="D3341" i="23"/>
  <c r="D3325" i="23"/>
  <c r="D3320" i="23"/>
  <c r="D3337" i="23"/>
  <c r="D3333" i="23"/>
  <c r="D3314" i="23"/>
  <c r="D3311" i="23"/>
  <c r="D3305" i="23"/>
  <c r="D3300" i="23"/>
  <c r="D3296" i="23"/>
  <c r="D3293" i="23"/>
  <c r="D3288" i="23"/>
  <c r="D3285" i="23"/>
  <c r="D3264" i="23"/>
  <c r="D3256" i="23"/>
  <c r="D3240" i="23"/>
  <c r="D3225" i="23"/>
  <c r="D3221" i="23"/>
  <c r="D3215" i="23"/>
  <c r="D3212" i="23"/>
  <c r="D3208" i="23"/>
  <c r="D3204" i="23"/>
  <c r="D3172" i="23"/>
  <c r="D3196" i="23"/>
  <c r="D3192" i="23"/>
  <c r="E748" i="78" l="1"/>
  <c r="D3394" i="23"/>
  <c r="D3372" i="23"/>
  <c r="D3363" i="23"/>
  <c r="D3344" i="23"/>
  <c r="D3319" i="23"/>
  <c r="D3299" i="23"/>
  <c r="D3292" i="23"/>
  <c r="D3220" i="23"/>
  <c r="D3284" i="23"/>
  <c r="D3162" i="23"/>
  <c r="G663" i="70"/>
  <c r="D668" i="70"/>
  <c r="F666" i="70"/>
  <c r="F665" i="70"/>
  <c r="E664" i="70"/>
  <c r="E663" i="70" s="1"/>
  <c r="D664" i="70"/>
  <c r="F661" i="70"/>
  <c r="E660" i="70"/>
  <c r="D660" i="70"/>
  <c r="F658" i="70"/>
  <c r="E657" i="70"/>
  <c r="D657" i="70"/>
  <c r="F655" i="70"/>
  <c r="E654" i="70"/>
  <c r="D654" i="70"/>
  <c r="F652" i="70"/>
  <c r="F651" i="70"/>
  <c r="E650" i="70"/>
  <c r="D650" i="70"/>
  <c r="F648" i="70"/>
  <c r="F647" i="70"/>
  <c r="F646" i="70"/>
  <c r="E645" i="70"/>
  <c r="D645" i="70"/>
  <c r="F643" i="70"/>
  <c r="F642" i="70"/>
  <c r="F641" i="70"/>
  <c r="F640" i="70"/>
  <c r="F639" i="70"/>
  <c r="F638" i="70"/>
  <c r="F637" i="70"/>
  <c r="E636" i="70"/>
  <c r="D636" i="70"/>
  <c r="F634" i="70"/>
  <c r="F633" i="70"/>
  <c r="F632" i="70"/>
  <c r="F631" i="70"/>
  <c r="F630" i="70"/>
  <c r="E629" i="70"/>
  <c r="D629" i="70"/>
  <c r="F627" i="70"/>
  <c r="F626" i="70"/>
  <c r="E625" i="70"/>
  <c r="D625" i="70"/>
  <c r="F623" i="70"/>
  <c r="E622" i="70"/>
  <c r="D622" i="70"/>
  <c r="F620" i="70"/>
  <c r="F619" i="70"/>
  <c r="F618" i="70"/>
  <c r="F617" i="70"/>
  <c r="F616" i="70"/>
  <c r="F615" i="70"/>
  <c r="F614" i="70"/>
  <c r="E613" i="70"/>
  <c r="D613" i="70"/>
  <c r="D701" i="67"/>
  <c r="D717" i="67"/>
  <c r="E654" i="67"/>
  <c r="E658" i="67"/>
  <c r="E694" i="67"/>
  <c r="E701" i="67"/>
  <c r="E707" i="67"/>
  <c r="D654" i="67"/>
  <c r="F654" i="67" s="1"/>
  <c r="D658" i="67"/>
  <c r="D694" i="67"/>
  <c r="D707" i="67"/>
  <c r="F699" i="67"/>
  <c r="F698" i="67"/>
  <c r="F697" i="67"/>
  <c r="F696" i="67"/>
  <c r="F695" i="67"/>
  <c r="F692" i="67"/>
  <c r="F691" i="67"/>
  <c r="F690" i="67"/>
  <c r="F689" i="67"/>
  <c r="F688" i="67"/>
  <c r="F687" i="67"/>
  <c r="F686" i="67"/>
  <c r="F685" i="67"/>
  <c r="F684" i="67"/>
  <c r="F683" i="67"/>
  <c r="F682" i="67"/>
  <c r="F681" i="67"/>
  <c r="F680" i="67"/>
  <c r="F679" i="67"/>
  <c r="F678" i="67"/>
  <c r="F677" i="67"/>
  <c r="F676" i="67"/>
  <c r="F675" i="67"/>
  <c r="F674" i="67"/>
  <c r="F673" i="67"/>
  <c r="F672" i="67"/>
  <c r="F671" i="67"/>
  <c r="F670" i="67"/>
  <c r="F669" i="67"/>
  <c r="F668" i="67"/>
  <c r="F667" i="67"/>
  <c r="F666" i="67"/>
  <c r="F665" i="67"/>
  <c r="F664" i="67"/>
  <c r="F663" i="67"/>
  <c r="F662" i="67"/>
  <c r="F661" i="67"/>
  <c r="F660" i="67"/>
  <c r="F659" i="67"/>
  <c r="F656" i="67"/>
  <c r="F655" i="67"/>
  <c r="G653" i="67"/>
  <c r="G651" i="67" s="1"/>
  <c r="D765" i="67"/>
  <c r="D764" i="67" s="1"/>
  <c r="E765" i="67"/>
  <c r="E764" i="67" s="1"/>
  <c r="D769" i="67"/>
  <c r="D768" i="67" s="1"/>
  <c r="E769" i="67"/>
  <c r="E768" i="67" s="1"/>
  <c r="D773" i="67"/>
  <c r="D772" i="67" s="1"/>
  <c r="D777" i="67"/>
  <c r="D776" i="67" s="1"/>
  <c r="E777" i="67"/>
  <c r="E776" i="67" s="1"/>
  <c r="D782" i="67"/>
  <c r="D781" i="67" s="1"/>
  <c r="E782" i="67"/>
  <c r="E781" i="67" s="1"/>
  <c r="D141" i="79"/>
  <c r="D133" i="79"/>
  <c r="D109" i="79"/>
  <c r="E109" i="79" s="1"/>
  <c r="D112" i="79"/>
  <c r="E112" i="79" s="1"/>
  <c r="D119" i="79"/>
  <c r="E119" i="79" s="1"/>
  <c r="D124" i="79"/>
  <c r="E124" i="79" s="1"/>
  <c r="D129" i="79"/>
  <c r="E129" i="79" s="1"/>
  <c r="D211" i="78"/>
  <c r="E211" i="78" s="1"/>
  <c r="D207" i="78"/>
  <c r="E207" i="78" s="1"/>
  <c r="D203" i="78"/>
  <c r="D199" i="78"/>
  <c r="E199" i="78" s="1"/>
  <c r="D195" i="78"/>
  <c r="E195" i="78" s="1"/>
  <c r="D191" i="78"/>
  <c r="E191" i="78" s="1"/>
  <c r="D139" i="78"/>
  <c r="E139" i="78" s="1"/>
  <c r="D148" i="78"/>
  <c r="E148" i="78" s="1"/>
  <c r="D162" i="78"/>
  <c r="E162" i="78" s="1"/>
  <c r="D169" i="78"/>
  <c r="E169" i="78" s="1"/>
  <c r="D174" i="78"/>
  <c r="E174" i="78" s="1"/>
  <c r="D183" i="78"/>
  <c r="E183" i="78" s="1"/>
  <c r="D186" i="78"/>
  <c r="E186" i="78" s="1"/>
  <c r="D803" i="23"/>
  <c r="D429" i="23"/>
  <c r="D438" i="23"/>
  <c r="D452" i="23"/>
  <c r="D459" i="23"/>
  <c r="D464" i="23"/>
  <c r="D473" i="23"/>
  <c r="D476" i="23"/>
  <c r="D481" i="23"/>
  <c r="D484" i="23"/>
  <c r="D491" i="23"/>
  <c r="D496" i="23"/>
  <c r="D501" i="23"/>
  <c r="D505" i="23"/>
  <c r="D504" i="23" s="1"/>
  <c r="D509" i="23"/>
  <c r="D515" i="23"/>
  <c r="D519" i="23"/>
  <c r="D518" i="23" s="1"/>
  <c r="D524" i="23"/>
  <c r="D527" i="23"/>
  <c r="D530" i="23"/>
  <c r="D534" i="23"/>
  <c r="D533" i="23" s="1"/>
  <c r="D538" i="23"/>
  <c r="D541" i="23"/>
  <c r="D544" i="23"/>
  <c r="D547" i="23"/>
  <c r="D551" i="23"/>
  <c r="D554" i="23"/>
  <c r="D560" i="23"/>
  <c r="D564" i="23"/>
  <c r="D568" i="23"/>
  <c r="D567" i="23" s="1"/>
  <c r="D573" i="23"/>
  <c r="D578" i="23"/>
  <c r="D583" i="23"/>
  <c r="D588" i="23"/>
  <c r="D587" i="23" s="1"/>
  <c r="D592" i="23"/>
  <c r="D591" i="23" s="1"/>
  <c r="D597" i="23"/>
  <c r="D601" i="23"/>
  <c r="D604" i="23"/>
  <c r="D607" i="23"/>
  <c r="D610" i="23"/>
  <c r="D613" i="23"/>
  <c r="D618" i="23"/>
  <c r="D622" i="23"/>
  <c r="D626" i="23"/>
  <c r="D629" i="23"/>
  <c r="D633" i="23"/>
  <c r="D636" i="23"/>
  <c r="D642" i="23"/>
  <c r="D646" i="23"/>
  <c r="D650" i="23"/>
  <c r="D653" i="23"/>
  <c r="D656" i="23"/>
  <c r="D659" i="23"/>
  <c r="D662" i="23"/>
  <c r="D665" i="23"/>
  <c r="D668" i="23"/>
  <c r="D672" i="23"/>
  <c r="D675" i="23"/>
  <c r="D678" i="23"/>
  <c r="D681" i="23"/>
  <c r="D684" i="23"/>
  <c r="D687" i="23"/>
  <c r="D692" i="23"/>
  <c r="D695" i="23"/>
  <c r="D698" i="23"/>
  <c r="D701" i="23"/>
  <c r="D704" i="23"/>
  <c r="D707" i="23"/>
  <c r="D710" i="23"/>
  <c r="D714" i="23"/>
  <c r="D717" i="23"/>
  <c r="D720" i="23"/>
  <c r="D723" i="23"/>
  <c r="D727" i="23"/>
  <c r="D731" i="23"/>
  <c r="D734" i="23"/>
  <c r="D737" i="23"/>
  <c r="D740" i="23"/>
  <c r="D743" i="23"/>
  <c r="D747" i="23"/>
  <c r="D750" i="23"/>
  <c r="D753" i="23"/>
  <c r="D756" i="23"/>
  <c r="D759" i="23"/>
  <c r="D762" i="23"/>
  <c r="D765" i="23"/>
  <c r="D768" i="23"/>
  <c r="D772" i="23"/>
  <c r="D775" i="23"/>
  <c r="D778" i="23"/>
  <c r="D781" i="23"/>
  <c r="D784" i="23"/>
  <c r="D787" i="23"/>
  <c r="D791" i="23"/>
  <c r="D794" i="23"/>
  <c r="D800" i="23"/>
  <c r="D919" i="78"/>
  <c r="E919" i="78" s="1"/>
  <c r="D952" i="78"/>
  <c r="D951" i="78" s="1"/>
  <c r="E951" i="78" s="1"/>
  <c r="D3758" i="23"/>
  <c r="D3763" i="23"/>
  <c r="D3766" i="23"/>
  <c r="D3770" i="23"/>
  <c r="D3773" i="23"/>
  <c r="D3777" i="23"/>
  <c r="D3780" i="23"/>
  <c r="D3784" i="23"/>
  <c r="D3787" i="23"/>
  <c r="D3790" i="23"/>
  <c r="D3793" i="23"/>
  <c r="D3797" i="23"/>
  <c r="D3801" i="23"/>
  <c r="D3800" i="23" s="1"/>
  <c r="D3808" i="23"/>
  <c r="D3807" i="23" s="1"/>
  <c r="D3812" i="23"/>
  <c r="D3811" i="23" s="1"/>
  <c r="D3816" i="23"/>
  <c r="D3815" i="23" s="1"/>
  <c r="D3821" i="23"/>
  <c r="D3820" i="23" s="1"/>
  <c r="D3825" i="23"/>
  <c r="D3830" i="23"/>
  <c r="D3839" i="23"/>
  <c r="D3849" i="23"/>
  <c r="D3853" i="23"/>
  <c r="D3857" i="23"/>
  <c r="D3856" i="23" s="1"/>
  <c r="D3861" i="23"/>
  <c r="D3864" i="23"/>
  <c r="D3867" i="23"/>
  <c r="D3870" i="23"/>
  <c r="D3874" i="23"/>
  <c r="D3877" i="23"/>
  <c r="D3881" i="23"/>
  <c r="D3884" i="23"/>
  <c r="D3887" i="23"/>
  <c r="D3891" i="23"/>
  <c r="D3894" i="23"/>
  <c r="D3900" i="23"/>
  <c r="D3903" i="23"/>
  <c r="D3907" i="23"/>
  <c r="D3910" i="23"/>
  <c r="D3913" i="23"/>
  <c r="D3916" i="23"/>
  <c r="D3920" i="23"/>
  <c r="D3924" i="23"/>
  <c r="D3929" i="23"/>
  <c r="D3928" i="23" s="1"/>
  <c r="D3936" i="23"/>
  <c r="D3941" i="23"/>
  <c r="D3804" i="23"/>
  <c r="E674" i="70"/>
  <c r="E677" i="70"/>
  <c r="E680" i="70"/>
  <c r="E684" i="70"/>
  <c r="E687" i="70"/>
  <c r="E691" i="70"/>
  <c r="D674" i="70"/>
  <c r="D677" i="70"/>
  <c r="D680" i="70"/>
  <c r="D684" i="70"/>
  <c r="D687" i="70"/>
  <c r="D691" i="70"/>
  <c r="F692" i="70"/>
  <c r="F689" i="70"/>
  <c r="F688" i="70"/>
  <c r="F685" i="70"/>
  <c r="F682" i="70"/>
  <c r="F681" i="70"/>
  <c r="F678" i="70"/>
  <c r="F675" i="70"/>
  <c r="D516" i="79"/>
  <c r="D512" i="79"/>
  <c r="D522" i="79"/>
  <c r="E522" i="79" s="1"/>
  <c r="D528" i="79"/>
  <c r="E528" i="79" s="1"/>
  <c r="D531" i="79"/>
  <c r="E531" i="79" s="1"/>
  <c r="D534" i="79"/>
  <c r="E534" i="79" s="1"/>
  <c r="D537" i="79"/>
  <c r="E537" i="79" s="1"/>
  <c r="D541" i="79"/>
  <c r="E541" i="79" s="1"/>
  <c r="D550" i="79"/>
  <c r="E550" i="79" s="1"/>
  <c r="D553" i="79"/>
  <c r="E553" i="79" s="1"/>
  <c r="D567" i="79"/>
  <c r="E567" i="79" s="1"/>
  <c r="D571" i="79"/>
  <c r="E571" i="79" s="1"/>
  <c r="D574" i="79"/>
  <c r="E574" i="79" s="1"/>
  <c r="D580" i="79"/>
  <c r="E580" i="79" s="1"/>
  <c r="D584" i="79"/>
  <c r="E584" i="79" s="1"/>
  <c r="D601" i="79"/>
  <c r="E601" i="79" s="1"/>
  <c r="D131" i="78"/>
  <c r="E131" i="78" s="1"/>
  <c r="D215" i="78"/>
  <c r="E215" i="78" s="1"/>
  <c r="D303" i="78"/>
  <c r="D386" i="78"/>
  <c r="E386" i="78" s="1"/>
  <c r="D391" i="78"/>
  <c r="E391" i="78" s="1"/>
  <c r="D406" i="78"/>
  <c r="E406" i="78" s="1"/>
  <c r="D411" i="78"/>
  <c r="E411" i="78" s="1"/>
  <c r="D415" i="78"/>
  <c r="E415" i="78" s="1"/>
  <c r="D428" i="78"/>
  <c r="E428" i="78" s="1"/>
  <c r="D431" i="78"/>
  <c r="E431" i="78" s="1"/>
  <c r="D312" i="78"/>
  <c r="E312" i="78" s="1"/>
  <c r="D319" i="78"/>
  <c r="E319" i="78" s="1"/>
  <c r="D322" i="78"/>
  <c r="E322" i="78" s="1"/>
  <c r="D326" i="78"/>
  <c r="E326" i="78" s="1"/>
  <c r="D381" i="78"/>
  <c r="E381" i="78" s="1"/>
  <c r="D436" i="78"/>
  <c r="E436" i="78" s="1"/>
  <c r="D439" i="78"/>
  <c r="E439" i="78" s="1"/>
  <c r="D463" i="78"/>
  <c r="E463" i="78" s="1"/>
  <c r="D469" i="78"/>
  <c r="E469" i="78" s="1"/>
  <c r="D480" i="78"/>
  <c r="E480" i="78" s="1"/>
  <c r="D490" i="78"/>
  <c r="E490" i="78" s="1"/>
  <c r="D494" i="78"/>
  <c r="E494" i="78" s="1"/>
  <c r="D506" i="78"/>
  <c r="E506" i="78" s="1"/>
  <c r="D516" i="78"/>
  <c r="E516" i="78" s="1"/>
  <c r="D519" i="78"/>
  <c r="E519" i="78" s="1"/>
  <c r="D531" i="78"/>
  <c r="D590" i="78"/>
  <c r="D596" i="78"/>
  <c r="E596" i="78" s="1"/>
  <c r="D602" i="78"/>
  <c r="E602" i="78" s="1"/>
  <c r="D642" i="78"/>
  <c r="E642" i="78" s="1"/>
  <c r="D648" i="78"/>
  <c r="E648" i="78" s="1"/>
  <c r="D666" i="78"/>
  <c r="E666" i="78" s="1"/>
  <c r="D671" i="78"/>
  <c r="E671" i="78" s="1"/>
  <c r="D683" i="78"/>
  <c r="E683" i="78" s="1"/>
  <c r="D1019" i="78"/>
  <c r="D2531" i="23"/>
  <c r="D2537" i="23"/>
  <c r="D2577" i="23"/>
  <c r="D2583" i="23"/>
  <c r="D2601" i="23"/>
  <c r="D2606" i="23"/>
  <c r="D2618" i="23"/>
  <c r="D2627" i="23"/>
  <c r="D2633" i="23"/>
  <c r="D2636" i="23"/>
  <c r="D2639" i="23"/>
  <c r="D2642" i="23"/>
  <c r="D2646" i="23"/>
  <c r="D2655" i="23"/>
  <c r="D2658" i="23"/>
  <c r="D2676" i="23"/>
  <c r="D2679" i="23"/>
  <c r="D2685" i="23"/>
  <c r="D2689" i="23"/>
  <c r="D2672" i="23"/>
  <c r="D2693" i="23"/>
  <c r="D2692" i="23" s="1"/>
  <c r="D2697" i="23"/>
  <c r="D2700" i="23"/>
  <c r="D2711" i="23"/>
  <c r="D2723" i="23"/>
  <c r="D2730" i="23"/>
  <c r="D2734" i="23"/>
  <c r="D2742" i="23"/>
  <c r="D2747" i="23"/>
  <c r="D2764" i="23"/>
  <c r="D2763" i="23" s="1"/>
  <c r="D2789" i="23"/>
  <c r="D2800" i="23"/>
  <c r="D2807" i="23"/>
  <c r="D2813" i="23"/>
  <c r="D2822" i="23"/>
  <c r="D2826" i="23"/>
  <c r="D2833" i="23"/>
  <c r="D2840" i="23"/>
  <c r="D2848" i="23"/>
  <c r="D2847" i="23" s="1"/>
  <c r="D2857" i="23"/>
  <c r="D2862" i="23"/>
  <c r="D2865" i="23"/>
  <c r="D2870" i="23"/>
  <c r="D2875" i="23"/>
  <c r="D2883" i="23"/>
  <c r="D2904" i="23"/>
  <c r="D2913" i="23"/>
  <c r="D2919" i="23"/>
  <c r="D2928" i="23"/>
  <c r="D2936" i="23"/>
  <c r="D2945" i="23"/>
  <c r="D2949" i="23"/>
  <c r="D2954" i="23"/>
  <c r="D2957" i="23"/>
  <c r="D2359" i="23"/>
  <c r="D2401" i="23"/>
  <c r="D2468" i="23"/>
  <c r="G420" i="70"/>
  <c r="G432" i="70"/>
  <c r="G436" i="70"/>
  <c r="E448" i="70"/>
  <c r="E447" i="70" s="1"/>
  <c r="D448" i="70"/>
  <c r="F449" i="70"/>
  <c r="G404" i="67"/>
  <c r="G421" i="67"/>
  <c r="G429" i="67"/>
  <c r="G438" i="67"/>
  <c r="G450" i="67"/>
  <c r="G460" i="67"/>
  <c r="E396" i="67"/>
  <c r="E399" i="67"/>
  <c r="E404" i="67"/>
  <c r="E421" i="67"/>
  <c r="E429" i="67"/>
  <c r="E438" i="67"/>
  <c r="E450" i="67"/>
  <c r="E461" i="67"/>
  <c r="E460" i="67" s="1"/>
  <c r="D396" i="67"/>
  <c r="D399" i="67"/>
  <c r="D404" i="67"/>
  <c r="D421" i="67"/>
  <c r="D429" i="67"/>
  <c r="D438" i="67"/>
  <c r="D450" i="67"/>
  <c r="F450" i="67" s="1"/>
  <c r="D461" i="67"/>
  <c r="D460" i="67" s="1"/>
  <c r="F463" i="67"/>
  <c r="F462" i="67"/>
  <c r="F405" i="67"/>
  <c r="F458" i="67"/>
  <c r="F457" i="67"/>
  <c r="F456" i="67"/>
  <c r="F455" i="67"/>
  <c r="F454" i="67"/>
  <c r="F453" i="67"/>
  <c r="F452" i="67"/>
  <c r="F451" i="67"/>
  <c r="F448" i="67"/>
  <c r="F447" i="67"/>
  <c r="F446" i="67"/>
  <c r="F445" i="67"/>
  <c r="F444" i="67"/>
  <c r="F443" i="67"/>
  <c r="F442" i="67"/>
  <c r="F441" i="67"/>
  <c r="F440" i="67"/>
  <c r="F439" i="67"/>
  <c r="F436" i="67"/>
  <c r="F435" i="67"/>
  <c r="F434" i="67"/>
  <c r="F433" i="67"/>
  <c r="F432" i="67"/>
  <c r="F431" i="67"/>
  <c r="F430" i="67"/>
  <c r="F426" i="67"/>
  <c r="F425" i="67"/>
  <c r="F424" i="67"/>
  <c r="F423" i="67"/>
  <c r="F422" i="67"/>
  <c r="F419" i="67"/>
  <c r="F418" i="67"/>
  <c r="F417" i="67"/>
  <c r="F416" i="67"/>
  <c r="F415" i="67"/>
  <c r="F414" i="67"/>
  <c r="F413" i="67"/>
  <c r="F412" i="67"/>
  <c r="F411" i="67"/>
  <c r="F410" i="67"/>
  <c r="F409" i="67"/>
  <c r="F408" i="67"/>
  <c r="F407" i="67"/>
  <c r="F406" i="67"/>
  <c r="F402" i="67"/>
  <c r="F401" i="67"/>
  <c r="F400" i="67"/>
  <c r="F397" i="67"/>
  <c r="E490" i="70"/>
  <c r="D490" i="70"/>
  <c r="D499" i="70"/>
  <c r="D498" i="70" s="1"/>
  <c r="E499" i="70"/>
  <c r="E498" i="70" s="1"/>
  <c r="D541" i="67"/>
  <c r="D545" i="67"/>
  <c r="F496" i="70"/>
  <c r="F495" i="70"/>
  <c r="F494" i="70"/>
  <c r="F492" i="70"/>
  <c r="F491" i="70"/>
  <c r="G451" i="70"/>
  <c r="G467" i="67"/>
  <c r="F538" i="67"/>
  <c r="F537" i="67"/>
  <c r="F536" i="67"/>
  <c r="F535" i="67"/>
  <c r="F533" i="67"/>
  <c r="F532" i="67"/>
  <c r="F531" i="67"/>
  <c r="F530" i="67"/>
  <c r="F529" i="67"/>
  <c r="F515" i="67"/>
  <c r="F516" i="67"/>
  <c r="F517" i="67"/>
  <c r="F518" i="67"/>
  <c r="F519" i="67"/>
  <c r="F520" i="67"/>
  <c r="F521" i="67"/>
  <c r="F522" i="67"/>
  <c r="F523" i="67"/>
  <c r="F524" i="67"/>
  <c r="F525" i="67"/>
  <c r="F526" i="67"/>
  <c r="F527" i="67"/>
  <c r="F514" i="67"/>
  <c r="F513" i="67"/>
  <c r="F511" i="67"/>
  <c r="F510" i="67"/>
  <c r="F505" i="67"/>
  <c r="F506" i="67"/>
  <c r="F507" i="67"/>
  <c r="F508" i="67"/>
  <c r="F504" i="67"/>
  <c r="F503" i="67"/>
  <c r="F501" i="67"/>
  <c r="F500" i="67"/>
  <c r="F499" i="67"/>
  <c r="F473" i="67"/>
  <c r="F474" i="67"/>
  <c r="F475" i="67"/>
  <c r="F476" i="67"/>
  <c r="F477" i="67"/>
  <c r="F478" i="67"/>
  <c r="F479" i="67"/>
  <c r="F480" i="67"/>
  <c r="F481" i="67"/>
  <c r="F482" i="67"/>
  <c r="F483" i="67"/>
  <c r="F484" i="67"/>
  <c r="F485" i="67"/>
  <c r="F486" i="67"/>
  <c r="F487" i="67"/>
  <c r="F488" i="67"/>
  <c r="F489" i="67"/>
  <c r="F490" i="67"/>
  <c r="F491" i="67"/>
  <c r="F492" i="67"/>
  <c r="F493" i="67"/>
  <c r="F494" i="67"/>
  <c r="F495" i="67"/>
  <c r="F496" i="67"/>
  <c r="F497" i="67"/>
  <c r="F472" i="67"/>
  <c r="F469" i="67"/>
  <c r="F468" i="67"/>
  <c r="E467" i="67"/>
  <c r="D467" i="67"/>
  <c r="L2308" i="68"/>
  <c r="D278" i="79"/>
  <c r="E278" i="79" s="1"/>
  <c r="D281" i="79"/>
  <c r="E281" i="79" s="1"/>
  <c r="D292" i="79"/>
  <c r="E292" i="79" s="1"/>
  <c r="D297" i="79"/>
  <c r="E297" i="79" s="1"/>
  <c r="D302" i="79"/>
  <c r="E302" i="79" s="1"/>
  <c r="D305" i="79"/>
  <c r="E305" i="79" s="1"/>
  <c r="D314" i="79"/>
  <c r="E314" i="79" s="1"/>
  <c r="D317" i="79"/>
  <c r="E317" i="79" s="1"/>
  <c r="D321" i="79"/>
  <c r="E321" i="79" s="1"/>
  <c r="D324" i="79"/>
  <c r="E324" i="79" s="1"/>
  <c r="D327" i="79"/>
  <c r="E327" i="79" s="1"/>
  <c r="D338" i="79"/>
  <c r="E338" i="79" s="1"/>
  <c r="D341" i="79"/>
  <c r="E341" i="79" s="1"/>
  <c r="D1374" i="23"/>
  <c r="D1381" i="23"/>
  <c r="D1384" i="23"/>
  <c r="D1388" i="23"/>
  <c r="D1403" i="23"/>
  <c r="D1421" i="23"/>
  <c r="D1427" i="23"/>
  <c r="D1433" i="23"/>
  <c r="D1438" i="23"/>
  <c r="D1437" i="23" s="1"/>
  <c r="D1447" i="23"/>
  <c r="D1451" i="23"/>
  <c r="D1455" i="23"/>
  <c r="D1458" i="23"/>
  <c r="D1469" i="23"/>
  <c r="D1468" i="23" s="1"/>
  <c r="D1474" i="23"/>
  <c r="D1473" i="23" s="1"/>
  <c r="D1478" i="23"/>
  <c r="D1477" i="23" s="1"/>
  <c r="D1482" i="23"/>
  <c r="D1481" i="23" s="1"/>
  <c r="D1486" i="23"/>
  <c r="D1490" i="23"/>
  <c r="D1493" i="23"/>
  <c r="D1497" i="23"/>
  <c r="D1500" i="23"/>
  <c r="D1505" i="23"/>
  <c r="D1508" i="23"/>
  <c r="D1512" i="23"/>
  <c r="D1517" i="23"/>
  <c r="D1526" i="23"/>
  <c r="D1530" i="23"/>
  <c r="D1534" i="23"/>
  <c r="D1533" i="23" s="1"/>
  <c r="D1540" i="23"/>
  <c r="D1539" i="23" s="1"/>
  <c r="D1544" i="23"/>
  <c r="D1552" i="23"/>
  <c r="D1556" i="23"/>
  <c r="D1559" i="23"/>
  <c r="D1563" i="23"/>
  <c r="D1562" i="23" s="1"/>
  <c r="D1569" i="23"/>
  <c r="D1568" i="23" s="1"/>
  <c r="D1573" i="23"/>
  <c r="D1572" i="23" s="1"/>
  <c r="D1583" i="23"/>
  <c r="D1582" i="23" s="1"/>
  <c r="D1590" i="23"/>
  <c r="D1589" i="23" s="1"/>
  <c r="D1594" i="23"/>
  <c r="D1593" i="23" s="1"/>
  <c r="D1598" i="23"/>
  <c r="D1597" i="23" s="1"/>
  <c r="D1602" i="23"/>
  <c r="D1601" i="23" s="1"/>
  <c r="D1606" i="23"/>
  <c r="D1605" i="23" s="1"/>
  <c r="D1610" i="23"/>
  <c r="D1609" i="23" s="1"/>
  <c r="D1614" i="23"/>
  <c r="D1618" i="23"/>
  <c r="D1617" i="23" s="1"/>
  <c r="D1622" i="23"/>
  <c r="D1626" i="23"/>
  <c r="D1625" i="23" s="1"/>
  <c r="D1630" i="23"/>
  <c r="D1634" i="23"/>
  <c r="D1639" i="23"/>
  <c r="D1642" i="23"/>
  <c r="D1648" i="23"/>
  <c r="D1657" i="23"/>
  <c r="D1662" i="23"/>
  <c r="D1677" i="23"/>
  <c r="D1682" i="23"/>
  <c r="D1686" i="23"/>
  <c r="D1699" i="23"/>
  <c r="D1703" i="23"/>
  <c r="D1706" i="23"/>
  <c r="D1717" i="23"/>
  <c r="D1722" i="23"/>
  <c r="D1727" i="23"/>
  <c r="D1730" i="23"/>
  <c r="D1739" i="23"/>
  <c r="D1742" i="23"/>
  <c r="D1746" i="23"/>
  <c r="D1749" i="23"/>
  <c r="D1752" i="23"/>
  <c r="D1763" i="23"/>
  <c r="D1766" i="23"/>
  <c r="D1770" i="23"/>
  <c r="D1773" i="23"/>
  <c r="D1776" i="23"/>
  <c r="D1780" i="23"/>
  <c r="D1783" i="23"/>
  <c r="D1787" i="23"/>
  <c r="D1786" i="23" s="1"/>
  <c r="D1791" i="23"/>
  <c r="D1794" i="23"/>
  <c r="D1797" i="23"/>
  <c r="D1802" i="23"/>
  <c r="D1801" i="23" s="1"/>
  <c r="D1808" i="23"/>
  <c r="D1811" i="23"/>
  <c r="D1814" i="23"/>
  <c r="D1832" i="23"/>
  <c r="D1823" i="23"/>
  <c r="D1828" i="23"/>
  <c r="D1836" i="23"/>
  <c r="D1841" i="23"/>
  <c r="D1848" i="23"/>
  <c r="D1855" i="23"/>
  <c r="D1860" i="23"/>
  <c r="D1864" i="23"/>
  <c r="D1868" i="23"/>
  <c r="D1874" i="23"/>
  <c r="D1878" i="23"/>
  <c r="D1881" i="23"/>
  <c r="D1884" i="23"/>
  <c r="D1887" i="23"/>
  <c r="D1893" i="23"/>
  <c r="D1896" i="23"/>
  <c r="D1903" i="23"/>
  <c r="D1902" i="23" s="1"/>
  <c r="D1907" i="23"/>
  <c r="D1910" i="23"/>
  <c r="D1915" i="23"/>
  <c r="D1919" i="23"/>
  <c r="D1923" i="23"/>
  <c r="D1928" i="23"/>
  <c r="D1931" i="23"/>
  <c r="D1934" i="23"/>
  <c r="E278" i="70"/>
  <c r="E283" i="70"/>
  <c r="D217" i="70"/>
  <c r="F217" i="70" s="1"/>
  <c r="D227" i="70"/>
  <c r="F227" i="70" s="1"/>
  <c r="D232" i="70"/>
  <c r="F232" i="70" s="1"/>
  <c r="D237" i="70"/>
  <c r="F237" i="70" s="1"/>
  <c r="D241" i="70"/>
  <c r="F241" i="70" s="1"/>
  <c r="D251" i="70"/>
  <c r="F251" i="70" s="1"/>
  <c r="D254" i="70"/>
  <c r="F254" i="70" s="1"/>
  <c r="D259" i="70"/>
  <c r="F259" i="70" s="1"/>
  <c r="D264" i="70"/>
  <c r="F264" i="70" s="1"/>
  <c r="D267" i="70"/>
  <c r="F267" i="70" s="1"/>
  <c r="D278" i="70"/>
  <c r="D283" i="70"/>
  <c r="F285" i="70"/>
  <c r="F284" i="70"/>
  <c r="F281" i="70"/>
  <c r="F280" i="70"/>
  <c r="F279" i="70"/>
  <c r="G279" i="67"/>
  <c r="D246" i="67"/>
  <c r="D261" i="67"/>
  <c r="D275" i="67"/>
  <c r="D279" i="67"/>
  <c r="E246" i="67"/>
  <c r="F246" i="67" s="1"/>
  <c r="E261" i="67"/>
  <c r="E275" i="67"/>
  <c r="F277" i="67"/>
  <c r="F276" i="67"/>
  <c r="F263" i="67"/>
  <c r="F262" i="67"/>
  <c r="G293" i="70"/>
  <c r="G306" i="70"/>
  <c r="G317" i="70"/>
  <c r="G316" i="70" s="1"/>
  <c r="G328" i="70"/>
  <c r="F329" i="70"/>
  <c r="F328" i="70" s="1"/>
  <c r="F326" i="70"/>
  <c r="F325" i="70"/>
  <c r="F324" i="70"/>
  <c r="F323" i="70"/>
  <c r="F322" i="70"/>
  <c r="F321" i="70"/>
  <c r="F320" i="70"/>
  <c r="F319" i="70"/>
  <c r="F318" i="70"/>
  <c r="E317" i="70"/>
  <c r="D317" i="70"/>
  <c r="D316" i="70" s="1"/>
  <c r="F314" i="70"/>
  <c r="F313" i="70"/>
  <c r="F311" i="70"/>
  <c r="F310" i="70"/>
  <c r="F309" i="70"/>
  <c r="F308" i="70"/>
  <c r="F307" i="70"/>
  <c r="E306" i="70"/>
  <c r="D306" i="70"/>
  <c r="F304" i="70"/>
  <c r="F303" i="70"/>
  <c r="F302" i="70"/>
  <c r="E301" i="70"/>
  <c r="D301" i="70"/>
  <c r="F299" i="70"/>
  <c r="E298" i="70"/>
  <c r="D298" i="70"/>
  <c r="F296" i="70"/>
  <c r="F295" i="70"/>
  <c r="F294" i="70"/>
  <c r="E293" i="70"/>
  <c r="D293" i="70"/>
  <c r="F291" i="70"/>
  <c r="E290" i="70"/>
  <c r="D290" i="70"/>
  <c r="E285" i="67"/>
  <c r="E288" i="67"/>
  <c r="E296" i="67"/>
  <c r="E302" i="67"/>
  <c r="E305" i="67"/>
  <c r="E312" i="67"/>
  <c r="E320" i="67"/>
  <c r="D285" i="67"/>
  <c r="D288" i="67"/>
  <c r="D296" i="67"/>
  <c r="D302" i="67"/>
  <c r="D305" i="67"/>
  <c r="D312" i="67"/>
  <c r="D320" i="67"/>
  <c r="G296" i="67"/>
  <c r="G312" i="67"/>
  <c r="F318" i="67"/>
  <c r="F317" i="67"/>
  <c r="F316" i="67"/>
  <c r="F315" i="67"/>
  <c r="F314" i="67"/>
  <c r="F313" i="67"/>
  <c r="F310" i="67"/>
  <c r="F309" i="67"/>
  <c r="F308" i="67"/>
  <c r="F307" i="67"/>
  <c r="F306" i="67"/>
  <c r="F303" i="67"/>
  <c r="F300" i="67"/>
  <c r="F299" i="67"/>
  <c r="F298" i="67"/>
  <c r="F297" i="67"/>
  <c r="F289" i="67"/>
  <c r="F286" i="67"/>
  <c r="D347" i="79"/>
  <c r="E347" i="79" s="1"/>
  <c r="D357" i="79"/>
  <c r="E357" i="79" s="1"/>
  <c r="D363" i="79"/>
  <c r="E363" i="79" s="1"/>
  <c r="D369" i="79"/>
  <c r="E369" i="79" s="1"/>
  <c r="D399" i="79"/>
  <c r="E399" i="79" s="1"/>
  <c r="D405" i="79"/>
  <c r="E405" i="79" s="1"/>
  <c r="D418" i="79"/>
  <c r="E418" i="79" s="1"/>
  <c r="D421" i="79"/>
  <c r="E421" i="79" s="1"/>
  <c r="D424" i="79"/>
  <c r="E424" i="79" s="1"/>
  <c r="D431" i="79"/>
  <c r="E431" i="79" s="1"/>
  <c r="D435" i="79"/>
  <c r="D232" i="79"/>
  <c r="E232" i="79" s="1"/>
  <c r="D250" i="79"/>
  <c r="E250" i="79" s="1"/>
  <c r="D256" i="79"/>
  <c r="E256" i="79" s="1"/>
  <c r="D262" i="79"/>
  <c r="E262" i="79" s="1"/>
  <c r="D267" i="79"/>
  <c r="E25" i="67"/>
  <c r="E29" i="67"/>
  <c r="E34" i="67"/>
  <c r="D17" i="67"/>
  <c r="D25" i="67"/>
  <c r="D29" i="67"/>
  <c r="F29" i="67" s="1"/>
  <c r="D34" i="67"/>
  <c r="D43" i="67"/>
  <c r="D42" i="67" s="1"/>
  <c r="D2341" i="23"/>
  <c r="D2182" i="23"/>
  <c r="D2178" i="23"/>
  <c r="D2354" i="23"/>
  <c r="D2351" i="23"/>
  <c r="D2328" i="23"/>
  <c r="D2325" i="23"/>
  <c r="D2313" i="23"/>
  <c r="D2310" i="23"/>
  <c r="D2291" i="23"/>
  <c r="D2288" i="23"/>
  <c r="D2282" i="23"/>
  <c r="D2270" i="23"/>
  <c r="D2258" i="23"/>
  <c r="D2254" i="23"/>
  <c r="D2253" i="23" s="1"/>
  <c r="D2250" i="23"/>
  <c r="D2249" i="23" s="1"/>
  <c r="D2246" i="23"/>
  <c r="D2243" i="23"/>
  <c r="D2236" i="23"/>
  <c r="D2239" i="23"/>
  <c r="D2232" i="23"/>
  <c r="D2228" i="23"/>
  <c r="D2222" i="23"/>
  <c r="D2216" i="23"/>
  <c r="D2209" i="23"/>
  <c r="D2174" i="23"/>
  <c r="D2171" i="23"/>
  <c r="D2164" i="23"/>
  <c r="D2160" i="23"/>
  <c r="D2157" i="23"/>
  <c r="D2152" i="23"/>
  <c r="D2142" i="23"/>
  <c r="D2139" i="23"/>
  <c r="D2134" i="23"/>
  <c r="D2128" i="23"/>
  <c r="D2124" i="23"/>
  <c r="D2117" i="23"/>
  <c r="D2114" i="23"/>
  <c r="D2111" i="23"/>
  <c r="D2098" i="23"/>
  <c r="D2092" i="23"/>
  <c r="D2062" i="23"/>
  <c r="D2056" i="23"/>
  <c r="D2050" i="23"/>
  <c r="D2040" i="23"/>
  <c r="D2028" i="23"/>
  <c r="D2025" i="23"/>
  <c r="D2015" i="23"/>
  <c r="D2003" i="23"/>
  <c r="D1999" i="23"/>
  <c r="D1989" i="23"/>
  <c r="D1978" i="23"/>
  <c r="D1972" i="23"/>
  <c r="D1948" i="23"/>
  <c r="C227" i="75"/>
  <c r="C209" i="75"/>
  <c r="C195" i="75"/>
  <c r="C190" i="75"/>
  <c r="C182" i="75"/>
  <c r="C155" i="75"/>
  <c r="C149" i="75"/>
  <c r="C146" i="75"/>
  <c r="C131" i="75"/>
  <c r="C119" i="75"/>
  <c r="C114" i="75"/>
  <c r="C100" i="75"/>
  <c r="C91" i="75"/>
  <c r="C52" i="75"/>
  <c r="C14" i="75"/>
  <c r="D30" i="79"/>
  <c r="E30" i="79" s="1"/>
  <c r="D27" i="79"/>
  <c r="E27" i="79" s="1"/>
  <c r="D24" i="79"/>
  <c r="E24" i="79" s="1"/>
  <c r="D21" i="79"/>
  <c r="E21" i="79" s="1"/>
  <c r="D18" i="79"/>
  <c r="E18" i="79" s="1"/>
  <c r="D16" i="78"/>
  <c r="D19" i="78"/>
  <c r="E19" i="78" s="1"/>
  <c r="D80" i="78"/>
  <c r="D73" i="78"/>
  <c r="E73" i="78" s="1"/>
  <c r="D62" i="78"/>
  <c r="E62" i="78" s="1"/>
  <c r="D59" i="78"/>
  <c r="E59" i="78" s="1"/>
  <c r="D55" i="78"/>
  <c r="E55" i="78" s="1"/>
  <c r="R28" i="78"/>
  <c r="P28" i="78"/>
  <c r="S27" i="78"/>
  <c r="S26" i="78"/>
  <c r="S25" i="78"/>
  <c r="S24" i="78"/>
  <c r="S23" i="78"/>
  <c r="S22" i="78"/>
  <c r="S21" i="78"/>
  <c r="S20" i="78"/>
  <c r="D15" i="1"/>
  <c r="E15" i="1" s="1"/>
  <c r="D98" i="23"/>
  <c r="D97" i="23" s="1"/>
  <c r="D247" i="23"/>
  <c r="D225" i="23"/>
  <c r="D241" i="23"/>
  <c r="D238" i="23"/>
  <c r="D234" i="23"/>
  <c r="D231" i="23"/>
  <c r="D228" i="23"/>
  <c r="D222" i="23"/>
  <c r="D215" i="23"/>
  <c r="D214" i="23" s="1"/>
  <c r="D210" i="23"/>
  <c r="D203" i="23"/>
  <c r="D199" i="23"/>
  <c r="D196" i="23"/>
  <c r="D192" i="23"/>
  <c r="D188" i="23"/>
  <c r="D184" i="23"/>
  <c r="D181" i="23"/>
  <c r="D178" i="23"/>
  <c r="D174" i="23"/>
  <c r="D171" i="23"/>
  <c r="D168" i="23"/>
  <c r="D165" i="23"/>
  <c r="D159" i="23"/>
  <c r="D155" i="23"/>
  <c r="D152" i="23"/>
  <c r="D148" i="23"/>
  <c r="D147" i="23" s="1"/>
  <c r="D140" i="23"/>
  <c r="D139" i="23" s="1"/>
  <c r="D136" i="23"/>
  <c r="D129" i="23"/>
  <c r="D125" i="23"/>
  <c r="D124" i="23" s="1"/>
  <c r="D121" i="23"/>
  <c r="D120" i="23" s="1"/>
  <c r="D117" i="23"/>
  <c r="D116" i="23" s="1"/>
  <c r="D113" i="23"/>
  <c r="D112" i="23" s="1"/>
  <c r="D109" i="23"/>
  <c r="D103" i="23"/>
  <c r="D93" i="23"/>
  <c r="D92" i="23" s="1"/>
  <c r="D89" i="23"/>
  <c r="D86" i="23"/>
  <c r="D83" i="23"/>
  <c r="D80" i="23"/>
  <c r="D77" i="23"/>
  <c r="D73" i="23"/>
  <c r="D62" i="23"/>
  <c r="D55" i="23"/>
  <c r="D19" i="23"/>
  <c r="R28" i="23"/>
  <c r="P28" i="23"/>
  <c r="S21" i="23"/>
  <c r="S22" i="23"/>
  <c r="S23" i="23"/>
  <c r="S24" i="23"/>
  <c r="S25" i="23"/>
  <c r="S26" i="23"/>
  <c r="S27" i="23"/>
  <c r="S20" i="23"/>
  <c r="D59" i="23"/>
  <c r="D16" i="23"/>
  <c r="D256" i="74"/>
  <c r="D149" i="74"/>
  <c r="F137" i="74"/>
  <c r="F130" i="74"/>
  <c r="E134" i="74"/>
  <c r="E135" i="74"/>
  <c r="D113" i="74"/>
  <c r="F85" i="74"/>
  <c r="F44" i="74"/>
  <c r="E73" i="74"/>
  <c r="E74" i="74"/>
  <c r="E15" i="74"/>
  <c r="D654" i="79"/>
  <c r="E339" i="79"/>
  <c r="D226" i="79"/>
  <c r="E226" i="79" s="1"/>
  <c r="D223" i="79"/>
  <c r="E223" i="79" s="1"/>
  <c r="D219" i="79"/>
  <c r="D215" i="79"/>
  <c r="E215" i="79" s="1"/>
  <c r="D211" i="79"/>
  <c r="E211" i="79" s="1"/>
  <c r="D208" i="79"/>
  <c r="E208" i="79" s="1"/>
  <c r="D203" i="79"/>
  <c r="E203" i="79" s="1"/>
  <c r="D199" i="79"/>
  <c r="E199" i="79" s="1"/>
  <c r="D192" i="79"/>
  <c r="E192" i="79" s="1"/>
  <c r="D186" i="79"/>
  <c r="E186" i="79" s="1"/>
  <c r="D182" i="79"/>
  <c r="E182" i="79" s="1"/>
  <c r="D179" i="79"/>
  <c r="E179" i="79" s="1"/>
  <c r="D174" i="79"/>
  <c r="E174" i="79" s="1"/>
  <c r="D171" i="79"/>
  <c r="E171" i="79" s="1"/>
  <c r="D168" i="79"/>
  <c r="E168" i="79" s="1"/>
  <c r="D154" i="79"/>
  <c r="E154" i="79" s="1"/>
  <c r="D150" i="79"/>
  <c r="E150" i="79" s="1"/>
  <c r="D147" i="79"/>
  <c r="E147" i="79" s="1"/>
  <c r="D103" i="79"/>
  <c r="E103" i="79" s="1"/>
  <c r="D91" i="79"/>
  <c r="E89" i="79"/>
  <c r="E954" i="78"/>
  <c r="E953" i="78"/>
  <c r="P436" i="78"/>
  <c r="R85" i="78"/>
  <c r="Q76" i="78"/>
  <c r="Q80" i="78" s="1"/>
  <c r="C223" i="75"/>
  <c r="C187" i="75"/>
  <c r="E290" i="74"/>
  <c r="E289" i="74"/>
  <c r="F288" i="74"/>
  <c r="D288" i="74"/>
  <c r="C288" i="74"/>
  <c r="E286" i="74"/>
  <c r="E285" i="74"/>
  <c r="E284" i="74"/>
  <c r="E283" i="74"/>
  <c r="E282" i="74"/>
  <c r="F281" i="74"/>
  <c r="D281" i="74"/>
  <c r="C281" i="74"/>
  <c r="E279" i="74"/>
  <c r="E278" i="74"/>
  <c r="E277" i="74"/>
  <c r="E276" i="74"/>
  <c r="E275" i="74"/>
  <c r="E274" i="74"/>
  <c r="E273" i="74"/>
  <c r="E272" i="74"/>
  <c r="E271" i="74"/>
  <c r="E270" i="74"/>
  <c r="E269" i="74"/>
  <c r="F268" i="74"/>
  <c r="D268" i="74"/>
  <c r="C268" i="74"/>
  <c r="E266" i="74"/>
  <c r="E265" i="74"/>
  <c r="F264" i="74"/>
  <c r="D264" i="74"/>
  <c r="C264" i="74"/>
  <c r="E262" i="74"/>
  <c r="E261" i="74"/>
  <c r="E260" i="74"/>
  <c r="F259" i="74"/>
  <c r="D259" i="74"/>
  <c r="C259" i="74"/>
  <c r="E257" i="74"/>
  <c r="C256" i="74"/>
  <c r="E253" i="74"/>
  <c r="E252" i="74"/>
  <c r="E251" i="74"/>
  <c r="E250" i="74"/>
  <c r="E249" i="74"/>
  <c r="E248" i="74"/>
  <c r="E247" i="74"/>
  <c r="E246" i="74"/>
  <c r="E245" i="74"/>
  <c r="E244" i="74"/>
  <c r="E243" i="74"/>
  <c r="E242" i="74"/>
  <c r="E241" i="74"/>
  <c r="E240" i="74"/>
  <c r="E239" i="74"/>
  <c r="E238" i="74"/>
  <c r="E237" i="74"/>
  <c r="E236" i="74"/>
  <c r="E235" i="74"/>
  <c r="E234" i="74"/>
  <c r="E233" i="74"/>
  <c r="E232" i="74"/>
  <c r="E231" i="74"/>
  <c r="E230" i="74"/>
  <c r="E229" i="74"/>
  <c r="E228" i="74"/>
  <c r="E227" i="74"/>
  <c r="E226" i="74"/>
  <c r="E225" i="74"/>
  <c r="E224" i="74"/>
  <c r="E223" i="74"/>
  <c r="E222" i="74"/>
  <c r="E221" i="74"/>
  <c r="E220" i="74"/>
  <c r="E219" i="74"/>
  <c r="E218" i="74"/>
  <c r="E217" i="74"/>
  <c r="E216" i="74"/>
  <c r="E215" i="74"/>
  <c r="E214" i="74"/>
  <c r="E213" i="74"/>
  <c r="E212" i="74"/>
  <c r="E211" i="74"/>
  <c r="E210" i="74"/>
  <c r="E209" i="74"/>
  <c r="E208" i="74"/>
  <c r="E207" i="74"/>
  <c r="E206" i="74"/>
  <c r="E205" i="74"/>
  <c r="E204" i="74"/>
  <c r="E203" i="74"/>
  <c r="E202" i="74"/>
  <c r="E201" i="74"/>
  <c r="E200" i="74"/>
  <c r="E199" i="74"/>
  <c r="E198" i="74"/>
  <c r="E197" i="74"/>
  <c r="E196" i="74"/>
  <c r="E195" i="74"/>
  <c r="E194" i="74"/>
  <c r="E193" i="74"/>
  <c r="E192" i="74"/>
  <c r="E191" i="74"/>
  <c r="E190" i="74"/>
  <c r="E189" i="74"/>
  <c r="E188" i="74"/>
  <c r="E187" i="74"/>
  <c r="E186" i="74"/>
  <c r="E185" i="74"/>
  <c r="E184" i="74"/>
  <c r="E183" i="74"/>
  <c r="E182" i="74"/>
  <c r="E181" i="74"/>
  <c r="E180" i="74"/>
  <c r="E179" i="74"/>
  <c r="E178" i="74"/>
  <c r="E177" i="74"/>
  <c r="E176" i="74"/>
  <c r="E175" i="74"/>
  <c r="E174" i="74"/>
  <c r="E173" i="74"/>
  <c r="E172" i="74"/>
  <c r="E171" i="74"/>
  <c r="E170" i="74"/>
  <c r="E169" i="74"/>
  <c r="E168" i="74"/>
  <c r="E167" i="74"/>
  <c r="E166" i="74"/>
  <c r="E165" i="74"/>
  <c r="E164" i="74"/>
  <c r="E163" i="74"/>
  <c r="E162" i="74"/>
  <c r="E161" i="74"/>
  <c r="E160" i="74"/>
  <c r="E159" i="74"/>
  <c r="E158" i="74"/>
  <c r="E157" i="74"/>
  <c r="F155" i="74"/>
  <c r="C155" i="74"/>
  <c r="E152" i="74"/>
  <c r="E151" i="74"/>
  <c r="E150" i="74"/>
  <c r="F149" i="74"/>
  <c r="C149" i="74"/>
  <c r="E146" i="74"/>
  <c r="E145" i="74"/>
  <c r="E144" i="74"/>
  <c r="E143" i="74"/>
  <c r="E142" i="74"/>
  <c r="E141" i="74"/>
  <c r="E140" i="74"/>
  <c r="E139" i="74"/>
  <c r="E138" i="74"/>
  <c r="C137" i="74"/>
  <c r="E133" i="74"/>
  <c r="E132" i="74"/>
  <c r="E131" i="74"/>
  <c r="D130" i="74"/>
  <c r="C130" i="74"/>
  <c r="E128" i="74"/>
  <c r="E127" i="74"/>
  <c r="F126" i="74"/>
  <c r="D126" i="74"/>
  <c r="C126" i="74"/>
  <c r="E124" i="74"/>
  <c r="E123" i="74"/>
  <c r="E122" i="74"/>
  <c r="E121" i="74"/>
  <c r="E120" i="74"/>
  <c r="E119" i="74"/>
  <c r="E118" i="74"/>
  <c r="E117" i="74"/>
  <c r="E116" i="74"/>
  <c r="E115" i="74"/>
  <c r="F113" i="74"/>
  <c r="C113" i="74"/>
  <c r="E111" i="74"/>
  <c r="E110" i="74"/>
  <c r="E109" i="74"/>
  <c r="E108" i="74"/>
  <c r="E107" i="74"/>
  <c r="F106" i="74"/>
  <c r="D106" i="74"/>
  <c r="C106" i="74"/>
  <c r="C103" i="74"/>
  <c r="E101" i="74"/>
  <c r="E100" i="74"/>
  <c r="E99" i="74"/>
  <c r="E98" i="74"/>
  <c r="F97" i="74"/>
  <c r="C97" i="74"/>
  <c r="E95" i="74"/>
  <c r="E94" i="74"/>
  <c r="E93" i="74"/>
  <c r="E92" i="74"/>
  <c r="E91" i="74"/>
  <c r="E90" i="74"/>
  <c r="E89" i="74"/>
  <c r="E88" i="74"/>
  <c r="E87" i="74"/>
  <c r="E86" i="74"/>
  <c r="C85" i="74"/>
  <c r="E83" i="74"/>
  <c r="E82" i="74"/>
  <c r="E81" i="74"/>
  <c r="E79" i="74"/>
  <c r="E78" i="74"/>
  <c r="F77" i="74"/>
  <c r="C77" i="74"/>
  <c r="D75" i="74"/>
  <c r="E75" i="74" s="1"/>
  <c r="E72" i="74"/>
  <c r="E71" i="74"/>
  <c r="E70" i="74"/>
  <c r="E69" i="74"/>
  <c r="E68" i="74"/>
  <c r="E67" i="74"/>
  <c r="E66" i="74"/>
  <c r="E65" i="74"/>
  <c r="E64" i="74"/>
  <c r="E63" i="74"/>
  <c r="E62" i="74"/>
  <c r="E61" i="74"/>
  <c r="E60" i="74"/>
  <c r="E59" i="74"/>
  <c r="E58" i="74"/>
  <c r="E57" i="74"/>
  <c r="E56" i="74"/>
  <c r="E55" i="74"/>
  <c r="E54" i="74"/>
  <c r="E53" i="74"/>
  <c r="E52" i="74"/>
  <c r="E50" i="74"/>
  <c r="E49" i="74"/>
  <c r="E48" i="74"/>
  <c r="E47" i="74"/>
  <c r="E46" i="74"/>
  <c r="E45" i="74"/>
  <c r="C44" i="74"/>
  <c r="E42" i="74"/>
  <c r="E41" i="74"/>
  <c r="E40" i="74"/>
  <c r="E39" i="74"/>
  <c r="E38" i="74"/>
  <c r="E37" i="74"/>
  <c r="E36" i="74"/>
  <c r="E35" i="74"/>
  <c r="E34" i="74"/>
  <c r="E33" i="74"/>
  <c r="E32" i="74"/>
  <c r="E31" i="74"/>
  <c r="E30" i="74"/>
  <c r="E29" i="74"/>
  <c r="E28" i="74"/>
  <c r="E27" i="74"/>
  <c r="E26" i="74"/>
  <c r="E25" i="74"/>
  <c r="E24" i="74"/>
  <c r="E22" i="74"/>
  <c r="E21" i="74"/>
  <c r="E20" i="74"/>
  <c r="E19" i="74"/>
  <c r="E18" i="74"/>
  <c r="E17" i="74"/>
  <c r="E16" i="74"/>
  <c r="F14" i="74"/>
  <c r="F13" i="74" s="1"/>
  <c r="C14" i="74"/>
  <c r="E126" i="74"/>
  <c r="D85" i="74"/>
  <c r="E85" i="74" s="1"/>
  <c r="D77" i="74"/>
  <c r="E77" i="74" s="1"/>
  <c r="E80" i="74"/>
  <c r="E130" i="74"/>
  <c r="D137" i="74"/>
  <c r="E137" i="74" s="1"/>
  <c r="D14" i="74"/>
  <c r="D155" i="74"/>
  <c r="E155" i="74" s="1"/>
  <c r="E156" i="74"/>
  <c r="D97" i="74"/>
  <c r="E97" i="74" s="1"/>
  <c r="E23" i="74"/>
  <c r="D44" i="74"/>
  <c r="E44" i="74" s="1"/>
  <c r="E51" i="74"/>
  <c r="E113" i="74"/>
  <c r="E114" i="74"/>
  <c r="E288" i="74"/>
  <c r="F23" i="70"/>
  <c r="E22" i="70"/>
  <c r="D22" i="70"/>
  <c r="D17" i="70" s="1"/>
  <c r="D15" i="70" s="1"/>
  <c r="F20" i="70"/>
  <c r="F19" i="70"/>
  <c r="G18" i="70"/>
  <c r="G17" i="70" s="1"/>
  <c r="E18" i="70"/>
  <c r="E17" i="70" s="1"/>
  <c r="E15" i="70" s="1"/>
  <c r="G741" i="70"/>
  <c r="G694" i="70" s="1"/>
  <c r="G671" i="70"/>
  <c r="E606" i="70"/>
  <c r="E605" i="70" s="1"/>
  <c r="D606" i="70"/>
  <c r="D605" i="70" s="1"/>
  <c r="F500" i="70"/>
  <c r="E410" i="70"/>
  <c r="E409" i="70" s="1"/>
  <c r="F404" i="70"/>
  <c r="E403" i="70"/>
  <c r="D403" i="70"/>
  <c r="D400" i="70"/>
  <c r="F400" i="70" s="1"/>
  <c r="G386" i="70"/>
  <c r="G385" i="70" s="1"/>
  <c r="F386" i="70"/>
  <c r="F381" i="70"/>
  <c r="G380" i="70"/>
  <c r="E380" i="70"/>
  <c r="D380" i="70"/>
  <c r="F378" i="70"/>
  <c r="E375" i="70"/>
  <c r="D375" i="70"/>
  <c r="F371" i="70"/>
  <c r="E370" i="70"/>
  <c r="D370" i="70"/>
  <c r="F368" i="70"/>
  <c r="F362" i="70"/>
  <c r="F361" i="70"/>
  <c r="E358" i="70"/>
  <c r="D358" i="70"/>
  <c r="F356" i="70"/>
  <c r="E353" i="70"/>
  <c r="D353" i="70"/>
  <c r="F349" i="70"/>
  <c r="F348" i="70"/>
  <c r="F347" i="70"/>
  <c r="E346" i="70"/>
  <c r="D346" i="70"/>
  <c r="D343" i="70"/>
  <c r="F341" i="70"/>
  <c r="E340" i="70"/>
  <c r="D340" i="70"/>
  <c r="F338" i="70"/>
  <c r="F337" i="70"/>
  <c r="F336" i="70"/>
  <c r="F335" i="70"/>
  <c r="G334" i="70"/>
  <c r="E328" i="70"/>
  <c r="D328" i="70"/>
  <c r="F209" i="70"/>
  <c r="E208" i="70"/>
  <c r="D208" i="70"/>
  <c r="F206" i="70"/>
  <c r="E205" i="70"/>
  <c r="D205" i="70"/>
  <c r="D204" i="70" s="1"/>
  <c r="G204" i="70"/>
  <c r="G126" i="70" s="1"/>
  <c r="F202" i="70"/>
  <c r="E201" i="70"/>
  <c r="D201" i="70"/>
  <c r="D200" i="70" s="1"/>
  <c r="E197" i="70"/>
  <c r="E196" i="70" s="1"/>
  <c r="D197" i="70"/>
  <c r="D196" i="70" s="1"/>
  <c r="F77" i="70"/>
  <c r="E76" i="70"/>
  <c r="E75" i="70" s="1"/>
  <c r="D76" i="70"/>
  <c r="D75" i="70" s="1"/>
  <c r="L3650" i="68"/>
  <c r="F784" i="67"/>
  <c r="F783" i="67"/>
  <c r="G782" i="67"/>
  <c r="G781" i="67" s="1"/>
  <c r="G720" i="67" s="1"/>
  <c r="F778" i="67"/>
  <c r="F770" i="67"/>
  <c r="F766" i="67"/>
  <c r="E623" i="67"/>
  <c r="E622" i="67" s="1"/>
  <c r="E555" i="67" s="1"/>
  <c r="D623" i="67"/>
  <c r="D622" i="67" s="1"/>
  <c r="F553" i="67"/>
  <c r="F552" i="67"/>
  <c r="F551" i="67"/>
  <c r="F550" i="67"/>
  <c r="F549" i="67"/>
  <c r="F548" i="67"/>
  <c r="F547" i="67"/>
  <c r="F546" i="67"/>
  <c r="E545" i="67"/>
  <c r="F543" i="67"/>
  <c r="F542" i="67"/>
  <c r="E541" i="67"/>
  <c r="F541" i="67" s="1"/>
  <c r="G540" i="67"/>
  <c r="G385" i="67"/>
  <c r="D385" i="67"/>
  <c r="G382" i="67"/>
  <c r="D361" i="67"/>
  <c r="F361" i="67" s="1"/>
  <c r="F359" i="67"/>
  <c r="E358" i="67"/>
  <c r="D358" i="67"/>
  <c r="F356" i="67"/>
  <c r="F355" i="67"/>
  <c r="F354" i="67"/>
  <c r="F353" i="67"/>
  <c r="G352" i="67"/>
  <c r="F350" i="67"/>
  <c r="D349" i="67"/>
  <c r="F349" i="67" s="1"/>
  <c r="F333" i="67"/>
  <c r="F330" i="67"/>
  <c r="E329" i="67"/>
  <c r="D329" i="67"/>
  <c r="D326" i="67"/>
  <c r="F327" i="67"/>
  <c r="E326" i="67"/>
  <c r="F321" i="67"/>
  <c r="F279" i="67"/>
  <c r="E279" i="67"/>
  <c r="E240" i="67"/>
  <c r="D240" i="67"/>
  <c r="E237" i="67"/>
  <c r="D237" i="67"/>
  <c r="F234" i="67"/>
  <c r="E233" i="67"/>
  <c r="D233" i="67"/>
  <c r="D232" i="67" s="1"/>
  <c r="F163" i="67"/>
  <c r="E162" i="67"/>
  <c r="D162" i="67"/>
  <c r="E159" i="67"/>
  <c r="D159" i="67"/>
  <c r="D155" i="67"/>
  <c r="D154" i="67" s="1"/>
  <c r="F152" i="67"/>
  <c r="E151" i="67"/>
  <c r="E150" i="67" s="1"/>
  <c r="D151" i="67"/>
  <c r="D150" i="67" s="1"/>
  <c r="D147" i="67"/>
  <c r="D146" i="67" s="1"/>
  <c r="F144" i="67"/>
  <c r="F143" i="67"/>
  <c r="E142" i="67"/>
  <c r="D142" i="67"/>
  <c r="F140" i="67"/>
  <c r="E139" i="67"/>
  <c r="E138" i="67" s="1"/>
  <c r="D139" i="67"/>
  <c r="D138" i="67" s="1"/>
  <c r="E131" i="67"/>
  <c r="E130" i="67" s="1"/>
  <c r="E135" i="67"/>
  <c r="E134" i="67" s="1"/>
  <c r="F136" i="67"/>
  <c r="D135" i="67"/>
  <c r="D134" i="67" s="1"/>
  <c r="F132" i="67"/>
  <c r="D131" i="67"/>
  <c r="D130" i="67" s="1"/>
  <c r="D127" i="67"/>
  <c r="E70" i="67"/>
  <c r="D70" i="67"/>
  <c r="D69" i="67" s="1"/>
  <c r="F47" i="67"/>
  <c r="F46" i="67"/>
  <c r="E43" i="67"/>
  <c r="E42" i="67" s="1"/>
  <c r="G42" i="67"/>
  <c r="F40" i="67"/>
  <c r="F39" i="67"/>
  <c r="F38" i="67"/>
  <c r="F37" i="67"/>
  <c r="F36" i="67"/>
  <c r="F35" i="67"/>
  <c r="G34" i="67"/>
  <c r="F32" i="67"/>
  <c r="F31" i="67"/>
  <c r="F30" i="67"/>
  <c r="G29" i="67"/>
  <c r="F27" i="67"/>
  <c r="F26" i="67"/>
  <c r="G25" i="67"/>
  <c r="F23" i="67"/>
  <c r="F22" i="67"/>
  <c r="F21" i="67"/>
  <c r="F20" i="67"/>
  <c r="F19" i="67"/>
  <c r="F18" i="67"/>
  <c r="D410" i="70"/>
  <c r="D409" i="70" s="1"/>
  <c r="G611" i="70"/>
  <c r="G609" i="70" s="1"/>
  <c r="D415" i="70"/>
  <c r="G277" i="70"/>
  <c r="E316" i="70"/>
  <c r="E415" i="70"/>
  <c r="F741" i="70"/>
  <c r="F696" i="70"/>
  <c r="D16" i="58"/>
  <c r="D33" i="58" s="1"/>
  <c r="C16" i="58"/>
  <c r="C33" i="58" s="1"/>
  <c r="J17" i="1"/>
  <c r="J26" i="1"/>
  <c r="J27" i="1"/>
  <c r="J28" i="1"/>
  <c r="J29" i="1"/>
  <c r="J19" i="1"/>
  <c r="J18" i="1"/>
  <c r="J32" i="1"/>
  <c r="F41" i="56"/>
  <c r="F27" i="56"/>
  <c r="F19" i="56"/>
  <c r="F5" i="56"/>
  <c r="M14" i="23"/>
  <c r="F30" i="56"/>
  <c r="O501" i="23"/>
  <c r="O452" i="23"/>
  <c r="F11" i="56"/>
  <c r="F33" i="56"/>
  <c r="E6" i="56"/>
  <c r="F6" i="56" s="1"/>
  <c r="E28" i="56"/>
  <c r="F28" i="56" s="1"/>
  <c r="F36" i="56"/>
  <c r="F35" i="56"/>
  <c r="F13" i="56"/>
  <c r="F40" i="56"/>
  <c r="F18" i="56"/>
  <c r="F16" i="56"/>
  <c r="F14" i="56"/>
  <c r="H3" i="54"/>
  <c r="D3" i="54"/>
  <c r="F38" i="56"/>
  <c r="F39" i="56"/>
  <c r="F32" i="56"/>
  <c r="F10" i="56"/>
  <c r="O1794" i="23"/>
  <c r="F4" i="54"/>
  <c r="F5" i="54"/>
  <c r="F6" i="54"/>
  <c r="F7" i="54"/>
  <c r="F8" i="54"/>
  <c r="F9" i="54"/>
  <c r="F10" i="54"/>
  <c r="F11" i="54"/>
  <c r="F12" i="54"/>
  <c r="F13" i="54"/>
  <c r="F14" i="54"/>
  <c r="F15" i="54"/>
  <c r="F16" i="54"/>
  <c r="F17" i="54"/>
  <c r="F18" i="54"/>
  <c r="F2" i="54"/>
  <c r="F37" i="56"/>
  <c r="F29" i="56"/>
  <c r="F31" i="56"/>
  <c r="F34" i="56"/>
  <c r="F17" i="56"/>
  <c r="F15" i="56"/>
  <c r="D15" i="56"/>
  <c r="F8" i="56"/>
  <c r="F9" i="56"/>
  <c r="F7" i="56"/>
  <c r="Q1654" i="23"/>
  <c r="F12" i="56"/>
  <c r="D12" i="56"/>
  <c r="S25" i="1"/>
  <c r="W17" i="1"/>
  <c r="X17" i="1" s="1"/>
  <c r="J20" i="1"/>
  <c r="J21" i="1"/>
  <c r="J22" i="1"/>
  <c r="J23" i="1"/>
  <c r="J24" i="1"/>
  <c r="J25" i="1"/>
  <c r="G29" i="1"/>
  <c r="G28" i="1"/>
  <c r="G27" i="1"/>
  <c r="G26" i="1"/>
  <c r="G25" i="1"/>
  <c r="G24" i="1"/>
  <c r="G23" i="1"/>
  <c r="G22" i="1"/>
  <c r="G21" i="1"/>
  <c r="G20" i="1"/>
  <c r="G19" i="1"/>
  <c r="G18" i="1"/>
  <c r="G17" i="1"/>
  <c r="D18" i="56"/>
  <c r="C15" i="54"/>
  <c r="E15" i="54" s="1"/>
  <c r="D27" i="56"/>
  <c r="C28" i="56"/>
  <c r="D28" i="56" s="1"/>
  <c r="D29" i="56"/>
  <c r="C6" i="56"/>
  <c r="D6" i="56" s="1"/>
  <c r="D5" i="56"/>
  <c r="D41" i="56"/>
  <c r="D40" i="56"/>
  <c r="D39" i="56"/>
  <c r="D38" i="56"/>
  <c r="D37" i="56"/>
  <c r="D36" i="56"/>
  <c r="D35" i="56"/>
  <c r="D34" i="56"/>
  <c r="D33" i="56"/>
  <c r="D32" i="56"/>
  <c r="D31" i="56"/>
  <c r="D30" i="56"/>
  <c r="D7" i="56"/>
  <c r="D8" i="56"/>
  <c r="D9" i="56"/>
  <c r="D10" i="56"/>
  <c r="D11" i="56"/>
  <c r="D13" i="56"/>
  <c r="D14" i="56"/>
  <c r="D16" i="56"/>
  <c r="D17" i="56"/>
  <c r="D19" i="56"/>
  <c r="D50" i="1"/>
  <c r="C2" i="54"/>
  <c r="G2" i="54" s="1"/>
  <c r="I2" i="54" s="1"/>
  <c r="D219" i="23"/>
  <c r="D250" i="23"/>
  <c r="D19" i="54"/>
  <c r="C5" i="54"/>
  <c r="C6" i="54"/>
  <c r="G6" i="54" s="1"/>
  <c r="I6" i="54" s="1"/>
  <c r="C7" i="54"/>
  <c r="C8" i="54"/>
  <c r="C9" i="54"/>
  <c r="C10" i="54"/>
  <c r="C11" i="54"/>
  <c r="C12" i="54"/>
  <c r="C13" i="54"/>
  <c r="E13" i="54" s="1"/>
  <c r="C14" i="54"/>
  <c r="E14" i="54" s="1"/>
  <c r="C16" i="54"/>
  <c r="E16" i="54" s="1"/>
  <c r="C4" i="54"/>
  <c r="E4" i="54" s="1"/>
  <c r="B3" i="54"/>
  <c r="B19" i="54" s="1"/>
  <c r="F32" i="1"/>
  <c r="G32" i="1"/>
  <c r="G14" i="54"/>
  <c r="I14" i="54" s="1"/>
  <c r="E10" i="54"/>
  <c r="G10" i="54"/>
  <c r="I10" i="54" s="1"/>
  <c r="E6" i="54"/>
  <c r="C3" i="54"/>
  <c r="G4" i="54"/>
  <c r="I4" i="54" s="1"/>
  <c r="E9" i="54"/>
  <c r="E5" i="54"/>
  <c r="E12" i="54"/>
  <c r="E11" i="54"/>
  <c r="G11" i="54"/>
  <c r="I11" i="54" s="1"/>
  <c r="E8" i="54"/>
  <c r="G14" i="23"/>
  <c r="F14" i="23"/>
  <c r="D339" i="23"/>
  <c r="D419" i="23"/>
  <c r="D418" i="23" s="1"/>
  <c r="D422" i="23"/>
  <c r="D412" i="23"/>
  <c r="D407" i="23" s="1"/>
  <c r="D398" i="23"/>
  <c r="D395" i="23"/>
  <c r="D394" i="23" s="1"/>
  <c r="D347" i="23"/>
  <c r="Q38" i="1"/>
  <c r="D3485" i="23"/>
  <c r="D3473" i="23" s="1"/>
  <c r="D3714" i="23"/>
  <c r="D3710" i="23" s="1"/>
  <c r="D344" i="23"/>
  <c r="D907" i="23"/>
  <c r="D946" i="23"/>
  <c r="D953" i="23"/>
  <c r="D952" i="23" s="1"/>
  <c r="D960" i="23"/>
  <c r="D963" i="23"/>
  <c r="D966" i="23"/>
  <c r="D976" i="23"/>
  <c r="D983" i="23"/>
  <c r="D990" i="23"/>
  <c r="D989" i="23" s="1"/>
  <c r="D994" i="23"/>
  <c r="D997" i="23"/>
  <c r="D1945" i="23"/>
  <c r="D2131" i="23"/>
  <c r="D2963" i="23"/>
  <c r="D2966" i="23"/>
  <c r="D2990" i="23"/>
  <c r="D3002" i="23"/>
  <c r="D3005" i="23"/>
  <c r="D3008" i="23"/>
  <c r="D3027" i="23"/>
  <c r="D3011" i="23"/>
  <c r="D3031" i="23"/>
  <c r="D3034" i="23"/>
  <c r="D3037" i="23"/>
  <c r="D3056" i="23"/>
  <c r="D3046" i="23" s="1"/>
  <c r="D3060" i="23"/>
  <c r="D3059" i="23" s="1"/>
  <c r="D3111" i="23"/>
  <c r="D3118" i="23"/>
  <c r="D3152" i="23"/>
  <c r="D3340" i="23"/>
  <c r="D3451" i="23"/>
  <c r="D4162" i="23"/>
  <c r="D4146" i="23" s="1"/>
  <c r="D4166" i="23"/>
  <c r="D4183" i="23"/>
  <c r="D4186" i="23"/>
  <c r="D4200" i="23"/>
  <c r="D4192" i="23" s="1"/>
  <c r="E4232" i="23"/>
  <c r="D4236" i="23"/>
  <c r="D4235" i="23" s="1"/>
  <c r="D4323" i="23"/>
  <c r="D4316" i="23" s="1"/>
  <c r="D4331" i="23"/>
  <c r="E4292" i="23"/>
  <c r="E4291" i="23"/>
  <c r="E4233" i="23"/>
  <c r="G65" i="44"/>
  <c r="G67" i="44" s="1"/>
  <c r="E57" i="44"/>
  <c r="E52" i="44"/>
  <c r="E59" i="44" s="1"/>
  <c r="D45" i="44"/>
  <c r="D37" i="44"/>
  <c r="D38" i="44" s="1"/>
  <c r="D36" i="44"/>
  <c r="F40" i="44"/>
  <c r="F32" i="44"/>
  <c r="D32" i="44"/>
  <c r="F23" i="44"/>
  <c r="F5" i="44"/>
  <c r="D27" i="44"/>
  <c r="S16" i="1"/>
  <c r="R16" i="1"/>
  <c r="Q16" i="1"/>
  <c r="S18" i="1"/>
  <c r="S19" i="1"/>
  <c r="S20" i="1"/>
  <c r="S21" i="1"/>
  <c r="S22" i="1"/>
  <c r="S23" i="1"/>
  <c r="S24" i="1"/>
  <c r="S26" i="1"/>
  <c r="S27" i="1"/>
  <c r="S28" i="1"/>
  <c r="S29" i="1"/>
  <c r="S30" i="1"/>
  <c r="S17" i="1"/>
  <c r="R18" i="1"/>
  <c r="R19" i="1"/>
  <c r="R20" i="1"/>
  <c r="R21" i="1"/>
  <c r="R22" i="1"/>
  <c r="R23" i="1"/>
  <c r="R24" i="1"/>
  <c r="R25" i="1"/>
  <c r="R26" i="1"/>
  <c r="R27" i="1"/>
  <c r="R28" i="1"/>
  <c r="R29" i="1"/>
  <c r="R30" i="1"/>
  <c r="R17" i="1"/>
  <c r="Q18" i="1"/>
  <c r="Q19" i="1"/>
  <c r="Q20" i="1"/>
  <c r="Q21" i="1"/>
  <c r="Q22" i="1"/>
  <c r="Q23" i="1"/>
  <c r="Q24" i="1"/>
  <c r="Q25" i="1"/>
  <c r="Q26" i="1"/>
  <c r="Q27" i="1"/>
  <c r="Q28" i="1"/>
  <c r="Q29" i="1"/>
  <c r="Q30" i="1"/>
  <c r="Q17" i="1"/>
  <c r="E448" i="23"/>
  <c r="D16" i="1"/>
  <c r="E16" i="1" s="1"/>
  <c r="J52" i="34"/>
  <c r="L52" i="34"/>
  <c r="E106" i="74" l="1"/>
  <c r="E256" i="74"/>
  <c r="E281" i="74"/>
  <c r="G15" i="70"/>
  <c r="F255" i="74"/>
  <c r="F370" i="70"/>
  <c r="D385" i="70"/>
  <c r="C186" i="75"/>
  <c r="E268" i="74"/>
  <c r="E264" i="74"/>
  <c r="E259" i="74"/>
  <c r="D255" i="74"/>
  <c r="E255" i="74" s="1"/>
  <c r="C255" i="74"/>
  <c r="E149" i="74"/>
  <c r="D13" i="74"/>
  <c r="C13" i="74"/>
  <c r="E654" i="79"/>
  <c r="D652" i="79"/>
  <c r="G15" i="54"/>
  <c r="I15" i="54" s="1"/>
  <c r="G8" i="54"/>
  <c r="I8" i="54" s="1"/>
  <c r="F3" i="54"/>
  <c r="F19" i="54" s="1"/>
  <c r="G13" i="54"/>
  <c r="I13" i="54" s="1"/>
  <c r="G5" i="54"/>
  <c r="I5" i="54" s="1"/>
  <c r="E333" i="70"/>
  <c r="E277" i="70"/>
  <c r="E211" i="70" s="1"/>
  <c r="D663" i="70"/>
  <c r="E91" i="79"/>
  <c r="E16" i="78"/>
  <c r="D15" i="78"/>
  <c r="D76" i="78"/>
  <c r="E76" i="78" s="1"/>
  <c r="E80" i="78"/>
  <c r="D530" i="78"/>
  <c r="E530" i="78" s="1"/>
  <c r="E531" i="78"/>
  <c r="D17" i="79"/>
  <c r="D2948" i="23"/>
  <c r="D434" i="79"/>
  <c r="E434" i="79" s="1"/>
  <c r="E435" i="79"/>
  <c r="E2426" i="23"/>
  <c r="D246" i="23"/>
  <c r="E7" i="54"/>
  <c r="G7" i="54"/>
  <c r="I7" i="54" s="1"/>
  <c r="C19" i="54"/>
  <c r="E19" i="54" s="1"/>
  <c r="G9" i="54"/>
  <c r="I9" i="54" s="1"/>
  <c r="E2" i="54"/>
  <c r="H19" i="54"/>
  <c r="G16" i="54"/>
  <c r="I16" i="54" s="1"/>
  <c r="G12" i="54"/>
  <c r="I12" i="54" s="1"/>
  <c r="D333" i="70"/>
  <c r="G3" i="54"/>
  <c r="I3" i="54" s="1"/>
  <c r="E3" i="54"/>
  <c r="F12" i="74"/>
  <c r="F292" i="74" s="1"/>
  <c r="F403" i="70"/>
  <c r="E385" i="70"/>
  <c r="E14" i="74"/>
  <c r="C13" i="75"/>
  <c r="E32" i="1"/>
  <c r="F622" i="70"/>
  <c r="D32" i="1"/>
  <c r="E16" i="67"/>
  <c r="D1018" i="78"/>
  <c r="E1018" i="78" s="1"/>
  <c r="E1019" i="78"/>
  <c r="F658" i="67"/>
  <c r="D3751" i="23"/>
  <c r="D198" i="78"/>
  <c r="E198" i="78" s="1"/>
  <c r="D210" i="78"/>
  <c r="E210" i="78" s="1"/>
  <c r="D194" i="78"/>
  <c r="E194" i="78" s="1"/>
  <c r="D132" i="79"/>
  <c r="E132" i="79" s="1"/>
  <c r="E133" i="79"/>
  <c r="D218" i="79"/>
  <c r="E218" i="79" s="1"/>
  <c r="E219" i="79"/>
  <c r="D511" i="79"/>
  <c r="E511" i="79" s="1"/>
  <c r="E512" i="79"/>
  <c r="D140" i="79"/>
  <c r="E141" i="79"/>
  <c r="D266" i="79"/>
  <c r="E266" i="79" s="1"/>
  <c r="E267" i="79"/>
  <c r="D515" i="79"/>
  <c r="E516" i="79"/>
  <c r="D589" i="78"/>
  <c r="E590" i="78"/>
  <c r="D302" i="78"/>
  <c r="E302" i="78" s="1"/>
  <c r="E303" i="78"/>
  <c r="D202" i="78"/>
  <c r="E202" i="78" s="1"/>
  <c r="E203" i="78"/>
  <c r="D218" i="78"/>
  <c r="D206" i="78"/>
  <c r="E206" i="78" s="1"/>
  <c r="D130" i="78"/>
  <c r="E130" i="78" s="1"/>
  <c r="D343" i="23"/>
  <c r="D255" i="23" s="1"/>
  <c r="E325" i="67"/>
  <c r="D158" i="67"/>
  <c r="D126" i="67"/>
  <c r="F126" i="67" s="1"/>
  <c r="F127" i="67"/>
  <c r="F159" i="67"/>
  <c r="F320" i="67"/>
  <c r="F296" i="67"/>
  <c r="F162" i="67"/>
  <c r="E15" i="67"/>
  <c r="E204" i="70"/>
  <c r="F22" i="70"/>
  <c r="D881" i="23"/>
  <c r="D993" i="23"/>
  <c r="D975" i="23"/>
  <c r="D959" i="23"/>
  <c r="D190" i="78"/>
  <c r="E190" i="78" s="1"/>
  <c r="D3110" i="23"/>
  <c r="E564" i="70"/>
  <c r="F782" i="67"/>
  <c r="D2962" i="23"/>
  <c r="D3030" i="23"/>
  <c r="D4165" i="23"/>
  <c r="D3944" i="23" s="1"/>
  <c r="D222" i="79"/>
  <c r="E222" i="79" s="1"/>
  <c r="D214" i="79"/>
  <c r="E214" i="79" s="1"/>
  <c r="D435" i="78"/>
  <c r="D2989" i="23"/>
  <c r="F334" i="70"/>
  <c r="F18" i="70"/>
  <c r="F340" i="70"/>
  <c r="F346" i="70"/>
  <c r="F625" i="70"/>
  <c r="F358" i="67"/>
  <c r="F305" i="67"/>
  <c r="E158" i="67"/>
  <c r="F352" i="67"/>
  <c r="F34" i="67"/>
  <c r="F396" i="67"/>
  <c r="D51" i="67"/>
  <c r="E236" i="67"/>
  <c r="D540" i="67"/>
  <c r="D465" i="67" s="1"/>
  <c r="F233" i="67"/>
  <c r="F329" i="67"/>
  <c r="G75" i="67"/>
  <c r="G73" i="67" s="1"/>
  <c r="F42" i="67"/>
  <c r="E413" i="70"/>
  <c r="F358" i="70"/>
  <c r="F293" i="70"/>
  <c r="F301" i="70"/>
  <c r="F650" i="70"/>
  <c r="F290" i="70"/>
  <c r="F680" i="70"/>
  <c r="F674" i="70"/>
  <c r="F410" i="70"/>
  <c r="F691" i="70"/>
  <c r="F677" i="70"/>
  <c r="F75" i="70"/>
  <c r="E567" i="70"/>
  <c r="F298" i="70"/>
  <c r="F306" i="70"/>
  <c r="F636" i="70"/>
  <c r="F663" i="70"/>
  <c r="F415" i="70"/>
  <c r="D27" i="70"/>
  <c r="F375" i="70"/>
  <c r="F380" i="70"/>
  <c r="G415" i="70"/>
  <c r="G413" i="70" s="1"/>
  <c r="F687" i="70"/>
  <c r="E611" i="70"/>
  <c r="E609" i="70" s="1"/>
  <c r="F499" i="70"/>
  <c r="D289" i="70"/>
  <c r="D287" i="70" s="1"/>
  <c r="D611" i="70"/>
  <c r="D609" i="70" s="1"/>
  <c r="D567" i="70"/>
  <c r="F567" i="70" s="1"/>
  <c r="F606" i="70"/>
  <c r="F317" i="70"/>
  <c r="D451" i="70"/>
  <c r="F613" i="70"/>
  <c r="F645" i="70"/>
  <c r="F660" i="70"/>
  <c r="E289" i="70"/>
  <c r="E287" i="70" s="1"/>
  <c r="F629" i="70"/>
  <c r="F657" i="70"/>
  <c r="D126" i="70"/>
  <c r="F316" i="70"/>
  <c r="F605" i="70"/>
  <c r="F76" i="70"/>
  <c r="D502" i="70"/>
  <c r="F283" i="70"/>
  <c r="F654" i="70"/>
  <c r="E200" i="70"/>
  <c r="F200" i="70" s="1"/>
  <c r="F201" i="70"/>
  <c r="G289" i="70"/>
  <c r="G287" i="70" s="1"/>
  <c r="F490" i="70"/>
  <c r="D447" i="70"/>
  <c r="D413" i="70" s="1"/>
  <c r="F413" i="70" s="1"/>
  <c r="F448" i="70"/>
  <c r="F409" i="70"/>
  <c r="F196" i="70"/>
  <c r="D213" i="70"/>
  <c r="F213" i="70" s="1"/>
  <c r="F694" i="70"/>
  <c r="F684" i="70"/>
  <c r="E673" i="70"/>
  <c r="F197" i="70"/>
  <c r="G333" i="70"/>
  <c r="G331" i="70" s="1"/>
  <c r="F353" i="70"/>
  <c r="G211" i="70"/>
  <c r="D277" i="70"/>
  <c r="F278" i="70"/>
  <c r="D673" i="70"/>
  <c r="D671" i="70" s="1"/>
  <c r="E451" i="70"/>
  <c r="F664" i="70"/>
  <c r="F151" i="67"/>
  <c r="F150" i="67" s="1"/>
  <c r="E376" i="67"/>
  <c r="F385" i="67"/>
  <c r="G284" i="67"/>
  <c r="G282" i="67" s="1"/>
  <c r="F545" i="67"/>
  <c r="G51" i="67"/>
  <c r="E540" i="67"/>
  <c r="E465" i="67" s="1"/>
  <c r="F624" i="67"/>
  <c r="F139" i="67"/>
  <c r="F138" i="67" s="1"/>
  <c r="F275" i="67"/>
  <c r="F70" i="67"/>
  <c r="F131" i="67"/>
  <c r="F130" i="67" s="1"/>
  <c r="D236" i="67"/>
  <c r="F332" i="67"/>
  <c r="F382" i="67"/>
  <c r="E385" i="67"/>
  <c r="F312" i="67"/>
  <c r="F288" i="67"/>
  <c r="E284" i="67"/>
  <c r="E282" i="67" s="1"/>
  <c r="F326" i="67"/>
  <c r="G555" i="67"/>
  <c r="F777" i="67"/>
  <c r="G325" i="67"/>
  <c r="F627" i="67"/>
  <c r="F261" i="67"/>
  <c r="F421" i="67"/>
  <c r="F429" i="67"/>
  <c r="G395" i="67"/>
  <c r="G393" i="67" s="1"/>
  <c r="E232" i="67"/>
  <c r="F765" i="67"/>
  <c r="D16" i="67"/>
  <c r="D15" i="67" s="1"/>
  <c r="F467" i="67"/>
  <c r="D395" i="67"/>
  <c r="D393" i="67" s="1"/>
  <c r="F768" i="67"/>
  <c r="F694" i="67"/>
  <c r="F460" i="67"/>
  <c r="G16" i="67"/>
  <c r="G15" i="67" s="1"/>
  <c r="D75" i="67"/>
  <c r="D73" i="67" s="1"/>
  <c r="D325" i="67"/>
  <c r="D323" i="67" s="1"/>
  <c r="D284" i="67"/>
  <c r="D282" i="67" s="1"/>
  <c r="G465" i="67"/>
  <c r="F461" i="67"/>
  <c r="D653" i="67"/>
  <c r="D651" i="67" s="1"/>
  <c r="F135" i="67"/>
  <c r="G376" i="67"/>
  <c r="D555" i="67"/>
  <c r="F285" i="67"/>
  <c r="E245" i="67"/>
  <c r="E243" i="67" s="1"/>
  <c r="D245" i="67"/>
  <c r="D243" i="67" s="1"/>
  <c r="G245" i="67"/>
  <c r="G243" i="67" s="1"/>
  <c r="F438" i="67"/>
  <c r="E395" i="67"/>
  <c r="E393" i="67" s="1"/>
  <c r="F781" i="67"/>
  <c r="F764" i="67"/>
  <c r="E720" i="67"/>
  <c r="F852" i="67"/>
  <c r="D720" i="67"/>
  <c r="F776" i="67"/>
  <c r="F25" i="67"/>
  <c r="E75" i="67"/>
  <c r="F302" i="67"/>
  <c r="E653" i="67"/>
  <c r="E69" i="67"/>
  <c r="F623" i="67"/>
  <c r="F17" i="67"/>
  <c r="F769" i="67"/>
  <c r="F399" i="67"/>
  <c r="F404" i="67"/>
  <c r="F788" i="67"/>
  <c r="D231" i="79"/>
  <c r="E231" i="79" s="1"/>
  <c r="D417" i="79"/>
  <c r="E417" i="79" s="1"/>
  <c r="D277" i="79"/>
  <c r="E277" i="79" s="1"/>
  <c r="D521" i="79"/>
  <c r="D519" i="79" s="1"/>
  <c r="D346" i="79"/>
  <c r="E346" i="79" s="1"/>
  <c r="D337" i="79"/>
  <c r="E337" i="79" s="1"/>
  <c r="D146" i="79"/>
  <c r="E146" i="79" s="1"/>
  <c r="D102" i="79"/>
  <c r="E102" i="79" s="1"/>
  <c r="D108" i="79"/>
  <c r="E108" i="79" s="1"/>
  <c r="E952" i="78"/>
  <c r="D85" i="78"/>
  <c r="D917" i="78"/>
  <c r="S28" i="78"/>
  <c r="D311" i="78"/>
  <c r="D309" i="78" s="1"/>
  <c r="D138" i="78"/>
  <c r="E138" i="78" s="1"/>
  <c r="D385" i="78"/>
  <c r="E385" i="78" s="1"/>
  <c r="D595" i="78"/>
  <c r="D214" i="78"/>
  <c r="E214" i="78" s="1"/>
  <c r="D3160" i="23"/>
  <c r="E3162" i="23" s="1"/>
  <c r="D177" i="23"/>
  <c r="D1543" i="23"/>
  <c r="D2324" i="23"/>
  <c r="D2340" i="23"/>
  <c r="D1485" i="23"/>
  <c r="D3890" i="23"/>
  <c r="D2177" i="23"/>
  <c r="D428" i="23"/>
  <c r="D2242" i="23"/>
  <c r="D691" i="23"/>
  <c r="D671" i="23"/>
  <c r="D128" i="23"/>
  <c r="D537" i="23"/>
  <c r="E1126" i="23"/>
  <c r="D1835" i="23"/>
  <c r="D2856" i="23"/>
  <c r="D3935" i="23"/>
  <c r="D3927" i="23" s="1"/>
  <c r="D508" i="23"/>
  <c r="D2869" i="23"/>
  <c r="D730" i="23"/>
  <c r="D1402" i="23"/>
  <c r="D1373" i="23"/>
  <c r="D151" i="23"/>
  <c r="D3899" i="23"/>
  <c r="D1769" i="23"/>
  <c r="D2903" i="23"/>
  <c r="D3906" i="23"/>
  <c r="D3919" i="23"/>
  <c r="D1944" i="23"/>
  <c r="D2039" i="23"/>
  <c r="D2110" i="23"/>
  <c r="D2127" i="23"/>
  <c r="D2151" i="23"/>
  <c r="D2257" i="23"/>
  <c r="D2309" i="23"/>
  <c r="D1877" i="23"/>
  <c r="D1762" i="23"/>
  <c r="D1516" i="23"/>
  <c r="D632" i="23"/>
  <c r="D2227" i="23"/>
  <c r="D1859" i="23"/>
  <c r="D1790" i="23"/>
  <c r="D1633" i="23"/>
  <c r="D1555" i="23"/>
  <c r="D1446" i="23"/>
  <c r="D3860" i="23"/>
  <c r="D3824" i="23"/>
  <c r="D3783" i="23"/>
  <c r="D76" i="23"/>
  <c r="D102" i="23"/>
  <c r="D164" i="23"/>
  <c r="D187" i="23"/>
  <c r="D202" i="23"/>
  <c r="D2788" i="23"/>
  <c r="D2530" i="23"/>
  <c r="E2723" i="23" s="1"/>
  <c r="D3873" i="23"/>
  <c r="D523" i="23"/>
  <c r="D617" i="23"/>
  <c r="D550" i="23"/>
  <c r="D3658" i="23"/>
  <c r="D3472" i="23" s="1"/>
  <c r="D1621" i="23"/>
  <c r="D218" i="23"/>
  <c r="D15" i="23"/>
  <c r="S28" i="23"/>
  <c r="D1892" i="23"/>
  <c r="D1922" i="23"/>
  <c r="D1906" i="23"/>
  <c r="D1702" i="23"/>
  <c r="D1629" i="23"/>
  <c r="D1613" i="23"/>
  <c r="D2208" i="23"/>
  <c r="D1914" i="23"/>
  <c r="D1807" i="23"/>
  <c r="D1656" i="23"/>
  <c r="D1496" i="23"/>
  <c r="D2626" i="23"/>
  <c r="D3834" i="23"/>
  <c r="D2358" i="23"/>
  <c r="E2413" i="23" s="1"/>
  <c r="D2821" i="23"/>
  <c r="D746" i="23"/>
  <c r="D713" i="23"/>
  <c r="D572" i="23"/>
  <c r="D3880" i="23"/>
  <c r="D771" i="23"/>
  <c r="D645" i="23"/>
  <c r="D2696" i="23"/>
  <c r="D799" i="23"/>
  <c r="D649" i="23"/>
  <c r="D596" i="23"/>
  <c r="D480" i="23"/>
  <c r="E331" i="70" l="1"/>
  <c r="D331" i="70"/>
  <c r="F277" i="70"/>
  <c r="D12" i="74"/>
  <c r="D292" i="74" s="1"/>
  <c r="C12" i="74"/>
  <c r="E13" i="74"/>
  <c r="G19" i="54"/>
  <c r="I19" i="54" s="1"/>
  <c r="E3472" i="23"/>
  <c r="E3473" i="23"/>
  <c r="D438" i="79"/>
  <c r="E140" i="79"/>
  <c r="D106" i="79"/>
  <c r="D47" i="79"/>
  <c r="E17" i="79"/>
  <c r="D15" i="79"/>
  <c r="E15" i="79" s="1"/>
  <c r="D434" i="78"/>
  <c r="E435" i="78"/>
  <c r="E595" i="78"/>
  <c r="D594" i="78"/>
  <c r="E15" i="78"/>
  <c r="D14" i="78"/>
  <c r="E255" i="23"/>
  <c r="E257" i="23"/>
  <c r="E521" i="79"/>
  <c r="D1943" i="23"/>
  <c r="E4316" i="23"/>
  <c r="E3946" i="23"/>
  <c r="E3170" i="23"/>
  <c r="E3160" i="23"/>
  <c r="E3288" i="23"/>
  <c r="D14" i="23"/>
  <c r="E15" i="23" s="1"/>
  <c r="E2359" i="23"/>
  <c r="E4280" i="23"/>
  <c r="E4334" i="23"/>
  <c r="D229" i="79"/>
  <c r="C12" i="75"/>
  <c r="D3717" i="23"/>
  <c r="E3751" i="23" s="1"/>
  <c r="E515" i="79"/>
  <c r="D2961" i="23"/>
  <c r="E2961" i="23" s="1"/>
  <c r="E311" i="78"/>
  <c r="D541" i="78"/>
  <c r="E589" i="78"/>
  <c r="E2493" i="23"/>
  <c r="E2489" i="23"/>
  <c r="E2492" i="23"/>
  <c r="E2495" i="23"/>
  <c r="E2496" i="23"/>
  <c r="E2491" i="23"/>
  <c r="E100" i="78"/>
  <c r="E99" i="78"/>
  <c r="D807" i="23"/>
  <c r="E811" i="23" s="1"/>
  <c r="F393" i="67"/>
  <c r="F236" i="67"/>
  <c r="F16" i="67"/>
  <c r="F385" i="70"/>
  <c r="F609" i="70"/>
  <c r="E165" i="67"/>
  <c r="E4320" i="23"/>
  <c r="E4061" i="23"/>
  <c r="E4012" i="23"/>
  <c r="E3944" i="23"/>
  <c r="E4016" i="23"/>
  <c r="E4076" i="23"/>
  <c r="E4001" i="23"/>
  <c r="E4092" i="23"/>
  <c r="E4026" i="23"/>
  <c r="E3997" i="23"/>
  <c r="E3972" i="23"/>
  <c r="E4108" i="23"/>
  <c r="E4179" i="23"/>
  <c r="E4243" i="23"/>
  <c r="E4321" i="23"/>
  <c r="E4002" i="23"/>
  <c r="E4057" i="23"/>
  <c r="E4130" i="23"/>
  <c r="E4216" i="23"/>
  <c r="E4267" i="23"/>
  <c r="E4301" i="23"/>
  <c r="E3977" i="23"/>
  <c r="E4018" i="23"/>
  <c r="E4068" i="23"/>
  <c r="E4181" i="23"/>
  <c r="E4246" i="23"/>
  <c r="E4277" i="23"/>
  <c r="E4329" i="23"/>
  <c r="E4004" i="23"/>
  <c r="E4060" i="23"/>
  <c r="E4080" i="23"/>
  <c r="E4132" i="23"/>
  <c r="E4230" i="23"/>
  <c r="E4269" i="23"/>
  <c r="E4304" i="23"/>
  <c r="E4270" i="23"/>
  <c r="E4306" i="23"/>
  <c r="E4072" i="23"/>
  <c r="E4282" i="23"/>
  <c r="E4272" i="23"/>
  <c r="E4054" i="23"/>
  <c r="E4128" i="23"/>
  <c r="E4284" i="23"/>
  <c r="E4210" i="23"/>
  <c r="E4013" i="23"/>
  <c r="E4062" i="23"/>
  <c r="E4104" i="23"/>
  <c r="E4150" i="23"/>
  <c r="E4271" i="23"/>
  <c r="E4307" i="23"/>
  <c r="E3999" i="23"/>
  <c r="E4095" i="23"/>
  <c r="E4116" i="23"/>
  <c r="E4212" i="23"/>
  <c r="E4251" i="23"/>
  <c r="E4283" i="23"/>
  <c r="E3948" i="23"/>
  <c r="E4015" i="23"/>
  <c r="E4064" i="23"/>
  <c r="E4178" i="23"/>
  <c r="E4242" i="23"/>
  <c r="E4273" i="23"/>
  <c r="E4038" i="23"/>
  <c r="E4250" i="23"/>
  <c r="E4014" i="23"/>
  <c r="E4063" i="23"/>
  <c r="E4160" i="23"/>
  <c r="E4313" i="23"/>
  <c r="E4129" i="23"/>
  <c r="E4215" i="23"/>
  <c r="E4254" i="23"/>
  <c r="E4300" i="23"/>
  <c r="E3973" i="23"/>
  <c r="E4017" i="23"/>
  <c r="E4088" i="23"/>
  <c r="E4180" i="23"/>
  <c r="E4276" i="23"/>
  <c r="E4328" i="23"/>
  <c r="E4003" i="23"/>
  <c r="E4100" i="23"/>
  <c r="E4131" i="23"/>
  <c r="E4217" i="23"/>
  <c r="E4268" i="23"/>
  <c r="E4303" i="23"/>
  <c r="E3996" i="23"/>
  <c r="E4025" i="23"/>
  <c r="E4112" i="23"/>
  <c r="E4205" i="23"/>
  <c r="E4247" i="23"/>
  <c r="E4137" i="23"/>
  <c r="E3998" i="23"/>
  <c r="E4094" i="23"/>
  <c r="E4211" i="23"/>
  <c r="E4084" i="23"/>
  <c r="E4241" i="23"/>
  <c r="E4000" i="23"/>
  <c r="E4096" i="23"/>
  <c r="E4249" i="23"/>
  <c r="E4245" i="23"/>
  <c r="E4214" i="23"/>
  <c r="E4279" i="23"/>
  <c r="E4240" i="23"/>
  <c r="E4275" i="23"/>
  <c r="E4253" i="23"/>
  <c r="E4239" i="23"/>
  <c r="E4056" i="23"/>
  <c r="E4087" i="23"/>
  <c r="E4091" i="23"/>
  <c r="E4103" i="23"/>
  <c r="E4079" i="23"/>
  <c r="E4115" i="23"/>
  <c r="E4099" i="23"/>
  <c r="E4071" i="23"/>
  <c r="E4083" i="23"/>
  <c r="E3947" i="23"/>
  <c r="E4075" i="23"/>
  <c r="E4107" i="23"/>
  <c r="E4059" i="23"/>
  <c r="E4111" i="23"/>
  <c r="E4067" i="23"/>
  <c r="E4053" i="23"/>
  <c r="E4114" i="23"/>
  <c r="E4106" i="23"/>
  <c r="E4082" i="23"/>
  <c r="E4098" i="23"/>
  <c r="E4074" i="23"/>
  <c r="E4070" i="23"/>
  <c r="E4078" i="23"/>
  <c r="E4066" i="23"/>
  <c r="E4102" i="23"/>
  <c r="E4090" i="23"/>
  <c r="E4110" i="23"/>
  <c r="E4086" i="23"/>
  <c r="F447" i="70"/>
  <c r="F564" i="70"/>
  <c r="E563" i="70"/>
  <c r="F563" i="70" s="1"/>
  <c r="F451" i="70"/>
  <c r="F540" i="67"/>
  <c r="G323" i="67"/>
  <c r="G49" i="67" s="1"/>
  <c r="G856" i="67" s="1"/>
  <c r="F465" i="67"/>
  <c r="D956" i="78"/>
  <c r="F611" i="70"/>
  <c r="F289" i="70"/>
  <c r="F376" i="67"/>
  <c r="D165" i="67"/>
  <c r="F243" i="67"/>
  <c r="F282" i="67"/>
  <c r="E79" i="70"/>
  <c r="F79" i="70" s="1"/>
  <c r="G25" i="70"/>
  <c r="G789" i="70" s="1"/>
  <c r="F287" i="70"/>
  <c r="F17" i="70"/>
  <c r="F15" i="70" s="1"/>
  <c r="F204" i="70"/>
  <c r="E126" i="70"/>
  <c r="F126" i="70" s="1"/>
  <c r="D211" i="70"/>
  <c r="F211" i="70" s="1"/>
  <c r="F673" i="70"/>
  <c r="E671" i="70"/>
  <c r="F671" i="70" s="1"/>
  <c r="E27" i="70"/>
  <c r="F27" i="70" s="1"/>
  <c r="F333" i="70"/>
  <c r="F331" i="70"/>
  <c r="F15" i="67"/>
  <c r="F284" i="67"/>
  <c r="F245" i="67"/>
  <c r="F395" i="67"/>
  <c r="F720" i="67"/>
  <c r="F325" i="67"/>
  <c r="E323" i="67"/>
  <c r="E51" i="67"/>
  <c r="F69" i="67"/>
  <c r="F653" i="67"/>
  <c r="E651" i="67"/>
  <c r="F651" i="67" s="1"/>
  <c r="F75" i="67"/>
  <c r="E73" i="67"/>
  <c r="F73" i="67" s="1"/>
  <c r="F626" i="67"/>
  <c r="D144" i="79"/>
  <c r="D275" i="79"/>
  <c r="D344" i="79"/>
  <c r="D136" i="78"/>
  <c r="D384" i="78"/>
  <c r="E3470" i="23"/>
  <c r="E3465" i="23"/>
  <c r="E3469" i="23"/>
  <c r="E3462" i="23"/>
  <c r="E3468" i="23"/>
  <c r="E3461" i="23"/>
  <c r="E3464" i="23"/>
  <c r="E3467" i="23"/>
  <c r="E3460" i="23"/>
  <c r="E3180" i="23"/>
  <c r="E424" i="23"/>
  <c r="D2528" i="23"/>
  <c r="D426" i="23"/>
  <c r="E501" i="23" s="1"/>
  <c r="D1371" i="23"/>
  <c r="E1373" i="23" s="1"/>
  <c r="E3174" i="23"/>
  <c r="E3189" i="23"/>
  <c r="E3164" i="23"/>
  <c r="E3175" i="23"/>
  <c r="E3403" i="23"/>
  <c r="E3408" i="23"/>
  <c r="E3372" i="23"/>
  <c r="E3241" i="23"/>
  <c r="E3412" i="23"/>
  <c r="E3370" i="23"/>
  <c r="E3349" i="23"/>
  <c r="E3260" i="23"/>
  <c r="E3274" i="23"/>
  <c r="E3246" i="23"/>
  <c r="E3390" i="23"/>
  <c r="E3346" i="23"/>
  <c r="E3253" i="23"/>
  <c r="E3256" i="23"/>
  <c r="E3275" i="23"/>
  <c r="E3410" i="23"/>
  <c r="E3237" i="23"/>
  <c r="E3228" i="23"/>
  <c r="E3365" i="23"/>
  <c r="E3221" i="23"/>
  <c r="E3280" i="23"/>
  <c r="E3352" i="23"/>
  <c r="E3223" i="23"/>
  <c r="E3342" i="23"/>
  <c r="E3225" i="23"/>
  <c r="E3273" i="23"/>
  <c r="E3258" i="23"/>
  <c r="E3254" i="23"/>
  <c r="E3500" i="23"/>
  <c r="E2515" i="23"/>
  <c r="E2483" i="23"/>
  <c r="E2477" i="23"/>
  <c r="E2465" i="23"/>
  <c r="E2461" i="23"/>
  <c r="E2457" i="23"/>
  <c r="E2452" i="23"/>
  <c r="E2448" i="23"/>
  <c r="E2442" i="23"/>
  <c r="E2439" i="23"/>
  <c r="E2434" i="23"/>
  <c r="E2421" i="23"/>
  <c r="E2513" i="23"/>
  <c r="E2482" i="23"/>
  <c r="E2474" i="23"/>
  <c r="E2464" i="23"/>
  <c r="E2460" i="23"/>
  <c r="E2456" i="23"/>
  <c r="E2451" i="23"/>
  <c r="E2447" i="23"/>
  <c r="E2444" i="23"/>
  <c r="E2438" i="23"/>
  <c r="E2433" i="23"/>
  <c r="E2417" i="23"/>
  <c r="E2517" i="23"/>
  <c r="E2512" i="23"/>
  <c r="E2480" i="23"/>
  <c r="E2471" i="23"/>
  <c r="E2463" i="23"/>
  <c r="E2459" i="23"/>
  <c r="E2466" i="23"/>
  <c r="E2453" i="23"/>
  <c r="E2445" i="23"/>
  <c r="E2435" i="23"/>
  <c r="E2405" i="23"/>
  <c r="E2365" i="23"/>
  <c r="E2516" i="23"/>
  <c r="E2462" i="23"/>
  <c r="E2450" i="23"/>
  <c r="E2441" i="23"/>
  <c r="E2432" i="23"/>
  <c r="E2392" i="23"/>
  <c r="E2364" i="23"/>
  <c r="E2511" i="23"/>
  <c r="E2458" i="23"/>
  <c r="E2449" i="23"/>
  <c r="E2440" i="23"/>
  <c r="E2384" i="23"/>
  <c r="E2363" i="23"/>
  <c r="E2455" i="23"/>
  <c r="E2410" i="23"/>
  <c r="E2446" i="23"/>
  <c r="E2367" i="23"/>
  <c r="E2437" i="23"/>
  <c r="E2358" i="23"/>
  <c r="E2479" i="23"/>
  <c r="E2380" i="23"/>
  <c r="E2399" i="23"/>
  <c r="E2425" i="23"/>
  <c r="E2403" i="23"/>
  <c r="E2372" i="23"/>
  <c r="E2428" i="23"/>
  <c r="E2373" i="23"/>
  <c r="E2526" i="23"/>
  <c r="E2419" i="23"/>
  <c r="E2377" i="23"/>
  <c r="E2382" i="23"/>
  <c r="E2378" i="23"/>
  <c r="E2409" i="23"/>
  <c r="E2407" i="23"/>
  <c r="E2469" i="23"/>
  <c r="E2379" i="23"/>
  <c r="E2391" i="23"/>
  <c r="E2431" i="23"/>
  <c r="E2369" i="23"/>
  <c r="E2376" i="23"/>
  <c r="E2414" i="23"/>
  <c r="E2504" i="23"/>
  <c r="E2387" i="23"/>
  <c r="E2523" i="23"/>
  <c r="E2361" i="23"/>
  <c r="E2386" i="23"/>
  <c r="E2422" i="23"/>
  <c r="E2522" i="23"/>
  <c r="E2473" i="23"/>
  <c r="E2398" i="23"/>
  <c r="E2509" i="23"/>
  <c r="E2486" i="23"/>
  <c r="E2404" i="23"/>
  <c r="E2524" i="23"/>
  <c r="E2430" i="23"/>
  <c r="E2412" i="23"/>
  <c r="E2395" i="23"/>
  <c r="E2499" i="23"/>
  <c r="E2503" i="23"/>
  <c r="E2525" i="23"/>
  <c r="E2370" i="23"/>
  <c r="E2411" i="23"/>
  <c r="E2521" i="23"/>
  <c r="E2423" i="23"/>
  <c r="E2416" i="23"/>
  <c r="E2427" i="23"/>
  <c r="E2415" i="23"/>
  <c r="E2498" i="23"/>
  <c r="E2476" i="23"/>
  <c r="E2508" i="23"/>
  <c r="E2374" i="23"/>
  <c r="E2468" i="23"/>
  <c r="E2408" i="23"/>
  <c r="E2375" i="23"/>
  <c r="E2368" i="23"/>
  <c r="E2393" i="23"/>
  <c r="E2389" i="23"/>
  <c r="E2406" i="23"/>
  <c r="E2507" i="23"/>
  <c r="E2402" i="23"/>
  <c r="E2487" i="23"/>
  <c r="E2519" i="23"/>
  <c r="E2401" i="23"/>
  <c r="E2488" i="23"/>
  <c r="E2390" i="23"/>
  <c r="E2396" i="23"/>
  <c r="E2502" i="23"/>
  <c r="E2383" i="23"/>
  <c r="E2381" i="23"/>
  <c r="E2420" i="23"/>
  <c r="E2500" i="23"/>
  <c r="E2485" i="23"/>
  <c r="E2520" i="23"/>
  <c r="E2505" i="23"/>
  <c r="E2470" i="23"/>
  <c r="E2360" i="23"/>
  <c r="E2394" i="23"/>
  <c r="D1654" i="23"/>
  <c r="E14" i="78" l="1"/>
  <c r="E49" i="67"/>
  <c r="C292" i="74"/>
  <c r="E292" i="74" s="1"/>
  <c r="E12" i="74"/>
  <c r="E19" i="23"/>
  <c r="E17" i="23"/>
  <c r="D83" i="78"/>
  <c r="E85" i="78" s="1"/>
  <c r="E428" i="23"/>
  <c r="E2195" i="23"/>
  <c r="E2196" i="23"/>
  <c r="E2200" i="23"/>
  <c r="E2206" i="23"/>
  <c r="E2197" i="23"/>
  <c r="E2201" i="23"/>
  <c r="E2205" i="23"/>
  <c r="E2194" i="23"/>
  <c r="E2202" i="23"/>
  <c r="E2199" i="23"/>
  <c r="E2204" i="23"/>
  <c r="E2193" i="23"/>
  <c r="E2335" i="23"/>
  <c r="E2334" i="23"/>
  <c r="E2338" i="23"/>
  <c r="E2333" i="23"/>
  <c r="E2337" i="23"/>
  <c r="E2332" i="23"/>
  <c r="E2010" i="23"/>
  <c r="E2302" i="23"/>
  <c r="E2306" i="23"/>
  <c r="E2301" i="23"/>
  <c r="E2307" i="23"/>
  <c r="E2304" i="23"/>
  <c r="E2305" i="23"/>
  <c r="E2300" i="23"/>
  <c r="E2962" i="23"/>
  <c r="E2537" i="23"/>
  <c r="E2958" i="23"/>
  <c r="E2955" i="23"/>
  <c r="E2959" i="23"/>
  <c r="E2952" i="23"/>
  <c r="E2957" i="23"/>
  <c r="E2954" i="23"/>
  <c r="E246" i="23"/>
  <c r="D231" i="75"/>
  <c r="D205" i="75"/>
  <c r="D201" i="75"/>
  <c r="D176" i="75"/>
  <c r="D172" i="75"/>
  <c r="D168" i="75"/>
  <c r="D144" i="75"/>
  <c r="D127" i="75"/>
  <c r="D116" i="75"/>
  <c r="D109" i="75"/>
  <c r="D105" i="75"/>
  <c r="D49" i="75"/>
  <c r="D45" i="75"/>
  <c r="D66" i="75"/>
  <c r="D124" i="75"/>
  <c r="D119" i="75"/>
  <c r="D139" i="75"/>
  <c r="D83" i="75"/>
  <c r="D32" i="75"/>
  <c r="D34" i="75"/>
  <c r="D149" i="75"/>
  <c r="D115" i="75"/>
  <c r="D92" i="75"/>
  <c r="D209" i="75"/>
  <c r="D79" i="75"/>
  <c r="D121" i="75"/>
  <c r="D219" i="75"/>
  <c r="D150" i="75"/>
  <c r="D18" i="75"/>
  <c r="D215" i="75"/>
  <c r="D71" i="75"/>
  <c r="D30" i="75"/>
  <c r="D22" i="75"/>
  <c r="D136" i="75"/>
  <c r="D162" i="75"/>
  <c r="D217" i="75"/>
  <c r="D183" i="75"/>
  <c r="D101" i="75"/>
  <c r="D190" i="75"/>
  <c r="D187" i="75"/>
  <c r="D23" i="75"/>
  <c r="D80" i="75"/>
  <c r="D93" i="75"/>
  <c r="D94" i="75"/>
  <c r="D133" i="75"/>
  <c r="D75" i="75"/>
  <c r="D156" i="75"/>
  <c r="D142" i="75"/>
  <c r="D28" i="75"/>
  <c r="D68" i="75"/>
  <c r="D160" i="75"/>
  <c r="D64" i="75"/>
  <c r="D230" i="75"/>
  <c r="D221" i="75"/>
  <c r="D204" i="75"/>
  <c r="D200" i="75"/>
  <c r="D179" i="75"/>
  <c r="D175" i="75"/>
  <c r="D171" i="75"/>
  <c r="D167" i="75"/>
  <c r="D143" i="75"/>
  <c r="D126" i="75"/>
  <c r="D112" i="75"/>
  <c r="D108" i="75"/>
  <c r="D87" i="75"/>
  <c r="D48" i="75"/>
  <c r="D44" i="75"/>
  <c r="D12" i="75"/>
  <c r="D225" i="75"/>
  <c r="D193" i="75"/>
  <c r="D56" i="75"/>
  <c r="D65" i="75"/>
  <c r="D29" i="75"/>
  <c r="D55" i="75"/>
  <c r="D122" i="75"/>
  <c r="D40" i="75"/>
  <c r="D95" i="75"/>
  <c r="D31" i="75"/>
  <c r="D62" i="75"/>
  <c r="D157" i="75"/>
  <c r="D138" i="75"/>
  <c r="D158" i="75"/>
  <c r="D164" i="75"/>
  <c r="D89" i="75"/>
  <c r="D82" i="75"/>
  <c r="D224" i="75"/>
  <c r="D19" i="75"/>
  <c r="D57" i="75"/>
  <c r="D38" i="75"/>
  <c r="D220" i="75"/>
  <c r="D41" i="75"/>
  <c r="D70" i="75"/>
  <c r="D197" i="75"/>
  <c r="D163" i="75"/>
  <c r="D85" i="75"/>
  <c r="D155" i="75"/>
  <c r="D35" i="75"/>
  <c r="D27" i="75"/>
  <c r="D21" i="75"/>
  <c r="D135" i="75"/>
  <c r="D159" i="75"/>
  <c r="D84" i="75"/>
  <c r="D180" i="75"/>
  <c r="D214" i="75"/>
  <c r="D60" i="75"/>
  <c r="D24" i="75"/>
  <c r="D114" i="75"/>
  <c r="D233" i="75"/>
  <c r="D229" i="75"/>
  <c r="D207" i="75"/>
  <c r="D203" i="75"/>
  <c r="D199" i="75"/>
  <c r="D178" i="75"/>
  <c r="D174" i="75"/>
  <c r="D170" i="75"/>
  <c r="D166" i="75"/>
  <c r="D125" i="75"/>
  <c r="D111" i="75"/>
  <c r="D107" i="75"/>
  <c r="D86" i="75"/>
  <c r="D47" i="75"/>
  <c r="D43" i="75"/>
  <c r="D232" i="75"/>
  <c r="D228" i="75"/>
  <c r="D206" i="75"/>
  <c r="D202" i="75"/>
  <c r="D198" i="75"/>
  <c r="D177" i="75"/>
  <c r="D173" i="75"/>
  <c r="D169" i="75"/>
  <c r="D165" i="75"/>
  <c r="D128" i="75"/>
  <c r="D117" i="75"/>
  <c r="D110" i="75"/>
  <c r="D106" i="75"/>
  <c r="D50" i="75"/>
  <c r="D46" i="75"/>
  <c r="D14" i="75"/>
  <c r="D151" i="75"/>
  <c r="D96" i="75"/>
  <c r="D212" i="75"/>
  <c r="D191" i="75"/>
  <c r="D88" i="75"/>
  <c r="D54" i="75"/>
  <c r="D26" i="75"/>
  <c r="D196" i="75"/>
  <c r="D134" i="75"/>
  <c r="D52" i="75"/>
  <c r="D184" i="75"/>
  <c r="D104" i="75"/>
  <c r="D153" i="75"/>
  <c r="D78" i="75"/>
  <c r="D67" i="75"/>
  <c r="D140" i="75"/>
  <c r="D216" i="75"/>
  <c r="D16" i="75"/>
  <c r="D33" i="75"/>
  <c r="D161" i="75"/>
  <c r="D76" i="75"/>
  <c r="D72" i="75"/>
  <c r="D129" i="75"/>
  <c r="D152" i="75"/>
  <c r="D81" i="75"/>
  <c r="D218" i="75"/>
  <c r="D100" i="75"/>
  <c r="D36" i="75"/>
  <c r="D120" i="75"/>
  <c r="D63" i="75"/>
  <c r="D25" i="75"/>
  <c r="D73" i="75"/>
  <c r="D103" i="75"/>
  <c r="C235" i="75"/>
  <c r="D235" i="75" s="1"/>
  <c r="D147" i="75"/>
  <c r="D210" i="75"/>
  <c r="D77" i="75"/>
  <c r="D37" i="75"/>
  <c r="D98" i="75"/>
  <c r="D132" i="75"/>
  <c r="D17" i="75"/>
  <c r="D53" i="75"/>
  <c r="D192" i="75"/>
  <c r="D213" i="75"/>
  <c r="D42" i="75"/>
  <c r="D61" i="75"/>
  <c r="D69" i="75"/>
  <c r="D59" i="75"/>
  <c r="D74" i="75"/>
  <c r="D97" i="75"/>
  <c r="D141" i="75"/>
  <c r="D146" i="75"/>
  <c r="D20" i="75"/>
  <c r="D188" i="75"/>
  <c r="D39" i="75"/>
  <c r="D211" i="75"/>
  <c r="D195" i="75"/>
  <c r="D123" i="75"/>
  <c r="D186" i="75"/>
  <c r="D58" i="75"/>
  <c r="D15" i="75"/>
  <c r="D137" i="75"/>
  <c r="D102" i="75"/>
  <c r="D91" i="75"/>
  <c r="D131" i="75"/>
  <c r="D227" i="75"/>
  <c r="D223" i="75"/>
  <c r="D182" i="75"/>
  <c r="D13" i="75"/>
  <c r="D25" i="70"/>
  <c r="D789" i="70" s="1"/>
  <c r="E218" i="23"/>
  <c r="E3723" i="23"/>
  <c r="E3731" i="23"/>
  <c r="E3735" i="23"/>
  <c r="E3739" i="23"/>
  <c r="E3743" i="23"/>
  <c r="E3720" i="23"/>
  <c r="E3736" i="23"/>
  <c r="E3744" i="23"/>
  <c r="E3749" i="23"/>
  <c r="E3726" i="23"/>
  <c r="E3730" i="23"/>
  <c r="E3734" i="23"/>
  <c r="E3738" i="23"/>
  <c r="E3742" i="23"/>
  <c r="E3746" i="23"/>
  <c r="E3753" i="23"/>
  <c r="E3717" i="23"/>
  <c r="E3724" i="23"/>
  <c r="E3728" i="23"/>
  <c r="E3732" i="23"/>
  <c r="E3740" i="23"/>
  <c r="E3748" i="23"/>
  <c r="E3755" i="23"/>
  <c r="E3721" i="23"/>
  <c r="E3725" i="23"/>
  <c r="E3729" i="23"/>
  <c r="E3733" i="23"/>
  <c r="E3737" i="23"/>
  <c r="E3741" i="23"/>
  <c r="E3745" i="23"/>
  <c r="E3752" i="23"/>
  <c r="E3756" i="23"/>
  <c r="E3719" i="23"/>
  <c r="E3781" i="23"/>
  <c r="E3839" i="23"/>
  <c r="E3158" i="23"/>
  <c r="E3157" i="23"/>
  <c r="E3156" i="23"/>
  <c r="E2996" i="23"/>
  <c r="E2881" i="23"/>
  <c r="E2208" i="23"/>
  <c r="E426" i="23"/>
  <c r="E430" i="23"/>
  <c r="E791" i="23"/>
  <c r="E527" i="23"/>
  <c r="E530" i="23"/>
  <c r="E814" i="23"/>
  <c r="E1369" i="23"/>
  <c r="E813" i="23"/>
  <c r="E1496" i="23"/>
  <c r="E1353" i="23"/>
  <c r="E763" i="23"/>
  <c r="E416" i="23"/>
  <c r="E415" i="23"/>
  <c r="E405" i="23"/>
  <c r="E404" i="23"/>
  <c r="E392" i="23"/>
  <c r="E388" i="23"/>
  <c r="E386" i="23"/>
  <c r="E381" i="23"/>
  <c r="E391" i="23"/>
  <c r="E387" i="23"/>
  <c r="E383" i="23"/>
  <c r="E382" i="23"/>
  <c r="E385" i="23"/>
  <c r="E380" i="23"/>
  <c r="E390" i="23"/>
  <c r="E373" i="23"/>
  <c r="E372" i="23"/>
  <c r="E365" i="23"/>
  <c r="E361" i="23"/>
  <c r="E364" i="23"/>
  <c r="E359" i="23"/>
  <c r="E367" i="23"/>
  <c r="E363" i="23"/>
  <c r="E358" i="23"/>
  <c r="E366" i="23"/>
  <c r="E362" i="23"/>
  <c r="E357" i="23"/>
  <c r="E1289" i="23"/>
  <c r="E339" i="23"/>
  <c r="E343" i="23"/>
  <c r="E1328" i="23"/>
  <c r="E1308" i="23"/>
  <c r="E1305" i="23"/>
  <c r="E1285" i="23"/>
  <c r="E336" i="23"/>
  <c r="E337" i="23"/>
  <c r="E1279" i="23"/>
  <c r="E1281" i="23"/>
  <c r="E1313" i="23"/>
  <c r="E1300" i="23"/>
  <c r="E1288" i="23"/>
  <c r="E1301" i="23"/>
  <c r="E1292" i="23"/>
  <c r="E1332" i="23"/>
  <c r="E1312" i="23"/>
  <c r="E1293" i="23"/>
  <c r="E1287" i="23"/>
  <c r="E1329" i="23"/>
  <c r="E1347" i="23"/>
  <c r="E1351" i="23"/>
  <c r="E1304" i="23"/>
  <c r="E1296" i="23"/>
  <c r="E1337" i="23"/>
  <c r="E1299" i="23"/>
  <c r="E323" i="23"/>
  <c r="E330" i="23"/>
  <c r="E326" i="23"/>
  <c r="E322" i="23"/>
  <c r="E318" i="23"/>
  <c r="E314" i="23"/>
  <c r="E310" i="23"/>
  <c r="E328" i="23"/>
  <c r="E320" i="23"/>
  <c r="E312" i="23"/>
  <c r="E327" i="23"/>
  <c r="E315" i="23"/>
  <c r="E311" i="23"/>
  <c r="E329" i="23"/>
  <c r="E325" i="23"/>
  <c r="E321" i="23"/>
  <c r="E317" i="23"/>
  <c r="E313" i="23"/>
  <c r="E305" i="23"/>
  <c r="E324" i="23"/>
  <c r="E316" i="23"/>
  <c r="E331" i="23"/>
  <c r="E319" i="23"/>
  <c r="E1321" i="23"/>
  <c r="E1333" i="23"/>
  <c r="E1309" i="23"/>
  <c r="E1311" i="23"/>
  <c r="E1283" i="23"/>
  <c r="E1350" i="23"/>
  <c r="E1343" i="23"/>
  <c r="E1335" i="23"/>
  <c r="E1331" i="23"/>
  <c r="E1339" i="23"/>
  <c r="E1345" i="23"/>
  <c r="E1152" i="23"/>
  <c r="E1315" i="23"/>
  <c r="E1316" i="23"/>
  <c r="E1307" i="23"/>
  <c r="E1325" i="23"/>
  <c r="E1354" i="23"/>
  <c r="E1349" i="23"/>
  <c r="E1336" i="23"/>
  <c r="E1297" i="23"/>
  <c r="E1324" i="23"/>
  <c r="E1284" i="23"/>
  <c r="E1340" i="23"/>
  <c r="E370" i="23"/>
  <c r="E299" i="23"/>
  <c r="E294" i="23"/>
  <c r="E278" i="23"/>
  <c r="E260" i="23"/>
  <c r="E298" i="23"/>
  <c r="E293" i="23"/>
  <c r="E289" i="23"/>
  <c r="E285" i="23"/>
  <c r="E281" i="23"/>
  <c r="E273" i="23"/>
  <c r="E267" i="23"/>
  <c r="E263" i="23"/>
  <c r="E259" i="23"/>
  <c r="E296" i="23"/>
  <c r="E287" i="23"/>
  <c r="E279" i="23"/>
  <c r="E265" i="23"/>
  <c r="E258" i="23"/>
  <c r="E286" i="23"/>
  <c r="E282" i="23"/>
  <c r="E264" i="23"/>
  <c r="E297" i="23"/>
  <c r="E291" i="23"/>
  <c r="E288" i="23"/>
  <c r="E284" i="23"/>
  <c r="E280" i="23"/>
  <c r="E271" i="23"/>
  <c r="E266" i="23"/>
  <c r="E262" i="23"/>
  <c r="E292" i="23"/>
  <c r="E283" i="23"/>
  <c r="E270" i="23"/>
  <c r="E261" i="23"/>
  <c r="E290" i="23"/>
  <c r="E268" i="23"/>
  <c r="E1291" i="23"/>
  <c r="E1295" i="23"/>
  <c r="E1323" i="23"/>
  <c r="E1348" i="23"/>
  <c r="E1341" i="23"/>
  <c r="E1303" i="23"/>
  <c r="E1317" i="23"/>
  <c r="E1151" i="23"/>
  <c r="E1280" i="23"/>
  <c r="E1327" i="23"/>
  <c r="E1320" i="23"/>
  <c r="E1344" i="23"/>
  <c r="E1319" i="23"/>
  <c r="F323" i="67"/>
  <c r="F165" i="67"/>
  <c r="F51" i="67"/>
  <c r="D49" i="67"/>
  <c r="D856" i="67" s="1"/>
  <c r="E1358" i="23"/>
  <c r="E1362" i="23"/>
  <c r="E1368" i="23"/>
  <c r="E1270" i="23"/>
  <c r="E1269" i="23"/>
  <c r="E1273" i="23"/>
  <c r="E1267" i="23"/>
  <c r="E1272" i="23"/>
  <c r="E1253" i="23"/>
  <c r="E1251" i="23"/>
  <c r="E1255" i="23"/>
  <c r="E1254" i="23"/>
  <c r="E1245" i="23"/>
  <c r="E1217" i="23"/>
  <c r="E1243" i="23"/>
  <c r="E1232" i="23"/>
  <c r="E1227" i="23"/>
  <c r="E1223" i="23"/>
  <c r="E1242" i="23"/>
  <c r="E1230" i="23"/>
  <c r="E1226" i="23"/>
  <c r="E1218" i="23"/>
  <c r="E1234" i="23"/>
  <c r="E1229" i="23"/>
  <c r="E1225" i="23"/>
  <c r="E1233" i="23"/>
  <c r="E1228" i="23"/>
  <c r="E1224" i="23"/>
  <c r="E1206" i="23"/>
  <c r="E1210" i="23"/>
  <c r="E1195" i="23"/>
  <c r="E1194" i="23"/>
  <c r="E1187" i="23"/>
  <c r="E1189" i="23"/>
  <c r="E1188" i="23"/>
  <c r="E1181" i="23"/>
  <c r="E1176" i="23"/>
  <c r="E1185" i="23"/>
  <c r="E1179" i="23"/>
  <c r="E1175" i="23"/>
  <c r="E1177" i="23"/>
  <c r="E1173" i="23"/>
  <c r="E1184" i="23"/>
  <c r="E1178" i="23"/>
  <c r="E1174" i="23"/>
  <c r="E1182" i="23"/>
  <c r="E1146" i="23"/>
  <c r="E1140" i="23"/>
  <c r="E1139" i="23"/>
  <c r="E1143" i="23"/>
  <c r="E1142" i="23"/>
  <c r="E1145" i="23"/>
  <c r="E1120" i="23"/>
  <c r="E1115" i="23"/>
  <c r="E1119" i="23"/>
  <c r="E1113" i="23"/>
  <c r="E1105" i="23"/>
  <c r="E1117" i="23"/>
  <c r="E1109" i="23"/>
  <c r="E1116" i="23"/>
  <c r="E1095" i="23"/>
  <c r="E1089" i="23"/>
  <c r="E1084" i="23"/>
  <c r="E1085" i="23"/>
  <c r="E1094" i="23"/>
  <c r="E1088" i="23"/>
  <c r="E1091" i="23"/>
  <c r="E1092" i="23"/>
  <c r="E1086" i="23"/>
  <c r="E1078" i="23"/>
  <c r="E1072" i="23"/>
  <c r="E1066" i="23"/>
  <c r="E1060" i="23"/>
  <c r="E1077" i="23"/>
  <c r="E1071" i="23"/>
  <c r="E1065" i="23"/>
  <c r="E1059" i="23"/>
  <c r="E1062" i="23"/>
  <c r="E1053" i="23"/>
  <c r="E1075" i="23"/>
  <c r="E1063" i="23"/>
  <c r="E1054" i="23"/>
  <c r="E1074" i="23"/>
  <c r="E1043" i="23"/>
  <c r="E1039" i="23"/>
  <c r="E1042" i="23"/>
  <c r="E1038" i="23"/>
  <c r="E1041" i="23"/>
  <c r="E1040" i="23"/>
  <c r="E1030" i="23"/>
  <c r="E1027" i="23"/>
  <c r="E1026" i="23"/>
  <c r="E1029" i="23"/>
  <c r="E1017" i="23"/>
  <c r="E1011" i="23"/>
  <c r="E1006" i="23"/>
  <c r="E1001" i="23"/>
  <c r="E1010" i="23"/>
  <c r="E1005" i="23"/>
  <c r="E1014" i="23"/>
  <c r="E1008" i="23"/>
  <c r="E1004" i="23"/>
  <c r="E1007" i="23"/>
  <c r="E1016" i="23"/>
  <c r="E1000" i="23"/>
  <c r="E1013" i="23"/>
  <c r="E1002" i="23"/>
  <c r="E981" i="23"/>
  <c r="E987" i="23"/>
  <c r="E986" i="23"/>
  <c r="E969" i="23"/>
  <c r="E973" i="23"/>
  <c r="E972" i="23"/>
  <c r="E970" i="23"/>
  <c r="E957" i="23"/>
  <c r="E956" i="23"/>
  <c r="E881" i="23"/>
  <c r="E938" i="23"/>
  <c r="E937" i="23"/>
  <c r="E950" i="23"/>
  <c r="E949" i="23"/>
  <c r="E935" i="23"/>
  <c r="E942" i="23"/>
  <c r="E916" i="23"/>
  <c r="E915" i="23"/>
  <c r="E905" i="23"/>
  <c r="E901" i="23"/>
  <c r="E897" i="23"/>
  <c r="E898" i="23"/>
  <c r="E904" i="23"/>
  <c r="E900" i="23"/>
  <c r="E896" i="23"/>
  <c r="E903" i="23"/>
  <c r="E899" i="23"/>
  <c r="E895" i="23"/>
  <c r="E902" i="23"/>
  <c r="E894" i="23"/>
  <c r="E866" i="23"/>
  <c r="E884" i="23"/>
  <c r="E851" i="23"/>
  <c r="E847" i="23"/>
  <c r="E850" i="23"/>
  <c r="E849" i="23"/>
  <c r="E848" i="23"/>
  <c r="E826" i="23"/>
  <c r="E822" i="23"/>
  <c r="E818" i="23"/>
  <c r="E825" i="23"/>
  <c r="E821" i="23"/>
  <c r="E810" i="23"/>
  <c r="E828" i="23"/>
  <c r="E824" i="23"/>
  <c r="E820" i="23"/>
  <c r="E827" i="23"/>
  <c r="E823" i="23"/>
  <c r="E819" i="23"/>
  <c r="E807" i="23"/>
  <c r="E3708" i="23"/>
  <c r="E3701" i="23"/>
  <c r="E3705" i="23"/>
  <c r="E3699" i="23"/>
  <c r="E3700" i="23"/>
  <c r="E3703" i="23"/>
  <c r="E3707" i="23"/>
  <c r="E3704" i="23"/>
  <c r="E3694" i="23"/>
  <c r="E3676" i="23"/>
  <c r="E3668" i="23"/>
  <c r="E3693" i="23"/>
  <c r="E3687" i="23"/>
  <c r="E3683" i="23"/>
  <c r="E3670" i="23"/>
  <c r="E3667" i="23"/>
  <c r="E3697" i="23"/>
  <c r="E3692" i="23"/>
  <c r="E3686" i="23"/>
  <c r="E3682" i="23"/>
  <c r="E3679" i="23"/>
  <c r="E3673" i="23"/>
  <c r="E3669" i="23"/>
  <c r="E3691" i="23"/>
  <c r="E3684" i="23"/>
  <c r="E3678" i="23"/>
  <c r="E3675" i="23"/>
  <c r="E3681" i="23"/>
  <c r="E3689" i="23"/>
  <c r="E3690" i="23"/>
  <c r="E3666" i="23"/>
  <c r="E3672" i="23"/>
  <c r="E3696" i="23"/>
  <c r="E3665" i="23"/>
  <c r="E3663" i="23"/>
  <c r="E3662" i="23"/>
  <c r="E3661" i="23"/>
  <c r="E3656" i="23"/>
  <c r="E3655" i="23"/>
  <c r="E3654" i="23"/>
  <c r="E3646" i="23"/>
  <c r="E3645" i="23"/>
  <c r="E3644" i="23"/>
  <c r="E3643" i="23"/>
  <c r="E3630" i="23"/>
  <c r="E3638" i="23"/>
  <c r="E3637" i="23"/>
  <c r="E3636" i="23"/>
  <c r="E3618" i="23"/>
  <c r="E3614" i="23"/>
  <c r="E3610" i="23"/>
  <c r="E3617" i="23"/>
  <c r="E3613" i="23"/>
  <c r="E3609" i="23"/>
  <c r="E3611" i="23"/>
  <c r="E3616" i="23"/>
  <c r="E3612" i="23"/>
  <c r="E3615" i="23"/>
  <c r="E3598" i="23"/>
  <c r="E3597" i="23"/>
  <c r="E3596" i="23"/>
  <c r="E3590" i="23"/>
  <c r="E3586" i="23"/>
  <c r="E3582" i="23"/>
  <c r="E3579" i="23"/>
  <c r="E3589" i="23"/>
  <c r="E3585" i="23"/>
  <c r="E3581" i="23"/>
  <c r="E3583" i="23"/>
  <c r="E3588" i="23"/>
  <c r="E3584" i="23"/>
  <c r="E3580" i="23"/>
  <c r="E3587" i="23"/>
  <c r="E3573" i="23"/>
  <c r="E3574" i="23"/>
  <c r="E3558" i="23"/>
  <c r="E3557" i="23"/>
  <c r="E3556" i="23"/>
  <c r="E3548" i="23"/>
  <c r="E3544" i="23"/>
  <c r="E3540" i="23"/>
  <c r="E3535" i="23"/>
  <c r="E3541" i="23"/>
  <c r="E3547" i="23"/>
  <c r="E3543" i="23"/>
  <c r="E3539" i="23"/>
  <c r="E3521" i="23"/>
  <c r="E3536" i="23"/>
  <c r="E3546" i="23"/>
  <c r="E3542" i="23"/>
  <c r="E3538" i="23"/>
  <c r="E3520" i="23"/>
  <c r="E3545" i="23"/>
  <c r="E3551" i="23"/>
  <c r="E3523" i="23"/>
  <c r="E3550" i="23"/>
  <c r="E3530" i="23"/>
  <c r="E3526" i="23"/>
  <c r="E3528" i="23"/>
  <c r="E3527" i="23"/>
  <c r="E3533" i="23"/>
  <c r="E3529" i="23"/>
  <c r="E3532" i="23"/>
  <c r="E3531" i="23"/>
  <c r="E3518" i="23"/>
  <c r="E3514" i="23"/>
  <c r="E3517" i="23"/>
  <c r="E3516" i="23"/>
  <c r="E3515" i="23"/>
  <c r="E3079" i="23"/>
  <c r="E3024" i="23"/>
  <c r="E3132" i="23"/>
  <c r="E3025" i="23"/>
  <c r="E3149" i="23"/>
  <c r="E3043" i="23"/>
  <c r="E3128" i="23"/>
  <c r="E3104" i="23"/>
  <c r="E3084" i="23"/>
  <c r="E3125" i="23"/>
  <c r="E3145" i="23"/>
  <c r="E3000" i="23"/>
  <c r="E3107" i="23"/>
  <c r="E3127" i="23"/>
  <c r="E3077" i="23"/>
  <c r="E2974" i="23"/>
  <c r="E3076" i="23"/>
  <c r="E3146" i="23"/>
  <c r="E3083" i="23"/>
  <c r="E3041" i="23"/>
  <c r="E2971" i="23"/>
  <c r="E3086" i="23"/>
  <c r="E3053" i="23"/>
  <c r="E3021" i="23"/>
  <c r="E2972" i="23"/>
  <c r="E3143" i="23"/>
  <c r="E3474" i="23"/>
  <c r="E3475" i="23"/>
  <c r="E3139" i="23"/>
  <c r="E3072" i="23"/>
  <c r="E3133" i="23"/>
  <c r="E3134" i="23"/>
  <c r="E2980" i="23"/>
  <c r="E3082" i="23"/>
  <c r="E2973" i="23"/>
  <c r="E3050" i="23"/>
  <c r="E3088" i="23"/>
  <c r="E3142" i="23"/>
  <c r="E3070" i="23"/>
  <c r="E3017" i="23"/>
  <c r="E3065" i="23"/>
  <c r="E3105" i="23"/>
  <c r="E3020" i="23"/>
  <c r="E3108" i="23"/>
  <c r="E2986" i="23"/>
  <c r="E2984" i="23"/>
  <c r="E3140" i="23"/>
  <c r="E3126" i="23"/>
  <c r="E3040" i="23"/>
  <c r="E2982" i="23"/>
  <c r="E3095" i="23"/>
  <c r="E2978" i="23"/>
  <c r="E3054" i="23"/>
  <c r="E3116" i="23"/>
  <c r="E3147" i="23"/>
  <c r="E3136" i="23"/>
  <c r="E3022" i="23"/>
  <c r="E3073" i="23"/>
  <c r="E3129" i="23"/>
  <c r="E3044" i="23"/>
  <c r="E3141" i="23"/>
  <c r="E3018" i="23"/>
  <c r="E3137" i="23"/>
  <c r="E2987" i="23"/>
  <c r="E2985" i="23"/>
  <c r="E3051" i="23"/>
  <c r="E3089" i="23"/>
  <c r="E2977" i="23"/>
  <c r="E3087" i="23"/>
  <c r="E2981" i="23"/>
  <c r="E2975" i="23"/>
  <c r="E3052" i="23"/>
  <c r="E3066" i="23"/>
  <c r="E3074" i="23"/>
  <c r="E3094" i="23"/>
  <c r="E3130" i="23"/>
  <c r="E4193" i="23"/>
  <c r="E3135" i="23"/>
  <c r="E3080" i="23"/>
  <c r="E3150" i="23"/>
  <c r="D45" i="79"/>
  <c r="E45" i="79" s="1"/>
  <c r="E420" i="23"/>
  <c r="E350" i="23"/>
  <c r="E617" i="23"/>
  <c r="E351" i="23"/>
  <c r="E681" i="23"/>
  <c r="E519" i="23"/>
  <c r="E418" i="23"/>
  <c r="E402" i="23"/>
  <c r="E782" i="23"/>
  <c r="E369" i="23"/>
  <c r="E419" i="23"/>
  <c r="E308" i="23"/>
  <c r="E400" i="23"/>
  <c r="E781" i="23"/>
  <c r="E4256" i="23"/>
  <c r="E523" i="23"/>
  <c r="E750" i="23"/>
  <c r="E691" i="23"/>
  <c r="E456" i="23"/>
  <c r="E541" i="23"/>
  <c r="E647" i="23"/>
  <c r="E576" i="23"/>
  <c r="E525" i="23"/>
  <c r="E449" i="23"/>
  <c r="E788" i="23"/>
  <c r="E619" i="23"/>
  <c r="E610" i="23"/>
  <c r="E2610" i="23"/>
  <c r="E2626" i="23"/>
  <c r="E371" i="23"/>
  <c r="E335" i="23"/>
  <c r="E355" i="23"/>
  <c r="E671" i="23"/>
  <c r="E724" i="23"/>
  <c r="E429" i="23"/>
  <c r="E574" i="23"/>
  <c r="E779" i="23"/>
  <c r="E537" i="23"/>
  <c r="E440" i="23"/>
  <c r="E510" i="23"/>
  <c r="E558" i="23"/>
  <c r="E2602" i="23"/>
  <c r="E2697" i="23"/>
  <c r="E302" i="23"/>
  <c r="E307" i="23"/>
  <c r="E407" i="23"/>
  <c r="E352" i="23"/>
  <c r="E596" i="23"/>
  <c r="E656" i="23"/>
  <c r="E505" i="23"/>
  <c r="E630" i="23"/>
  <c r="E673" i="23"/>
  <c r="E474" i="23"/>
  <c r="E805" i="23"/>
  <c r="E785" i="23"/>
  <c r="E687" i="23"/>
  <c r="E800" i="23"/>
  <c r="E2636" i="23"/>
  <c r="E502" i="70"/>
  <c r="F502" i="70" s="1"/>
  <c r="F555" i="67"/>
  <c r="E499" i="23"/>
  <c r="E636" i="23"/>
  <c r="E707" i="23"/>
  <c r="E478" i="23"/>
  <c r="E585" i="23"/>
  <c r="E762" i="23"/>
  <c r="E649" i="23"/>
  <c r="E398" i="23"/>
  <c r="E746" i="23"/>
  <c r="E422" i="23"/>
  <c r="E396" i="23"/>
  <c r="E413" i="23"/>
  <c r="E306" i="23"/>
  <c r="E301" i="23"/>
  <c r="E395" i="23"/>
  <c r="E412" i="23"/>
  <c r="E340" i="23"/>
  <c r="E276" i="23"/>
  <c r="E375" i="23"/>
  <c r="E410" i="23"/>
  <c r="E356" i="23"/>
  <c r="E409" i="23"/>
  <c r="E550" i="23"/>
  <c r="E713" i="23"/>
  <c r="E496" i="23"/>
  <c r="E756" i="23"/>
  <c r="E730" i="23"/>
  <c r="E564" i="23"/>
  <c r="E654" i="23"/>
  <c r="E797" i="23"/>
  <c r="E444" i="23"/>
  <c r="E455" i="23"/>
  <c r="E473" i="23"/>
  <c r="E751" i="23"/>
  <c r="E457" i="23"/>
  <c r="E760" i="23"/>
  <c r="E772" i="23"/>
  <c r="E728" i="23"/>
  <c r="E561" i="23"/>
  <c r="E754" i="23"/>
  <c r="E533" i="23"/>
  <c r="E520" i="23"/>
  <c r="E494" i="23"/>
  <c r="E575" i="23"/>
  <c r="E469" i="23"/>
  <c r="E497" i="23"/>
  <c r="E528" i="23"/>
  <c r="E521" i="23"/>
  <c r="E441" i="23"/>
  <c r="E516" i="23"/>
  <c r="E693" i="23"/>
  <c r="E717" i="23"/>
  <c r="E604" i="23"/>
  <c r="E662" i="23"/>
  <c r="E668" i="23"/>
  <c r="E588" i="23"/>
  <c r="E431" i="23"/>
  <c r="E765" i="23"/>
  <c r="E512" i="23"/>
  <c r="E579" i="23"/>
  <c r="E663" i="23"/>
  <c r="E759" i="23"/>
  <c r="E481" i="23"/>
  <c r="E618" i="23"/>
  <c r="E594" i="23"/>
  <c r="E570" i="23"/>
  <c r="E480" i="23"/>
  <c r="E771" i="23"/>
  <c r="E353" i="23"/>
  <c r="E341" i="23"/>
  <c r="E348" i="23"/>
  <c r="E394" i="23"/>
  <c r="E376" i="23"/>
  <c r="E408" i="23"/>
  <c r="E277" i="23"/>
  <c r="E377" i="23"/>
  <c r="E645" i="23"/>
  <c r="E701" i="23"/>
  <c r="E573" i="23"/>
  <c r="E646" i="23"/>
  <c r="E723" i="23"/>
  <c r="E453" i="23"/>
  <c r="E447" i="23"/>
  <c r="E565" i="23"/>
  <c r="E446" i="23"/>
  <c r="E569" i="23"/>
  <c r="E753" i="23"/>
  <c r="E461" i="23"/>
  <c r="E498" i="23"/>
  <c r="E721" i="23"/>
  <c r="E485" i="23"/>
  <c r="E443" i="23"/>
  <c r="E462" i="23"/>
  <c r="E589" i="23"/>
  <c r="E557" i="23"/>
  <c r="E735" i="23"/>
  <c r="E801" i="23"/>
  <c r="E504" i="23"/>
  <c r="E624" i="23"/>
  <c r="E593" i="23"/>
  <c r="E657" i="23"/>
  <c r="E471" i="23"/>
  <c r="E562" i="23"/>
  <c r="E477" i="23"/>
  <c r="E757" i="23"/>
  <c r="E747" i="23"/>
  <c r="E711" i="23"/>
  <c r="E547" i="23"/>
  <c r="E692" i="23"/>
  <c r="E615" i="23"/>
  <c r="E568" i="23"/>
  <c r="E542" i="23"/>
  <c r="E605" i="23"/>
  <c r="E676" i="23"/>
  <c r="E766" i="23"/>
  <c r="E544" i="23"/>
  <c r="E659" i="23"/>
  <c r="E608" i="23"/>
  <c r="E572" i="23"/>
  <c r="E345" i="23"/>
  <c r="E333" i="23"/>
  <c r="E274" i="23"/>
  <c r="E344" i="23"/>
  <c r="E354" i="23"/>
  <c r="E334" i="23"/>
  <c r="E401" i="23"/>
  <c r="E399" i="23"/>
  <c r="E423" i="23"/>
  <c r="E275" i="23"/>
  <c r="E309" i="23"/>
  <c r="E347" i="23"/>
  <c r="E403" i="23"/>
  <c r="E303" i="23"/>
  <c r="E378" i="23"/>
  <c r="E799" i="23"/>
  <c r="E597" i="23"/>
  <c r="E803" i="23"/>
  <c r="E768" i="23"/>
  <c r="E748" i="23"/>
  <c r="E459" i="23"/>
  <c r="E531" i="23"/>
  <c r="E743" i="23"/>
  <c r="E438" i="23"/>
  <c r="E493" i="23"/>
  <c r="E468" i="23"/>
  <c r="E442" i="23"/>
  <c r="E776" i="23"/>
  <c r="E445" i="23"/>
  <c r="E732" i="23"/>
  <c r="E466" i="23"/>
  <c r="E502" i="23"/>
  <c r="E720" i="23"/>
  <c r="E734" i="23"/>
  <c r="E778" i="23"/>
  <c r="E467" i="23"/>
  <c r="E518" i="23"/>
  <c r="E741" i="23"/>
  <c r="E715" i="23"/>
  <c r="E535" i="23"/>
  <c r="E555" i="23"/>
  <c r="E598" i="23"/>
  <c r="E539" i="23"/>
  <c r="E792" i="23"/>
  <c r="E578" i="23"/>
  <c r="E633" i="23"/>
  <c r="E583" i="23"/>
  <c r="E727" i="23"/>
  <c r="E699" i="23"/>
  <c r="E653" i="23"/>
  <c r="E436" i="23"/>
  <c r="E560" i="23"/>
  <c r="E611" i="23"/>
  <c r="E682" i="23"/>
  <c r="E433" i="23"/>
  <c r="E580" i="23"/>
  <c r="E740" i="23"/>
  <c r="E685" i="23"/>
  <c r="E613" i="23"/>
  <c r="E689" i="23"/>
  <c r="E545" i="23"/>
  <c r="E672" i="23"/>
  <c r="E769" i="23"/>
  <c r="E591" i="23"/>
  <c r="E640" i="23"/>
  <c r="E688" i="23"/>
  <c r="E794" i="23"/>
  <c r="E513" i="23"/>
  <c r="E592" i="23"/>
  <c r="E684" i="23"/>
  <c r="E434" i="23"/>
  <c r="E660" i="23"/>
  <c r="E2858" i="23"/>
  <c r="E2676" i="23"/>
  <c r="E2821" i="23"/>
  <c r="E2640" i="23"/>
  <c r="E2916" i="23"/>
  <c r="E2612" i="23"/>
  <c r="E2926" i="23"/>
  <c r="E2784" i="23"/>
  <c r="E2577" i="23"/>
  <c r="E2917" i="23"/>
  <c r="E2789" i="23"/>
  <c r="E2624" i="23"/>
  <c r="E2845" i="23"/>
  <c r="E2649" i="23"/>
  <c r="E2608" i="23"/>
  <c r="E2715" i="23"/>
  <c r="E2793" i="23"/>
  <c r="E2621" i="23"/>
  <c r="E2883" i="23"/>
  <c r="E2773" i="23"/>
  <c r="E2939" i="23"/>
  <c r="E2836" i="23"/>
  <c r="E2951" i="23"/>
  <c r="E2593" i="23"/>
  <c r="E2627" i="23"/>
  <c r="E2857" i="23"/>
  <c r="E2669" i="23"/>
  <c r="E2704" i="23"/>
  <c r="E2631" i="23"/>
  <c r="E2940" i="23"/>
  <c r="E2941" i="23"/>
  <c r="E2929" i="23"/>
  <c r="E2822" i="23"/>
  <c r="E2647" i="23"/>
  <c r="E2834" i="23"/>
  <c r="E2859" i="23"/>
  <c r="E2765" i="23"/>
  <c r="E2829" i="23"/>
  <c r="E2607" i="23"/>
  <c r="E2611" i="23"/>
  <c r="E2651" i="23"/>
  <c r="E2665" i="23"/>
  <c r="E2946" i="23"/>
  <c r="E2580" i="23"/>
  <c r="E637" i="23"/>
  <c r="E708" i="23"/>
  <c r="E491" i="23"/>
  <c r="E620" i="23"/>
  <c r="E725" i="23"/>
  <c r="E3458" i="23"/>
  <c r="E3454" i="23"/>
  <c r="E3457" i="23"/>
  <c r="E3456" i="23"/>
  <c r="E3455" i="23"/>
  <c r="E3452" i="23"/>
  <c r="E3446" i="23"/>
  <c r="E3442" i="23"/>
  <c r="E3435" i="23"/>
  <c r="E3430" i="23"/>
  <c r="E3426" i="23"/>
  <c r="E3422" i="23"/>
  <c r="E3443" i="23"/>
  <c r="E3449" i="23"/>
  <c r="E3445" i="23"/>
  <c r="E3441" i="23"/>
  <c r="E3434" i="23"/>
  <c r="E3429" i="23"/>
  <c r="E3425" i="23"/>
  <c r="E3421" i="23"/>
  <c r="E3436" i="23"/>
  <c r="E3448" i="23"/>
  <c r="E3444" i="23"/>
  <c r="E3438" i="23"/>
  <c r="E3433" i="23"/>
  <c r="E3428" i="23"/>
  <c r="E3424" i="23"/>
  <c r="E3447" i="23"/>
  <c r="E3432" i="23"/>
  <c r="E3427" i="23"/>
  <c r="E3423" i="23"/>
  <c r="E3409" i="23"/>
  <c r="E3417" i="23"/>
  <c r="E3416" i="23"/>
  <c r="E3419" i="23"/>
  <c r="E3415" i="23"/>
  <c r="E3413" i="23"/>
  <c r="E3418" i="23"/>
  <c r="E3406" i="23"/>
  <c r="E3405" i="23"/>
  <c r="E3402" i="23"/>
  <c r="E3398" i="23"/>
  <c r="E3395" i="23"/>
  <c r="E2599" i="23"/>
  <c r="E2777" i="23"/>
  <c r="E2757" i="23"/>
  <c r="E3388" i="23"/>
  <c r="E3190" i="23"/>
  <c r="E3169" i="23"/>
  <c r="E3181" i="23"/>
  <c r="E3183" i="23"/>
  <c r="E3176" i="23"/>
  <c r="E3363" i="23"/>
  <c r="E3344" i="23"/>
  <c r="E3368" i="23"/>
  <c r="E3233" i="23"/>
  <c r="E3414" i="23"/>
  <c r="E3249" i="23"/>
  <c r="E3226" i="23"/>
  <c r="E3392" i="23"/>
  <c r="E3351" i="23"/>
  <c r="E3396" i="23"/>
  <c r="E3247" i="23"/>
  <c r="E3267" i="23"/>
  <c r="E3230" i="23"/>
  <c r="E3348" i="23"/>
  <c r="E3315" i="23"/>
  <c r="E3391" i="23"/>
  <c r="E3317" i="23"/>
  <c r="E3276" i="23"/>
  <c r="E3340" i="23"/>
  <c r="E3389" i="23"/>
  <c r="E3281" i="23"/>
  <c r="E3186" i="23"/>
  <c r="E3165" i="23"/>
  <c r="E3173" i="23"/>
  <c r="E3166" i="23"/>
  <c r="E3172" i="23"/>
  <c r="E3451" i="23"/>
  <c r="E3321" i="23"/>
  <c r="E3240" i="23"/>
  <c r="E3261" i="23"/>
  <c r="E3245" i="23"/>
  <c r="E3319" i="23"/>
  <c r="E3238" i="23"/>
  <c r="E3269" i="23"/>
  <c r="E3316" i="23"/>
  <c r="E3271" i="23"/>
  <c r="E3227" i="23"/>
  <c r="E3282" i="23"/>
  <c r="E3401" i="23"/>
  <c r="E3264" i="23"/>
  <c r="E3182" i="23"/>
  <c r="E3168" i="23"/>
  <c r="E3188" i="23"/>
  <c r="E3179" i="23"/>
  <c r="E3439" i="23"/>
  <c r="E3235" i="23"/>
  <c r="E3322" i="23"/>
  <c r="E3453" i="23"/>
  <c r="E3272" i="23"/>
  <c r="E3234" i="23"/>
  <c r="E3242" i="23"/>
  <c r="E3270" i="23"/>
  <c r="E3320" i="23"/>
  <c r="E3178" i="23"/>
  <c r="E3187" i="23"/>
  <c r="E3177" i="23"/>
  <c r="E3167" i="23"/>
  <c r="E3184" i="23"/>
  <c r="E3163" i="23"/>
  <c r="E3266" i="23"/>
  <c r="E3248" i="23"/>
  <c r="E3250" i="23"/>
  <c r="E3222" i="23"/>
  <c r="E3369" i="23"/>
  <c r="E3394" i="23"/>
  <c r="E3252" i="23"/>
  <c r="E3278" i="23"/>
  <c r="E3375" i="23"/>
  <c r="E3314" i="23"/>
  <c r="E3374" i="23"/>
  <c r="E3399" i="23"/>
  <c r="E3231" i="23"/>
  <c r="E3257" i="23"/>
  <c r="E3279" i="23"/>
  <c r="E622" i="23"/>
  <c r="E587" i="23"/>
  <c r="E538" i="23"/>
  <c r="E632" i="23"/>
  <c r="E678" i="23"/>
  <c r="E773" i="23"/>
  <c r="E515" i="23"/>
  <c r="E470" i="23"/>
  <c r="E718" i="23"/>
  <c r="E508" i="23"/>
  <c r="E439" i="23"/>
  <c r="E744" i="23"/>
  <c r="E524" i="23"/>
  <c r="E452" i="23"/>
  <c r="E476" i="23"/>
  <c r="E634" i="23"/>
  <c r="E534" i="23"/>
  <c r="E552" i="23"/>
  <c r="E804" i="23"/>
  <c r="E464" i="23"/>
  <c r="E460" i="23"/>
  <c r="E492" i="23"/>
  <c r="E775" i="23"/>
  <c r="E651" i="23"/>
  <c r="E627" i="23"/>
  <c r="E465" i="23"/>
  <c r="E454" i="23"/>
  <c r="E450" i="23"/>
  <c r="E556" i="23"/>
  <c r="E484" i="23"/>
  <c r="E737" i="23"/>
  <c r="E738" i="23"/>
  <c r="E623" i="23"/>
  <c r="E482" i="23"/>
  <c r="E714" i="23"/>
  <c r="E506" i="23"/>
  <c r="E731" i="23"/>
  <c r="E602" i="23"/>
  <c r="E435" i="23"/>
  <c r="E487" i="23"/>
  <c r="E639" i="23"/>
  <c r="E796" i="23"/>
  <c r="E675" i="23"/>
  <c r="E511" i="23"/>
  <c r="E705" i="23"/>
  <c r="E488" i="23"/>
  <c r="E548" i="23"/>
  <c r="E584" i="23"/>
  <c r="E626" i="23"/>
  <c r="E669" i="23"/>
  <c r="E695" i="23"/>
  <c r="E784" i="23"/>
  <c r="E489" i="23"/>
  <c r="E551" i="23"/>
  <c r="E607" i="23"/>
  <c r="E642" i="23"/>
  <c r="E696" i="23"/>
  <c r="E795" i="23"/>
  <c r="E567" i="23"/>
  <c r="E643" i="23"/>
  <c r="E704" i="23"/>
  <c r="E3386" i="23"/>
  <c r="E3382" i="23"/>
  <c r="E3378" i="23"/>
  <c r="E3379" i="23"/>
  <c r="E3385" i="23"/>
  <c r="E3381" i="23"/>
  <c r="E3377" i="23"/>
  <c r="E3373" i="23"/>
  <c r="E3384" i="23"/>
  <c r="E3376" i="23"/>
  <c r="E3383" i="23"/>
  <c r="E432" i="23"/>
  <c r="E509" i="23"/>
  <c r="E581" i="23"/>
  <c r="E614" i="23"/>
  <c r="E650" i="23"/>
  <c r="E679" i="23"/>
  <c r="E710" i="23"/>
  <c r="E789" i="23"/>
  <c r="E599" i="23"/>
  <c r="E629" i="23"/>
  <c r="E665" i="23"/>
  <c r="E702" i="23"/>
  <c r="E787" i="23"/>
  <c r="E486" i="23"/>
  <c r="E554" i="23"/>
  <c r="E601" i="23"/>
  <c r="E638" i="23"/>
  <c r="E666" i="23"/>
  <c r="E698" i="23"/>
  <c r="E2736" i="23"/>
  <c r="E2561" i="23"/>
  <c r="E2795" i="23"/>
  <c r="E2653" i="23"/>
  <c r="E2933" i="23"/>
  <c r="E2761" i="23"/>
  <c r="E3364" i="23"/>
  <c r="E3367" i="23"/>
  <c r="E3005" i="23"/>
  <c r="E3097" i="23"/>
  <c r="E2970" i="23"/>
  <c r="E2685" i="23"/>
  <c r="E2659" i="23"/>
  <c r="E2594" i="23"/>
  <c r="E2809" i="23"/>
  <c r="E2620" i="23"/>
  <c r="E2711" i="23"/>
  <c r="E2716" i="23"/>
  <c r="E2658" i="23"/>
  <c r="E2813" i="23"/>
  <c r="E2614" i="23"/>
  <c r="E2849" i="23"/>
  <c r="E2702" i="23"/>
  <c r="E2914" i="23"/>
  <c r="E2808" i="23"/>
  <c r="E2816" i="23"/>
  <c r="E2867" i="23"/>
  <c r="E2550" i="23"/>
  <c r="E2668" i="23"/>
  <c r="E2534" i="23"/>
  <c r="E2747" i="23"/>
  <c r="E2888" i="23"/>
  <c r="E2540" i="23"/>
  <c r="E2734" i="23"/>
  <c r="E2876" i="23"/>
  <c r="E2551" i="23"/>
  <c r="E2689" i="23"/>
  <c r="E2877" i="23"/>
  <c r="E3154" i="23"/>
  <c r="E2672" i="23"/>
  <c r="E2586" i="23"/>
  <c r="E2872" i="23"/>
  <c r="E2591" i="23"/>
  <c r="E2709" i="23"/>
  <c r="E2862" i="23"/>
  <c r="E2589" i="23"/>
  <c r="E2843" i="23"/>
  <c r="E2628" i="23"/>
  <c r="E2701" i="23"/>
  <c r="E2863" i="23"/>
  <c r="E2817" i="23"/>
  <c r="E2595" i="23"/>
  <c r="E2838" i="23"/>
  <c r="E2606" i="23"/>
  <c r="E2840" i="23"/>
  <c r="E2903" i="23"/>
  <c r="E2533" i="23"/>
  <c r="E2726" i="23"/>
  <c r="E2566" i="23"/>
  <c r="E2751" i="23"/>
  <c r="E2892" i="23"/>
  <c r="E2528" i="23"/>
  <c r="E2738" i="23"/>
  <c r="E2880" i="23"/>
  <c r="E2547" i="23"/>
  <c r="E2725" i="23"/>
  <c r="E3361" i="23"/>
  <c r="E3357" i="23"/>
  <c r="E3353" i="23"/>
  <c r="E3347" i="23"/>
  <c r="E3358" i="23"/>
  <c r="E3345" i="23"/>
  <c r="E3350" i="23"/>
  <c r="E3354" i="23"/>
  <c r="E3356" i="23"/>
  <c r="E3360" i="23"/>
  <c r="E3305" i="23"/>
  <c r="E3341" i="23"/>
  <c r="E3009" i="23"/>
  <c r="E3152" i="23"/>
  <c r="E2943" i="23"/>
  <c r="E2934" i="23"/>
  <c r="E2894" i="23"/>
  <c r="E2852" i="23"/>
  <c r="E2778" i="23"/>
  <c r="E2753" i="23"/>
  <c r="E2735" i="23"/>
  <c r="E2683" i="23"/>
  <c r="E2650" i="23"/>
  <c r="E2572" i="23"/>
  <c r="E2539" i="23"/>
  <c r="E2555" i="23"/>
  <c r="E2942" i="23"/>
  <c r="E2924" i="23"/>
  <c r="E2889" i="23"/>
  <c r="E2865" i="23"/>
  <c r="E2785" i="23"/>
  <c r="E2769" i="23"/>
  <c r="E2748" i="23"/>
  <c r="E2728" i="23"/>
  <c r="E2677" i="23"/>
  <c r="E2629" i="23"/>
  <c r="E2567" i="23"/>
  <c r="E2544" i="23"/>
  <c r="E2560" i="23"/>
  <c r="E2937" i="23"/>
  <c r="E2900" i="23"/>
  <c r="E2884" i="23"/>
  <c r="E2850" i="23"/>
  <c r="E2780" i="23"/>
  <c r="E2759" i="23"/>
  <c r="E2742" i="23"/>
  <c r="E2686" i="23"/>
  <c r="E2652" i="23"/>
  <c r="E2574" i="23"/>
  <c r="E2948" i="23"/>
  <c r="E2553" i="23"/>
  <c r="E2922" i="23"/>
  <c r="E2767" i="23"/>
  <c r="E2603" i="23"/>
  <c r="E2936" i="23"/>
  <c r="E2779" i="23"/>
  <c r="E2664" i="23"/>
  <c r="E2931" i="23"/>
  <c r="E2775" i="23"/>
  <c r="E2573" i="23"/>
  <c r="E2750" i="23"/>
  <c r="E2731" i="23"/>
  <c r="E2680" i="23"/>
  <c r="E2763" i="23"/>
  <c r="E2771" i="23"/>
  <c r="E2766" i="23"/>
  <c r="E2713" i="23"/>
  <c r="E2588" i="23"/>
  <c r="E2656" i="23"/>
  <c r="E2841" i="23"/>
  <c r="E2913" i="23"/>
  <c r="E2583" i="23"/>
  <c r="E2950" i="23"/>
  <c r="E2718" i="23"/>
  <c r="E2705" i="23"/>
  <c r="E2584" i="23"/>
  <c r="E2644" i="23"/>
  <c r="E2830" i="23"/>
  <c r="E2905" i="23"/>
  <c r="E2921" i="23"/>
  <c r="E2828" i="23"/>
  <c r="E2615" i="23"/>
  <c r="E2637" i="23"/>
  <c r="E2764" i="23"/>
  <c r="E2616" i="23"/>
  <c r="E2860" i="23"/>
  <c r="E2930" i="23"/>
  <c r="E2886" i="23"/>
  <c r="E2831" i="23"/>
  <c r="E2774" i="23"/>
  <c r="E2749" i="23"/>
  <c r="E2730" i="23"/>
  <c r="E2679" i="23"/>
  <c r="E2630" i="23"/>
  <c r="E2568" i="23"/>
  <c r="E2543" i="23"/>
  <c r="E2559" i="23"/>
  <c r="E2938" i="23"/>
  <c r="E2901" i="23"/>
  <c r="E2885" i="23"/>
  <c r="E2851" i="23"/>
  <c r="E2781" i="23"/>
  <c r="E2760" i="23"/>
  <c r="E2743" i="23"/>
  <c r="E2724" i="23"/>
  <c r="E2666" i="23"/>
  <c r="E2598" i="23"/>
  <c r="E2535" i="23"/>
  <c r="E2548" i="23"/>
  <c r="E2532" i="23"/>
  <c r="E2932" i="23"/>
  <c r="E2896" i="23"/>
  <c r="E2879" i="23"/>
  <c r="E2805" i="23"/>
  <c r="E2776" i="23"/>
  <c r="E2755" i="23"/>
  <c r="E2737" i="23"/>
  <c r="E2681" i="23"/>
  <c r="E2648" i="23"/>
  <c r="E2570" i="23"/>
  <c r="E2541" i="23"/>
  <c r="E2557" i="23"/>
  <c r="E2887" i="23"/>
  <c r="E2745" i="23"/>
  <c r="E2565" i="23"/>
  <c r="E2899" i="23"/>
  <c r="E2758" i="23"/>
  <c r="E2581" i="23"/>
  <c r="E2895" i="23"/>
  <c r="E2754" i="23"/>
  <c r="E2538" i="23"/>
  <c r="E2569" i="23"/>
  <c r="E2542" i="23"/>
  <c r="E2558" i="23"/>
  <c r="E2788" i="23"/>
  <c r="E2906" i="23"/>
  <c r="E2909" i="23"/>
  <c r="E2694" i="23"/>
  <c r="E2908" i="23"/>
  <c r="E2623" i="23"/>
  <c r="E2721" i="23"/>
  <c r="E2818" i="23"/>
  <c r="E2814" i="23"/>
  <c r="E2873" i="23"/>
  <c r="E2904" i="23"/>
  <c r="E2673" i="23"/>
  <c r="E2842" i="23"/>
  <c r="E2619" i="23"/>
  <c r="E2703" i="23"/>
  <c r="E2807" i="23"/>
  <c r="E2801" i="23"/>
  <c r="E2919" i="23"/>
  <c r="E2790" i="23"/>
  <c r="E2837" i="23"/>
  <c r="E2871" i="23"/>
  <c r="E2646" i="23"/>
  <c r="E2802" i="23"/>
  <c r="E2596" i="23"/>
  <c r="E2907" i="23"/>
  <c r="E2601" i="23"/>
  <c r="E2708" i="23"/>
  <c r="E2578" i="23"/>
  <c r="E2869" i="23"/>
  <c r="E2719" i="23"/>
  <c r="E2661" i="23"/>
  <c r="E2949" i="23"/>
  <c r="E2609" i="23"/>
  <c r="E2674" i="23"/>
  <c r="E2826" i="23"/>
  <c r="E2714" i="23"/>
  <c r="E2696" i="23"/>
  <c r="E3098" i="23"/>
  <c r="E2530" i="23"/>
  <c r="E2833" i="23"/>
  <c r="E2920" i="23"/>
  <c r="E2660" i="23"/>
  <c r="E2613" i="23"/>
  <c r="E2791" i="23"/>
  <c r="E2824" i="23"/>
  <c r="E2693" i="23"/>
  <c r="E2642" i="23"/>
  <c r="E2720" i="23"/>
  <c r="E2815" i="23"/>
  <c r="E2792" i="23"/>
  <c r="E2856" i="23"/>
  <c r="E2579" i="23"/>
  <c r="E2823" i="23"/>
  <c r="E2848" i="23"/>
  <c r="E2587" i="23"/>
  <c r="E2634" i="23"/>
  <c r="E2910" i="23"/>
  <c r="E2585" i="23"/>
  <c r="E2706" i="23"/>
  <c r="E2804" i="23"/>
  <c r="E2633" i="23"/>
  <c r="E2590" i="23"/>
  <c r="E2712" i="23"/>
  <c r="E2811" i="23"/>
  <c r="E2847" i="23"/>
  <c r="E2794" i="23"/>
  <c r="E2891" i="23"/>
  <c r="E2798" i="23"/>
  <c r="E2690" i="23"/>
  <c r="E2562" i="23"/>
  <c r="E2783" i="23"/>
  <c r="E2549" i="23"/>
  <c r="E2597" i="23"/>
  <c r="E2727" i="23"/>
  <c r="E2768" i="23"/>
  <c r="E2854" i="23"/>
  <c r="E2923" i="23"/>
  <c r="E2556" i="23"/>
  <c r="E2571" i="23"/>
  <c r="E2682" i="23"/>
  <c r="E2752" i="23"/>
  <c r="E2796" i="23"/>
  <c r="E2893" i="23"/>
  <c r="E2698" i="23"/>
  <c r="E2531" i="23"/>
  <c r="E2663" i="23"/>
  <c r="E2739" i="23"/>
  <c r="E2782" i="23"/>
  <c r="E2898" i="23"/>
  <c r="E2911" i="23"/>
  <c r="E2655" i="23"/>
  <c r="E2592" i="23"/>
  <c r="E2844" i="23"/>
  <c r="E2800" i="23"/>
  <c r="E2618" i="23"/>
  <c r="E2670" i="23"/>
  <c r="E2662" i="23"/>
  <c r="E2870" i="23"/>
  <c r="E2643" i="23"/>
  <c r="E2717" i="23"/>
  <c r="E2700" i="23"/>
  <c r="E2622" i="23"/>
  <c r="E2803" i="23"/>
  <c r="E2827" i="23"/>
  <c r="E2707" i="23"/>
  <c r="E2639" i="23"/>
  <c r="E2810" i="23"/>
  <c r="E2835" i="23"/>
  <c r="E2692" i="23"/>
  <c r="E2945" i="23"/>
  <c r="E2554" i="23"/>
  <c r="E2878" i="23"/>
  <c r="E2740" i="23"/>
  <c r="E2546" i="23"/>
  <c r="E2853" i="23"/>
  <c r="E2545" i="23"/>
  <c r="E2604" i="23"/>
  <c r="E2732" i="23"/>
  <c r="E2772" i="23"/>
  <c r="E2875" i="23"/>
  <c r="E2928" i="23"/>
  <c r="E2552" i="23"/>
  <c r="E2575" i="23"/>
  <c r="E2687" i="23"/>
  <c r="E2756" i="23"/>
  <c r="E2819" i="23"/>
  <c r="E2897" i="23"/>
  <c r="E2563" i="23"/>
  <c r="E2564" i="23"/>
  <c r="E2667" i="23"/>
  <c r="E2744" i="23"/>
  <c r="E2797" i="23"/>
  <c r="E2915" i="23"/>
  <c r="E3299" i="23"/>
  <c r="E2770" i="23"/>
  <c r="E2786" i="23"/>
  <c r="E2866" i="23"/>
  <c r="E2890" i="23"/>
  <c r="E2925" i="23"/>
  <c r="E3312" i="23"/>
  <c r="E3338" i="23"/>
  <c r="E3327" i="23"/>
  <c r="E3323" i="23"/>
  <c r="E3331" i="23"/>
  <c r="E3326" i="23"/>
  <c r="E3329" i="23"/>
  <c r="E3335" i="23"/>
  <c r="E3330" i="23"/>
  <c r="E3334" i="23"/>
  <c r="E3325" i="23"/>
  <c r="E3333" i="23"/>
  <c r="E3337" i="23"/>
  <c r="E3309" i="23"/>
  <c r="E3300" i="23"/>
  <c r="E3301" i="23"/>
  <c r="E3303" i="23"/>
  <c r="E3311" i="23"/>
  <c r="E3302" i="23"/>
  <c r="E3091" i="23"/>
  <c r="E3112" i="23"/>
  <c r="E3115" i="23"/>
  <c r="E3003" i="23"/>
  <c r="E3002" i="23"/>
  <c r="E3034" i="23"/>
  <c r="E2963" i="23"/>
  <c r="E3049" i="23"/>
  <c r="E3068" i="23"/>
  <c r="E3011" i="23"/>
  <c r="E3307" i="23"/>
  <c r="E3119" i="23"/>
  <c r="E3114" i="23"/>
  <c r="E2991" i="23"/>
  <c r="E3121" i="23"/>
  <c r="E3015" i="23"/>
  <c r="E3016" i="23"/>
  <c r="E3032" i="23"/>
  <c r="E3037" i="23"/>
  <c r="E3308" i="23"/>
  <c r="E3306" i="23"/>
  <c r="E2990" i="23"/>
  <c r="E3013" i="23"/>
  <c r="E2969" i="23"/>
  <c r="E3030" i="23"/>
  <c r="E3059" i="23"/>
  <c r="E3027" i="23"/>
  <c r="E3118" i="23"/>
  <c r="E2998" i="23"/>
  <c r="E3297" i="23"/>
  <c r="E3294" i="23"/>
  <c r="E3292" i="23"/>
  <c r="E3296" i="23"/>
  <c r="E3293" i="23"/>
  <c r="E4219" i="23"/>
  <c r="E3210" i="23"/>
  <c r="E3286" i="23"/>
  <c r="E3290" i="23"/>
  <c r="E3289" i="23"/>
  <c r="E3284" i="23"/>
  <c r="E3285" i="23"/>
  <c r="E3192" i="23"/>
  <c r="E3197" i="23"/>
  <c r="E3821" i="23"/>
  <c r="E3837" i="23"/>
  <c r="E3783" i="23"/>
  <c r="E3874" i="23"/>
  <c r="E3773" i="23"/>
  <c r="E3917" i="23"/>
  <c r="E3844" i="23"/>
  <c r="E3922" i="23"/>
  <c r="E3201" i="23"/>
  <c r="E3185" i="23"/>
  <c r="E3811" i="23"/>
  <c r="E3932" i="23"/>
  <c r="E3924" i="23"/>
  <c r="E3875" i="23"/>
  <c r="E3766" i="23"/>
  <c r="E1613" i="23"/>
  <c r="E3880" i="23"/>
  <c r="E2989" i="23"/>
  <c r="E3887" i="23"/>
  <c r="E2993" i="23"/>
  <c r="E3069" i="23"/>
  <c r="E2966" i="23"/>
  <c r="E2967" i="23"/>
  <c r="E3012" i="23"/>
  <c r="E3006" i="23"/>
  <c r="E2994" i="23"/>
  <c r="E3123" i="23"/>
  <c r="E3064" i="23"/>
  <c r="E3153" i="23"/>
  <c r="E3100" i="23"/>
  <c r="E3048" i="23"/>
  <c r="E3035" i="23"/>
  <c r="E3028" i="23"/>
  <c r="E3093" i="23"/>
  <c r="E3046" i="23"/>
  <c r="E3102" i="23"/>
  <c r="E3060" i="23"/>
  <c r="E3920" i="23"/>
  <c r="E3807" i="23"/>
  <c r="E3824" i="23"/>
  <c r="E3929" i="23"/>
  <c r="E3865" i="23"/>
  <c r="E3801" i="23"/>
  <c r="E3927" i="23"/>
  <c r="E3778" i="23"/>
  <c r="E3870" i="23"/>
  <c r="E3842" i="23"/>
  <c r="E3831" i="23"/>
  <c r="E3057" i="23"/>
  <c r="E3061" i="23"/>
  <c r="E3063" i="23"/>
  <c r="E3008" i="23"/>
  <c r="E2964" i="23"/>
  <c r="E3122" i="23"/>
  <c r="E3111" i="23"/>
  <c r="E3110" i="23"/>
  <c r="E2999" i="23"/>
  <c r="E3047" i="23"/>
  <c r="E3038" i="23"/>
  <c r="E3031" i="23"/>
  <c r="E3101" i="23"/>
  <c r="E3092" i="23"/>
  <c r="E3056" i="23"/>
  <c r="E2995" i="23"/>
  <c r="E3826" i="23"/>
  <c r="E3936" i="23"/>
  <c r="E3907" i="23"/>
  <c r="E3873" i="23"/>
  <c r="E3800" i="23"/>
  <c r="E3931" i="23"/>
  <c r="E3884" i="23"/>
  <c r="E3910" i="23"/>
  <c r="E3892" i="23"/>
  <c r="E3878" i="23"/>
  <c r="E3206" i="23"/>
  <c r="E3265" i="23"/>
  <c r="E3277" i="23"/>
  <c r="E3268" i="23"/>
  <c r="E3216" i="23"/>
  <c r="E1191" i="23"/>
  <c r="E4192" i="23"/>
  <c r="E4142" i="23"/>
  <c r="E4118" i="23"/>
  <c r="E4006" i="23"/>
  <c r="E3815" i="23"/>
  <c r="E3836" i="23"/>
  <c r="E3858" i="23"/>
  <c r="E3805" i="23"/>
  <c r="E3774" i="23"/>
  <c r="E3785" i="23"/>
  <c r="E3911" i="23"/>
  <c r="E3937" i="23"/>
  <c r="E3901" i="23"/>
  <c r="E3906" i="23"/>
  <c r="E3763" i="23"/>
  <c r="E3864" i="23"/>
  <c r="E3793" i="23"/>
  <c r="E3784" i="23"/>
  <c r="E3758" i="23"/>
  <c r="E3862" i="23"/>
  <c r="E3861" i="23"/>
  <c r="E3867" i="23"/>
  <c r="E3787" i="23"/>
  <c r="E3770" i="23"/>
  <c r="E3925" i="23"/>
  <c r="E3930" i="23"/>
  <c r="E3890" i="23"/>
  <c r="E3850" i="23"/>
  <c r="E3827" i="23"/>
  <c r="E3760" i="23"/>
  <c r="E3828" i="23"/>
  <c r="E3885" i="23"/>
  <c r="E3933" i="23"/>
  <c r="E3761" i="23"/>
  <c r="E3847" i="23"/>
  <c r="E3897" i="23"/>
  <c r="E3843" i="23"/>
  <c r="E3888" i="23"/>
  <c r="E3939" i="23"/>
  <c r="E3804" i="23"/>
  <c r="E3199" i="23"/>
  <c r="E3193" i="23"/>
  <c r="E3215" i="23"/>
  <c r="E3857" i="23"/>
  <c r="E3809" i="23"/>
  <c r="E3771" i="23"/>
  <c r="E3822" i="23"/>
  <c r="E3812" i="23"/>
  <c r="E3913" i="23"/>
  <c r="E3900" i="23"/>
  <c r="E3916" i="23"/>
  <c r="E3759" i="23"/>
  <c r="E3790" i="23"/>
  <c r="E3813" i="23"/>
  <c r="E3794" i="23"/>
  <c r="E3767" i="23"/>
  <c r="E3899" i="23"/>
  <c r="E3856" i="23"/>
  <c r="E3764" i="23"/>
  <c r="E3820" i="23"/>
  <c r="E3882" i="23"/>
  <c r="E3832" i="23"/>
  <c r="E3941" i="23"/>
  <c r="E3895" i="23"/>
  <c r="E3868" i="23"/>
  <c r="E3780" i="23"/>
  <c r="E3846" i="23"/>
  <c r="E3891" i="23"/>
  <c r="E3942" i="23"/>
  <c r="E3798" i="23"/>
  <c r="E3853" i="23"/>
  <c r="E3914" i="23"/>
  <c r="E3777" i="23"/>
  <c r="E3849" i="23"/>
  <c r="E3894" i="23"/>
  <c r="E3834" i="23"/>
  <c r="E3877" i="23"/>
  <c r="E3835" i="23"/>
  <c r="E3802" i="23"/>
  <c r="E3791" i="23"/>
  <c r="E3841" i="23"/>
  <c r="E3840" i="23"/>
  <c r="E3921" i="23"/>
  <c r="E3919" i="23"/>
  <c r="E3928" i="23"/>
  <c r="E3808" i="23"/>
  <c r="E3817" i="23"/>
  <c r="E3935" i="23"/>
  <c r="E3768" i="23"/>
  <c r="E3825" i="23"/>
  <c r="E3775" i="23"/>
  <c r="E3816" i="23"/>
  <c r="E3908" i="23"/>
  <c r="E3788" i="23"/>
  <c r="E3860" i="23"/>
  <c r="E3881" i="23"/>
  <c r="E3795" i="23"/>
  <c r="E3904" i="23"/>
  <c r="E3797" i="23"/>
  <c r="E3851" i="23"/>
  <c r="E3896" i="23"/>
  <c r="E3830" i="23"/>
  <c r="E3871" i="23"/>
  <c r="E3938" i="23"/>
  <c r="E3818" i="23"/>
  <c r="E3854" i="23"/>
  <c r="E3903" i="23"/>
  <c r="E3209" i="23"/>
  <c r="E3262" i="23"/>
  <c r="E3259" i="23"/>
  <c r="E3213" i="23"/>
  <c r="E3196" i="23"/>
  <c r="E3200" i="23"/>
  <c r="E3220" i="23"/>
  <c r="E3251" i="23"/>
  <c r="E1019" i="23"/>
  <c r="E3198" i="23"/>
  <c r="E3217" i="23"/>
  <c r="E3218" i="23"/>
  <c r="E1621" i="23"/>
  <c r="E3194" i="23"/>
  <c r="E3204" i="23"/>
  <c r="E3205" i="23"/>
  <c r="E3202" i="23"/>
  <c r="E3208" i="23"/>
  <c r="E3212" i="23"/>
  <c r="E3243" i="23"/>
  <c r="E3229" i="23"/>
  <c r="E3232" i="23"/>
  <c r="E3236" i="23"/>
  <c r="E1940" i="23"/>
  <c r="E1929" i="23"/>
  <c r="E1924" i="23"/>
  <c r="E1908" i="23"/>
  <c r="E1890" i="23"/>
  <c r="E1872" i="23"/>
  <c r="E1855" i="23"/>
  <c r="E1850" i="23"/>
  <c r="E1845" i="23"/>
  <c r="E1826" i="23"/>
  <c r="E1821" i="23"/>
  <c r="E1817" i="23"/>
  <c r="E1799" i="23"/>
  <c r="E1715" i="23"/>
  <c r="E1694" i="23"/>
  <c r="E1675" i="23"/>
  <c r="E1671" i="23"/>
  <c r="E1767" i="23"/>
  <c r="E1743" i="23"/>
  <c r="E1939" i="23"/>
  <c r="E1928" i="23"/>
  <c r="E1923" i="23"/>
  <c r="E1917" i="23"/>
  <c r="E1912" i="23"/>
  <c r="E1889" i="23"/>
  <c r="E1871" i="23"/>
  <c r="E1853" i="23"/>
  <c r="E1849" i="23"/>
  <c r="E1830" i="23"/>
  <c r="E1825" i="23"/>
  <c r="E1820" i="23"/>
  <c r="E1816" i="23"/>
  <c r="E1784" i="23"/>
  <c r="E1697" i="23"/>
  <c r="E1693" i="23"/>
  <c r="E1674" i="23"/>
  <c r="E1739" i="23"/>
  <c r="E1932" i="23"/>
  <c r="E1926" i="23"/>
  <c r="E1915" i="23"/>
  <c r="E1911" i="23"/>
  <c r="E1875" i="23"/>
  <c r="E1857" i="23"/>
  <c r="E1852" i="23"/>
  <c r="E1829" i="23"/>
  <c r="E1824" i="23"/>
  <c r="E1819" i="23"/>
  <c r="E1805" i="23"/>
  <c r="E1783" i="23"/>
  <c r="E1696" i="23"/>
  <c r="E1692" i="23"/>
  <c r="E1673" i="23"/>
  <c r="E1654" i="23"/>
  <c r="E1740" i="23"/>
  <c r="E1920" i="23"/>
  <c r="E1874" i="23"/>
  <c r="E1828" i="23"/>
  <c r="E1778" i="23"/>
  <c r="E1710" i="23"/>
  <c r="E1941" i="23"/>
  <c r="E1916" i="23"/>
  <c r="E1856" i="23"/>
  <c r="E1823" i="23"/>
  <c r="E1695" i="23"/>
  <c r="E1742" i="23"/>
  <c r="E1910" i="23"/>
  <c r="E1851" i="23"/>
  <c r="E1818" i="23"/>
  <c r="E1680" i="23"/>
  <c r="E1846" i="23"/>
  <c r="E1749" i="23"/>
  <c r="E1804" i="23"/>
  <c r="E1925" i="23"/>
  <c r="E1672" i="23"/>
  <c r="E1750" i="23"/>
  <c r="E1727" i="23"/>
  <c r="E1833" i="23"/>
  <c r="E1773" i="23"/>
  <c r="E1709" i="23"/>
  <c r="E1730" i="23"/>
  <c r="E1899" i="23"/>
  <c r="E1678" i="23"/>
  <c r="E1843" i="23"/>
  <c r="E1844" i="23"/>
  <c r="E1838" i="23"/>
  <c r="E1737" i="23"/>
  <c r="E1786" i="23"/>
  <c r="E1682" i="23"/>
  <c r="E1792" i="23"/>
  <c r="E1794" i="23"/>
  <c r="E1657" i="23"/>
  <c r="E1865" i="23"/>
  <c r="E1836" i="23"/>
  <c r="E1803" i="23"/>
  <c r="E1733" i="23"/>
  <c r="E1841" i="23"/>
  <c r="E1703" i="23"/>
  <c r="E1689" i="23"/>
  <c r="E1842" i="23"/>
  <c r="E1801" i="23"/>
  <c r="E1934" i="23"/>
  <c r="E1706" i="23"/>
  <c r="E1859" i="23"/>
  <c r="E1904" i="23"/>
  <c r="E1708" i="23"/>
  <c r="E1887" i="23"/>
  <c r="E1669" i="23"/>
  <c r="E1712" i="23"/>
  <c r="E1699" i="23"/>
  <c r="E1893" i="23"/>
  <c r="E1744" i="23"/>
  <c r="E1722" i="23"/>
  <c r="E1686" i="23"/>
  <c r="E1771" i="23"/>
  <c r="E1754" i="23"/>
  <c r="E1690" i="23"/>
  <c r="E1660" i="23"/>
  <c r="E1755" i="23"/>
  <c r="E1903" i="23"/>
  <c r="E1762" i="23"/>
  <c r="E1935" i="23"/>
  <c r="E1684" i="23"/>
  <c r="E1687" i="23"/>
  <c r="E1756" i="23"/>
  <c r="E1734" i="23"/>
  <c r="E1677" i="23"/>
  <c r="E1757" i="23"/>
  <c r="E1770" i="23"/>
  <c r="E1667" i="23"/>
  <c r="E1658" i="23"/>
  <c r="E1882" i="23"/>
  <c r="E1870" i="23"/>
  <c r="E1662" i="23"/>
  <c r="E1879" i="23"/>
  <c r="E1795" i="23"/>
  <c r="E1723" i="23"/>
  <c r="E1688" i="23"/>
  <c r="E1809" i="23"/>
  <c r="E1691" i="23"/>
  <c r="E1759" i="23"/>
  <c r="E1752" i="23"/>
  <c r="E1787" i="23"/>
  <c r="E1713" i="23"/>
  <c r="E1736" i="23"/>
  <c r="E1894" i="23"/>
  <c r="E1788" i="23"/>
  <c r="E1718" i="23"/>
  <c r="E1877" i="23"/>
  <c r="E1776" i="23"/>
  <c r="E1753" i="23"/>
  <c r="E1659" i="23"/>
  <c r="E1769" i="23"/>
  <c r="E1798" i="23"/>
  <c r="E1714" i="23"/>
  <c r="E1900" i="23"/>
  <c r="E1711" i="23"/>
  <c r="E1719" i="23"/>
  <c r="E1746" i="23"/>
  <c r="E1668" i="23"/>
  <c r="E1763" i="23"/>
  <c r="E1868" i="23"/>
  <c r="E1862" i="23"/>
  <c r="E1724" i="23"/>
  <c r="E1866" i="23"/>
  <c r="E1835" i="23"/>
  <c r="E1881" i="23"/>
  <c r="E1679" i="23"/>
  <c r="E1808" i="23"/>
  <c r="E1938" i="23"/>
  <c r="E1774" i="23"/>
  <c r="E1670" i="23"/>
  <c r="E1747" i="23"/>
  <c r="E1885" i="23"/>
  <c r="E1766" i="23"/>
  <c r="E1839" i="23"/>
  <c r="E1780" i="23"/>
  <c r="E1811" i="23"/>
  <c r="E1777" i="23"/>
  <c r="E1898" i="23"/>
  <c r="E1663" i="23"/>
  <c r="E1666" i="23"/>
  <c r="E1937" i="23"/>
  <c r="E1884" i="23"/>
  <c r="E1878" i="23"/>
  <c r="E1812" i="23"/>
  <c r="E1781" i="23"/>
  <c r="E1732" i="23"/>
  <c r="E1704" i="23"/>
  <c r="E1897" i="23"/>
  <c r="E1758" i="23"/>
  <c r="E1725" i="23"/>
  <c r="E1735" i="23"/>
  <c r="E1888" i="23"/>
  <c r="E1864" i="23"/>
  <c r="E1860" i="23"/>
  <c r="E1731" i="23"/>
  <c r="E1665" i="23"/>
  <c r="E1837" i="23"/>
  <c r="E1814" i="23"/>
  <c r="E1896" i="23"/>
  <c r="E1707" i="23"/>
  <c r="E1861" i="23"/>
  <c r="E1683" i="23"/>
  <c r="E1791" i="23"/>
  <c r="E1869" i="23"/>
  <c r="E1790" i="23"/>
  <c r="E1700" i="23"/>
  <c r="E1802" i="23"/>
  <c r="E1728" i="23"/>
  <c r="E1764" i="23"/>
  <c r="E1797" i="23"/>
  <c r="E1832" i="23"/>
  <c r="E1815" i="23"/>
  <c r="E1717" i="23"/>
  <c r="E1720" i="23"/>
  <c r="E1664" i="23"/>
  <c r="E1760" i="23"/>
  <c r="E1936" i="23"/>
  <c r="E1907" i="23"/>
  <c r="E1902" i="23"/>
  <c r="E1919" i="23"/>
  <c r="E1931" i="23"/>
  <c r="E1848" i="23"/>
  <c r="E3594" i="23"/>
  <c r="E3604" i="23"/>
  <c r="E3499" i="23"/>
  <c r="E3620" i="23"/>
  <c r="E3566" i="23"/>
  <c r="E3602" i="23"/>
  <c r="E3561" i="23"/>
  <c r="E3524" i="23"/>
  <c r="E3510" i="23"/>
  <c r="E3642" i="23"/>
  <c r="E3488" i="23"/>
  <c r="E3625" i="23"/>
  <c r="E3492" i="23"/>
  <c r="E3568" i="23"/>
  <c r="E3571" i="23"/>
  <c r="E3710" i="23"/>
  <c r="E3564" i="23"/>
  <c r="E3595" i="23"/>
  <c r="E3505" i="23"/>
  <c r="E3508" i="23"/>
  <c r="E3593" i="23"/>
  <c r="E3715" i="23"/>
  <c r="E3480" i="23"/>
  <c r="E3711" i="23"/>
  <c r="E3572" i="23"/>
  <c r="E3622" i="23"/>
  <c r="E3623" i="23"/>
  <c r="E3626" i="23"/>
  <c r="E3608" i="23"/>
  <c r="E3712" i="23"/>
  <c r="E3634" i="23"/>
  <c r="E3560" i="23"/>
  <c r="E3481" i="23"/>
  <c r="E3563" i="23"/>
  <c r="E3554" i="23"/>
  <c r="E3509" i="23"/>
  <c r="E3506" i="23"/>
  <c r="E3633" i="23"/>
  <c r="E3507" i="23"/>
  <c r="E3555" i="23"/>
  <c r="E3503" i="23"/>
  <c r="E3649" i="23"/>
  <c r="E3652" i="23"/>
  <c r="E3495" i="23"/>
  <c r="E3490" i="23"/>
  <c r="E3607" i="23"/>
  <c r="E3482" i="23"/>
  <c r="E3491" i="23"/>
  <c r="E3498" i="23"/>
  <c r="E3525" i="23"/>
  <c r="E3628" i="23"/>
  <c r="E3648" i="23"/>
  <c r="E3570" i="23"/>
  <c r="E3629" i="23"/>
  <c r="E3483" i="23"/>
  <c r="E3621" i="23"/>
  <c r="E3567" i="23"/>
  <c r="E3606" i="23"/>
  <c r="E3562" i="23"/>
  <c r="E3496" i="23"/>
  <c r="E3502" i="23"/>
  <c r="E3511" i="23"/>
  <c r="E3494" i="23"/>
  <c r="E3640" i="23"/>
  <c r="E3578" i="23"/>
  <c r="E3601" i="23"/>
  <c r="E3512" i="23"/>
  <c r="E3479" i="23"/>
  <c r="E3513" i="23"/>
  <c r="E3493" i="23"/>
  <c r="E3478" i="23"/>
  <c r="E3576" i="23"/>
  <c r="E3489" i="23"/>
  <c r="E3714" i="23"/>
  <c r="E3569" i="23"/>
  <c r="E3476" i="23"/>
  <c r="E3577" i="23"/>
  <c r="E3660" i="23"/>
  <c r="E3487" i="23"/>
  <c r="E3600" i="23"/>
  <c r="E3497" i="23"/>
  <c r="E3651" i="23"/>
  <c r="E3486" i="23"/>
  <c r="E3485" i="23"/>
  <c r="E3603" i="23"/>
  <c r="E3605" i="23"/>
  <c r="E3565" i="23"/>
  <c r="E3624" i="23"/>
  <c r="E3641" i="23"/>
  <c r="E3659" i="23"/>
  <c r="E3632" i="23"/>
  <c r="E3592" i="23"/>
  <c r="E1892" i="23"/>
  <c r="E3553" i="23"/>
  <c r="D253" i="23"/>
  <c r="D4340" i="23" s="1"/>
  <c r="E4041" i="23"/>
  <c r="E4011" i="23"/>
  <c r="E4024" i="23"/>
  <c r="E3975" i="23"/>
  <c r="E4294" i="23"/>
  <c r="E4030" i="23"/>
  <c r="E4226" i="23"/>
  <c r="E3994" i="23"/>
  <c r="E4048" i="23"/>
  <c r="E4163" i="23"/>
  <c r="E4221" i="23"/>
  <c r="E4265" i="23"/>
  <c r="E4319" i="23"/>
  <c r="E3954" i="23"/>
  <c r="E3951" i="23"/>
  <c r="E4293" i="23"/>
  <c r="E3953" i="23"/>
  <c r="E4264" i="23"/>
  <c r="E4162" i="23"/>
  <c r="E4029" i="23"/>
  <c r="E4188" i="23"/>
  <c r="E4209" i="23"/>
  <c r="E4203" i="23"/>
  <c r="E4263" i="23"/>
  <c r="E4259" i="23"/>
  <c r="E4154" i="23"/>
  <c r="E4187" i="23"/>
  <c r="E4049" i="23"/>
  <c r="E4318" i="23"/>
  <c r="E4177" i="23"/>
  <c r="E3984" i="23"/>
  <c r="E4225" i="23"/>
  <c r="E3962" i="23"/>
  <c r="E4288" i="23"/>
  <c r="E4045" i="23"/>
  <c r="E4170" i="23"/>
  <c r="E4229" i="23"/>
  <c r="E4008" i="23"/>
  <c r="E4262" i="23"/>
  <c r="E3993" i="23"/>
  <c r="E3995" i="23"/>
  <c r="E4036" i="23"/>
  <c r="E3980" i="23"/>
  <c r="E4208" i="23"/>
  <c r="E4169" i="23"/>
  <c r="E4312" i="23"/>
  <c r="E4037" i="23"/>
  <c r="E3952" i="23"/>
  <c r="E4207" i="23"/>
  <c r="E4290" i="23"/>
  <c r="E4032" i="23"/>
  <c r="E4184" i="23"/>
  <c r="E3960" i="23"/>
  <c r="E4332" i="23"/>
  <c r="E4010" i="23"/>
  <c r="E4148" i="23"/>
  <c r="E4198" i="23"/>
  <c r="E4120" i="23"/>
  <c r="E3971" i="23"/>
  <c r="E3992" i="23"/>
  <c r="E4051" i="23"/>
  <c r="E4046" i="23"/>
  <c r="E3989" i="23"/>
  <c r="E3964" i="23"/>
  <c r="E4297" i="23"/>
  <c r="E4143" i="23"/>
  <c r="E4119" i="23"/>
  <c r="E4123" i="23"/>
  <c r="E4204" i="23"/>
  <c r="E4200" i="23"/>
  <c r="E4190" i="23"/>
  <c r="E4152" i="23"/>
  <c r="E4122" i="23"/>
  <c r="E4136" i="23"/>
  <c r="E4220" i="23"/>
  <c r="E3985" i="23"/>
  <c r="E3956" i="23"/>
  <c r="E4023" i="23"/>
  <c r="E4298" i="23"/>
  <c r="E3949" i="23"/>
  <c r="E4228" i="23"/>
  <c r="E4197" i="23"/>
  <c r="E4153" i="23"/>
  <c r="E4127" i="23"/>
  <c r="E4156" i="23"/>
  <c r="E4324" i="23"/>
  <c r="E4196" i="23"/>
  <c r="E4175" i="23"/>
  <c r="E4176" i="23"/>
  <c r="E4224" i="23"/>
  <c r="E4183" i="23"/>
  <c r="E4311" i="23"/>
  <c r="E3990" i="23"/>
  <c r="E4159" i="23"/>
  <c r="E4050" i="23"/>
  <c r="E3966" i="23"/>
  <c r="E4028" i="23"/>
  <c r="E4237" i="23"/>
  <c r="E3957" i="23"/>
  <c r="E4126" i="23"/>
  <c r="E4186" i="23"/>
  <c r="E3970" i="23"/>
  <c r="E4172" i="23"/>
  <c r="E3950" i="23"/>
  <c r="E4007" i="23"/>
  <c r="E4222" i="23"/>
  <c r="E4257" i="23"/>
  <c r="E4047" i="23"/>
  <c r="E4296" i="23"/>
  <c r="E4236" i="23"/>
  <c r="E3959" i="23"/>
  <c r="E4020" i="23"/>
  <c r="E4287" i="23"/>
  <c r="E4144" i="23"/>
  <c r="E3958" i="23"/>
  <c r="E4331" i="23"/>
  <c r="E4158" i="23"/>
  <c r="E4327" i="23"/>
  <c r="E4043" i="23"/>
  <c r="E3976" i="23"/>
  <c r="E3969" i="23"/>
  <c r="E4314" i="23"/>
  <c r="E4031" i="23"/>
  <c r="E3979" i="23"/>
  <c r="E4333" i="23"/>
  <c r="E4021" i="23"/>
  <c r="E4194" i="23"/>
  <c r="E4040" i="23"/>
  <c r="E4258" i="23"/>
  <c r="E4149" i="23"/>
  <c r="E4326" i="23"/>
  <c r="E4173" i="23"/>
  <c r="E4155" i="23"/>
  <c r="E4035" i="23"/>
  <c r="E4201" i="23"/>
  <c r="E3981" i="23"/>
  <c r="E4034" i="23"/>
  <c r="E4134" i="23"/>
  <c r="E4167" i="23"/>
  <c r="E4323" i="23"/>
  <c r="E4317" i="23"/>
  <c r="E4135" i="23"/>
  <c r="E3987" i="23"/>
  <c r="E3963" i="23"/>
  <c r="E4044" i="23"/>
  <c r="E4310" i="23"/>
  <c r="E4261" i="23"/>
  <c r="E3983" i="23"/>
  <c r="E3965" i="23"/>
  <c r="E4140" i="23"/>
  <c r="E3961" i="23"/>
  <c r="E3988" i="23"/>
  <c r="E4139" i="23"/>
  <c r="E4189" i="23"/>
  <c r="E4171" i="23"/>
  <c r="E4286" i="23"/>
  <c r="E4235" i="23"/>
  <c r="E4166" i="23"/>
  <c r="E3968" i="23"/>
  <c r="E4146" i="23"/>
  <c r="E4147" i="23"/>
  <c r="E4125" i="23"/>
  <c r="E1656" i="23"/>
  <c r="E1702" i="23"/>
  <c r="E1646" i="23"/>
  <c r="E1636" i="23"/>
  <c r="E1631" i="23"/>
  <c r="E1626" i="23"/>
  <c r="E1615" i="23"/>
  <c r="E1610" i="23"/>
  <c r="E1585" i="23"/>
  <c r="E1577" i="23"/>
  <c r="E1560" i="23"/>
  <c r="E1550" i="23"/>
  <c r="E1546" i="23"/>
  <c r="E1528" i="23"/>
  <c r="E1519" i="23"/>
  <c r="E1510" i="23"/>
  <c r="E1505" i="23"/>
  <c r="E1500" i="23"/>
  <c r="E1490" i="23"/>
  <c r="E1465" i="23"/>
  <c r="E1441" i="23"/>
  <c r="E1433" i="23"/>
  <c r="E1412" i="23"/>
  <c r="E1379" i="23"/>
  <c r="E1371" i="23"/>
  <c r="E1645" i="23"/>
  <c r="E1640" i="23"/>
  <c r="E1635" i="23"/>
  <c r="E1619" i="23"/>
  <c r="E1580" i="23"/>
  <c r="E1575" i="23"/>
  <c r="E1559" i="23"/>
  <c r="E1549" i="23"/>
  <c r="E1545" i="23"/>
  <c r="E1527" i="23"/>
  <c r="E1514" i="23"/>
  <c r="E1509" i="23"/>
  <c r="E1503" i="23"/>
  <c r="E1494" i="23"/>
  <c r="E1488" i="23"/>
  <c r="E1463" i="23"/>
  <c r="E1440" i="23"/>
  <c r="E1430" i="23"/>
  <c r="E1405" i="23"/>
  <c r="E1378" i="23"/>
  <c r="E1375" i="23"/>
  <c r="E1644" i="23"/>
  <c r="E1639" i="23"/>
  <c r="E1634" i="23"/>
  <c r="E1623" i="23"/>
  <c r="E1618" i="23"/>
  <c r="E1587" i="23"/>
  <c r="E1579" i="23"/>
  <c r="E1566" i="23"/>
  <c r="E1553" i="23"/>
  <c r="E1548" i="23"/>
  <c r="E1531" i="23"/>
  <c r="E1526" i="23"/>
  <c r="E1513" i="23"/>
  <c r="E1508" i="23"/>
  <c r="E1502" i="23"/>
  <c r="E1493" i="23"/>
  <c r="E1471" i="23"/>
  <c r="E1462" i="23"/>
  <c r="E1435" i="23"/>
  <c r="E1422" i="23"/>
  <c r="E1386" i="23"/>
  <c r="E1377" i="23"/>
  <c r="E1643" i="23"/>
  <c r="E1578" i="23"/>
  <c r="E1530" i="23"/>
  <c r="E1501" i="23"/>
  <c r="E1434" i="23"/>
  <c r="E1637" i="23"/>
  <c r="E1617" i="23"/>
  <c r="E1565" i="23"/>
  <c r="E1522" i="23"/>
  <c r="E1491" i="23"/>
  <c r="E1416" i="23"/>
  <c r="E1633" i="23"/>
  <c r="E1611" i="23"/>
  <c r="E1552" i="23"/>
  <c r="E1512" i="23"/>
  <c r="E1466" i="23"/>
  <c r="E1381" i="23"/>
  <c r="E1652" i="23"/>
  <c r="E1506" i="23"/>
  <c r="E1627" i="23"/>
  <c r="E1460" i="23"/>
  <c r="E1586" i="23"/>
  <c r="E1376" i="23"/>
  <c r="E1419" i="23"/>
  <c r="E1520" i="23"/>
  <c r="E1539" i="23"/>
  <c r="E1425" i="23"/>
  <c r="E1533" i="23"/>
  <c r="E1424" i="23"/>
  <c r="E1475" i="23"/>
  <c r="E1458" i="23"/>
  <c r="E1594" i="23"/>
  <c r="E1599" i="23"/>
  <c r="E1407" i="23"/>
  <c r="E1447" i="23"/>
  <c r="E1486" i="23"/>
  <c r="E1474" i="23"/>
  <c r="E1650" i="23"/>
  <c r="E1562" i="23"/>
  <c r="E1573" i="23"/>
  <c r="E1449" i="23"/>
  <c r="E1651" i="23"/>
  <c r="E1541" i="23"/>
  <c r="E1396" i="23"/>
  <c r="E1453" i="23"/>
  <c r="E1534" i="23"/>
  <c r="E1409" i="23"/>
  <c r="E1451" i="23"/>
  <c r="E1400" i="23"/>
  <c r="E1418" i="23"/>
  <c r="E1518" i="23"/>
  <c r="E1570" i="23"/>
  <c r="E1497" i="23"/>
  <c r="E1590" i="23"/>
  <c r="E1403" i="23"/>
  <c r="E1584" i="23"/>
  <c r="E1603" i="23"/>
  <c r="E1388" i="23"/>
  <c r="E1557" i="23"/>
  <c r="E1649" i="23"/>
  <c r="E1523" i="23"/>
  <c r="E1524" i="23"/>
  <c r="E1544" i="23"/>
  <c r="E1448" i="23"/>
  <c r="E1569" i="23"/>
  <c r="E1442" i="23"/>
  <c r="E1606" i="23"/>
  <c r="E1598" i="23"/>
  <c r="E1402" i="23"/>
  <c r="E1421" i="23"/>
  <c r="E1601" i="23"/>
  <c r="E1547" i="23"/>
  <c r="E1536" i="23"/>
  <c r="E1540" i="23"/>
  <c r="E1427" i="23"/>
  <c r="E1452" i="23"/>
  <c r="E1390" i="23"/>
  <c r="E1444" i="23"/>
  <c r="E1374" i="23"/>
  <c r="E1479" i="23"/>
  <c r="E1543" i="23"/>
  <c r="E1602" i="23"/>
  <c r="E1455" i="23"/>
  <c r="E1469" i="23"/>
  <c r="E1595" i="23"/>
  <c r="E1648" i="23"/>
  <c r="E1597" i="23"/>
  <c r="E1607" i="23"/>
  <c r="E1574" i="23"/>
  <c r="E1555" i="23"/>
  <c r="E1582" i="23"/>
  <c r="E1593" i="23"/>
  <c r="E1521" i="23"/>
  <c r="E1481" i="23"/>
  <c r="E1411" i="23"/>
  <c r="E1443" i="23"/>
  <c r="E1537" i="23"/>
  <c r="E1591" i="23"/>
  <c r="E1446" i="23"/>
  <c r="E1583" i="23"/>
  <c r="E1456" i="23"/>
  <c r="E1516" i="23"/>
  <c r="E1397" i="23"/>
  <c r="E1478" i="23"/>
  <c r="E1572" i="23"/>
  <c r="E1382" i="23"/>
  <c r="E1438" i="23"/>
  <c r="E1535" i="23"/>
  <c r="E1428" i="23"/>
  <c r="E1399" i="23"/>
  <c r="E1556" i="23"/>
  <c r="E1483" i="23"/>
  <c r="E1404" i="23"/>
  <c r="E1394" i="23"/>
  <c r="E1470" i="23"/>
  <c r="E1423" i="23"/>
  <c r="E1498" i="23"/>
  <c r="E1392" i="23"/>
  <c r="E1414" i="23"/>
  <c r="E1408" i="23"/>
  <c r="E1487" i="23"/>
  <c r="E1385" i="23"/>
  <c r="E1459" i="23"/>
  <c r="E1431" i="23"/>
  <c r="E1485" i="23"/>
  <c r="E1564" i="23"/>
  <c r="E1517" i="23"/>
  <c r="E1482" i="23"/>
  <c r="E1605" i="23"/>
  <c r="E1468" i="23"/>
  <c r="E1384" i="23"/>
  <c r="E1568" i="23"/>
  <c r="E1439" i="23"/>
  <c r="E1473" i="23"/>
  <c r="E1389" i="23"/>
  <c r="E1415" i="23"/>
  <c r="E1563" i="23"/>
  <c r="E1393" i="23"/>
  <c r="E1589" i="23"/>
  <c r="E1437" i="23"/>
  <c r="E1477" i="23"/>
  <c r="E1622" i="23"/>
  <c r="E1614" i="23"/>
  <c r="E1642" i="23"/>
  <c r="E1625" i="23"/>
  <c r="E1630" i="23"/>
  <c r="E1609" i="23"/>
  <c r="E1922" i="23"/>
  <c r="E3658" i="23"/>
  <c r="E2326" i="23"/>
  <c r="E2294" i="23"/>
  <c r="E2266" i="23"/>
  <c r="E2180" i="23"/>
  <c r="E2136" i="23"/>
  <c r="E2096" i="23"/>
  <c r="E2072" i="23"/>
  <c r="E2033" i="23"/>
  <c r="E2011" i="23"/>
  <c r="E1986" i="23"/>
  <c r="E1964" i="23"/>
  <c r="E1943" i="23"/>
  <c r="E2318" i="23"/>
  <c r="E2102" i="23"/>
  <c r="E2030" i="23"/>
  <c r="E1969" i="23"/>
  <c r="E2297" i="23"/>
  <c r="E2265" i="23"/>
  <c r="E2211" i="23"/>
  <c r="E2120" i="23"/>
  <c r="E2095" i="23"/>
  <c r="E2071" i="23"/>
  <c r="E2032" i="23"/>
  <c r="E1994" i="23"/>
  <c r="E1976" i="23"/>
  <c r="E1955" i="23"/>
  <c r="E2276" i="23"/>
  <c r="E2137" i="23"/>
  <c r="E2034" i="23"/>
  <c r="E1965" i="23"/>
  <c r="E2319" i="23"/>
  <c r="E2277" i="23"/>
  <c r="E2225" i="23"/>
  <c r="E2187" i="23"/>
  <c r="E2169" i="23"/>
  <c r="E2103" i="23"/>
  <c r="E2078" i="23"/>
  <c r="E2046" i="23"/>
  <c r="E2021" i="23"/>
  <c r="E1993" i="23"/>
  <c r="E1970" i="23"/>
  <c r="E1954" i="23"/>
  <c r="E2263" i="23"/>
  <c r="E2115" i="23"/>
  <c r="E1987" i="23"/>
  <c r="E2351" i="23"/>
  <c r="E2185" i="23"/>
  <c r="E2321" i="23"/>
  <c r="E2279" i="23"/>
  <c r="E2172" i="23"/>
  <c r="E2121" i="23"/>
  <c r="E2084" i="23"/>
  <c r="E2068" i="23"/>
  <c r="E2029" i="23"/>
  <c r="E2007" i="23"/>
  <c r="E1982" i="23"/>
  <c r="E1960" i="23"/>
  <c r="E2348" i="23"/>
  <c r="E2280" i="23"/>
  <c r="E2182" i="23"/>
  <c r="E2085" i="23"/>
  <c r="E2012" i="23"/>
  <c r="E1961" i="23"/>
  <c r="E2330" i="23"/>
  <c r="E2293" i="23"/>
  <c r="E2247" i="23"/>
  <c r="E2166" i="23"/>
  <c r="E2108" i="23"/>
  <c r="E2083" i="23"/>
  <c r="E2067" i="23"/>
  <c r="E2022" i="23"/>
  <c r="E1990" i="23"/>
  <c r="E1967" i="23"/>
  <c r="E1951" i="23"/>
  <c r="E2272" i="23"/>
  <c r="E2106" i="23"/>
  <c r="E2020" i="23"/>
  <c r="E1957" i="23"/>
  <c r="E2315" i="23"/>
  <c r="E2273" i="23"/>
  <c r="E2214" i="23"/>
  <c r="E2183" i="23"/>
  <c r="E2165" i="23"/>
  <c r="E2099" i="23"/>
  <c r="E2074" i="23"/>
  <c r="E2035" i="23"/>
  <c r="E2013" i="23"/>
  <c r="E1984" i="23"/>
  <c r="E1966" i="23"/>
  <c r="E1950" i="23"/>
  <c r="E2213" i="23"/>
  <c r="E2073" i="23"/>
  <c r="E1974" i="23"/>
  <c r="E2177" i="23"/>
  <c r="E2270" i="23"/>
  <c r="E2325" i="23"/>
  <c r="E2352" i="23"/>
  <c r="E2275" i="23"/>
  <c r="E2189" i="23"/>
  <c r="E2105" i="23"/>
  <c r="E2048" i="23"/>
  <c r="E1995" i="23"/>
  <c r="E1956" i="23"/>
  <c r="E2267" i="23"/>
  <c r="E2077" i="23"/>
  <c r="E1949" i="23"/>
  <c r="E2320" i="23"/>
  <c r="E2230" i="23"/>
  <c r="E2158" i="23"/>
  <c r="E2079" i="23"/>
  <c r="E2018" i="23"/>
  <c r="E1963" i="23"/>
  <c r="E2328" i="23"/>
  <c r="E2081" i="23"/>
  <c r="E2349" i="23"/>
  <c r="E2296" i="23"/>
  <c r="E2119" i="23"/>
  <c r="E2070" i="23"/>
  <c r="E2009" i="23"/>
  <c r="E1962" i="23"/>
  <c r="E2190" i="23"/>
  <c r="E1953" i="23"/>
  <c r="E2178" i="23"/>
  <c r="E2098" i="23"/>
  <c r="E1989" i="23"/>
  <c r="E1972" i="23"/>
  <c r="E2114" i="23"/>
  <c r="E1945" i="23"/>
  <c r="E2117" i="23"/>
  <c r="E2003" i="23"/>
  <c r="E2127" i="23"/>
  <c r="E2051" i="23"/>
  <c r="E2347" i="23"/>
  <c r="E2271" i="23"/>
  <c r="E2101" i="23"/>
  <c r="E2037" i="23"/>
  <c r="E1991" i="23"/>
  <c r="E1952" i="23"/>
  <c r="E2240" i="23"/>
  <c r="E2054" i="23"/>
  <c r="E2346" i="23"/>
  <c r="E2316" i="23"/>
  <c r="E2219" i="23"/>
  <c r="E2125" i="23"/>
  <c r="E2075" i="23"/>
  <c r="E2001" i="23"/>
  <c r="E1959" i="23"/>
  <c r="E2314" i="23"/>
  <c r="E2069" i="23"/>
  <c r="E2345" i="23"/>
  <c r="E2292" i="23"/>
  <c r="E2191" i="23"/>
  <c r="E2107" i="23"/>
  <c r="E2066" i="23"/>
  <c r="E1997" i="23"/>
  <c r="E1958" i="23"/>
  <c r="E2179" i="23"/>
  <c r="E2239" i="23"/>
  <c r="E2171" i="23"/>
  <c r="E2124" i="23"/>
  <c r="E1978" i="23"/>
  <c r="E1944" i="23"/>
  <c r="E2004" i="23"/>
  <c r="E2229" i="23"/>
  <c r="E2000" i="23"/>
  <c r="E2056" i="23"/>
  <c r="E2093" i="23"/>
  <c r="E2317" i="23"/>
  <c r="E2220" i="23"/>
  <c r="E2167" i="23"/>
  <c r="E2080" i="23"/>
  <c r="E2023" i="23"/>
  <c r="E1973" i="23"/>
  <c r="E2168" i="23"/>
  <c r="E1992" i="23"/>
  <c r="E2278" i="23"/>
  <c r="E2104" i="23"/>
  <c r="E2047" i="23"/>
  <c r="E1985" i="23"/>
  <c r="E1946" i="23"/>
  <c r="E2224" i="23"/>
  <c r="E1996" i="23"/>
  <c r="E2268" i="23"/>
  <c r="E2086" i="23"/>
  <c r="E2031" i="23"/>
  <c r="E1980" i="23"/>
  <c r="E2045" i="23"/>
  <c r="E1948" i="23"/>
  <c r="E2164" i="23"/>
  <c r="E2028" i="23"/>
  <c r="E2025" i="23"/>
  <c r="E2242" i="23"/>
  <c r="E2006" i="23"/>
  <c r="E2039" i="23"/>
  <c r="E2259" i="23"/>
  <c r="E2298" i="23"/>
  <c r="E2019" i="23"/>
  <c r="E1983" i="23"/>
  <c r="E2100" i="23"/>
  <c r="E2186" i="23"/>
  <c r="E2175" i="23"/>
  <c r="E2295" i="23"/>
  <c r="E2174" i="23"/>
  <c r="E2313" i="23"/>
  <c r="E2261" i="23"/>
  <c r="E2092" i="23"/>
  <c r="E2129" i="23"/>
  <c r="E2131" i="23"/>
  <c r="E2161" i="23"/>
  <c r="E2089" i="23"/>
  <c r="E2128" i="23"/>
  <c r="E2145" i="23"/>
  <c r="E2059" i="23"/>
  <c r="E2017" i="23"/>
  <c r="E2151" i="23"/>
  <c r="E2090" i="23"/>
  <c r="E2251" i="23"/>
  <c r="E2142" i="23"/>
  <c r="E2087" i="23"/>
  <c r="E2154" i="23"/>
  <c r="E2262" i="23"/>
  <c r="E2243" i="23"/>
  <c r="E2218" i="23"/>
  <c r="E2062" i="23"/>
  <c r="E2209" i="23"/>
  <c r="E2291" i="23"/>
  <c r="E2289" i="23"/>
  <c r="E2212" i="23"/>
  <c r="E1968" i="23"/>
  <c r="E2036" i="23"/>
  <c r="E1979" i="23"/>
  <c r="E2082" i="23"/>
  <c r="E2008" i="23"/>
  <c r="E2157" i="23"/>
  <c r="E2227" i="23"/>
  <c r="E2016" i="23"/>
  <c r="E2254" i="23"/>
  <c r="E2217" i="23"/>
  <c r="E2160" i="23"/>
  <c r="E2282" i="23"/>
  <c r="E2342" i="23"/>
  <c r="E2064" i="23"/>
  <c r="E2088" i="23"/>
  <c r="E2250" i="23"/>
  <c r="E2237" i="23"/>
  <c r="E2053" i="23"/>
  <c r="E2222" i="23"/>
  <c r="E2058" i="23"/>
  <c r="E2228" i="23"/>
  <c r="E2153" i="23"/>
  <c r="E2015" i="23"/>
  <c r="E2148" i="23"/>
  <c r="E2040" i="23"/>
  <c r="E2233" i="23"/>
  <c r="E2050" i="23"/>
  <c r="E2155" i="23"/>
  <c r="E2210" i="23"/>
  <c r="E2285" i="23"/>
  <c r="E2041" i="23"/>
  <c r="E2162" i="23"/>
  <c r="E2322" i="23"/>
  <c r="E2274" i="23"/>
  <c r="E1981" i="23"/>
  <c r="E2329" i="23"/>
  <c r="E2026" i="23"/>
  <c r="E2324" i="23"/>
  <c r="E2344" i="23"/>
  <c r="E2255" i="23"/>
  <c r="E2149" i="23"/>
  <c r="E2118" i="23"/>
  <c r="E2223" i="23"/>
  <c r="E2060" i="23"/>
  <c r="E2134" i="23"/>
  <c r="E2147" i="23"/>
  <c r="E2232" i="23"/>
  <c r="E2132" i="23"/>
  <c r="E2355" i="23"/>
  <c r="E2216" i="23"/>
  <c r="E2111" i="23"/>
  <c r="E2354" i="23"/>
  <c r="E2311" i="23"/>
  <c r="E2112" i="23"/>
  <c r="E2139" i="23"/>
  <c r="E2110" i="23"/>
  <c r="E2356" i="23"/>
  <c r="E1999" i="23"/>
  <c r="E2284" i="23"/>
  <c r="E2249" i="23"/>
  <c r="E2146" i="23"/>
  <c r="E2152" i="23"/>
  <c r="E2340" i="23"/>
  <c r="E2309" i="23"/>
  <c r="E2076" i="23"/>
  <c r="E2264" i="23"/>
  <c r="E2005" i="23"/>
  <c r="E2043" i="23"/>
  <c r="E2246" i="23"/>
  <c r="E2253" i="23"/>
  <c r="E2283" i="23"/>
  <c r="E2244" i="23"/>
  <c r="E2122" i="23"/>
  <c r="E1975" i="23"/>
  <c r="E2288" i="23"/>
  <c r="E2094" i="23"/>
  <c r="E2341" i="23"/>
  <c r="E2135" i="23"/>
  <c r="E2257" i="23"/>
  <c r="E2057" i="23"/>
  <c r="E2044" i="23"/>
  <c r="E2052" i="23"/>
  <c r="E2063" i="23"/>
  <c r="E2144" i="23"/>
  <c r="E2143" i="23"/>
  <c r="E2188" i="23"/>
  <c r="E2310" i="23"/>
  <c r="E2234" i="23"/>
  <c r="E2286" i="23"/>
  <c r="E2343" i="23"/>
  <c r="E2260" i="23"/>
  <c r="E2258" i="23"/>
  <c r="E2140" i="23"/>
  <c r="E2065" i="23"/>
  <c r="E2042" i="23"/>
  <c r="E2236" i="23"/>
  <c r="E809" i="23"/>
  <c r="E990" i="23"/>
  <c r="E940" i="23"/>
  <c r="E1366" i="23"/>
  <c r="E1220" i="23"/>
  <c r="E975" i="23"/>
  <c r="E959" i="23"/>
  <c r="E1221" i="23"/>
  <c r="E1198" i="23"/>
  <c r="E1266" i="23"/>
  <c r="E1258" i="23"/>
  <c r="E1211" i="23"/>
  <c r="E1204" i="23"/>
  <c r="E878" i="23"/>
  <c r="E892" i="23"/>
  <c r="E856" i="23"/>
  <c r="E910" i="23"/>
  <c r="E1100" i="23"/>
  <c r="E961" i="23"/>
  <c r="E1129" i="23"/>
  <c r="E1135" i="23"/>
  <c r="E989" i="23"/>
  <c r="E830" i="23"/>
  <c r="E1264" i="23"/>
  <c r="E998" i="23"/>
  <c r="E1170" i="23"/>
  <c r="E1246" i="23"/>
  <c r="E1257" i="23"/>
  <c r="E928" i="23"/>
  <c r="E1046" i="23"/>
  <c r="E893" i="23"/>
  <c r="E857" i="23"/>
  <c r="E815" i="23"/>
  <c r="E947" i="23"/>
  <c r="E1205" i="23"/>
  <c r="E873" i="23"/>
  <c r="E1162" i="23"/>
  <c r="E1021" i="23"/>
  <c r="E1365" i="23"/>
  <c r="E984" i="23"/>
  <c r="E943" i="23"/>
  <c r="E1236" i="23"/>
  <c r="E1099" i="23"/>
  <c r="E930" i="23"/>
  <c r="E927" i="23"/>
  <c r="E1131" i="23"/>
  <c r="E840" i="23"/>
  <c r="E845" i="23"/>
  <c r="E1127" i="23"/>
  <c r="E844" i="23"/>
  <c r="E933" i="23"/>
  <c r="E1150" i="23"/>
  <c r="E1202" i="23"/>
  <c r="E838" i="23"/>
  <c r="E911" i="23"/>
  <c r="E869" i="23"/>
  <c r="E1359" i="23"/>
  <c r="E991" i="23"/>
  <c r="E941" i="23"/>
  <c r="E836" i="23"/>
  <c r="E1035" i="23"/>
  <c r="E837" i="23"/>
  <c r="E1164" i="23"/>
  <c r="E932" i="23"/>
  <c r="E1216" i="23"/>
  <c r="E860" i="23"/>
  <c r="E833" i="23"/>
  <c r="E1160" i="23"/>
  <c r="E879" i="23"/>
  <c r="E834" i="23"/>
  <c r="E1212" i="23"/>
  <c r="E944" i="23"/>
  <c r="E883" i="23"/>
  <c r="E1214" i="23"/>
  <c r="E993" i="23"/>
  <c r="E979" i="23"/>
  <c r="E966" i="23"/>
  <c r="E976" i="23"/>
  <c r="E913" i="23"/>
  <c r="E882" i="23"/>
  <c r="E1171" i="23"/>
  <c r="E1247" i="23"/>
  <c r="E995" i="23"/>
  <c r="E1138" i="23"/>
  <c r="E1192" i="23"/>
  <c r="E1161" i="23"/>
  <c r="E1259" i="23"/>
  <c r="E890" i="23"/>
  <c r="E1032" i="23"/>
  <c r="E835" i="23"/>
  <c r="E1098" i="23"/>
  <c r="E1165" i="23"/>
  <c r="E1111" i="23"/>
  <c r="E817" i="23"/>
  <c r="E1193" i="23"/>
  <c r="E1149" i="23"/>
  <c r="E920" i="23"/>
  <c r="E922" i="23"/>
  <c r="E1049" i="23"/>
  <c r="E1081" i="23"/>
  <c r="E876" i="23"/>
  <c r="E953" i="23"/>
  <c r="E858" i="23"/>
  <c r="E886" i="23"/>
  <c r="E919" i="23"/>
  <c r="E1097" i="23"/>
  <c r="E907" i="23"/>
  <c r="E816" i="23"/>
  <c r="E1208" i="23"/>
  <c r="E1276" i="23"/>
  <c r="E964" i="23"/>
  <c r="E923" i="23"/>
  <c r="E1020" i="23"/>
  <c r="E1080" i="23"/>
  <c r="E1168" i="23"/>
  <c r="E871" i="23"/>
  <c r="E1102" i="23"/>
  <c r="E1209" i="23"/>
  <c r="E946" i="23"/>
  <c r="E1262" i="23"/>
  <c r="E1052" i="23"/>
  <c r="E1154" i="23"/>
  <c r="E854" i="23"/>
  <c r="E867" i="23"/>
  <c r="E841" i="23"/>
  <c r="E872" i="23"/>
  <c r="E1277" i="23"/>
  <c r="E967" i="23"/>
  <c r="E1155" i="23"/>
  <c r="E1024" i="23"/>
  <c r="E963" i="23"/>
  <c r="E1357" i="23"/>
  <c r="E1275" i="23"/>
  <c r="E1045" i="23"/>
  <c r="E1261" i="23"/>
  <c r="E977" i="23"/>
  <c r="E952" i="23"/>
  <c r="E1356" i="23"/>
  <c r="E1222" i="23"/>
  <c r="E1048" i="23"/>
  <c r="E1056" i="23"/>
  <c r="E1157" i="23"/>
  <c r="E994" i="23"/>
  <c r="E983" i="23"/>
  <c r="E842" i="23"/>
  <c r="E1158" i="23"/>
  <c r="E926" i="23"/>
  <c r="E1249" i="23"/>
  <c r="E855" i="23"/>
  <c r="E1133" i="23"/>
  <c r="E1107" i="23"/>
  <c r="E865" i="23"/>
  <c r="E889" i="23"/>
  <c r="E1104" i="23"/>
  <c r="E1237" i="23"/>
  <c r="E929" i="23"/>
  <c r="E875" i="23"/>
  <c r="E1124" i="23"/>
  <c r="E908" i="23"/>
  <c r="E1037" i="23"/>
  <c r="E1123" i="23"/>
  <c r="E1130" i="23"/>
  <c r="E887" i="23"/>
  <c r="E1134" i="23"/>
  <c r="E1112" i="23"/>
  <c r="E1239" i="23"/>
  <c r="E1122" i="23"/>
  <c r="E1148" i="23"/>
  <c r="E1215" i="23"/>
  <c r="E1108" i="23"/>
  <c r="E1167" i="23"/>
  <c r="E954" i="23"/>
  <c r="E925" i="23"/>
  <c r="E846" i="23"/>
  <c r="E832" i="23"/>
  <c r="E1250" i="23"/>
  <c r="E1197" i="23"/>
  <c r="E1240" i="23"/>
  <c r="E853" i="23"/>
  <c r="E980" i="23"/>
  <c r="E1361" i="23"/>
  <c r="E1199" i="23"/>
  <c r="E843" i="23"/>
  <c r="E1265" i="23"/>
  <c r="E839" i="23"/>
  <c r="E831" i="23"/>
  <c r="E997" i="23"/>
  <c r="E960" i="23"/>
  <c r="E1137" i="23"/>
  <c r="E870" i="23"/>
  <c r="E934" i="23"/>
  <c r="E918" i="23"/>
  <c r="E861" i="23"/>
  <c r="E1103" i="23"/>
  <c r="E1201" i="23"/>
  <c r="E1036" i="23"/>
  <c r="E1051" i="23"/>
  <c r="E1082" i="23"/>
  <c r="E1364" i="23"/>
  <c r="E914" i="23"/>
  <c r="E1023" i="23"/>
  <c r="E1057" i="23"/>
  <c r="E1033" i="23"/>
  <c r="E1629" i="23"/>
  <c r="E4165" i="23"/>
  <c r="E4309" i="23"/>
  <c r="E1807" i="23"/>
  <c r="E1914" i="23"/>
  <c r="E244" i="23"/>
  <c r="E193" i="23"/>
  <c r="E144" i="23"/>
  <c r="E104" i="23"/>
  <c r="E66" i="23"/>
  <c r="E45" i="23"/>
  <c r="E29" i="23"/>
  <c r="E241" i="23"/>
  <c r="E172" i="23"/>
  <c r="E110" i="23"/>
  <c r="E50" i="23"/>
  <c r="E239" i="23"/>
  <c r="E182" i="23"/>
  <c r="E134" i="23"/>
  <c r="E99" i="23"/>
  <c r="E60" i="23"/>
  <c r="E41" i="23"/>
  <c r="E25" i="23"/>
  <c r="E223" i="23"/>
  <c r="E208" i="23"/>
  <c r="E160" i="23"/>
  <c r="E130" i="23"/>
  <c r="E94" i="23"/>
  <c r="E53" i="23"/>
  <c r="E37" i="23"/>
  <c r="E21" i="23"/>
  <c r="E205" i="23"/>
  <c r="E145" i="23"/>
  <c r="E84" i="23"/>
  <c r="E30" i="23"/>
  <c r="E226" i="23"/>
  <c r="E197" i="23"/>
  <c r="E143" i="23"/>
  <c r="E87" i="23"/>
  <c r="E65" i="23"/>
  <c r="E44" i="23"/>
  <c r="E28" i="23"/>
  <c r="E194" i="23"/>
  <c r="E78" i="23"/>
  <c r="E149" i="23"/>
  <c r="E33" i="23"/>
  <c r="E131" i="23"/>
  <c r="E126" i="23"/>
  <c r="E212" i="23"/>
  <c r="E153" i="23"/>
  <c r="E81" i="23"/>
  <c r="E52" i="23"/>
  <c r="E32" i="23"/>
  <c r="E156" i="23"/>
  <c r="E26" i="23"/>
  <c r="E211" i="23"/>
  <c r="E179" i="23"/>
  <c r="E137" i="23"/>
  <c r="E64" i="23"/>
  <c r="E43" i="23"/>
  <c r="E27" i="23"/>
  <c r="E215" i="23"/>
  <c r="E105" i="23"/>
  <c r="E46" i="23"/>
  <c r="E228" i="23"/>
  <c r="E225" i="23"/>
  <c r="E136" i="23"/>
  <c r="E203" i="23"/>
  <c r="E117" i="23"/>
  <c r="E192" i="23"/>
  <c r="E55" i="23"/>
  <c r="E80" i="23"/>
  <c r="E171" i="23"/>
  <c r="E77" i="23"/>
  <c r="E184" i="23"/>
  <c r="E112" i="23"/>
  <c r="E139" i="23"/>
  <c r="E164" i="23"/>
  <c r="E62" i="23"/>
  <c r="E114" i="23"/>
  <c r="E14" i="23"/>
  <c r="E95" i="23"/>
  <c r="E243" i="23"/>
  <c r="E207" i="23"/>
  <c r="E133" i="23"/>
  <c r="E74" i="23"/>
  <c r="E48" i="23"/>
  <c r="E24" i="23"/>
  <c r="E141" i="23"/>
  <c r="E242" i="23"/>
  <c r="E206" i="23"/>
  <c r="E162" i="23"/>
  <c r="E132" i="23"/>
  <c r="E56" i="23"/>
  <c r="E39" i="23"/>
  <c r="E23" i="23"/>
  <c r="E200" i="23"/>
  <c r="E90" i="23"/>
  <c r="E34" i="23"/>
  <c r="E199" i="23"/>
  <c r="E109" i="23"/>
  <c r="E113" i="23"/>
  <c r="E93" i="23"/>
  <c r="E73" i="23"/>
  <c r="E86" i="23"/>
  <c r="E125" i="23"/>
  <c r="E103" i="23"/>
  <c r="E124" i="23"/>
  <c r="E177" i="23"/>
  <c r="E59" i="23"/>
  <c r="E247" i="23"/>
  <c r="E70" i="23"/>
  <c r="E189" i="23"/>
  <c r="E67" i="23"/>
  <c r="E232" i="23"/>
  <c r="E175" i="23"/>
  <c r="E118" i="23"/>
  <c r="E69" i="23"/>
  <c r="E40" i="23"/>
  <c r="E20" i="23"/>
  <c r="E100" i="23"/>
  <c r="E236" i="23"/>
  <c r="E190" i="23"/>
  <c r="E157" i="23"/>
  <c r="E106" i="23"/>
  <c r="E51" i="23"/>
  <c r="E35" i="23"/>
  <c r="E248" i="23"/>
  <c r="E166" i="23"/>
  <c r="E71" i="23"/>
  <c r="E22" i="23"/>
  <c r="E231" i="23"/>
  <c r="E234" i="23"/>
  <c r="E168" i="23"/>
  <c r="E148" i="23"/>
  <c r="E140" i="23"/>
  <c r="E97" i="23"/>
  <c r="E121" i="23"/>
  <c r="E165" i="23"/>
  <c r="E188" i="23"/>
  <c r="E178" i="23"/>
  <c r="E181" i="23"/>
  <c r="E102" i="23"/>
  <c r="E116" i="23"/>
  <c r="E202" i="23"/>
  <c r="E250" i="23"/>
  <c r="E219" i="23"/>
  <c r="E42" i="23"/>
  <c r="E57" i="23"/>
  <c r="E216" i="23"/>
  <c r="E47" i="23"/>
  <c r="E63" i="23"/>
  <c r="E159" i="23"/>
  <c r="E174" i="23"/>
  <c r="E151" i="23"/>
  <c r="E204" i="23"/>
  <c r="E220" i="23"/>
  <c r="E36" i="23"/>
  <c r="E185" i="23"/>
  <c r="E31" i="23"/>
  <c r="E98" i="23"/>
  <c r="E210" i="23"/>
  <c r="E152" i="23"/>
  <c r="E187" i="23"/>
  <c r="E49" i="23"/>
  <c r="E169" i="23"/>
  <c r="E235" i="23"/>
  <c r="E142" i="23"/>
  <c r="E229" i="23"/>
  <c r="E214" i="23"/>
  <c r="E89" i="23"/>
  <c r="E129" i="23"/>
  <c r="E128" i="23"/>
  <c r="E251" i="23"/>
  <c r="E68" i="23"/>
  <c r="E196" i="23"/>
  <c r="E120" i="23"/>
  <c r="E161" i="23"/>
  <c r="E122" i="23"/>
  <c r="E92" i="23"/>
  <c r="E107" i="23"/>
  <c r="E83" i="23"/>
  <c r="E38" i="23"/>
  <c r="E155" i="23"/>
  <c r="E222" i="23"/>
  <c r="E238" i="23"/>
  <c r="E76" i="23"/>
  <c r="E147" i="23"/>
  <c r="E16" i="23"/>
  <c r="E1906" i="23"/>
  <c r="D9" i="78" l="1"/>
  <c r="E746" i="78"/>
  <c r="E309" i="78"/>
  <c r="E83" i="78"/>
  <c r="E764" i="79"/>
  <c r="E434" i="78"/>
  <c r="E4340" i="23"/>
  <c r="E136" i="78"/>
  <c r="E253" i="23"/>
  <c r="E652" i="79"/>
  <c r="D1023" i="79"/>
  <c r="E1023" i="79" s="1"/>
  <c r="E106" i="79"/>
  <c r="E47" i="79"/>
  <c r="K1741" i="68"/>
  <c r="F49" i="67"/>
  <c r="E832" i="78"/>
  <c r="E696" i="78"/>
  <c r="E956" i="78"/>
  <c r="E541" i="78"/>
  <c r="E144" i="79"/>
  <c r="E229" i="79"/>
  <c r="E218" i="78"/>
  <c r="E594" i="78"/>
  <c r="D1022" i="78"/>
  <c r="E1022" i="78" s="1"/>
  <c r="E384" i="78"/>
  <c r="E917" i="78"/>
  <c r="E344" i="79"/>
  <c r="E853" i="79"/>
  <c r="E902" i="79"/>
  <c r="E605" i="79"/>
  <c r="E275" i="79"/>
  <c r="E438" i="79"/>
  <c r="E519" i="79"/>
  <c r="E25" i="70"/>
  <c r="F25" i="70" l="1"/>
  <c r="E789" i="70"/>
  <c r="F789" i="70" s="1"/>
  <c r="E856" i="67"/>
  <c r="F856" i="67" s="1"/>
</calcChain>
</file>

<file path=xl/comments1.xml><?xml version="1.0" encoding="utf-8"?>
<comments xmlns="http://schemas.openxmlformats.org/spreadsheetml/2006/main">
  <authors>
    <author>HP</author>
    <author>asus</author>
    <author>ACER INDONESIA</author>
  </authors>
  <commentList>
    <comment ref="C9" authorId="0" shapeId="0">
      <text>
        <r>
          <rPr>
            <b/>
            <sz val="9"/>
            <color indexed="81"/>
            <rFont val="Tahoma"/>
            <family val="2"/>
          </rPr>
          <t>HP:</t>
        </r>
        <r>
          <rPr>
            <sz val="9"/>
            <color indexed="81"/>
            <rFont val="Tahoma"/>
            <family val="2"/>
          </rPr>
          <t xml:space="preserve">
</t>
        </r>
      </text>
    </comment>
    <comment ref="B2296" authorId="1" shapeId="0">
      <text>
        <r>
          <rPr>
            <b/>
            <sz val="9"/>
            <color indexed="81"/>
            <rFont val="Tahoma"/>
            <family val="2"/>
          </rPr>
          <t>asus:</t>
        </r>
        <r>
          <rPr>
            <sz val="9"/>
            <color indexed="81"/>
            <rFont val="Tahoma"/>
            <family val="2"/>
          </rPr>
          <t xml:space="preserve">
</t>
        </r>
      </text>
    </comment>
    <comment ref="C2307" authorId="1" shapeId="0">
      <text>
        <r>
          <rPr>
            <b/>
            <sz val="9"/>
            <color indexed="81"/>
            <rFont val="Tahoma"/>
            <family val="2"/>
          </rPr>
          <t>asus:</t>
        </r>
        <r>
          <rPr>
            <sz val="9"/>
            <color indexed="81"/>
            <rFont val="Tahoma"/>
            <family val="2"/>
          </rPr>
          <t xml:space="preserve">
</t>
        </r>
      </text>
    </comment>
    <comment ref="E3106" authorId="2" shapeId="0">
      <text>
        <r>
          <rPr>
            <b/>
            <sz val="9"/>
            <color indexed="81"/>
            <rFont val="Tahoma"/>
            <family val="2"/>
          </rPr>
          <t>ACER INDONESIA:</t>
        </r>
        <r>
          <rPr>
            <sz val="9"/>
            <color indexed="81"/>
            <rFont val="Tahoma"/>
            <family val="2"/>
          </rPr>
          <t xml:space="preserve">
105 - 0453/TU</t>
        </r>
      </text>
    </comment>
    <comment ref="E3107" authorId="2" shapeId="0">
      <text>
        <r>
          <rPr>
            <b/>
            <sz val="9"/>
            <color indexed="81"/>
            <rFont val="Tahoma"/>
            <family val="2"/>
          </rPr>
          <t>ACER INDONESIA:</t>
        </r>
        <r>
          <rPr>
            <sz val="9"/>
            <color indexed="81"/>
            <rFont val="Tahoma"/>
            <family val="2"/>
          </rPr>
          <t xml:space="preserve">
490 - 2574 LS
552 - 2801 TU</t>
        </r>
      </text>
    </comment>
    <comment ref="E3110" authorId="2" shapeId="0">
      <text>
        <r>
          <rPr>
            <b/>
            <sz val="9"/>
            <color indexed="81"/>
            <rFont val="Tahoma"/>
            <family val="2"/>
          </rPr>
          <t>ACER INDONESIA:</t>
        </r>
        <r>
          <rPr>
            <sz val="9"/>
            <color indexed="81"/>
            <rFont val="Tahoma"/>
            <family val="2"/>
          </rPr>
          <t xml:space="preserve">
051 - 0183/TU</t>
        </r>
      </text>
    </comment>
    <comment ref="E3111" authorId="2" shapeId="0">
      <text>
        <r>
          <rPr>
            <b/>
            <sz val="9"/>
            <color indexed="81"/>
            <rFont val="Tahoma"/>
            <family val="2"/>
          </rPr>
          <t>ACER INDONESIA:</t>
        </r>
        <r>
          <rPr>
            <sz val="9"/>
            <color indexed="81"/>
            <rFont val="Tahoma"/>
            <family val="2"/>
          </rPr>
          <t xml:space="preserve">
051 - 0180/TU
655 - 3333 TU</t>
        </r>
      </text>
    </comment>
    <comment ref="E3112" authorId="2" shapeId="0">
      <text>
        <r>
          <rPr>
            <b/>
            <sz val="9"/>
            <color indexed="81"/>
            <rFont val="Tahoma"/>
            <family val="2"/>
          </rPr>
          <t>ACER INDONESIA:</t>
        </r>
        <r>
          <rPr>
            <sz val="9"/>
            <color indexed="81"/>
            <rFont val="Tahoma"/>
            <family val="2"/>
          </rPr>
          <t xml:space="preserve">
057 - 0222/TU</t>
        </r>
      </text>
    </comment>
    <comment ref="E3113" authorId="2" shapeId="0">
      <text>
        <r>
          <rPr>
            <b/>
            <sz val="9"/>
            <color indexed="81"/>
            <rFont val="Tahoma"/>
            <family val="2"/>
          </rPr>
          <t>ACER INDONESIA:</t>
        </r>
        <r>
          <rPr>
            <sz val="9"/>
            <color indexed="81"/>
            <rFont val="Tahoma"/>
            <family val="2"/>
          </rPr>
          <t xml:space="preserve">
501 - 2606 TU</t>
        </r>
      </text>
    </comment>
    <comment ref="E3114" authorId="2" shapeId="0">
      <text>
        <r>
          <rPr>
            <b/>
            <sz val="9"/>
            <color indexed="81"/>
            <rFont val="Tahoma"/>
            <family val="2"/>
          </rPr>
          <t>ACER INDONESIA:</t>
        </r>
        <r>
          <rPr>
            <sz val="9"/>
            <color indexed="81"/>
            <rFont val="Tahoma"/>
            <family val="2"/>
          </rPr>
          <t xml:space="preserve">
239 - 1364.A/LS
432 - 2335 LS
571 - 2935 LS</t>
        </r>
      </text>
    </comment>
    <comment ref="E3115" authorId="2" shapeId="0">
      <text>
        <r>
          <rPr>
            <b/>
            <sz val="9"/>
            <color indexed="81"/>
            <rFont val="Tahoma"/>
            <family val="2"/>
          </rPr>
          <t>ACER INDONESIA:</t>
        </r>
        <r>
          <rPr>
            <sz val="9"/>
            <color indexed="81"/>
            <rFont val="Tahoma"/>
            <family val="2"/>
          </rPr>
          <t xml:space="preserve">
301 - 1680 LS
608 - 3075 LS</t>
        </r>
      </text>
    </comment>
    <comment ref="E3116" authorId="2" shapeId="0">
      <text>
        <r>
          <rPr>
            <b/>
            <sz val="9"/>
            <color indexed="81"/>
            <rFont val="Tahoma"/>
            <family val="2"/>
          </rPr>
          <t>ACER INDONESIA:</t>
        </r>
        <r>
          <rPr>
            <sz val="9"/>
            <color indexed="81"/>
            <rFont val="Tahoma"/>
            <family val="2"/>
          </rPr>
          <t xml:space="preserve">
239-1360/LS
414 - 2232 LS
617 - 3131 LS</t>
        </r>
      </text>
    </comment>
    <comment ref="E3117" authorId="2" shapeId="0">
      <text>
        <r>
          <rPr>
            <b/>
            <sz val="9"/>
            <color indexed="81"/>
            <rFont val="Tahoma"/>
            <family val="2"/>
          </rPr>
          <t>ACER INDONESIA:</t>
        </r>
        <r>
          <rPr>
            <sz val="9"/>
            <color indexed="81"/>
            <rFont val="Tahoma"/>
            <family val="2"/>
          </rPr>
          <t xml:space="preserve">
301 - 1681 LS
463 - 2441 LS
617 - 3133 LS</t>
        </r>
      </text>
    </comment>
    <comment ref="E3118" authorId="2" shapeId="0">
      <text>
        <r>
          <rPr>
            <b/>
            <sz val="9"/>
            <color indexed="81"/>
            <rFont val="Tahoma"/>
            <family val="2"/>
          </rPr>
          <t>ACER INDONESIA:</t>
        </r>
        <r>
          <rPr>
            <sz val="9"/>
            <color indexed="81"/>
            <rFont val="Tahoma"/>
            <family val="2"/>
          </rPr>
          <t xml:space="preserve">
266 - 1535 LS
425 - 2307 LS
617 - 3129 LS</t>
        </r>
      </text>
    </comment>
    <comment ref="E3119" authorId="2" shapeId="0">
      <text>
        <r>
          <rPr>
            <b/>
            <sz val="9"/>
            <color indexed="81"/>
            <rFont val="Tahoma"/>
            <family val="2"/>
          </rPr>
          <t>ACER INDONESIA:</t>
        </r>
        <r>
          <rPr>
            <sz val="9"/>
            <color indexed="81"/>
            <rFont val="Tahoma"/>
            <family val="2"/>
          </rPr>
          <t xml:space="preserve">
266 - 1533 LS
463 - 2440 LS
608 - 3076 LS</t>
        </r>
      </text>
    </comment>
    <comment ref="E3120" authorId="2" shapeId="0">
      <text>
        <r>
          <rPr>
            <b/>
            <sz val="9"/>
            <color indexed="81"/>
            <rFont val="Tahoma"/>
            <family val="2"/>
          </rPr>
          <t>ACER INDONESIA:</t>
        </r>
        <r>
          <rPr>
            <sz val="9"/>
            <color indexed="81"/>
            <rFont val="Tahoma"/>
            <family val="2"/>
          </rPr>
          <t xml:space="preserve">
266 - 1532 LS
391 - 2105 LS
552 - 2795 LS</t>
        </r>
      </text>
    </comment>
    <comment ref="E3121" authorId="2" shapeId="0">
      <text>
        <r>
          <rPr>
            <b/>
            <sz val="9"/>
            <color indexed="81"/>
            <rFont val="Tahoma"/>
            <family val="2"/>
          </rPr>
          <t>ACER INDONESIA:</t>
        </r>
        <r>
          <rPr>
            <sz val="9"/>
            <color indexed="81"/>
            <rFont val="Tahoma"/>
            <family val="2"/>
          </rPr>
          <t xml:space="preserve">
306 - 1707 LS
490 - 2573 LS
655 - 3336 LS</t>
        </r>
      </text>
    </comment>
    <comment ref="E3122" authorId="2" shapeId="0">
      <text>
        <r>
          <rPr>
            <b/>
            <sz val="9"/>
            <color indexed="81"/>
            <rFont val="Tahoma"/>
            <family val="2"/>
          </rPr>
          <t>ACER INDONESIA:</t>
        </r>
        <r>
          <rPr>
            <sz val="9"/>
            <color indexed="81"/>
            <rFont val="Tahoma"/>
            <family val="2"/>
          </rPr>
          <t xml:space="preserve">
266 - 1534 LS
492 2579 LS
617 - 3132 LS</t>
        </r>
      </text>
    </comment>
    <comment ref="E3123" authorId="2" shapeId="0">
      <text>
        <r>
          <rPr>
            <b/>
            <sz val="9"/>
            <color indexed="81"/>
            <rFont val="Tahoma"/>
            <family val="2"/>
          </rPr>
          <t>ACER INDONESIA:</t>
        </r>
        <r>
          <rPr>
            <sz val="9"/>
            <color indexed="81"/>
            <rFont val="Tahoma"/>
            <family val="2"/>
          </rPr>
          <t xml:space="preserve">
301 - 1678 LS
391 - 2104 LS
571 - 2934 LS</t>
        </r>
      </text>
    </comment>
    <comment ref="E3124" authorId="2" shapeId="0">
      <text>
        <r>
          <rPr>
            <b/>
            <sz val="9"/>
            <color indexed="81"/>
            <rFont val="Tahoma"/>
            <family val="2"/>
          </rPr>
          <t>ACER INDONESIA:</t>
        </r>
        <r>
          <rPr>
            <sz val="9"/>
            <color indexed="81"/>
            <rFont val="Tahoma"/>
            <family val="2"/>
          </rPr>
          <t xml:space="preserve">
608 - 3074 LS</t>
        </r>
      </text>
    </comment>
    <comment ref="E3125" authorId="2" shapeId="0">
      <text>
        <r>
          <rPr>
            <b/>
            <sz val="9"/>
            <color indexed="81"/>
            <rFont val="Tahoma"/>
            <family val="2"/>
          </rPr>
          <t>ACER INDONESIA:</t>
        </r>
        <r>
          <rPr>
            <sz val="9"/>
            <color indexed="81"/>
            <rFont val="Tahoma"/>
            <family val="2"/>
          </rPr>
          <t xml:space="preserve">
414 - 2231 LS
617 - 3130 LS</t>
        </r>
      </text>
    </comment>
    <comment ref="E3126" authorId="2" shapeId="0">
      <text>
        <r>
          <rPr>
            <b/>
            <sz val="9"/>
            <color indexed="81"/>
            <rFont val="Tahoma"/>
            <family val="2"/>
          </rPr>
          <t>ACER INDONESIA:</t>
        </r>
        <r>
          <rPr>
            <sz val="9"/>
            <color indexed="81"/>
            <rFont val="Tahoma"/>
            <family val="2"/>
          </rPr>
          <t xml:space="preserve">
395 - 2129 LS
655 - 3335 LS</t>
        </r>
      </text>
    </comment>
    <comment ref="E3127" authorId="2" shapeId="0">
      <text>
        <r>
          <rPr>
            <b/>
            <sz val="9"/>
            <color indexed="81"/>
            <rFont val="Tahoma"/>
            <family val="2"/>
          </rPr>
          <t>ACER INDONESIA:</t>
        </r>
        <r>
          <rPr>
            <sz val="9"/>
            <color indexed="81"/>
            <rFont val="Tahoma"/>
            <family val="2"/>
          </rPr>
          <t xml:space="preserve">
301 - 1679 LS
579 - 2982 LS</t>
        </r>
      </text>
    </comment>
    <comment ref="E3128" authorId="2" shapeId="0">
      <text>
        <r>
          <rPr>
            <b/>
            <sz val="9"/>
            <color indexed="81"/>
            <rFont val="Tahoma"/>
            <family val="2"/>
          </rPr>
          <t>ACER INDONESIA:</t>
        </r>
        <r>
          <rPr>
            <sz val="9"/>
            <color indexed="81"/>
            <rFont val="Tahoma"/>
            <family val="2"/>
          </rPr>
          <t xml:space="preserve">
051 - 0181/TU</t>
        </r>
      </text>
    </comment>
    <comment ref="E3129" authorId="2" shapeId="0">
      <text>
        <r>
          <rPr>
            <b/>
            <sz val="9"/>
            <color indexed="81"/>
            <rFont val="Tahoma"/>
            <family val="2"/>
          </rPr>
          <t>ACER INDONESIA:</t>
        </r>
        <r>
          <rPr>
            <sz val="9"/>
            <color indexed="81"/>
            <rFont val="Tahoma"/>
            <family val="2"/>
          </rPr>
          <t xml:space="preserve">
476 - 2521 TU
6553321.A TU</t>
        </r>
      </text>
    </comment>
    <comment ref="E3130" authorId="2" shapeId="0">
      <text>
        <r>
          <rPr>
            <b/>
            <sz val="9"/>
            <color indexed="81"/>
            <rFont val="Tahoma"/>
            <family val="2"/>
          </rPr>
          <t>ACER INDONESIA:</t>
        </r>
        <r>
          <rPr>
            <sz val="9"/>
            <color indexed="81"/>
            <rFont val="Tahoma"/>
            <family val="2"/>
          </rPr>
          <t xml:space="preserve">
239 - 1367/LS
571 - 2939 TU
617 - 3128 LS</t>
        </r>
      </text>
    </comment>
    <comment ref="E3132" authorId="2" shapeId="0">
      <text>
        <r>
          <rPr>
            <b/>
            <sz val="9"/>
            <color indexed="81"/>
            <rFont val="Tahoma"/>
            <family val="2"/>
          </rPr>
          <t>ACER INDONESIA:</t>
        </r>
        <r>
          <rPr>
            <sz val="9"/>
            <color indexed="81"/>
            <rFont val="Tahoma"/>
            <family val="2"/>
          </rPr>
          <t xml:space="preserve">
180 - 0958 TU</t>
        </r>
      </text>
    </comment>
    <comment ref="E3133" authorId="2" shapeId="0">
      <text>
        <r>
          <rPr>
            <b/>
            <sz val="9"/>
            <color indexed="81"/>
            <rFont val="Tahoma"/>
            <family val="2"/>
          </rPr>
          <t>ACER INDONESIA:</t>
        </r>
        <r>
          <rPr>
            <sz val="9"/>
            <color indexed="81"/>
            <rFont val="Tahoma"/>
            <family val="2"/>
          </rPr>
          <t xml:space="preserve">
189 - 1002 TU</t>
        </r>
      </text>
    </comment>
    <comment ref="E3134" authorId="2" shapeId="0">
      <text>
        <r>
          <rPr>
            <b/>
            <sz val="9"/>
            <color indexed="81"/>
            <rFont val="Tahoma"/>
            <family val="2"/>
          </rPr>
          <t>ACER INDONESIA:</t>
        </r>
        <r>
          <rPr>
            <sz val="9"/>
            <color indexed="81"/>
            <rFont val="Tahoma"/>
            <family val="2"/>
          </rPr>
          <t xml:space="preserve">
608 - 3081 TU</t>
        </r>
      </text>
    </comment>
    <comment ref="E3135" authorId="2" shapeId="0">
      <text>
        <r>
          <rPr>
            <b/>
            <sz val="9"/>
            <color indexed="81"/>
            <rFont val="Tahoma"/>
            <family val="2"/>
          </rPr>
          <t>ACER INDONESIA:</t>
        </r>
        <r>
          <rPr>
            <sz val="9"/>
            <color indexed="81"/>
            <rFont val="Tahoma"/>
            <family val="2"/>
          </rPr>
          <t xml:space="preserve">
173 - 0905 TU</t>
        </r>
      </text>
    </comment>
    <comment ref="E3136" authorId="2" shapeId="0">
      <text>
        <r>
          <rPr>
            <b/>
            <sz val="9"/>
            <color indexed="81"/>
            <rFont val="Tahoma"/>
            <family val="2"/>
          </rPr>
          <t>ACER INDONESIA:</t>
        </r>
        <r>
          <rPr>
            <sz val="9"/>
            <color indexed="81"/>
            <rFont val="Tahoma"/>
            <family val="2"/>
          </rPr>
          <t xml:space="preserve">
624 - 3163 TU</t>
        </r>
      </text>
    </comment>
    <comment ref="E3137" authorId="2" shapeId="0">
      <text>
        <r>
          <rPr>
            <b/>
            <sz val="9"/>
            <color indexed="81"/>
            <rFont val="Tahoma"/>
            <family val="2"/>
          </rPr>
          <t>ACER INDONESIA:</t>
        </r>
        <r>
          <rPr>
            <sz val="9"/>
            <color indexed="81"/>
            <rFont val="Tahoma"/>
            <family val="2"/>
          </rPr>
          <t xml:space="preserve">
173 - 0906 TU</t>
        </r>
      </text>
    </comment>
    <comment ref="E3140" authorId="2" shapeId="0">
      <text>
        <r>
          <rPr>
            <b/>
            <sz val="9"/>
            <color indexed="81"/>
            <rFont val="Tahoma"/>
            <family val="2"/>
          </rPr>
          <t>ACER INDONESIA:</t>
        </r>
        <r>
          <rPr>
            <sz val="9"/>
            <color indexed="81"/>
            <rFont val="Tahoma"/>
            <family val="2"/>
          </rPr>
          <t xml:space="preserve">
239 - 1364.B LS
432 - 2336 LS</t>
        </r>
      </text>
    </comment>
    <comment ref="E3141" authorId="2" shapeId="0">
      <text>
        <r>
          <rPr>
            <b/>
            <sz val="9"/>
            <color indexed="81"/>
            <rFont val="Tahoma"/>
            <family val="2"/>
          </rPr>
          <t>ACER INDONESIA:</t>
        </r>
        <r>
          <rPr>
            <sz val="9"/>
            <color indexed="81"/>
            <rFont val="Tahoma"/>
            <family val="2"/>
          </rPr>
          <t xml:space="preserve">
171 - 0898 LS
247 - 1453/LS
655 - 3334 LS</t>
        </r>
      </text>
    </comment>
    <comment ref="E3159" authorId="2" shapeId="0">
      <text>
        <r>
          <rPr>
            <b/>
            <sz val="9"/>
            <color indexed="81"/>
            <rFont val="Tahoma"/>
            <family val="2"/>
          </rPr>
          <t>ACER INDONESIA:</t>
        </r>
        <r>
          <rPr>
            <sz val="9"/>
            <color indexed="81"/>
            <rFont val="Tahoma"/>
            <family val="2"/>
          </rPr>
          <t xml:space="preserve">
421 - 2294 TU</t>
        </r>
      </text>
    </comment>
    <comment ref="E3160" authorId="2" shapeId="0">
      <text>
        <r>
          <rPr>
            <b/>
            <sz val="9"/>
            <color indexed="81"/>
            <rFont val="Tahoma"/>
            <family val="2"/>
          </rPr>
          <t>ACER INDONESIA:</t>
        </r>
        <r>
          <rPr>
            <sz val="9"/>
            <color indexed="81"/>
            <rFont val="Tahoma"/>
            <family val="2"/>
          </rPr>
          <t xml:space="preserve">
189 - 1003 TU</t>
        </r>
      </text>
    </comment>
    <comment ref="E3161" authorId="2" shapeId="0">
      <text>
        <r>
          <rPr>
            <b/>
            <sz val="9"/>
            <color indexed="81"/>
            <rFont val="Tahoma"/>
            <family val="2"/>
          </rPr>
          <t>ACER INDONESIA:</t>
        </r>
        <r>
          <rPr>
            <sz val="9"/>
            <color indexed="81"/>
            <rFont val="Tahoma"/>
            <family val="2"/>
          </rPr>
          <t xml:space="preserve">
432 - 2334 TU</t>
        </r>
      </text>
    </comment>
    <comment ref="E3162" authorId="2" shapeId="0">
      <text>
        <r>
          <rPr>
            <b/>
            <sz val="9"/>
            <color indexed="81"/>
            <rFont val="Tahoma"/>
            <family val="2"/>
          </rPr>
          <t>ACER INDONESIA:</t>
        </r>
        <r>
          <rPr>
            <sz val="9"/>
            <color indexed="81"/>
            <rFont val="Tahoma"/>
            <family val="2"/>
          </rPr>
          <t xml:space="preserve">
173 - 0903 TU</t>
        </r>
      </text>
    </comment>
    <comment ref="E3163" authorId="2" shapeId="0">
      <text>
        <r>
          <rPr>
            <b/>
            <sz val="9"/>
            <color indexed="81"/>
            <rFont val="Tahoma"/>
            <family val="2"/>
          </rPr>
          <t>ACER INDONESIA:</t>
        </r>
        <r>
          <rPr>
            <sz val="9"/>
            <color indexed="81"/>
            <rFont val="Tahoma"/>
            <family val="2"/>
          </rPr>
          <t xml:space="preserve">
655 - 3332 TU</t>
        </r>
      </text>
    </comment>
    <comment ref="E3164" authorId="2" shapeId="0">
      <text>
        <r>
          <rPr>
            <b/>
            <sz val="9"/>
            <color indexed="81"/>
            <rFont val="Tahoma"/>
            <family val="2"/>
          </rPr>
          <t>ACER INDONESIA:</t>
        </r>
        <r>
          <rPr>
            <sz val="9"/>
            <color indexed="81"/>
            <rFont val="Tahoma"/>
            <family val="2"/>
          </rPr>
          <t xml:space="preserve">
432 - 2333 TU</t>
        </r>
      </text>
    </comment>
    <comment ref="E3165" authorId="2" shapeId="0">
      <text>
        <r>
          <rPr>
            <b/>
            <sz val="9"/>
            <color indexed="81"/>
            <rFont val="Tahoma"/>
            <family val="2"/>
          </rPr>
          <t>ACER INDONESIA:</t>
        </r>
        <r>
          <rPr>
            <sz val="9"/>
            <color indexed="81"/>
            <rFont val="Tahoma"/>
            <family val="2"/>
          </rPr>
          <t xml:space="preserve">
189 - 1004 TU</t>
        </r>
      </text>
    </comment>
    <comment ref="E3166" authorId="2" shapeId="0">
      <text>
        <r>
          <rPr>
            <b/>
            <sz val="9"/>
            <color indexed="81"/>
            <rFont val="Tahoma"/>
            <family val="2"/>
          </rPr>
          <t>ACER INDONESIA:</t>
        </r>
        <r>
          <rPr>
            <sz val="9"/>
            <color indexed="81"/>
            <rFont val="Tahoma"/>
            <family val="2"/>
          </rPr>
          <t xml:space="preserve">
421 - 2293 TU</t>
        </r>
      </text>
    </comment>
    <comment ref="E3170" authorId="2" shapeId="0">
      <text>
        <r>
          <rPr>
            <b/>
            <sz val="9"/>
            <color indexed="81"/>
            <rFont val="Tahoma"/>
            <family val="2"/>
          </rPr>
          <t>ACER INDONESIA:</t>
        </r>
        <r>
          <rPr>
            <sz val="9"/>
            <color indexed="81"/>
            <rFont val="Tahoma"/>
            <family val="2"/>
          </rPr>
          <t xml:space="preserve">
452 - 2407 LS</t>
        </r>
      </text>
    </comment>
    <comment ref="E3175" authorId="2" shapeId="0">
      <text>
        <r>
          <rPr>
            <b/>
            <sz val="9"/>
            <color indexed="81"/>
            <rFont val="Tahoma"/>
            <family val="2"/>
          </rPr>
          <t>ACER INDONESIA:</t>
        </r>
        <r>
          <rPr>
            <sz val="9"/>
            <color indexed="81"/>
            <rFont val="Tahoma"/>
            <family val="2"/>
          </rPr>
          <t xml:space="preserve">
332 - 1820 LS</t>
        </r>
      </text>
    </comment>
    <comment ref="E3179" authorId="2" shapeId="0">
      <text>
        <r>
          <rPr>
            <b/>
            <sz val="9"/>
            <color indexed="81"/>
            <rFont val="Tahoma"/>
            <family val="2"/>
          </rPr>
          <t>ACER INDONESIA:</t>
        </r>
        <r>
          <rPr>
            <sz val="9"/>
            <color indexed="81"/>
            <rFont val="Tahoma"/>
            <family val="2"/>
          </rPr>
          <t xml:space="preserve">
463 - 2438 TU</t>
        </r>
      </text>
    </comment>
    <comment ref="E3182" authorId="2" shapeId="0">
      <text>
        <r>
          <rPr>
            <b/>
            <sz val="9"/>
            <color indexed="81"/>
            <rFont val="Tahoma"/>
            <family val="2"/>
          </rPr>
          <t>ACER INDONESIA:</t>
        </r>
        <r>
          <rPr>
            <sz val="9"/>
            <color indexed="81"/>
            <rFont val="Tahoma"/>
            <family val="2"/>
          </rPr>
          <t xml:space="preserve">
655 - 3328 TU</t>
        </r>
      </text>
    </comment>
    <comment ref="E3183" authorId="2" shapeId="0">
      <text>
        <r>
          <rPr>
            <b/>
            <sz val="9"/>
            <color indexed="81"/>
            <rFont val="Tahoma"/>
            <family val="2"/>
          </rPr>
          <t>ACER INDONESIA:</t>
        </r>
        <r>
          <rPr>
            <sz val="9"/>
            <color indexed="81"/>
            <rFont val="Tahoma"/>
            <family val="2"/>
          </rPr>
          <t xml:space="preserve">
287 - 1622 TU</t>
        </r>
      </text>
    </comment>
    <comment ref="E3186" authorId="2" shapeId="0">
      <text>
        <r>
          <rPr>
            <b/>
            <sz val="9"/>
            <color indexed="81"/>
            <rFont val="Tahoma"/>
            <family val="2"/>
          </rPr>
          <t>ACER INDONESIA:</t>
        </r>
        <r>
          <rPr>
            <sz val="9"/>
            <color indexed="81"/>
            <rFont val="Tahoma"/>
            <family val="2"/>
          </rPr>
          <t xml:space="preserve">
655 - 3327 TU</t>
        </r>
      </text>
    </comment>
    <comment ref="E3188" authorId="2" shapeId="0">
      <text>
        <r>
          <rPr>
            <b/>
            <sz val="9"/>
            <color indexed="81"/>
            <rFont val="Tahoma"/>
            <family val="2"/>
          </rPr>
          <t>ACER INDONESIA:</t>
        </r>
        <r>
          <rPr>
            <sz val="9"/>
            <color indexed="81"/>
            <rFont val="Tahoma"/>
            <family val="2"/>
          </rPr>
          <t xml:space="preserve">
655 - 3329 TU</t>
        </r>
      </text>
    </comment>
    <comment ref="E3189" authorId="2" shapeId="0">
      <text>
        <r>
          <rPr>
            <b/>
            <sz val="9"/>
            <color indexed="81"/>
            <rFont val="Tahoma"/>
            <family val="2"/>
          </rPr>
          <t>ACER INDONESIA:</t>
        </r>
        <r>
          <rPr>
            <sz val="9"/>
            <color indexed="81"/>
            <rFont val="Tahoma"/>
            <family val="2"/>
          </rPr>
          <t xml:space="preserve">
287 - 1615 TU</t>
        </r>
      </text>
    </comment>
    <comment ref="E3190" authorId="2" shapeId="0">
      <text>
        <r>
          <rPr>
            <b/>
            <sz val="9"/>
            <color indexed="81"/>
            <rFont val="Tahoma"/>
            <family val="2"/>
          </rPr>
          <t>ACER INDONESIA:</t>
        </r>
        <r>
          <rPr>
            <sz val="9"/>
            <color indexed="81"/>
            <rFont val="Tahoma"/>
            <family val="2"/>
          </rPr>
          <t xml:space="preserve">
463 - 2439 TU</t>
        </r>
      </text>
    </comment>
    <comment ref="E3202" authorId="2" shapeId="0">
      <text>
        <r>
          <rPr>
            <b/>
            <sz val="9"/>
            <color indexed="81"/>
            <rFont val="Tahoma"/>
            <family val="2"/>
          </rPr>
          <t>ACER INDONESIA:</t>
        </r>
        <r>
          <rPr>
            <sz val="9"/>
            <color indexed="81"/>
            <rFont val="Tahoma"/>
            <family val="2"/>
          </rPr>
          <t xml:space="preserve">
287 - 1616 TU</t>
        </r>
      </text>
    </comment>
    <comment ref="E3203" authorId="2" shapeId="0">
      <text>
        <r>
          <rPr>
            <b/>
            <sz val="9"/>
            <color indexed="81"/>
            <rFont val="Tahoma"/>
            <family val="2"/>
          </rPr>
          <t>ACER INDONESIA:</t>
        </r>
        <r>
          <rPr>
            <sz val="9"/>
            <color indexed="81"/>
            <rFont val="Tahoma"/>
            <family val="2"/>
          </rPr>
          <t xml:space="preserve">
655 - 3330 TU</t>
        </r>
      </text>
    </comment>
    <comment ref="E3204" authorId="2" shapeId="0">
      <text>
        <r>
          <rPr>
            <b/>
            <sz val="9"/>
            <color indexed="81"/>
            <rFont val="Tahoma"/>
            <family val="2"/>
          </rPr>
          <t>ACER INDONESIA:</t>
        </r>
        <r>
          <rPr>
            <sz val="9"/>
            <color indexed="81"/>
            <rFont val="Tahoma"/>
            <family val="2"/>
          </rPr>
          <t xml:space="preserve">
287 - 1617 TU</t>
        </r>
      </text>
    </comment>
    <comment ref="E3207" authorId="2" shapeId="0">
      <text>
        <r>
          <rPr>
            <b/>
            <sz val="9"/>
            <color indexed="81"/>
            <rFont val="Tahoma"/>
            <family val="2"/>
          </rPr>
          <t>ACER INDONESIA:</t>
        </r>
        <r>
          <rPr>
            <sz val="9"/>
            <color indexed="81"/>
            <rFont val="Tahoma"/>
            <family val="2"/>
          </rPr>
          <t xml:space="preserve">
287 - 1618 TU</t>
        </r>
      </text>
    </comment>
    <comment ref="E3208" authorId="2" shapeId="0">
      <text>
        <r>
          <rPr>
            <b/>
            <sz val="9"/>
            <color indexed="81"/>
            <rFont val="Tahoma"/>
            <family val="2"/>
          </rPr>
          <t>ACER INDONESIA:</t>
        </r>
        <r>
          <rPr>
            <sz val="9"/>
            <color indexed="81"/>
            <rFont val="Tahoma"/>
            <family val="2"/>
          </rPr>
          <t xml:space="preserve">
655 - 3331 TU</t>
        </r>
      </text>
    </comment>
    <comment ref="E3211" authorId="2" shapeId="0">
      <text>
        <r>
          <rPr>
            <b/>
            <sz val="9"/>
            <color indexed="81"/>
            <rFont val="Tahoma"/>
            <family val="2"/>
          </rPr>
          <t>ACER INDONESIA:</t>
        </r>
        <r>
          <rPr>
            <sz val="9"/>
            <color indexed="81"/>
            <rFont val="Tahoma"/>
            <family val="2"/>
          </rPr>
          <t xml:space="preserve">
287 - 1619 TU</t>
        </r>
      </text>
    </comment>
    <comment ref="E3214" authorId="2" shapeId="0">
      <text>
        <r>
          <rPr>
            <b/>
            <sz val="9"/>
            <color indexed="81"/>
            <rFont val="Tahoma"/>
            <family val="2"/>
          </rPr>
          <t>ACER INDONESIA:</t>
        </r>
        <r>
          <rPr>
            <sz val="9"/>
            <color indexed="81"/>
            <rFont val="Tahoma"/>
            <family val="2"/>
          </rPr>
          <t xml:space="preserve">
287 - 1620 TU</t>
        </r>
      </text>
    </comment>
    <comment ref="E3229" authorId="2" shapeId="0">
      <text>
        <r>
          <rPr>
            <b/>
            <sz val="9"/>
            <color indexed="81"/>
            <rFont val="Tahoma"/>
            <family val="2"/>
          </rPr>
          <t>ACER INDONESIA:</t>
        </r>
        <r>
          <rPr>
            <sz val="9"/>
            <color indexed="81"/>
            <rFont val="Tahoma"/>
            <family val="2"/>
          </rPr>
          <t xml:space="preserve">
239 - 1363 LS
350 - 1903 LS
395 - 2133 TU
571 - 2936 LS
579 - 2983 LS</t>
        </r>
      </text>
    </comment>
    <comment ref="E3230" authorId="2" shapeId="0">
      <text>
        <r>
          <rPr>
            <b/>
            <sz val="9"/>
            <color indexed="81"/>
            <rFont val="Tahoma"/>
            <family val="2"/>
          </rPr>
          <t>ACER INDONESIA:</t>
        </r>
        <r>
          <rPr>
            <sz val="9"/>
            <color indexed="81"/>
            <rFont val="Tahoma"/>
            <family val="2"/>
          </rPr>
          <t xml:space="preserve">
189 - 1005 LS
345 - 1874 LS
395 - 2131 TU
414 - 2235 LS
432 - 2337 LS
456 - 2418 LS
633 - 3189 LS</t>
        </r>
      </text>
    </comment>
    <comment ref="E3235" authorId="2" shapeId="0">
      <text>
        <r>
          <rPr>
            <b/>
            <sz val="9"/>
            <color indexed="81"/>
            <rFont val="Tahoma"/>
            <family val="2"/>
          </rPr>
          <t>ACER INDONESIA:</t>
        </r>
        <r>
          <rPr>
            <sz val="9"/>
            <color indexed="81"/>
            <rFont val="Tahoma"/>
            <family val="2"/>
          </rPr>
          <t xml:space="preserve">
239 - 1362/LS
319 - 1764 LS
338 - 1859/TU AP</t>
        </r>
      </text>
    </comment>
    <comment ref="E3236" authorId="2" shapeId="0">
      <text>
        <r>
          <rPr>
            <b/>
            <sz val="9"/>
            <color indexed="81"/>
            <rFont val="Tahoma"/>
            <family val="2"/>
          </rPr>
          <t>ACER INDONESIA:</t>
        </r>
        <r>
          <rPr>
            <sz val="9"/>
            <color indexed="81"/>
            <rFont val="Tahoma"/>
            <family val="2"/>
          </rPr>
          <t xml:space="preserve">
180 - 0955 LS
239 - 1361/LS
338 - 1858/TU AP</t>
        </r>
      </text>
    </comment>
    <comment ref="E3237" authorId="2" shapeId="0">
      <text>
        <r>
          <rPr>
            <b/>
            <sz val="9"/>
            <color indexed="81"/>
            <rFont val="Tahoma"/>
            <family val="2"/>
          </rPr>
          <t>ACER INDONESIA:</t>
        </r>
        <r>
          <rPr>
            <sz val="9"/>
            <color indexed="81"/>
            <rFont val="Tahoma"/>
            <family val="2"/>
          </rPr>
          <t xml:space="preserve">
287 - 1614 LS
408 - 2171 LS
552 - 2808 TU AP
655 - 3324 LS
655 3325 LS</t>
        </r>
      </text>
    </comment>
    <comment ref="E3244" authorId="2" shapeId="0">
      <text>
        <r>
          <rPr>
            <b/>
            <sz val="9"/>
            <color indexed="81"/>
            <rFont val="Tahoma"/>
            <family val="2"/>
          </rPr>
          <t>ACER INDONESIA:</t>
        </r>
        <r>
          <rPr>
            <sz val="9"/>
            <color indexed="81"/>
            <rFont val="Tahoma"/>
            <family val="2"/>
          </rPr>
          <t xml:space="preserve">
200 - 1084 LS
350 - 1902 LS
395 - 2132 TU
646 - 3297 LS
655 - 3320 LS</t>
        </r>
      </text>
    </comment>
    <comment ref="E3245" authorId="2" shapeId="0">
      <text>
        <r>
          <rPr>
            <b/>
            <sz val="9"/>
            <color indexed="81"/>
            <rFont val="Tahoma"/>
            <family val="2"/>
          </rPr>
          <t>ACER INDONESIA:</t>
        </r>
        <r>
          <rPr>
            <sz val="9"/>
            <color indexed="81"/>
            <rFont val="Tahoma"/>
            <family val="2"/>
          </rPr>
          <t xml:space="preserve">
200 - 1083 LS
239 - 1364/LS
338 - 1857 TU AP
345 - 1875 LS
617 - 3134 LS</t>
        </r>
      </text>
    </comment>
    <comment ref="E3273" authorId="2" shapeId="0">
      <text>
        <r>
          <rPr>
            <b/>
            <sz val="9"/>
            <color indexed="81"/>
            <rFont val="Tahoma"/>
            <family val="2"/>
          </rPr>
          <t>ACER INDONESIA:</t>
        </r>
        <r>
          <rPr>
            <sz val="9"/>
            <color indexed="81"/>
            <rFont val="Tahoma"/>
            <family val="2"/>
          </rPr>
          <t xml:space="preserve">
057 - 0221 TU
294 - 1645 TU
476 - 2520 TU</t>
        </r>
      </text>
    </comment>
    <comment ref="E3274" authorId="2" shapeId="0">
      <text>
        <r>
          <rPr>
            <b/>
            <sz val="9"/>
            <color indexed="81"/>
            <rFont val="Tahoma"/>
            <family val="2"/>
          </rPr>
          <t>ACER INDONESIA:</t>
        </r>
        <r>
          <rPr>
            <sz val="9"/>
            <color indexed="81"/>
            <rFont val="Tahoma"/>
            <family val="2"/>
          </rPr>
          <t xml:space="preserve">
057 - 0223 TU
294 - 1644 TU
391 - 2101 LS
391 - 2102 LS
391 - 2103 LS
476 - 2518 TU
579 - 2982.A TU</t>
        </r>
      </text>
    </comment>
    <comment ref="E3275" authorId="2" shapeId="0">
      <text>
        <r>
          <rPr>
            <b/>
            <sz val="9"/>
            <color indexed="81"/>
            <rFont val="Tahoma"/>
            <family val="2"/>
          </rPr>
          <t>ACER INDONESIA:</t>
        </r>
        <r>
          <rPr>
            <sz val="9"/>
            <color indexed="81"/>
            <rFont val="Tahoma"/>
            <family val="2"/>
          </rPr>
          <t xml:space="preserve">
137 - 0721  / TU
261 - 1501 TU</t>
        </r>
      </text>
    </comment>
    <comment ref="E3279" authorId="2" shapeId="0">
      <text>
        <r>
          <rPr>
            <b/>
            <sz val="9"/>
            <color indexed="81"/>
            <rFont val="Tahoma"/>
            <family val="2"/>
          </rPr>
          <t>ACER INDONESIA:</t>
        </r>
        <r>
          <rPr>
            <sz val="9"/>
            <color indexed="81"/>
            <rFont val="Tahoma"/>
            <family val="2"/>
          </rPr>
          <t xml:space="preserve">
400 - 2149 TU</t>
        </r>
      </text>
    </comment>
    <comment ref="E3282" authorId="2" shapeId="0">
      <text>
        <r>
          <rPr>
            <b/>
            <sz val="9"/>
            <color indexed="81"/>
            <rFont val="Tahoma"/>
            <family val="2"/>
          </rPr>
          <t>ACER INDONESIA:</t>
        </r>
        <r>
          <rPr>
            <sz val="9"/>
            <color indexed="81"/>
            <rFont val="Tahoma"/>
            <family val="2"/>
          </rPr>
          <t xml:space="preserve">
391 - 2106 LS
414 - 2233 LS
633 - 3280 LS</t>
        </r>
      </text>
    </comment>
    <comment ref="E3290" authorId="2" shapeId="0">
      <text>
        <r>
          <rPr>
            <b/>
            <sz val="9"/>
            <color indexed="81"/>
            <rFont val="Tahoma"/>
            <family val="2"/>
          </rPr>
          <t>ACER INDONESIA:</t>
        </r>
        <r>
          <rPr>
            <sz val="9"/>
            <color indexed="81"/>
            <rFont val="Tahoma"/>
            <family val="2"/>
          </rPr>
          <t xml:space="preserve">
206 - 1106 TU
345 - 1873/LS
563 - 2905 TU</t>
        </r>
      </text>
    </comment>
    <comment ref="E3291" authorId="2" shapeId="0">
      <text>
        <r>
          <rPr>
            <b/>
            <sz val="9"/>
            <color indexed="81"/>
            <rFont val="Tahoma"/>
            <family val="2"/>
          </rPr>
          <t>ACER INDONESIA:</t>
        </r>
        <r>
          <rPr>
            <sz val="9"/>
            <color indexed="81"/>
            <rFont val="Tahoma"/>
            <family val="2"/>
          </rPr>
          <t xml:space="preserve">
317 - 1759 LS
476 - 2519 LS</t>
        </r>
      </text>
    </comment>
    <comment ref="E3294" authorId="2" shapeId="0">
      <text>
        <r>
          <rPr>
            <b/>
            <sz val="9"/>
            <color indexed="81"/>
            <rFont val="Tahoma"/>
            <family val="2"/>
          </rPr>
          <t>ACER INDONESIA:</t>
        </r>
        <r>
          <rPr>
            <sz val="9"/>
            <color indexed="81"/>
            <rFont val="Tahoma"/>
            <family val="2"/>
          </rPr>
          <t xml:space="preserve">
317 - 1760 LS
552 - 2800 LS</t>
        </r>
      </text>
    </comment>
    <comment ref="E3296" authorId="2" shapeId="0">
      <text>
        <r>
          <rPr>
            <b/>
            <sz val="9"/>
            <color indexed="81"/>
            <rFont val="Tahoma"/>
            <family val="2"/>
          </rPr>
          <t>ACER INDONESIA:</t>
        </r>
        <r>
          <rPr>
            <sz val="9"/>
            <color indexed="81"/>
            <rFont val="Tahoma"/>
            <family val="2"/>
          </rPr>
          <t xml:space="preserve">
633 - 3190 LS</t>
        </r>
      </text>
    </comment>
    <comment ref="E3299" authorId="2" shapeId="0">
      <text>
        <r>
          <rPr>
            <b/>
            <sz val="9"/>
            <color indexed="81"/>
            <rFont val="Tahoma"/>
            <family val="2"/>
          </rPr>
          <t>ACER INDONESIA:</t>
        </r>
        <r>
          <rPr>
            <sz val="9"/>
            <color indexed="81"/>
            <rFont val="Tahoma"/>
            <family val="2"/>
          </rPr>
          <t xml:space="preserve">
317 - 1761 TU
395 - 2134 LS</t>
        </r>
      </text>
    </comment>
    <comment ref="E3302" authorId="2" shapeId="0">
      <text>
        <r>
          <rPr>
            <b/>
            <sz val="9"/>
            <color indexed="81"/>
            <rFont val="Tahoma"/>
            <family val="2"/>
          </rPr>
          <t>ACER INDONESIA:</t>
        </r>
        <r>
          <rPr>
            <sz val="9"/>
            <color indexed="81"/>
            <rFont val="Tahoma"/>
            <family val="2"/>
          </rPr>
          <t xml:space="preserve">
350 - 1904 LS
552 - 2794 LS</t>
        </r>
      </text>
    </comment>
    <comment ref="E3305" authorId="2" shapeId="0">
      <text>
        <r>
          <rPr>
            <b/>
            <sz val="9"/>
            <color indexed="81"/>
            <rFont val="Tahoma"/>
            <family val="2"/>
          </rPr>
          <t>ACER INDONESIA:</t>
        </r>
        <r>
          <rPr>
            <sz val="9"/>
            <color indexed="81"/>
            <rFont val="Tahoma"/>
            <family val="2"/>
          </rPr>
          <t xml:space="preserve">
563 - 2904 TU</t>
        </r>
      </text>
    </comment>
    <comment ref="E3316" authorId="2" shapeId="0">
      <text>
        <r>
          <rPr>
            <b/>
            <sz val="9"/>
            <color indexed="81"/>
            <rFont val="Tahoma"/>
            <family val="2"/>
          </rPr>
          <t>ACER INDONESIA:</t>
        </r>
        <r>
          <rPr>
            <sz val="9"/>
            <color indexed="81"/>
            <rFont val="Tahoma"/>
            <family val="2"/>
          </rPr>
          <t xml:space="preserve">
400 - 2150 LS
608 - 3080 TU</t>
        </r>
      </text>
    </comment>
    <comment ref="E3317" authorId="2" shapeId="0">
      <text>
        <r>
          <rPr>
            <b/>
            <sz val="9"/>
            <color indexed="81"/>
            <rFont val="Tahoma"/>
            <family val="2"/>
          </rPr>
          <t>ACER INDONESIA:</t>
        </r>
        <r>
          <rPr>
            <sz val="9"/>
            <color indexed="81"/>
            <rFont val="Tahoma"/>
            <family val="2"/>
          </rPr>
          <t xml:space="preserve">
274 - 1566 LS
655 - 3322 TU</t>
        </r>
      </text>
    </comment>
    <comment ref="E3318" authorId="2" shapeId="0">
      <text>
        <r>
          <rPr>
            <b/>
            <sz val="9"/>
            <color indexed="81"/>
            <rFont val="Tahoma"/>
            <family val="2"/>
          </rPr>
          <t>ACER INDONESIA:</t>
        </r>
        <r>
          <rPr>
            <sz val="9"/>
            <color indexed="81"/>
            <rFont val="Tahoma"/>
            <family val="2"/>
          </rPr>
          <t xml:space="preserve">
350 - 1905/LS
408 - 2170 TU
655 - 3326 LS</t>
        </r>
      </text>
    </comment>
    <comment ref="E3319" authorId="2" shapeId="0">
      <text>
        <r>
          <rPr>
            <b/>
            <sz val="9"/>
            <color indexed="81"/>
            <rFont val="Tahoma"/>
            <family val="2"/>
          </rPr>
          <t>ACER INDONESIA:</t>
        </r>
        <r>
          <rPr>
            <sz val="9"/>
            <color indexed="81"/>
            <rFont val="Tahoma"/>
            <family val="2"/>
          </rPr>
          <t xml:space="preserve">
608 - 3078 TU</t>
        </r>
      </text>
    </comment>
    <comment ref="E3320" authorId="2" shapeId="0">
      <text>
        <r>
          <rPr>
            <b/>
            <sz val="9"/>
            <color indexed="81"/>
            <rFont val="Tahoma"/>
            <family val="2"/>
          </rPr>
          <t>ACER INDONESIA:</t>
        </r>
        <r>
          <rPr>
            <sz val="9"/>
            <color indexed="81"/>
            <rFont val="Tahoma"/>
            <family val="2"/>
          </rPr>
          <t xml:space="preserve">
301 - 1683 LS
608 - 3077 TU</t>
        </r>
      </text>
    </comment>
    <comment ref="E3339" authorId="2" shapeId="0">
      <text>
        <r>
          <rPr>
            <b/>
            <sz val="9"/>
            <color indexed="81"/>
            <rFont val="Tahoma"/>
            <family val="2"/>
          </rPr>
          <t>ACER INDONESIA:</t>
        </r>
        <r>
          <rPr>
            <sz val="9"/>
            <color indexed="81"/>
            <rFont val="Tahoma"/>
            <family val="2"/>
          </rPr>
          <t xml:space="preserve">
113 - 0542/TU</t>
        </r>
      </text>
    </comment>
    <comment ref="E3340" authorId="2" shapeId="0">
      <text>
        <r>
          <rPr>
            <b/>
            <sz val="9"/>
            <color indexed="81"/>
            <rFont val="Tahoma"/>
            <family val="2"/>
          </rPr>
          <t>ACER INDONESIA:</t>
        </r>
        <r>
          <rPr>
            <sz val="9"/>
            <color indexed="81"/>
            <rFont val="Tahoma"/>
            <family val="2"/>
          </rPr>
          <t xml:space="preserve">
180 - 0962 TU</t>
        </r>
      </text>
    </comment>
    <comment ref="E3341" authorId="2" shapeId="0">
      <text>
        <r>
          <rPr>
            <b/>
            <sz val="9"/>
            <color indexed="81"/>
            <rFont val="Tahoma"/>
            <family val="2"/>
          </rPr>
          <t>ACER INDONESIA:</t>
        </r>
        <r>
          <rPr>
            <sz val="9"/>
            <color indexed="81"/>
            <rFont val="Tahoma"/>
            <family val="2"/>
          </rPr>
          <t xml:space="preserve">
180 - 0961 TU
414 - 2228 TU</t>
        </r>
      </text>
    </comment>
    <comment ref="E3344" authorId="2" shapeId="0">
      <text>
        <r>
          <rPr>
            <b/>
            <sz val="9"/>
            <color indexed="81"/>
            <rFont val="Tahoma"/>
            <family val="2"/>
          </rPr>
          <t>ACER INDONESIA:</t>
        </r>
        <r>
          <rPr>
            <sz val="9"/>
            <color indexed="81"/>
            <rFont val="Tahoma"/>
            <family val="2"/>
          </rPr>
          <t xml:space="preserve">
203 - 1097/LS
239 - 1365/LS
254 - 1474 LS</t>
        </r>
      </text>
    </comment>
    <comment ref="E3351" authorId="2" shapeId="0">
      <text>
        <r>
          <rPr>
            <b/>
            <sz val="9"/>
            <color indexed="81"/>
            <rFont val="Tahoma"/>
            <family val="2"/>
          </rPr>
          <t>ACER INDONESIA:</t>
        </r>
        <r>
          <rPr>
            <sz val="9"/>
            <color indexed="81"/>
            <rFont val="Tahoma"/>
            <family val="2"/>
          </rPr>
          <t xml:space="preserve">
552 - 2803 TU
617 - 3135 LS</t>
        </r>
      </text>
    </comment>
    <comment ref="E3370" authorId="2" shapeId="0">
      <text>
        <r>
          <rPr>
            <b/>
            <sz val="9"/>
            <color indexed="81"/>
            <rFont val="Tahoma"/>
            <family val="2"/>
          </rPr>
          <t>ACER INDONESIA:</t>
        </r>
        <r>
          <rPr>
            <sz val="9"/>
            <color indexed="81"/>
            <rFont val="Tahoma"/>
            <family val="2"/>
          </rPr>
          <t xml:space="preserve">
180 - 0957
189 - 1000 LS
552 - 2797 LS</t>
        </r>
      </text>
    </comment>
    <comment ref="E3372" authorId="2" shapeId="0">
      <text>
        <r>
          <rPr>
            <b/>
            <sz val="9"/>
            <color indexed="81"/>
            <rFont val="Tahoma"/>
            <family val="2"/>
          </rPr>
          <t>ACER INDONESIA:</t>
        </r>
        <r>
          <rPr>
            <sz val="9"/>
            <color indexed="81"/>
            <rFont val="Tahoma"/>
            <family val="2"/>
          </rPr>
          <t xml:space="preserve">
180 - 0956 LS
189 - 1001 LS</t>
        </r>
      </text>
    </comment>
    <comment ref="E3373" authorId="2" shapeId="0">
      <text>
        <r>
          <rPr>
            <b/>
            <sz val="9"/>
            <color indexed="81"/>
            <rFont val="Tahoma"/>
            <family val="2"/>
          </rPr>
          <t>ACER INDONESIA:</t>
        </r>
        <r>
          <rPr>
            <sz val="9"/>
            <color indexed="81"/>
            <rFont val="Tahoma"/>
            <family val="2"/>
          </rPr>
          <t xml:space="preserve">
247 - 1454 LS
247 - 1455 LS
552 - 2806 LS</t>
        </r>
      </text>
    </comment>
    <comment ref="E3374" authorId="2" shapeId="0">
      <text>
        <r>
          <rPr>
            <b/>
            <sz val="9"/>
            <color indexed="81"/>
            <rFont val="Tahoma"/>
            <family val="2"/>
          </rPr>
          <t>ACER INDONESIA:</t>
        </r>
        <r>
          <rPr>
            <sz val="9"/>
            <color indexed="81"/>
            <rFont val="Tahoma"/>
            <family val="2"/>
          </rPr>
          <t xml:space="preserve">
274 - 1562 LS
377 - 2045/LS</t>
        </r>
      </text>
    </comment>
    <comment ref="E3376" authorId="2" shapeId="0">
      <text>
        <r>
          <rPr>
            <b/>
            <sz val="9"/>
            <color indexed="81"/>
            <rFont val="Tahoma"/>
            <family val="2"/>
          </rPr>
          <t>ACER INDONESIA:</t>
        </r>
        <r>
          <rPr>
            <sz val="9"/>
            <color indexed="81"/>
            <rFont val="Tahoma"/>
            <family val="2"/>
          </rPr>
          <t xml:space="preserve">
227 - 1214 LS
552 - 2799 LS</t>
        </r>
      </text>
    </comment>
    <comment ref="E3377" authorId="2" shapeId="0">
      <text>
        <r>
          <rPr>
            <b/>
            <sz val="9"/>
            <color indexed="81"/>
            <rFont val="Tahoma"/>
            <family val="2"/>
          </rPr>
          <t>ACER INDONESIA:</t>
        </r>
        <r>
          <rPr>
            <sz val="9"/>
            <color indexed="81"/>
            <rFont val="Tahoma"/>
            <family val="2"/>
          </rPr>
          <t xml:space="preserve">
227 - 1215 LS
414 - 2234 LS</t>
        </r>
      </text>
    </comment>
    <comment ref="E3378" authorId="2" shapeId="0">
      <text>
        <r>
          <rPr>
            <b/>
            <sz val="9"/>
            <color indexed="81"/>
            <rFont val="Tahoma"/>
            <family val="2"/>
          </rPr>
          <t>ACER INDONESIA:</t>
        </r>
        <r>
          <rPr>
            <sz val="9"/>
            <color indexed="81"/>
            <rFont val="Tahoma"/>
            <family val="2"/>
          </rPr>
          <t xml:space="preserve">
185 - 0982 LS
274 - 1563 LS
274 - 1564 LS
274 - 1565 LS</t>
        </r>
      </text>
    </comment>
    <comment ref="E3379" authorId="2" shapeId="0">
      <text>
        <r>
          <rPr>
            <b/>
            <sz val="9"/>
            <color indexed="81"/>
            <rFont val="Tahoma"/>
            <family val="2"/>
          </rPr>
          <t>ACER INDONESIA:</t>
        </r>
        <r>
          <rPr>
            <sz val="9"/>
            <color indexed="81"/>
            <rFont val="Tahoma"/>
            <family val="2"/>
          </rPr>
          <t xml:space="preserve">
274 - 1561 LS
274 - 1564 LS</t>
        </r>
      </text>
    </comment>
    <comment ref="E3380" authorId="2" shapeId="0">
      <text>
        <r>
          <rPr>
            <b/>
            <sz val="9"/>
            <color indexed="81"/>
            <rFont val="Tahoma"/>
            <family val="2"/>
          </rPr>
          <t>ACER INDONESIA:</t>
        </r>
        <r>
          <rPr>
            <sz val="9"/>
            <color indexed="81"/>
            <rFont val="Tahoma"/>
            <family val="2"/>
          </rPr>
          <t xml:space="preserve">
227 - 1213/LS</t>
        </r>
      </text>
    </comment>
    <comment ref="E3383" authorId="2" shapeId="0">
      <text>
        <r>
          <rPr>
            <b/>
            <sz val="9"/>
            <color indexed="81"/>
            <rFont val="Tahoma"/>
            <family val="2"/>
          </rPr>
          <t>ACER INDONESIA:</t>
        </r>
        <r>
          <rPr>
            <sz val="9"/>
            <color indexed="81"/>
            <rFont val="Tahoma"/>
            <family val="2"/>
          </rPr>
          <t xml:space="preserve">
239 - 1366 LS
490 - 2576 LS
552 - 2798 LS</t>
        </r>
      </text>
    </comment>
    <comment ref="E3385" authorId="2" shapeId="0">
      <text>
        <r>
          <rPr>
            <b/>
            <sz val="9"/>
            <color indexed="81"/>
            <rFont val="Tahoma"/>
            <family val="2"/>
          </rPr>
          <t>ACER INDONESIA:</t>
        </r>
        <r>
          <rPr>
            <sz val="9"/>
            <color indexed="81"/>
            <rFont val="Tahoma"/>
            <family val="2"/>
          </rPr>
          <t xml:space="preserve">
425 - 2305 LS</t>
        </r>
      </text>
    </comment>
    <comment ref="E3390" authorId="2" shapeId="0">
      <text>
        <r>
          <rPr>
            <b/>
            <sz val="9"/>
            <color indexed="81"/>
            <rFont val="Tahoma"/>
            <family val="2"/>
          </rPr>
          <t>ACER INDONESIA:</t>
        </r>
        <r>
          <rPr>
            <sz val="9"/>
            <color indexed="81"/>
            <rFont val="Tahoma"/>
            <family val="2"/>
          </rPr>
          <t xml:space="preserve">
377 - 2046/LS
624 - 3164 LS</t>
        </r>
      </text>
    </comment>
    <comment ref="B3457" authorId="1" shapeId="0">
      <text>
        <r>
          <rPr>
            <b/>
            <sz val="9"/>
            <color indexed="81"/>
            <rFont val="Tahoma"/>
            <family val="2"/>
          </rPr>
          <t>asus:</t>
        </r>
        <r>
          <rPr>
            <sz val="9"/>
            <color indexed="81"/>
            <rFont val="Tahoma"/>
            <family val="2"/>
          </rPr>
          <t xml:space="preserve">
</t>
        </r>
      </text>
    </comment>
    <comment ref="D3656" authorId="1" shapeId="0">
      <text>
        <r>
          <rPr>
            <b/>
            <sz val="9"/>
            <color indexed="81"/>
            <rFont val="Tahoma"/>
            <family val="2"/>
          </rPr>
          <t>asus:</t>
        </r>
        <r>
          <rPr>
            <sz val="9"/>
            <color indexed="81"/>
            <rFont val="Tahoma"/>
            <family val="2"/>
          </rPr>
          <t xml:space="preserve">
</t>
        </r>
      </text>
    </comment>
    <comment ref="C4136" authorId="1" shapeId="0">
      <text>
        <r>
          <rPr>
            <b/>
            <sz val="9"/>
            <color indexed="81"/>
            <rFont val="Tahoma"/>
            <family val="2"/>
          </rPr>
          <t>asus:</t>
        </r>
        <r>
          <rPr>
            <sz val="9"/>
            <color indexed="81"/>
            <rFont val="Tahoma"/>
            <family val="2"/>
          </rPr>
          <t xml:space="preserve">
</t>
        </r>
      </text>
    </comment>
  </commentList>
</comments>
</file>

<file path=xl/comments2.xml><?xml version="1.0" encoding="utf-8"?>
<comments xmlns="http://schemas.openxmlformats.org/spreadsheetml/2006/main">
  <authors>
    <author>HP</author>
    <author>asus</author>
    <author>ACER INDONESIA</author>
  </authors>
  <commentList>
    <comment ref="H961" authorId="0" shapeId="0">
      <text>
        <r>
          <rPr>
            <b/>
            <sz val="9"/>
            <color indexed="81"/>
            <rFont val="Tahoma"/>
            <family val="2"/>
          </rPr>
          <t>HP:</t>
        </r>
        <r>
          <rPr>
            <sz val="9"/>
            <color indexed="81"/>
            <rFont val="Tahoma"/>
            <family val="2"/>
          </rPr>
          <t xml:space="preserve">
</t>
        </r>
      </text>
    </comment>
    <comment ref="H967" authorId="0" shapeId="0">
      <text>
        <r>
          <rPr>
            <b/>
            <sz val="9"/>
            <color indexed="81"/>
            <rFont val="Tahoma"/>
            <family val="2"/>
          </rPr>
          <t>HP:</t>
        </r>
        <r>
          <rPr>
            <sz val="9"/>
            <color indexed="81"/>
            <rFont val="Tahoma"/>
            <family val="2"/>
          </rPr>
          <t xml:space="preserve">
</t>
        </r>
      </text>
    </comment>
    <comment ref="B2510" authorId="1" shapeId="0">
      <text>
        <r>
          <rPr>
            <b/>
            <sz val="9"/>
            <color indexed="81"/>
            <rFont val="Tahoma"/>
            <family val="2"/>
          </rPr>
          <t>asus:</t>
        </r>
        <r>
          <rPr>
            <sz val="9"/>
            <color indexed="81"/>
            <rFont val="Tahoma"/>
            <family val="2"/>
          </rPr>
          <t xml:space="preserve">
</t>
        </r>
      </text>
    </comment>
    <comment ref="C2527" authorId="1" shapeId="0">
      <text>
        <r>
          <rPr>
            <b/>
            <sz val="9"/>
            <color indexed="81"/>
            <rFont val="Tahoma"/>
            <family val="2"/>
          </rPr>
          <t>asus:</t>
        </r>
        <r>
          <rPr>
            <sz val="9"/>
            <color indexed="81"/>
            <rFont val="Tahoma"/>
            <family val="2"/>
          </rPr>
          <t xml:space="preserve">
</t>
        </r>
      </text>
    </comment>
    <comment ref="K3164" authorId="2" shapeId="0">
      <text>
        <r>
          <rPr>
            <b/>
            <sz val="9"/>
            <color indexed="81"/>
            <rFont val="Tahoma"/>
            <family val="2"/>
          </rPr>
          <t>ACER INDONESIA:</t>
        </r>
        <r>
          <rPr>
            <sz val="9"/>
            <color indexed="81"/>
            <rFont val="Tahoma"/>
            <family val="2"/>
          </rPr>
          <t xml:space="preserve">
105 - 0453/TU</t>
        </r>
      </text>
    </comment>
    <comment ref="K3165" authorId="2" shapeId="0">
      <text>
        <r>
          <rPr>
            <b/>
            <sz val="9"/>
            <color indexed="81"/>
            <rFont val="Tahoma"/>
            <family val="2"/>
          </rPr>
          <t>ACER INDONESIA:</t>
        </r>
        <r>
          <rPr>
            <sz val="9"/>
            <color indexed="81"/>
            <rFont val="Tahoma"/>
            <family val="2"/>
          </rPr>
          <t xml:space="preserve">
490 - 2574 LS
552 - 2801 TU</t>
        </r>
      </text>
    </comment>
    <comment ref="K3168" authorId="2" shapeId="0">
      <text>
        <r>
          <rPr>
            <b/>
            <sz val="9"/>
            <color indexed="81"/>
            <rFont val="Tahoma"/>
            <family val="2"/>
          </rPr>
          <t>ACER INDONESIA:</t>
        </r>
        <r>
          <rPr>
            <sz val="9"/>
            <color indexed="81"/>
            <rFont val="Tahoma"/>
            <family val="2"/>
          </rPr>
          <t xml:space="preserve">
051 - 0183/TU</t>
        </r>
      </text>
    </comment>
    <comment ref="K3169" authorId="2" shapeId="0">
      <text>
        <r>
          <rPr>
            <b/>
            <sz val="9"/>
            <color indexed="81"/>
            <rFont val="Tahoma"/>
            <family val="2"/>
          </rPr>
          <t>ACER INDONESIA:</t>
        </r>
        <r>
          <rPr>
            <sz val="9"/>
            <color indexed="81"/>
            <rFont val="Tahoma"/>
            <family val="2"/>
          </rPr>
          <t xml:space="preserve">
051 - 0180/TU
655 - 3333 TU</t>
        </r>
      </text>
    </comment>
    <comment ref="K3170" authorId="2" shapeId="0">
      <text>
        <r>
          <rPr>
            <b/>
            <sz val="9"/>
            <color indexed="81"/>
            <rFont val="Tahoma"/>
            <family val="2"/>
          </rPr>
          <t>ACER INDONESIA:</t>
        </r>
        <r>
          <rPr>
            <sz val="9"/>
            <color indexed="81"/>
            <rFont val="Tahoma"/>
            <family val="2"/>
          </rPr>
          <t xml:space="preserve">
057 - 0222/TU</t>
        </r>
      </text>
    </comment>
    <comment ref="K3171" authorId="2" shapeId="0">
      <text>
        <r>
          <rPr>
            <b/>
            <sz val="9"/>
            <color indexed="81"/>
            <rFont val="Tahoma"/>
            <family val="2"/>
          </rPr>
          <t>ACER INDONESIA:</t>
        </r>
        <r>
          <rPr>
            <sz val="9"/>
            <color indexed="81"/>
            <rFont val="Tahoma"/>
            <family val="2"/>
          </rPr>
          <t xml:space="preserve">
501 - 2606 TU</t>
        </r>
      </text>
    </comment>
    <comment ref="K3172" authorId="2" shapeId="0">
      <text>
        <r>
          <rPr>
            <b/>
            <sz val="9"/>
            <color indexed="81"/>
            <rFont val="Tahoma"/>
            <family val="2"/>
          </rPr>
          <t>ACER INDONESIA:</t>
        </r>
        <r>
          <rPr>
            <sz val="9"/>
            <color indexed="81"/>
            <rFont val="Tahoma"/>
            <family val="2"/>
          </rPr>
          <t xml:space="preserve">
239 - 1364.A/LS
432 - 2335 LS
571 - 2935 LS</t>
        </r>
      </text>
    </comment>
    <comment ref="K3173" authorId="2" shapeId="0">
      <text>
        <r>
          <rPr>
            <b/>
            <sz val="9"/>
            <color indexed="81"/>
            <rFont val="Tahoma"/>
            <family val="2"/>
          </rPr>
          <t>ACER INDONESIA:</t>
        </r>
        <r>
          <rPr>
            <sz val="9"/>
            <color indexed="81"/>
            <rFont val="Tahoma"/>
            <family val="2"/>
          </rPr>
          <t xml:space="preserve">
301 - 1680 LS
608 - 3075 LS</t>
        </r>
      </text>
    </comment>
    <comment ref="K3174" authorId="2" shapeId="0">
      <text>
        <r>
          <rPr>
            <b/>
            <sz val="9"/>
            <color indexed="81"/>
            <rFont val="Tahoma"/>
            <family val="2"/>
          </rPr>
          <t>ACER INDONESIA:</t>
        </r>
        <r>
          <rPr>
            <sz val="9"/>
            <color indexed="81"/>
            <rFont val="Tahoma"/>
            <family val="2"/>
          </rPr>
          <t xml:space="preserve">
239-1360/LS
414 - 2232 LS
617 - 3131 LS</t>
        </r>
      </text>
    </comment>
    <comment ref="K3175" authorId="2" shapeId="0">
      <text>
        <r>
          <rPr>
            <b/>
            <sz val="9"/>
            <color indexed="81"/>
            <rFont val="Tahoma"/>
            <family val="2"/>
          </rPr>
          <t>ACER INDONESIA:</t>
        </r>
        <r>
          <rPr>
            <sz val="9"/>
            <color indexed="81"/>
            <rFont val="Tahoma"/>
            <family val="2"/>
          </rPr>
          <t xml:space="preserve">
301 - 1681 LS
463 - 2441 LS
617 - 3133 LS</t>
        </r>
      </text>
    </comment>
    <comment ref="K3176" authorId="2" shapeId="0">
      <text>
        <r>
          <rPr>
            <b/>
            <sz val="9"/>
            <color indexed="81"/>
            <rFont val="Tahoma"/>
            <family val="2"/>
          </rPr>
          <t>ACER INDONESIA:</t>
        </r>
        <r>
          <rPr>
            <sz val="9"/>
            <color indexed="81"/>
            <rFont val="Tahoma"/>
            <family val="2"/>
          </rPr>
          <t xml:space="preserve">
266 - 1535 LS
425 - 2307 LS
617 - 3129 LS</t>
        </r>
      </text>
    </comment>
    <comment ref="K3177" authorId="2" shapeId="0">
      <text>
        <r>
          <rPr>
            <b/>
            <sz val="9"/>
            <color indexed="81"/>
            <rFont val="Tahoma"/>
            <family val="2"/>
          </rPr>
          <t>ACER INDONESIA:</t>
        </r>
        <r>
          <rPr>
            <sz val="9"/>
            <color indexed="81"/>
            <rFont val="Tahoma"/>
            <family val="2"/>
          </rPr>
          <t xml:space="preserve">
266 - 1533 LS
463 - 2440 LS
608 - 3076 LS</t>
        </r>
      </text>
    </comment>
    <comment ref="K3178" authorId="2" shapeId="0">
      <text>
        <r>
          <rPr>
            <b/>
            <sz val="9"/>
            <color indexed="81"/>
            <rFont val="Tahoma"/>
            <family val="2"/>
          </rPr>
          <t>ACER INDONESIA:</t>
        </r>
        <r>
          <rPr>
            <sz val="9"/>
            <color indexed="81"/>
            <rFont val="Tahoma"/>
            <family val="2"/>
          </rPr>
          <t xml:space="preserve">
266 - 1532 LS
391 - 2105 LS
552 - 2795 LS</t>
        </r>
      </text>
    </comment>
    <comment ref="K3179" authorId="2" shapeId="0">
      <text>
        <r>
          <rPr>
            <b/>
            <sz val="9"/>
            <color indexed="81"/>
            <rFont val="Tahoma"/>
            <family val="2"/>
          </rPr>
          <t>ACER INDONESIA:</t>
        </r>
        <r>
          <rPr>
            <sz val="9"/>
            <color indexed="81"/>
            <rFont val="Tahoma"/>
            <family val="2"/>
          </rPr>
          <t xml:space="preserve">
306 - 1707 LS
490 - 2573 LS
655 - 3336 LS</t>
        </r>
      </text>
    </comment>
    <comment ref="K3180" authorId="2" shapeId="0">
      <text>
        <r>
          <rPr>
            <b/>
            <sz val="9"/>
            <color indexed="81"/>
            <rFont val="Tahoma"/>
            <family val="2"/>
          </rPr>
          <t>ACER INDONESIA:</t>
        </r>
        <r>
          <rPr>
            <sz val="9"/>
            <color indexed="81"/>
            <rFont val="Tahoma"/>
            <family val="2"/>
          </rPr>
          <t xml:space="preserve">
266 - 1534 LS
492 2579 LS
617 - 3132 LS</t>
        </r>
      </text>
    </comment>
    <comment ref="K3181" authorId="2" shapeId="0">
      <text>
        <r>
          <rPr>
            <b/>
            <sz val="9"/>
            <color indexed="81"/>
            <rFont val="Tahoma"/>
            <family val="2"/>
          </rPr>
          <t>ACER INDONESIA:</t>
        </r>
        <r>
          <rPr>
            <sz val="9"/>
            <color indexed="81"/>
            <rFont val="Tahoma"/>
            <family val="2"/>
          </rPr>
          <t xml:space="preserve">
301 - 1678 LS
391 - 2104 LS
571 - 2934 LS</t>
        </r>
      </text>
    </comment>
    <comment ref="K3182" authorId="2" shapeId="0">
      <text>
        <r>
          <rPr>
            <b/>
            <sz val="9"/>
            <color indexed="81"/>
            <rFont val="Tahoma"/>
            <family val="2"/>
          </rPr>
          <t>ACER INDONESIA:</t>
        </r>
        <r>
          <rPr>
            <sz val="9"/>
            <color indexed="81"/>
            <rFont val="Tahoma"/>
            <family val="2"/>
          </rPr>
          <t xml:space="preserve">
608 - 3074 LS</t>
        </r>
      </text>
    </comment>
    <comment ref="K3183" authorId="2" shapeId="0">
      <text>
        <r>
          <rPr>
            <b/>
            <sz val="9"/>
            <color indexed="81"/>
            <rFont val="Tahoma"/>
            <family val="2"/>
          </rPr>
          <t>ACER INDONESIA:</t>
        </r>
        <r>
          <rPr>
            <sz val="9"/>
            <color indexed="81"/>
            <rFont val="Tahoma"/>
            <family val="2"/>
          </rPr>
          <t xml:space="preserve">
414 - 2231 LS
617 - 3130 LS</t>
        </r>
      </text>
    </comment>
    <comment ref="K3184" authorId="2" shapeId="0">
      <text>
        <r>
          <rPr>
            <b/>
            <sz val="9"/>
            <color indexed="81"/>
            <rFont val="Tahoma"/>
            <family val="2"/>
          </rPr>
          <t>ACER INDONESIA:</t>
        </r>
        <r>
          <rPr>
            <sz val="9"/>
            <color indexed="81"/>
            <rFont val="Tahoma"/>
            <family val="2"/>
          </rPr>
          <t xml:space="preserve">
395 - 2129 LS
655 - 3335 LS</t>
        </r>
      </text>
    </comment>
    <comment ref="K3185" authorId="2" shapeId="0">
      <text>
        <r>
          <rPr>
            <b/>
            <sz val="9"/>
            <color indexed="81"/>
            <rFont val="Tahoma"/>
            <family val="2"/>
          </rPr>
          <t>ACER INDONESIA:</t>
        </r>
        <r>
          <rPr>
            <sz val="9"/>
            <color indexed="81"/>
            <rFont val="Tahoma"/>
            <family val="2"/>
          </rPr>
          <t xml:space="preserve">
301 - 1679 LS
579 - 2982 LS</t>
        </r>
      </text>
    </comment>
    <comment ref="K3186" authorId="2" shapeId="0">
      <text>
        <r>
          <rPr>
            <b/>
            <sz val="9"/>
            <color indexed="81"/>
            <rFont val="Tahoma"/>
            <family val="2"/>
          </rPr>
          <t>ACER INDONESIA:</t>
        </r>
        <r>
          <rPr>
            <sz val="9"/>
            <color indexed="81"/>
            <rFont val="Tahoma"/>
            <family val="2"/>
          </rPr>
          <t xml:space="preserve">
051 - 0181/TU</t>
        </r>
      </text>
    </comment>
    <comment ref="K3187" authorId="2" shapeId="0">
      <text>
        <r>
          <rPr>
            <b/>
            <sz val="9"/>
            <color indexed="81"/>
            <rFont val="Tahoma"/>
            <family val="2"/>
          </rPr>
          <t>ACER INDONESIA:</t>
        </r>
        <r>
          <rPr>
            <sz val="9"/>
            <color indexed="81"/>
            <rFont val="Tahoma"/>
            <family val="2"/>
          </rPr>
          <t xml:space="preserve">
476 - 2521 TU
6553321.A TU</t>
        </r>
      </text>
    </comment>
    <comment ref="K3188" authorId="2" shapeId="0">
      <text>
        <r>
          <rPr>
            <b/>
            <sz val="9"/>
            <color indexed="81"/>
            <rFont val="Tahoma"/>
            <family val="2"/>
          </rPr>
          <t>ACER INDONESIA:</t>
        </r>
        <r>
          <rPr>
            <sz val="9"/>
            <color indexed="81"/>
            <rFont val="Tahoma"/>
            <family val="2"/>
          </rPr>
          <t xml:space="preserve">
239 - 1367/LS
571 - 2939 TU
617 - 3128 LS</t>
        </r>
      </text>
    </comment>
    <comment ref="K3190" authorId="2" shapeId="0">
      <text>
        <r>
          <rPr>
            <b/>
            <sz val="9"/>
            <color indexed="81"/>
            <rFont val="Tahoma"/>
            <family val="2"/>
          </rPr>
          <t>ACER INDONESIA:</t>
        </r>
        <r>
          <rPr>
            <sz val="9"/>
            <color indexed="81"/>
            <rFont val="Tahoma"/>
            <family val="2"/>
          </rPr>
          <t xml:space="preserve">
062 - 0237/TU</t>
        </r>
      </text>
    </comment>
    <comment ref="K3191" authorId="2" shapeId="0">
      <text>
        <r>
          <rPr>
            <b/>
            <sz val="9"/>
            <color indexed="81"/>
            <rFont val="Tahoma"/>
            <family val="2"/>
          </rPr>
          <t>ACER INDONESIA:</t>
        </r>
        <r>
          <rPr>
            <sz val="9"/>
            <color indexed="81"/>
            <rFont val="Tahoma"/>
            <family val="2"/>
          </rPr>
          <t xml:space="preserve">
180 - 0958 TU</t>
        </r>
      </text>
    </comment>
    <comment ref="K3192" authorId="2" shapeId="0">
      <text>
        <r>
          <rPr>
            <b/>
            <sz val="9"/>
            <color indexed="81"/>
            <rFont val="Tahoma"/>
            <family val="2"/>
          </rPr>
          <t>ACER INDONESIA:</t>
        </r>
        <r>
          <rPr>
            <sz val="9"/>
            <color indexed="81"/>
            <rFont val="Tahoma"/>
            <family val="2"/>
          </rPr>
          <t xml:space="preserve">
189 - 1002 TU</t>
        </r>
      </text>
    </comment>
    <comment ref="K3193" authorId="2" shapeId="0">
      <text>
        <r>
          <rPr>
            <b/>
            <sz val="9"/>
            <color indexed="81"/>
            <rFont val="Tahoma"/>
            <family val="2"/>
          </rPr>
          <t>ACER INDONESIA:</t>
        </r>
        <r>
          <rPr>
            <sz val="9"/>
            <color indexed="81"/>
            <rFont val="Tahoma"/>
            <family val="2"/>
          </rPr>
          <t xml:space="preserve">
608 - 3081 TU</t>
        </r>
      </text>
    </comment>
    <comment ref="K3194" authorId="2" shapeId="0">
      <text>
        <r>
          <rPr>
            <b/>
            <sz val="9"/>
            <color indexed="81"/>
            <rFont val="Tahoma"/>
            <family val="2"/>
          </rPr>
          <t>ACER INDONESIA:</t>
        </r>
        <r>
          <rPr>
            <sz val="9"/>
            <color indexed="81"/>
            <rFont val="Tahoma"/>
            <family val="2"/>
          </rPr>
          <t xml:space="preserve">
173 - 0905 TU</t>
        </r>
      </text>
    </comment>
    <comment ref="K3195" authorId="2" shapeId="0">
      <text>
        <r>
          <rPr>
            <b/>
            <sz val="9"/>
            <color indexed="81"/>
            <rFont val="Tahoma"/>
            <family val="2"/>
          </rPr>
          <t>ACER INDONESIA:</t>
        </r>
        <r>
          <rPr>
            <sz val="9"/>
            <color indexed="81"/>
            <rFont val="Tahoma"/>
            <family val="2"/>
          </rPr>
          <t xml:space="preserve">
173 - 0906 TU</t>
        </r>
      </text>
    </comment>
    <comment ref="K3198" authorId="2" shapeId="0">
      <text>
        <r>
          <rPr>
            <b/>
            <sz val="9"/>
            <color indexed="81"/>
            <rFont val="Tahoma"/>
            <family val="2"/>
          </rPr>
          <t>ACER INDONESIA:</t>
        </r>
        <r>
          <rPr>
            <sz val="9"/>
            <color indexed="81"/>
            <rFont val="Tahoma"/>
            <family val="2"/>
          </rPr>
          <t xml:space="preserve">
239 - 1364.B LS
432 - 2336 LS</t>
        </r>
      </text>
    </comment>
    <comment ref="K3199" authorId="2" shapeId="0">
      <text>
        <r>
          <rPr>
            <b/>
            <sz val="9"/>
            <color indexed="81"/>
            <rFont val="Tahoma"/>
            <family val="2"/>
          </rPr>
          <t>ACER INDONESIA:</t>
        </r>
        <r>
          <rPr>
            <sz val="9"/>
            <color indexed="81"/>
            <rFont val="Tahoma"/>
            <family val="2"/>
          </rPr>
          <t xml:space="preserve">
171 - 0898 LS
247 - 1453/LS
655 - 3334 LS</t>
        </r>
      </text>
    </comment>
    <comment ref="K3215" authorId="2" shapeId="0">
      <text>
        <r>
          <rPr>
            <b/>
            <sz val="9"/>
            <color indexed="81"/>
            <rFont val="Tahoma"/>
            <family val="2"/>
          </rPr>
          <t>ACER INDONESIA:</t>
        </r>
        <r>
          <rPr>
            <sz val="9"/>
            <color indexed="81"/>
            <rFont val="Tahoma"/>
            <family val="2"/>
          </rPr>
          <t xml:space="preserve">
421 - 2294 TU</t>
        </r>
      </text>
    </comment>
    <comment ref="K3216" authorId="2" shapeId="0">
      <text>
        <r>
          <rPr>
            <b/>
            <sz val="9"/>
            <color indexed="81"/>
            <rFont val="Tahoma"/>
            <family val="2"/>
          </rPr>
          <t>ACER INDONESIA:</t>
        </r>
        <r>
          <rPr>
            <sz val="9"/>
            <color indexed="81"/>
            <rFont val="Tahoma"/>
            <family val="2"/>
          </rPr>
          <t xml:space="preserve">
189 - 1003 TU</t>
        </r>
      </text>
    </comment>
    <comment ref="K3217" authorId="2" shapeId="0">
      <text>
        <r>
          <rPr>
            <b/>
            <sz val="9"/>
            <color indexed="81"/>
            <rFont val="Tahoma"/>
            <family val="2"/>
          </rPr>
          <t>ACER INDONESIA:</t>
        </r>
        <r>
          <rPr>
            <sz val="9"/>
            <color indexed="81"/>
            <rFont val="Tahoma"/>
            <family val="2"/>
          </rPr>
          <t xml:space="preserve">
432 - 2334 TU</t>
        </r>
      </text>
    </comment>
    <comment ref="K3218" authorId="2" shapeId="0">
      <text>
        <r>
          <rPr>
            <b/>
            <sz val="9"/>
            <color indexed="81"/>
            <rFont val="Tahoma"/>
            <family val="2"/>
          </rPr>
          <t>ACER INDONESIA:</t>
        </r>
        <r>
          <rPr>
            <sz val="9"/>
            <color indexed="81"/>
            <rFont val="Tahoma"/>
            <family val="2"/>
          </rPr>
          <t xml:space="preserve">
173 - 0903 TU</t>
        </r>
      </text>
    </comment>
    <comment ref="K3222" authorId="2" shapeId="0">
      <text>
        <r>
          <rPr>
            <b/>
            <sz val="9"/>
            <color indexed="81"/>
            <rFont val="Tahoma"/>
            <family val="2"/>
          </rPr>
          <t>ACER INDONESIA:</t>
        </r>
        <r>
          <rPr>
            <sz val="9"/>
            <color indexed="81"/>
            <rFont val="Tahoma"/>
            <family val="2"/>
          </rPr>
          <t xml:space="preserve">
452 - 2407 LS</t>
        </r>
      </text>
    </comment>
    <comment ref="K3227" authorId="2" shapeId="0">
      <text>
        <r>
          <rPr>
            <b/>
            <sz val="9"/>
            <color indexed="81"/>
            <rFont val="Tahoma"/>
            <family val="2"/>
          </rPr>
          <t>ACER INDONESIA:</t>
        </r>
        <r>
          <rPr>
            <sz val="9"/>
            <color indexed="81"/>
            <rFont val="Tahoma"/>
            <family val="2"/>
          </rPr>
          <t xml:space="preserve">
332 - 1820 LS</t>
        </r>
      </text>
    </comment>
    <comment ref="K3231" authorId="2" shapeId="0">
      <text>
        <r>
          <rPr>
            <b/>
            <sz val="9"/>
            <color indexed="81"/>
            <rFont val="Tahoma"/>
            <family val="2"/>
          </rPr>
          <t>ACER INDONESIA:</t>
        </r>
        <r>
          <rPr>
            <sz val="9"/>
            <color indexed="81"/>
            <rFont val="Tahoma"/>
            <family val="2"/>
          </rPr>
          <t xml:space="preserve">
463 - 2438 TU</t>
        </r>
      </text>
    </comment>
    <comment ref="K3234" authorId="2" shapeId="0">
      <text>
        <r>
          <rPr>
            <b/>
            <sz val="9"/>
            <color indexed="81"/>
            <rFont val="Tahoma"/>
            <family val="2"/>
          </rPr>
          <t>ACER INDONESIA:</t>
        </r>
        <r>
          <rPr>
            <sz val="9"/>
            <color indexed="81"/>
            <rFont val="Tahoma"/>
            <family val="2"/>
          </rPr>
          <t xml:space="preserve">
655 - 3328 TU</t>
        </r>
      </text>
    </comment>
    <comment ref="K3235" authorId="2" shapeId="0">
      <text>
        <r>
          <rPr>
            <b/>
            <sz val="9"/>
            <color indexed="81"/>
            <rFont val="Tahoma"/>
            <family val="2"/>
          </rPr>
          <t>ACER INDONESIA:</t>
        </r>
        <r>
          <rPr>
            <sz val="9"/>
            <color indexed="81"/>
            <rFont val="Tahoma"/>
            <family val="2"/>
          </rPr>
          <t xml:space="preserve">
287 - 1622 TU</t>
        </r>
      </text>
    </comment>
    <comment ref="K3238" authorId="2" shapeId="0">
      <text>
        <r>
          <rPr>
            <b/>
            <sz val="9"/>
            <color indexed="81"/>
            <rFont val="Tahoma"/>
            <family val="2"/>
          </rPr>
          <t>ACER INDONESIA:</t>
        </r>
        <r>
          <rPr>
            <sz val="9"/>
            <color indexed="81"/>
            <rFont val="Tahoma"/>
            <family val="2"/>
          </rPr>
          <t xml:space="preserve">
655 - 3327 TU</t>
        </r>
      </text>
    </comment>
    <comment ref="K3240" authorId="2" shapeId="0">
      <text>
        <r>
          <rPr>
            <b/>
            <sz val="9"/>
            <color indexed="81"/>
            <rFont val="Tahoma"/>
            <family val="2"/>
          </rPr>
          <t>ACER INDONESIA:</t>
        </r>
        <r>
          <rPr>
            <sz val="9"/>
            <color indexed="81"/>
            <rFont val="Tahoma"/>
            <family val="2"/>
          </rPr>
          <t xml:space="preserve">
655 - 3329 TU</t>
        </r>
      </text>
    </comment>
    <comment ref="K3241" authorId="2" shapeId="0">
      <text>
        <r>
          <rPr>
            <b/>
            <sz val="9"/>
            <color indexed="81"/>
            <rFont val="Tahoma"/>
            <family val="2"/>
          </rPr>
          <t>ACER INDONESIA:</t>
        </r>
        <r>
          <rPr>
            <sz val="9"/>
            <color indexed="81"/>
            <rFont val="Tahoma"/>
            <family val="2"/>
          </rPr>
          <t xml:space="preserve">
287 - 1615 TU</t>
        </r>
      </text>
    </comment>
    <comment ref="K3242" authorId="2" shapeId="0">
      <text>
        <r>
          <rPr>
            <b/>
            <sz val="9"/>
            <color indexed="81"/>
            <rFont val="Tahoma"/>
            <family val="2"/>
          </rPr>
          <t>ACER INDONESIA:</t>
        </r>
        <r>
          <rPr>
            <sz val="9"/>
            <color indexed="81"/>
            <rFont val="Tahoma"/>
            <family val="2"/>
          </rPr>
          <t xml:space="preserve">
463 - 2439 TU</t>
        </r>
      </text>
    </comment>
    <comment ref="K3253" authorId="2" shapeId="0">
      <text>
        <r>
          <rPr>
            <b/>
            <sz val="9"/>
            <color indexed="81"/>
            <rFont val="Tahoma"/>
            <family val="2"/>
          </rPr>
          <t>ACER INDONESIA:</t>
        </r>
        <r>
          <rPr>
            <sz val="9"/>
            <color indexed="81"/>
            <rFont val="Tahoma"/>
            <family val="2"/>
          </rPr>
          <t xml:space="preserve">
287 - 1616 TU</t>
        </r>
      </text>
    </comment>
    <comment ref="K3254" authorId="2" shapeId="0">
      <text>
        <r>
          <rPr>
            <b/>
            <sz val="9"/>
            <color indexed="81"/>
            <rFont val="Tahoma"/>
            <family val="2"/>
          </rPr>
          <t>ACER INDONESIA:</t>
        </r>
        <r>
          <rPr>
            <sz val="9"/>
            <color indexed="81"/>
            <rFont val="Tahoma"/>
            <family val="2"/>
          </rPr>
          <t xml:space="preserve">
655 - 3330 TU</t>
        </r>
      </text>
    </comment>
    <comment ref="K3255" authorId="2" shapeId="0">
      <text>
        <r>
          <rPr>
            <b/>
            <sz val="9"/>
            <color indexed="81"/>
            <rFont val="Tahoma"/>
            <family val="2"/>
          </rPr>
          <t>ACER INDONESIA:</t>
        </r>
        <r>
          <rPr>
            <sz val="9"/>
            <color indexed="81"/>
            <rFont val="Tahoma"/>
            <family val="2"/>
          </rPr>
          <t xml:space="preserve">
287 - 1617 TU</t>
        </r>
      </text>
    </comment>
    <comment ref="K3257" authorId="2" shapeId="0">
      <text>
        <r>
          <rPr>
            <b/>
            <sz val="9"/>
            <color indexed="81"/>
            <rFont val="Tahoma"/>
            <family val="2"/>
          </rPr>
          <t>ACER INDONESIA:</t>
        </r>
        <r>
          <rPr>
            <sz val="9"/>
            <color indexed="81"/>
            <rFont val="Tahoma"/>
            <family val="2"/>
          </rPr>
          <t xml:space="preserve">
287 - 1618 TU</t>
        </r>
      </text>
    </comment>
    <comment ref="K3258" authorId="2" shapeId="0">
      <text>
        <r>
          <rPr>
            <b/>
            <sz val="9"/>
            <color indexed="81"/>
            <rFont val="Tahoma"/>
            <family val="2"/>
          </rPr>
          <t>ACER INDONESIA:</t>
        </r>
        <r>
          <rPr>
            <sz val="9"/>
            <color indexed="81"/>
            <rFont val="Tahoma"/>
            <family val="2"/>
          </rPr>
          <t xml:space="preserve">
655 - 3331 TU</t>
        </r>
      </text>
    </comment>
    <comment ref="K3261" authorId="2" shapeId="0">
      <text>
        <r>
          <rPr>
            <b/>
            <sz val="9"/>
            <color indexed="81"/>
            <rFont val="Tahoma"/>
            <family val="2"/>
          </rPr>
          <t>ACER INDONESIA:</t>
        </r>
        <r>
          <rPr>
            <sz val="9"/>
            <color indexed="81"/>
            <rFont val="Tahoma"/>
            <family val="2"/>
          </rPr>
          <t xml:space="preserve">
287 - 1619 TU</t>
        </r>
      </text>
    </comment>
    <comment ref="K3264" authorId="2" shapeId="0">
      <text>
        <r>
          <rPr>
            <b/>
            <sz val="9"/>
            <color indexed="81"/>
            <rFont val="Tahoma"/>
            <family val="2"/>
          </rPr>
          <t>ACER INDONESIA:</t>
        </r>
        <r>
          <rPr>
            <sz val="9"/>
            <color indexed="81"/>
            <rFont val="Tahoma"/>
            <family val="2"/>
          </rPr>
          <t xml:space="preserve">
287 - 1620 TU</t>
        </r>
      </text>
    </comment>
    <comment ref="K3275" authorId="2" shapeId="0">
      <text>
        <r>
          <rPr>
            <b/>
            <sz val="9"/>
            <color indexed="81"/>
            <rFont val="Tahoma"/>
            <family val="2"/>
          </rPr>
          <t>ACER INDONESIA:</t>
        </r>
        <r>
          <rPr>
            <sz val="9"/>
            <color indexed="81"/>
            <rFont val="Tahoma"/>
            <family val="2"/>
          </rPr>
          <t xml:space="preserve">
239 - 1363 LS
350 - 1903 LS
395 - 2133 TU
571 - 2936 LS
579 - 2983 LS</t>
        </r>
      </text>
    </comment>
    <comment ref="K3276" authorId="2" shapeId="0">
      <text>
        <r>
          <rPr>
            <b/>
            <sz val="9"/>
            <color indexed="81"/>
            <rFont val="Tahoma"/>
            <family val="2"/>
          </rPr>
          <t>ACER INDONESIA:</t>
        </r>
        <r>
          <rPr>
            <sz val="9"/>
            <color indexed="81"/>
            <rFont val="Tahoma"/>
            <family val="2"/>
          </rPr>
          <t xml:space="preserve">
189 - 1005 LS
345 - 1874 LS
395 - 2131 TU
414 - 2235 LS
432 - 2337 LS
456 - 2418 LS
633 - 3189 LS</t>
        </r>
      </text>
    </comment>
    <comment ref="K3280" authorId="2" shapeId="0">
      <text>
        <r>
          <rPr>
            <b/>
            <sz val="9"/>
            <color indexed="81"/>
            <rFont val="Tahoma"/>
            <family val="2"/>
          </rPr>
          <t>ACER INDONESIA:</t>
        </r>
        <r>
          <rPr>
            <sz val="9"/>
            <color indexed="81"/>
            <rFont val="Tahoma"/>
            <family val="2"/>
          </rPr>
          <t xml:space="preserve">
239 - 1362/LS
319 - 1764 LS
338 - 1859/TU AP</t>
        </r>
      </text>
    </comment>
    <comment ref="K3281" authorId="2" shapeId="0">
      <text>
        <r>
          <rPr>
            <b/>
            <sz val="9"/>
            <color indexed="81"/>
            <rFont val="Tahoma"/>
            <family val="2"/>
          </rPr>
          <t>ACER INDONESIA:</t>
        </r>
        <r>
          <rPr>
            <sz val="9"/>
            <color indexed="81"/>
            <rFont val="Tahoma"/>
            <family val="2"/>
          </rPr>
          <t xml:space="preserve">
180 - 0955 LS
239 - 1361/LS
338 - 1858/TU AP</t>
        </r>
      </text>
    </comment>
    <comment ref="K3282" authorId="2" shapeId="0">
      <text>
        <r>
          <rPr>
            <b/>
            <sz val="9"/>
            <color indexed="81"/>
            <rFont val="Tahoma"/>
            <family val="2"/>
          </rPr>
          <t>ACER INDONESIA:</t>
        </r>
        <r>
          <rPr>
            <sz val="9"/>
            <color indexed="81"/>
            <rFont val="Tahoma"/>
            <family val="2"/>
          </rPr>
          <t xml:space="preserve">
287 - 1614 LS
408 - 2171 LS
552 - 2808 TU AP
655 - 3324 LS
655 3325 LS</t>
        </r>
      </text>
    </comment>
    <comment ref="K3342" authorId="2" shapeId="0">
      <text>
        <r>
          <rPr>
            <b/>
            <sz val="9"/>
            <color indexed="81"/>
            <rFont val="Tahoma"/>
            <family val="2"/>
          </rPr>
          <t>ACER INDONESIA:</t>
        </r>
        <r>
          <rPr>
            <sz val="9"/>
            <color indexed="81"/>
            <rFont val="Tahoma"/>
            <family val="2"/>
          </rPr>
          <t xml:space="preserve">
057 - 0221 TU
294 - 1645 TU
476 - 2520 TU</t>
        </r>
      </text>
    </comment>
    <comment ref="K3346" authorId="2" shapeId="0">
      <text>
        <r>
          <rPr>
            <b/>
            <sz val="9"/>
            <color indexed="81"/>
            <rFont val="Tahoma"/>
            <family val="2"/>
          </rPr>
          <t>ACER INDONESIA:</t>
        </r>
        <r>
          <rPr>
            <sz val="9"/>
            <color indexed="81"/>
            <rFont val="Tahoma"/>
            <family val="2"/>
          </rPr>
          <t xml:space="preserve">
400 - 2149 TU</t>
        </r>
      </text>
    </comment>
    <comment ref="K3349" authorId="2" shapeId="0">
      <text>
        <r>
          <rPr>
            <b/>
            <sz val="9"/>
            <color indexed="81"/>
            <rFont val="Tahoma"/>
            <family val="2"/>
          </rPr>
          <t>ACER INDONESIA:</t>
        </r>
        <r>
          <rPr>
            <sz val="9"/>
            <color indexed="81"/>
            <rFont val="Tahoma"/>
            <family val="2"/>
          </rPr>
          <t xml:space="preserve">
391 - 2106 LS
414 - 2233 LS
633 - 3280 LS</t>
        </r>
      </text>
    </comment>
    <comment ref="K3365" authorId="2" shapeId="0">
      <text>
        <r>
          <rPr>
            <b/>
            <sz val="9"/>
            <color indexed="81"/>
            <rFont val="Tahoma"/>
            <family val="2"/>
          </rPr>
          <t>ACER INDONESIA:</t>
        </r>
        <r>
          <rPr>
            <sz val="9"/>
            <color indexed="81"/>
            <rFont val="Tahoma"/>
            <family val="2"/>
          </rPr>
          <t xml:space="preserve">
206 - 1106 TU
345 - 1873/LS
563 - 2905 TU</t>
        </r>
      </text>
    </comment>
    <comment ref="K3368" authorId="2" shapeId="0">
      <text>
        <r>
          <rPr>
            <b/>
            <sz val="9"/>
            <color indexed="81"/>
            <rFont val="Tahoma"/>
            <family val="2"/>
          </rPr>
          <t>ACER INDONESIA:</t>
        </r>
        <r>
          <rPr>
            <sz val="9"/>
            <color indexed="81"/>
            <rFont val="Tahoma"/>
            <family val="2"/>
          </rPr>
          <t xml:space="preserve">
317 - 1760 LS
552 - 2800 LS</t>
        </r>
      </text>
    </comment>
    <comment ref="K3370" authorId="2" shapeId="0">
      <text>
        <r>
          <rPr>
            <b/>
            <sz val="9"/>
            <color indexed="81"/>
            <rFont val="Tahoma"/>
            <family val="2"/>
          </rPr>
          <t>ACER INDONESIA:</t>
        </r>
        <r>
          <rPr>
            <sz val="9"/>
            <color indexed="81"/>
            <rFont val="Tahoma"/>
            <family val="2"/>
          </rPr>
          <t xml:space="preserve">
633 - 3190 LS</t>
        </r>
      </text>
    </comment>
    <comment ref="K3389" authorId="2" shapeId="0">
      <text>
        <r>
          <rPr>
            <b/>
            <sz val="9"/>
            <color indexed="81"/>
            <rFont val="Tahoma"/>
            <family val="2"/>
          </rPr>
          <t>ACER INDONESIA:</t>
        </r>
        <r>
          <rPr>
            <sz val="9"/>
            <color indexed="81"/>
            <rFont val="Tahoma"/>
            <family val="2"/>
          </rPr>
          <t xml:space="preserve">
400 - 2150 LS
608 - 3080 TU</t>
        </r>
      </text>
    </comment>
    <comment ref="K3390" authorId="2" shapeId="0">
      <text>
        <r>
          <rPr>
            <b/>
            <sz val="9"/>
            <color indexed="81"/>
            <rFont val="Tahoma"/>
            <family val="2"/>
          </rPr>
          <t>ACER INDONESIA:</t>
        </r>
        <r>
          <rPr>
            <sz val="9"/>
            <color indexed="81"/>
            <rFont val="Tahoma"/>
            <family val="2"/>
          </rPr>
          <t xml:space="preserve">
274 - 1566 LS
655 - 3322 TU</t>
        </r>
      </text>
    </comment>
    <comment ref="K3391" authorId="2" shapeId="0">
      <text>
        <r>
          <rPr>
            <b/>
            <sz val="9"/>
            <color indexed="81"/>
            <rFont val="Tahoma"/>
            <family val="2"/>
          </rPr>
          <t>ACER INDONESIA:</t>
        </r>
        <r>
          <rPr>
            <sz val="9"/>
            <color indexed="81"/>
            <rFont val="Tahoma"/>
            <family val="2"/>
          </rPr>
          <t xml:space="preserve">
350 - 1905/LS
408 - 2170 TU
655 - 3326 LS</t>
        </r>
      </text>
    </comment>
    <comment ref="K3392" authorId="2" shapeId="0">
      <text>
        <r>
          <rPr>
            <b/>
            <sz val="9"/>
            <color indexed="81"/>
            <rFont val="Tahoma"/>
            <family val="2"/>
          </rPr>
          <t>ACER INDONESIA:</t>
        </r>
        <r>
          <rPr>
            <sz val="9"/>
            <color indexed="81"/>
            <rFont val="Tahoma"/>
            <family val="2"/>
          </rPr>
          <t xml:space="preserve">
608 - 3078 TU</t>
        </r>
      </text>
    </comment>
    <comment ref="K3410" authorId="2" shapeId="0">
      <text>
        <r>
          <rPr>
            <b/>
            <sz val="9"/>
            <color indexed="81"/>
            <rFont val="Tahoma"/>
            <family val="2"/>
          </rPr>
          <t>ACER INDONESIA:</t>
        </r>
        <r>
          <rPr>
            <sz val="9"/>
            <color indexed="81"/>
            <rFont val="Tahoma"/>
            <family val="2"/>
          </rPr>
          <t xml:space="preserve">
113 - 0542/TU</t>
        </r>
      </text>
    </comment>
    <comment ref="K3414" authorId="2" shapeId="0">
      <text>
        <r>
          <rPr>
            <b/>
            <sz val="9"/>
            <color indexed="81"/>
            <rFont val="Tahoma"/>
            <family val="2"/>
          </rPr>
          <t>ACER INDONESIA:</t>
        </r>
        <r>
          <rPr>
            <sz val="9"/>
            <color indexed="81"/>
            <rFont val="Tahoma"/>
            <family val="2"/>
          </rPr>
          <t xml:space="preserve">
552 - 2803 TU
617 - 3135 LS</t>
        </r>
      </text>
    </comment>
    <comment ref="B3751" authorId="1" shapeId="0">
      <text>
        <r>
          <rPr>
            <b/>
            <sz val="9"/>
            <color indexed="81"/>
            <rFont val="Tahoma"/>
            <family val="2"/>
          </rPr>
          <t>asus:</t>
        </r>
        <r>
          <rPr>
            <sz val="9"/>
            <color indexed="81"/>
            <rFont val="Tahoma"/>
            <family val="2"/>
          </rPr>
          <t xml:space="preserve">
</t>
        </r>
      </text>
    </comment>
    <comment ref="D3939" authorId="1" shapeId="0">
      <text>
        <r>
          <rPr>
            <b/>
            <sz val="9"/>
            <color indexed="81"/>
            <rFont val="Tahoma"/>
            <family val="2"/>
          </rPr>
          <t>asus:</t>
        </r>
        <r>
          <rPr>
            <sz val="9"/>
            <color indexed="81"/>
            <rFont val="Tahoma"/>
            <family val="2"/>
          </rPr>
          <t xml:space="preserve">
</t>
        </r>
      </text>
    </comment>
  </commentList>
</comments>
</file>

<file path=xl/comments3.xml><?xml version="1.0" encoding="utf-8"?>
<comments xmlns="http://schemas.openxmlformats.org/spreadsheetml/2006/main">
  <authors>
    <author>asus</author>
    <author>ACER INDONESIA</author>
  </authors>
  <commentList>
    <comment ref="C464" authorId="0" shapeId="0">
      <text>
        <r>
          <rPr>
            <b/>
            <sz val="9"/>
            <color indexed="81"/>
            <rFont val="Tahoma"/>
            <family val="2"/>
          </rPr>
          <t>asus:</t>
        </r>
        <r>
          <rPr>
            <sz val="9"/>
            <color indexed="81"/>
            <rFont val="Tahoma"/>
            <family val="2"/>
          </rPr>
          <t xml:space="preserve">
</t>
        </r>
      </text>
    </comment>
    <comment ref="E655" authorId="1" shapeId="0">
      <text>
        <r>
          <rPr>
            <b/>
            <sz val="9"/>
            <color indexed="81"/>
            <rFont val="Tahoma"/>
            <family val="2"/>
          </rPr>
          <t>ACER INDONESIA:</t>
        </r>
        <r>
          <rPr>
            <sz val="9"/>
            <color indexed="81"/>
            <rFont val="Tahoma"/>
            <family val="2"/>
          </rPr>
          <t xml:space="preserve">
105 - 0453/TU</t>
        </r>
      </text>
    </comment>
    <comment ref="E656" authorId="1" shapeId="0">
      <text>
        <r>
          <rPr>
            <b/>
            <sz val="9"/>
            <color indexed="81"/>
            <rFont val="Tahoma"/>
            <family val="2"/>
          </rPr>
          <t>ACER INDONESIA:</t>
        </r>
        <r>
          <rPr>
            <sz val="9"/>
            <color indexed="81"/>
            <rFont val="Tahoma"/>
            <family val="2"/>
          </rPr>
          <t xml:space="preserve">
490 - 2574 LS
552 - 2801 TU</t>
        </r>
      </text>
    </comment>
    <comment ref="E659" authorId="1" shapeId="0">
      <text>
        <r>
          <rPr>
            <b/>
            <sz val="9"/>
            <color indexed="81"/>
            <rFont val="Tahoma"/>
            <family val="2"/>
          </rPr>
          <t>ACER INDONESIA:</t>
        </r>
        <r>
          <rPr>
            <sz val="9"/>
            <color indexed="81"/>
            <rFont val="Tahoma"/>
            <family val="2"/>
          </rPr>
          <t xml:space="preserve">
051 - 0183/TU</t>
        </r>
      </text>
    </comment>
    <comment ref="E660" authorId="1" shapeId="0">
      <text>
        <r>
          <rPr>
            <b/>
            <sz val="9"/>
            <color indexed="81"/>
            <rFont val="Tahoma"/>
            <family val="2"/>
          </rPr>
          <t>ACER INDONESIA:</t>
        </r>
        <r>
          <rPr>
            <sz val="9"/>
            <color indexed="81"/>
            <rFont val="Tahoma"/>
            <family val="2"/>
          </rPr>
          <t xml:space="preserve">
051 - 0180/TU
655 - 3333 TU</t>
        </r>
      </text>
    </comment>
    <comment ref="E661" authorId="1" shapeId="0">
      <text>
        <r>
          <rPr>
            <b/>
            <sz val="9"/>
            <color indexed="81"/>
            <rFont val="Tahoma"/>
            <family val="2"/>
          </rPr>
          <t>ACER INDONESIA:</t>
        </r>
        <r>
          <rPr>
            <sz val="9"/>
            <color indexed="81"/>
            <rFont val="Tahoma"/>
            <family val="2"/>
          </rPr>
          <t xml:space="preserve">
057 - 0222/TU</t>
        </r>
      </text>
    </comment>
    <comment ref="E662" authorId="1" shapeId="0">
      <text>
        <r>
          <rPr>
            <b/>
            <sz val="9"/>
            <color indexed="81"/>
            <rFont val="Tahoma"/>
            <family val="2"/>
          </rPr>
          <t>ACER INDONESIA:</t>
        </r>
        <r>
          <rPr>
            <sz val="9"/>
            <color indexed="81"/>
            <rFont val="Tahoma"/>
            <family val="2"/>
          </rPr>
          <t xml:space="preserve">
501 - 2606 TU</t>
        </r>
      </text>
    </comment>
    <comment ref="E663" authorId="1" shapeId="0">
      <text>
        <r>
          <rPr>
            <b/>
            <sz val="9"/>
            <color indexed="81"/>
            <rFont val="Tahoma"/>
            <family val="2"/>
          </rPr>
          <t>ACER INDONESIA:</t>
        </r>
        <r>
          <rPr>
            <sz val="9"/>
            <color indexed="81"/>
            <rFont val="Tahoma"/>
            <family val="2"/>
          </rPr>
          <t xml:space="preserve">
239 - 1364.A/LS
432 - 2335 LS
571 - 2935 LS</t>
        </r>
      </text>
    </comment>
    <comment ref="E664" authorId="1" shapeId="0">
      <text>
        <r>
          <rPr>
            <b/>
            <sz val="9"/>
            <color indexed="81"/>
            <rFont val="Tahoma"/>
            <family val="2"/>
          </rPr>
          <t>ACER INDONESIA:</t>
        </r>
        <r>
          <rPr>
            <sz val="9"/>
            <color indexed="81"/>
            <rFont val="Tahoma"/>
            <family val="2"/>
          </rPr>
          <t xml:space="preserve">
301 - 1680 LS
608 - 3075 LS</t>
        </r>
      </text>
    </comment>
    <comment ref="E665" authorId="1" shapeId="0">
      <text>
        <r>
          <rPr>
            <b/>
            <sz val="9"/>
            <color indexed="81"/>
            <rFont val="Tahoma"/>
            <family val="2"/>
          </rPr>
          <t>ACER INDONESIA:</t>
        </r>
        <r>
          <rPr>
            <sz val="9"/>
            <color indexed="81"/>
            <rFont val="Tahoma"/>
            <family val="2"/>
          </rPr>
          <t xml:space="preserve">
239-1360/LS
414 - 2232 LS
617 - 3131 LS</t>
        </r>
      </text>
    </comment>
    <comment ref="E666" authorId="1" shapeId="0">
      <text>
        <r>
          <rPr>
            <b/>
            <sz val="9"/>
            <color indexed="81"/>
            <rFont val="Tahoma"/>
            <family val="2"/>
          </rPr>
          <t>ACER INDONESIA:</t>
        </r>
        <r>
          <rPr>
            <sz val="9"/>
            <color indexed="81"/>
            <rFont val="Tahoma"/>
            <family val="2"/>
          </rPr>
          <t xml:space="preserve">
301 - 1681 LS
463 - 2441 LS
617 - 3133 LS</t>
        </r>
      </text>
    </comment>
    <comment ref="E667" authorId="1" shapeId="0">
      <text>
        <r>
          <rPr>
            <b/>
            <sz val="9"/>
            <color indexed="81"/>
            <rFont val="Tahoma"/>
            <family val="2"/>
          </rPr>
          <t>ACER INDONESIA:</t>
        </r>
        <r>
          <rPr>
            <sz val="9"/>
            <color indexed="81"/>
            <rFont val="Tahoma"/>
            <family val="2"/>
          </rPr>
          <t xml:space="preserve">
266 - 1535 LS
425 - 2307 LS
617 - 3129 LS</t>
        </r>
      </text>
    </comment>
    <comment ref="E668" authorId="1" shapeId="0">
      <text>
        <r>
          <rPr>
            <b/>
            <sz val="9"/>
            <color indexed="81"/>
            <rFont val="Tahoma"/>
            <family val="2"/>
          </rPr>
          <t>ACER INDONESIA:</t>
        </r>
        <r>
          <rPr>
            <sz val="9"/>
            <color indexed="81"/>
            <rFont val="Tahoma"/>
            <family val="2"/>
          </rPr>
          <t xml:space="preserve">
266 - 1533 LS
463 - 2440 LS
608 - 3076 LS</t>
        </r>
      </text>
    </comment>
    <comment ref="E669" authorId="1" shapeId="0">
      <text>
        <r>
          <rPr>
            <b/>
            <sz val="9"/>
            <color indexed="81"/>
            <rFont val="Tahoma"/>
            <family val="2"/>
          </rPr>
          <t>ACER INDONESIA:</t>
        </r>
        <r>
          <rPr>
            <sz val="9"/>
            <color indexed="81"/>
            <rFont val="Tahoma"/>
            <family val="2"/>
          </rPr>
          <t xml:space="preserve">
266 - 1532 LS
391 - 2105 LS
552 - 2795 LS</t>
        </r>
      </text>
    </comment>
    <comment ref="E670" authorId="1" shapeId="0">
      <text>
        <r>
          <rPr>
            <b/>
            <sz val="9"/>
            <color indexed="81"/>
            <rFont val="Tahoma"/>
            <family val="2"/>
          </rPr>
          <t>ACER INDONESIA:</t>
        </r>
        <r>
          <rPr>
            <sz val="9"/>
            <color indexed="81"/>
            <rFont val="Tahoma"/>
            <family val="2"/>
          </rPr>
          <t xml:space="preserve">
306 - 1707 LS
490 - 2573 LS
655 - 3336 LS</t>
        </r>
      </text>
    </comment>
    <comment ref="E671" authorId="1" shapeId="0">
      <text>
        <r>
          <rPr>
            <b/>
            <sz val="9"/>
            <color indexed="81"/>
            <rFont val="Tahoma"/>
            <family val="2"/>
          </rPr>
          <t>ACER INDONESIA:</t>
        </r>
        <r>
          <rPr>
            <sz val="9"/>
            <color indexed="81"/>
            <rFont val="Tahoma"/>
            <family val="2"/>
          </rPr>
          <t xml:space="preserve">
266 - 1534 LS
492 2579 LS
617 - 3132 LS</t>
        </r>
      </text>
    </comment>
    <comment ref="E672" authorId="1" shapeId="0">
      <text>
        <r>
          <rPr>
            <b/>
            <sz val="9"/>
            <color indexed="81"/>
            <rFont val="Tahoma"/>
            <family val="2"/>
          </rPr>
          <t>ACER INDONESIA:</t>
        </r>
        <r>
          <rPr>
            <sz val="9"/>
            <color indexed="81"/>
            <rFont val="Tahoma"/>
            <family val="2"/>
          </rPr>
          <t xml:space="preserve">
301 - 1678 LS
391 - 2104 LS
571 - 2934 LS</t>
        </r>
      </text>
    </comment>
    <comment ref="E673" authorId="1" shapeId="0">
      <text>
        <r>
          <rPr>
            <b/>
            <sz val="9"/>
            <color indexed="81"/>
            <rFont val="Tahoma"/>
            <family val="2"/>
          </rPr>
          <t>ACER INDONESIA:</t>
        </r>
        <r>
          <rPr>
            <sz val="9"/>
            <color indexed="81"/>
            <rFont val="Tahoma"/>
            <family val="2"/>
          </rPr>
          <t xml:space="preserve">
608 - 3074 LS</t>
        </r>
      </text>
    </comment>
    <comment ref="E674" authorId="1" shapeId="0">
      <text>
        <r>
          <rPr>
            <b/>
            <sz val="9"/>
            <color indexed="81"/>
            <rFont val="Tahoma"/>
            <family val="2"/>
          </rPr>
          <t>ACER INDONESIA:</t>
        </r>
        <r>
          <rPr>
            <sz val="9"/>
            <color indexed="81"/>
            <rFont val="Tahoma"/>
            <family val="2"/>
          </rPr>
          <t xml:space="preserve">
414 - 2231 LS
617 - 3130 LS</t>
        </r>
      </text>
    </comment>
    <comment ref="E675" authorId="1" shapeId="0">
      <text>
        <r>
          <rPr>
            <b/>
            <sz val="9"/>
            <color indexed="81"/>
            <rFont val="Tahoma"/>
            <family val="2"/>
          </rPr>
          <t>ACER INDONESIA:</t>
        </r>
        <r>
          <rPr>
            <sz val="9"/>
            <color indexed="81"/>
            <rFont val="Tahoma"/>
            <family val="2"/>
          </rPr>
          <t xml:space="preserve">
395 - 2129 LS
655 - 3335 LS</t>
        </r>
      </text>
    </comment>
    <comment ref="E676" authorId="1" shapeId="0">
      <text>
        <r>
          <rPr>
            <b/>
            <sz val="9"/>
            <color indexed="81"/>
            <rFont val="Tahoma"/>
            <family val="2"/>
          </rPr>
          <t>ACER INDONESIA:</t>
        </r>
        <r>
          <rPr>
            <sz val="9"/>
            <color indexed="81"/>
            <rFont val="Tahoma"/>
            <family val="2"/>
          </rPr>
          <t xml:space="preserve">
301 - 1679 LS
579 - 2982 LS</t>
        </r>
      </text>
    </comment>
    <comment ref="E677" authorId="1" shapeId="0">
      <text>
        <r>
          <rPr>
            <b/>
            <sz val="9"/>
            <color indexed="81"/>
            <rFont val="Tahoma"/>
            <family val="2"/>
          </rPr>
          <t>ACER INDONESIA:</t>
        </r>
        <r>
          <rPr>
            <sz val="9"/>
            <color indexed="81"/>
            <rFont val="Tahoma"/>
            <family val="2"/>
          </rPr>
          <t xml:space="preserve">
051 - 0181/TU</t>
        </r>
      </text>
    </comment>
    <comment ref="E678" authorId="1" shapeId="0">
      <text>
        <r>
          <rPr>
            <b/>
            <sz val="9"/>
            <color indexed="81"/>
            <rFont val="Tahoma"/>
            <family val="2"/>
          </rPr>
          <t>ACER INDONESIA:</t>
        </r>
        <r>
          <rPr>
            <sz val="9"/>
            <color indexed="81"/>
            <rFont val="Tahoma"/>
            <family val="2"/>
          </rPr>
          <t xml:space="preserve">
476 - 2521 TU
6553321.A TU</t>
        </r>
      </text>
    </comment>
    <comment ref="E679" authorId="1" shapeId="0">
      <text>
        <r>
          <rPr>
            <b/>
            <sz val="9"/>
            <color indexed="81"/>
            <rFont val="Tahoma"/>
            <family val="2"/>
          </rPr>
          <t>ACER INDONESIA:</t>
        </r>
        <r>
          <rPr>
            <sz val="9"/>
            <color indexed="81"/>
            <rFont val="Tahoma"/>
            <family val="2"/>
          </rPr>
          <t xml:space="preserve">
239 - 1367/LS
571 - 2939 TU
617 - 3128 LS</t>
        </r>
      </text>
    </comment>
    <comment ref="E681" authorId="1" shapeId="0">
      <text>
        <r>
          <rPr>
            <b/>
            <sz val="9"/>
            <color indexed="81"/>
            <rFont val="Tahoma"/>
            <family val="2"/>
          </rPr>
          <t>ACER INDONESIA:</t>
        </r>
        <r>
          <rPr>
            <sz val="9"/>
            <color indexed="81"/>
            <rFont val="Tahoma"/>
            <family val="2"/>
          </rPr>
          <t xml:space="preserve">
180 - 0958 TU</t>
        </r>
      </text>
    </comment>
    <comment ref="E682" authorId="1" shapeId="0">
      <text>
        <r>
          <rPr>
            <b/>
            <sz val="9"/>
            <color indexed="81"/>
            <rFont val="Tahoma"/>
            <family val="2"/>
          </rPr>
          <t>ACER INDONESIA:</t>
        </r>
        <r>
          <rPr>
            <sz val="9"/>
            <color indexed="81"/>
            <rFont val="Tahoma"/>
            <family val="2"/>
          </rPr>
          <t xml:space="preserve">
189 - 1002 TU</t>
        </r>
      </text>
    </comment>
    <comment ref="E683" authorId="1" shapeId="0">
      <text>
        <r>
          <rPr>
            <b/>
            <sz val="9"/>
            <color indexed="81"/>
            <rFont val="Tahoma"/>
            <family val="2"/>
          </rPr>
          <t>ACER INDONESIA:</t>
        </r>
        <r>
          <rPr>
            <sz val="9"/>
            <color indexed="81"/>
            <rFont val="Tahoma"/>
            <family val="2"/>
          </rPr>
          <t xml:space="preserve">
608 - 3081 TU</t>
        </r>
      </text>
    </comment>
    <comment ref="E684" authorId="1" shapeId="0">
      <text>
        <r>
          <rPr>
            <b/>
            <sz val="9"/>
            <color indexed="81"/>
            <rFont val="Tahoma"/>
            <family val="2"/>
          </rPr>
          <t>ACER INDONESIA:</t>
        </r>
        <r>
          <rPr>
            <sz val="9"/>
            <color indexed="81"/>
            <rFont val="Tahoma"/>
            <family val="2"/>
          </rPr>
          <t xml:space="preserve">
173 - 0905 TU</t>
        </r>
      </text>
    </comment>
    <comment ref="E685" authorId="1" shapeId="0">
      <text>
        <r>
          <rPr>
            <b/>
            <sz val="9"/>
            <color indexed="81"/>
            <rFont val="Tahoma"/>
            <family val="2"/>
          </rPr>
          <t>ACER INDONESIA:</t>
        </r>
        <r>
          <rPr>
            <sz val="9"/>
            <color indexed="81"/>
            <rFont val="Tahoma"/>
            <family val="2"/>
          </rPr>
          <t xml:space="preserve">
624 - 3163 TU</t>
        </r>
      </text>
    </comment>
    <comment ref="E686" authorId="1" shapeId="0">
      <text>
        <r>
          <rPr>
            <b/>
            <sz val="9"/>
            <color indexed="81"/>
            <rFont val="Tahoma"/>
            <family val="2"/>
          </rPr>
          <t>ACER INDONESIA:</t>
        </r>
        <r>
          <rPr>
            <sz val="9"/>
            <color indexed="81"/>
            <rFont val="Tahoma"/>
            <family val="2"/>
          </rPr>
          <t xml:space="preserve">
173 - 0906 TU</t>
        </r>
      </text>
    </comment>
    <comment ref="E689" authorId="1" shapeId="0">
      <text>
        <r>
          <rPr>
            <b/>
            <sz val="9"/>
            <color indexed="81"/>
            <rFont val="Tahoma"/>
            <family val="2"/>
          </rPr>
          <t>ACER INDONESIA:</t>
        </r>
        <r>
          <rPr>
            <sz val="9"/>
            <color indexed="81"/>
            <rFont val="Tahoma"/>
            <family val="2"/>
          </rPr>
          <t xml:space="preserve">
239 - 1364.B LS
432 - 2336 LS</t>
        </r>
      </text>
    </comment>
    <comment ref="E690" authorId="1" shapeId="0">
      <text>
        <r>
          <rPr>
            <b/>
            <sz val="9"/>
            <color indexed="81"/>
            <rFont val="Tahoma"/>
            <family val="2"/>
          </rPr>
          <t>ACER INDONESIA:</t>
        </r>
        <r>
          <rPr>
            <sz val="9"/>
            <color indexed="81"/>
            <rFont val="Tahoma"/>
            <family val="2"/>
          </rPr>
          <t xml:space="preserve">
171 - 0898 LS
247 - 1453/LS
655 - 3334 LS</t>
        </r>
      </text>
    </comment>
    <comment ref="E708" authorId="1" shapeId="0">
      <text>
        <r>
          <rPr>
            <b/>
            <sz val="9"/>
            <color indexed="81"/>
            <rFont val="Tahoma"/>
            <family val="2"/>
          </rPr>
          <t>ACER INDONESIA:</t>
        </r>
        <r>
          <rPr>
            <sz val="9"/>
            <color indexed="81"/>
            <rFont val="Tahoma"/>
            <family val="2"/>
          </rPr>
          <t xml:space="preserve">
421 - 2294 TU</t>
        </r>
      </text>
    </comment>
    <comment ref="E709" authorId="1" shapeId="0">
      <text>
        <r>
          <rPr>
            <b/>
            <sz val="9"/>
            <color indexed="81"/>
            <rFont val="Tahoma"/>
            <family val="2"/>
          </rPr>
          <t>ACER INDONESIA:</t>
        </r>
        <r>
          <rPr>
            <sz val="9"/>
            <color indexed="81"/>
            <rFont val="Tahoma"/>
            <family val="2"/>
          </rPr>
          <t xml:space="preserve">
189 - 1003 TU</t>
        </r>
      </text>
    </comment>
    <comment ref="E710" authorId="1" shapeId="0">
      <text>
        <r>
          <rPr>
            <b/>
            <sz val="9"/>
            <color indexed="81"/>
            <rFont val="Tahoma"/>
            <family val="2"/>
          </rPr>
          <t>ACER INDONESIA:</t>
        </r>
        <r>
          <rPr>
            <sz val="9"/>
            <color indexed="81"/>
            <rFont val="Tahoma"/>
            <family val="2"/>
          </rPr>
          <t xml:space="preserve">
432 - 2334 TU</t>
        </r>
      </text>
    </comment>
    <comment ref="E711" authorId="1" shapeId="0">
      <text>
        <r>
          <rPr>
            <b/>
            <sz val="9"/>
            <color indexed="81"/>
            <rFont val="Tahoma"/>
            <family val="2"/>
          </rPr>
          <t>ACER INDONESIA:</t>
        </r>
        <r>
          <rPr>
            <sz val="9"/>
            <color indexed="81"/>
            <rFont val="Tahoma"/>
            <family val="2"/>
          </rPr>
          <t xml:space="preserve">
173 - 0903 TU</t>
        </r>
      </text>
    </comment>
    <comment ref="E712" authorId="1" shapeId="0">
      <text>
        <r>
          <rPr>
            <b/>
            <sz val="9"/>
            <color indexed="81"/>
            <rFont val="Tahoma"/>
            <family val="2"/>
          </rPr>
          <t>ACER INDONESIA:</t>
        </r>
        <r>
          <rPr>
            <sz val="9"/>
            <color indexed="81"/>
            <rFont val="Tahoma"/>
            <family val="2"/>
          </rPr>
          <t xml:space="preserve">
655 - 3332 TU</t>
        </r>
      </text>
    </comment>
    <comment ref="E713" authorId="1" shapeId="0">
      <text>
        <r>
          <rPr>
            <b/>
            <sz val="9"/>
            <color indexed="81"/>
            <rFont val="Tahoma"/>
            <family val="2"/>
          </rPr>
          <t>ACER INDONESIA:</t>
        </r>
        <r>
          <rPr>
            <sz val="9"/>
            <color indexed="81"/>
            <rFont val="Tahoma"/>
            <family val="2"/>
          </rPr>
          <t xml:space="preserve">
432 - 2333 TU</t>
        </r>
      </text>
    </comment>
    <comment ref="E714" authorId="1" shapeId="0">
      <text>
        <r>
          <rPr>
            <b/>
            <sz val="9"/>
            <color indexed="81"/>
            <rFont val="Tahoma"/>
            <family val="2"/>
          </rPr>
          <t>ACER INDONESIA:</t>
        </r>
        <r>
          <rPr>
            <sz val="9"/>
            <color indexed="81"/>
            <rFont val="Tahoma"/>
            <family val="2"/>
          </rPr>
          <t xml:space="preserve">
189 - 1004 TU</t>
        </r>
      </text>
    </comment>
    <comment ref="E715" authorId="1" shapeId="0">
      <text>
        <r>
          <rPr>
            <b/>
            <sz val="9"/>
            <color indexed="81"/>
            <rFont val="Tahoma"/>
            <family val="2"/>
          </rPr>
          <t>ACER INDONESIA:</t>
        </r>
        <r>
          <rPr>
            <sz val="9"/>
            <color indexed="81"/>
            <rFont val="Tahoma"/>
            <family val="2"/>
          </rPr>
          <t xml:space="preserve">
421 - 2293 TU</t>
        </r>
      </text>
    </comment>
  </commentList>
</comments>
</file>

<file path=xl/comments4.xml><?xml version="1.0" encoding="utf-8"?>
<comments xmlns="http://schemas.openxmlformats.org/spreadsheetml/2006/main">
  <authors>
    <author>asus</author>
    <author>ACER INDONESIA</author>
  </authors>
  <commentList>
    <comment ref="C593" authorId="0" shapeId="0">
      <text>
        <r>
          <rPr>
            <b/>
            <sz val="9"/>
            <color indexed="81"/>
            <rFont val="Tahoma"/>
            <family val="2"/>
          </rPr>
          <t>asus:</t>
        </r>
        <r>
          <rPr>
            <sz val="9"/>
            <color indexed="81"/>
            <rFont val="Tahoma"/>
            <family val="2"/>
          </rPr>
          <t xml:space="preserve">
</t>
        </r>
      </text>
    </comment>
    <comment ref="K750" authorId="1" shapeId="0">
      <text>
        <r>
          <rPr>
            <b/>
            <sz val="9"/>
            <color indexed="81"/>
            <rFont val="Tahoma"/>
            <family val="2"/>
          </rPr>
          <t>ACER INDONESIA:</t>
        </r>
        <r>
          <rPr>
            <sz val="9"/>
            <color indexed="81"/>
            <rFont val="Tahoma"/>
            <family val="2"/>
          </rPr>
          <t xml:space="preserve">
105 - 0453/TU</t>
        </r>
      </text>
    </comment>
    <comment ref="K751" authorId="1" shapeId="0">
      <text>
        <r>
          <rPr>
            <b/>
            <sz val="9"/>
            <color indexed="81"/>
            <rFont val="Tahoma"/>
            <family val="2"/>
          </rPr>
          <t>ACER INDONESIA:</t>
        </r>
        <r>
          <rPr>
            <sz val="9"/>
            <color indexed="81"/>
            <rFont val="Tahoma"/>
            <family val="2"/>
          </rPr>
          <t xml:space="preserve">
490 - 2574 LS
552 - 2801 TU</t>
        </r>
      </text>
    </comment>
    <comment ref="K754" authorId="1" shapeId="0">
      <text>
        <r>
          <rPr>
            <b/>
            <sz val="9"/>
            <color indexed="81"/>
            <rFont val="Tahoma"/>
            <family val="2"/>
          </rPr>
          <t>ACER INDONESIA:</t>
        </r>
        <r>
          <rPr>
            <sz val="9"/>
            <color indexed="81"/>
            <rFont val="Tahoma"/>
            <family val="2"/>
          </rPr>
          <t xml:space="preserve">
051 - 0183/TU</t>
        </r>
      </text>
    </comment>
    <comment ref="K755" authorId="1" shapeId="0">
      <text>
        <r>
          <rPr>
            <b/>
            <sz val="9"/>
            <color indexed="81"/>
            <rFont val="Tahoma"/>
            <family val="2"/>
          </rPr>
          <t>ACER INDONESIA:</t>
        </r>
        <r>
          <rPr>
            <sz val="9"/>
            <color indexed="81"/>
            <rFont val="Tahoma"/>
            <family val="2"/>
          </rPr>
          <t xml:space="preserve">
051 - 0180/TU
655 - 3333 TU</t>
        </r>
      </text>
    </comment>
    <comment ref="K756" authorId="1" shapeId="0">
      <text>
        <r>
          <rPr>
            <b/>
            <sz val="9"/>
            <color indexed="81"/>
            <rFont val="Tahoma"/>
            <family val="2"/>
          </rPr>
          <t>ACER INDONESIA:</t>
        </r>
        <r>
          <rPr>
            <sz val="9"/>
            <color indexed="81"/>
            <rFont val="Tahoma"/>
            <family val="2"/>
          </rPr>
          <t xml:space="preserve">
057 - 0222/TU</t>
        </r>
      </text>
    </comment>
    <comment ref="K757" authorId="1" shapeId="0">
      <text>
        <r>
          <rPr>
            <b/>
            <sz val="9"/>
            <color indexed="81"/>
            <rFont val="Tahoma"/>
            <family val="2"/>
          </rPr>
          <t>ACER INDONESIA:</t>
        </r>
        <r>
          <rPr>
            <sz val="9"/>
            <color indexed="81"/>
            <rFont val="Tahoma"/>
            <family val="2"/>
          </rPr>
          <t xml:space="preserve">
501 - 2606 TU</t>
        </r>
      </text>
    </comment>
    <comment ref="K758" authorId="1" shapeId="0">
      <text>
        <r>
          <rPr>
            <b/>
            <sz val="9"/>
            <color indexed="81"/>
            <rFont val="Tahoma"/>
            <family val="2"/>
          </rPr>
          <t>ACER INDONESIA:</t>
        </r>
        <r>
          <rPr>
            <sz val="9"/>
            <color indexed="81"/>
            <rFont val="Tahoma"/>
            <family val="2"/>
          </rPr>
          <t xml:space="preserve">
239 - 1364.A/LS
432 - 2335 LS
571 - 2935 LS</t>
        </r>
      </text>
    </comment>
    <comment ref="K759" authorId="1" shapeId="0">
      <text>
        <r>
          <rPr>
            <b/>
            <sz val="9"/>
            <color indexed="81"/>
            <rFont val="Tahoma"/>
            <family val="2"/>
          </rPr>
          <t>ACER INDONESIA:</t>
        </r>
        <r>
          <rPr>
            <sz val="9"/>
            <color indexed="81"/>
            <rFont val="Tahoma"/>
            <family val="2"/>
          </rPr>
          <t xml:space="preserve">
301 - 1680 LS
608 - 3075 LS</t>
        </r>
      </text>
    </comment>
    <comment ref="K760" authorId="1" shapeId="0">
      <text>
        <r>
          <rPr>
            <b/>
            <sz val="9"/>
            <color indexed="81"/>
            <rFont val="Tahoma"/>
            <family val="2"/>
          </rPr>
          <t>ACER INDONESIA:</t>
        </r>
        <r>
          <rPr>
            <sz val="9"/>
            <color indexed="81"/>
            <rFont val="Tahoma"/>
            <family val="2"/>
          </rPr>
          <t xml:space="preserve">
239-1360/LS
414 - 2232 LS
617 - 3131 LS</t>
        </r>
      </text>
    </comment>
    <comment ref="K761" authorId="1" shapeId="0">
      <text>
        <r>
          <rPr>
            <b/>
            <sz val="9"/>
            <color indexed="81"/>
            <rFont val="Tahoma"/>
            <family val="2"/>
          </rPr>
          <t>ACER INDONESIA:</t>
        </r>
        <r>
          <rPr>
            <sz val="9"/>
            <color indexed="81"/>
            <rFont val="Tahoma"/>
            <family val="2"/>
          </rPr>
          <t xml:space="preserve">
301 - 1681 LS
463 - 2441 LS
617 - 3133 LS</t>
        </r>
      </text>
    </comment>
    <comment ref="K762" authorId="1" shapeId="0">
      <text>
        <r>
          <rPr>
            <b/>
            <sz val="9"/>
            <color indexed="81"/>
            <rFont val="Tahoma"/>
            <family val="2"/>
          </rPr>
          <t>ACER INDONESIA:</t>
        </r>
        <r>
          <rPr>
            <sz val="9"/>
            <color indexed="81"/>
            <rFont val="Tahoma"/>
            <family val="2"/>
          </rPr>
          <t xml:space="preserve">
266 - 1535 LS
425 - 2307 LS
617 - 3129 LS</t>
        </r>
      </text>
    </comment>
    <comment ref="K763" authorId="1" shapeId="0">
      <text>
        <r>
          <rPr>
            <b/>
            <sz val="9"/>
            <color indexed="81"/>
            <rFont val="Tahoma"/>
            <family val="2"/>
          </rPr>
          <t>ACER INDONESIA:</t>
        </r>
        <r>
          <rPr>
            <sz val="9"/>
            <color indexed="81"/>
            <rFont val="Tahoma"/>
            <family val="2"/>
          </rPr>
          <t xml:space="preserve">
266 - 1533 LS
463 - 2440 LS
608 - 3076 LS</t>
        </r>
      </text>
    </comment>
    <comment ref="K764" authorId="1" shapeId="0">
      <text>
        <r>
          <rPr>
            <b/>
            <sz val="9"/>
            <color indexed="81"/>
            <rFont val="Tahoma"/>
            <family val="2"/>
          </rPr>
          <t>ACER INDONESIA:</t>
        </r>
        <r>
          <rPr>
            <sz val="9"/>
            <color indexed="81"/>
            <rFont val="Tahoma"/>
            <family val="2"/>
          </rPr>
          <t xml:space="preserve">
266 - 1532 LS
391 - 2105 LS
552 - 2795 LS</t>
        </r>
      </text>
    </comment>
    <comment ref="K765" authorId="1" shapeId="0">
      <text>
        <r>
          <rPr>
            <b/>
            <sz val="9"/>
            <color indexed="81"/>
            <rFont val="Tahoma"/>
            <family val="2"/>
          </rPr>
          <t>ACER INDONESIA:</t>
        </r>
        <r>
          <rPr>
            <sz val="9"/>
            <color indexed="81"/>
            <rFont val="Tahoma"/>
            <family val="2"/>
          </rPr>
          <t xml:space="preserve">
306 - 1707 LS
490 - 2573 LS
655 - 3336 LS</t>
        </r>
      </text>
    </comment>
    <comment ref="K766" authorId="1" shapeId="0">
      <text>
        <r>
          <rPr>
            <b/>
            <sz val="9"/>
            <color indexed="81"/>
            <rFont val="Tahoma"/>
            <family val="2"/>
          </rPr>
          <t>ACER INDONESIA:</t>
        </r>
        <r>
          <rPr>
            <sz val="9"/>
            <color indexed="81"/>
            <rFont val="Tahoma"/>
            <family val="2"/>
          </rPr>
          <t xml:space="preserve">
266 - 1534 LS
492 2579 LS
617 - 3132 LS</t>
        </r>
      </text>
    </comment>
    <comment ref="K767" authorId="1" shapeId="0">
      <text>
        <r>
          <rPr>
            <b/>
            <sz val="9"/>
            <color indexed="81"/>
            <rFont val="Tahoma"/>
            <family val="2"/>
          </rPr>
          <t>ACER INDONESIA:</t>
        </r>
        <r>
          <rPr>
            <sz val="9"/>
            <color indexed="81"/>
            <rFont val="Tahoma"/>
            <family val="2"/>
          </rPr>
          <t xml:space="preserve">
301 - 1678 LS
391 - 2104 LS
571 - 2934 LS</t>
        </r>
      </text>
    </comment>
    <comment ref="K768" authorId="1" shapeId="0">
      <text>
        <r>
          <rPr>
            <b/>
            <sz val="9"/>
            <color indexed="81"/>
            <rFont val="Tahoma"/>
            <family val="2"/>
          </rPr>
          <t>ACER INDONESIA:</t>
        </r>
        <r>
          <rPr>
            <sz val="9"/>
            <color indexed="81"/>
            <rFont val="Tahoma"/>
            <family val="2"/>
          </rPr>
          <t xml:space="preserve">
608 - 3074 LS</t>
        </r>
      </text>
    </comment>
    <comment ref="K769" authorId="1" shapeId="0">
      <text>
        <r>
          <rPr>
            <b/>
            <sz val="9"/>
            <color indexed="81"/>
            <rFont val="Tahoma"/>
            <family val="2"/>
          </rPr>
          <t>ACER INDONESIA:</t>
        </r>
        <r>
          <rPr>
            <sz val="9"/>
            <color indexed="81"/>
            <rFont val="Tahoma"/>
            <family val="2"/>
          </rPr>
          <t xml:space="preserve">
414 - 2231 LS
617 - 3130 LS</t>
        </r>
      </text>
    </comment>
    <comment ref="K770" authorId="1" shapeId="0">
      <text>
        <r>
          <rPr>
            <b/>
            <sz val="9"/>
            <color indexed="81"/>
            <rFont val="Tahoma"/>
            <family val="2"/>
          </rPr>
          <t>ACER INDONESIA:</t>
        </r>
        <r>
          <rPr>
            <sz val="9"/>
            <color indexed="81"/>
            <rFont val="Tahoma"/>
            <family val="2"/>
          </rPr>
          <t xml:space="preserve">
395 - 2129 LS
655 - 3335 LS</t>
        </r>
      </text>
    </comment>
    <comment ref="K771" authorId="1" shapeId="0">
      <text>
        <r>
          <rPr>
            <b/>
            <sz val="9"/>
            <color indexed="81"/>
            <rFont val="Tahoma"/>
            <family val="2"/>
          </rPr>
          <t>ACER INDONESIA:</t>
        </r>
        <r>
          <rPr>
            <sz val="9"/>
            <color indexed="81"/>
            <rFont val="Tahoma"/>
            <family val="2"/>
          </rPr>
          <t xml:space="preserve">
301 - 1679 LS
579 - 2982 LS</t>
        </r>
      </text>
    </comment>
    <comment ref="K772" authorId="1" shapeId="0">
      <text>
        <r>
          <rPr>
            <b/>
            <sz val="9"/>
            <color indexed="81"/>
            <rFont val="Tahoma"/>
            <family val="2"/>
          </rPr>
          <t>ACER INDONESIA:</t>
        </r>
        <r>
          <rPr>
            <sz val="9"/>
            <color indexed="81"/>
            <rFont val="Tahoma"/>
            <family val="2"/>
          </rPr>
          <t xml:space="preserve">
051 - 0181/TU</t>
        </r>
      </text>
    </comment>
    <comment ref="K773" authorId="1" shapeId="0">
      <text>
        <r>
          <rPr>
            <b/>
            <sz val="9"/>
            <color indexed="81"/>
            <rFont val="Tahoma"/>
            <family val="2"/>
          </rPr>
          <t>ACER INDONESIA:</t>
        </r>
        <r>
          <rPr>
            <sz val="9"/>
            <color indexed="81"/>
            <rFont val="Tahoma"/>
            <family val="2"/>
          </rPr>
          <t xml:space="preserve">
476 - 2521 TU
6553321.A TU</t>
        </r>
      </text>
    </comment>
    <comment ref="K774" authorId="1" shapeId="0">
      <text>
        <r>
          <rPr>
            <b/>
            <sz val="9"/>
            <color indexed="81"/>
            <rFont val="Tahoma"/>
            <family val="2"/>
          </rPr>
          <t>ACER INDONESIA:</t>
        </r>
        <r>
          <rPr>
            <sz val="9"/>
            <color indexed="81"/>
            <rFont val="Tahoma"/>
            <family val="2"/>
          </rPr>
          <t xml:space="preserve">
239 - 1367/LS
571 - 2939 TU
617 - 3128 LS</t>
        </r>
      </text>
    </comment>
    <comment ref="K776" authorId="1" shapeId="0">
      <text>
        <r>
          <rPr>
            <b/>
            <sz val="9"/>
            <color indexed="81"/>
            <rFont val="Tahoma"/>
            <family val="2"/>
          </rPr>
          <t>ACER INDONESIA:</t>
        </r>
        <r>
          <rPr>
            <sz val="9"/>
            <color indexed="81"/>
            <rFont val="Tahoma"/>
            <family val="2"/>
          </rPr>
          <t xml:space="preserve">
062 - 0237/TU</t>
        </r>
      </text>
    </comment>
    <comment ref="K777" authorId="1" shapeId="0">
      <text>
        <r>
          <rPr>
            <b/>
            <sz val="9"/>
            <color indexed="81"/>
            <rFont val="Tahoma"/>
            <family val="2"/>
          </rPr>
          <t>ACER INDONESIA:</t>
        </r>
        <r>
          <rPr>
            <sz val="9"/>
            <color indexed="81"/>
            <rFont val="Tahoma"/>
            <family val="2"/>
          </rPr>
          <t xml:space="preserve">
180 - 0958 TU</t>
        </r>
      </text>
    </comment>
    <comment ref="K778" authorId="1" shapeId="0">
      <text>
        <r>
          <rPr>
            <b/>
            <sz val="9"/>
            <color indexed="81"/>
            <rFont val="Tahoma"/>
            <family val="2"/>
          </rPr>
          <t>ACER INDONESIA:</t>
        </r>
        <r>
          <rPr>
            <sz val="9"/>
            <color indexed="81"/>
            <rFont val="Tahoma"/>
            <family val="2"/>
          </rPr>
          <t xml:space="preserve">
189 - 1002 TU</t>
        </r>
      </text>
    </comment>
    <comment ref="K779" authorId="1" shapeId="0">
      <text>
        <r>
          <rPr>
            <b/>
            <sz val="9"/>
            <color indexed="81"/>
            <rFont val="Tahoma"/>
            <family val="2"/>
          </rPr>
          <t>ACER INDONESIA:</t>
        </r>
        <r>
          <rPr>
            <sz val="9"/>
            <color indexed="81"/>
            <rFont val="Tahoma"/>
            <family val="2"/>
          </rPr>
          <t xml:space="preserve">
608 - 3081 TU</t>
        </r>
      </text>
    </comment>
    <comment ref="K780" authorId="1" shapeId="0">
      <text>
        <r>
          <rPr>
            <b/>
            <sz val="9"/>
            <color indexed="81"/>
            <rFont val="Tahoma"/>
            <family val="2"/>
          </rPr>
          <t>ACER INDONESIA:</t>
        </r>
        <r>
          <rPr>
            <sz val="9"/>
            <color indexed="81"/>
            <rFont val="Tahoma"/>
            <family val="2"/>
          </rPr>
          <t xml:space="preserve">
173 - 0905 TU</t>
        </r>
      </text>
    </comment>
    <comment ref="K781" authorId="1" shapeId="0">
      <text>
        <r>
          <rPr>
            <b/>
            <sz val="9"/>
            <color indexed="81"/>
            <rFont val="Tahoma"/>
            <family val="2"/>
          </rPr>
          <t>ACER INDONESIA:</t>
        </r>
        <r>
          <rPr>
            <sz val="9"/>
            <color indexed="81"/>
            <rFont val="Tahoma"/>
            <family val="2"/>
          </rPr>
          <t xml:space="preserve">
624 - 3163 TU</t>
        </r>
      </text>
    </comment>
    <comment ref="K782" authorId="1" shapeId="0">
      <text>
        <r>
          <rPr>
            <b/>
            <sz val="9"/>
            <color indexed="81"/>
            <rFont val="Tahoma"/>
            <family val="2"/>
          </rPr>
          <t>ACER INDONESIA:</t>
        </r>
        <r>
          <rPr>
            <sz val="9"/>
            <color indexed="81"/>
            <rFont val="Tahoma"/>
            <family val="2"/>
          </rPr>
          <t xml:space="preserve">
173 - 0906 TU</t>
        </r>
      </text>
    </comment>
    <comment ref="K785" authorId="1" shapeId="0">
      <text>
        <r>
          <rPr>
            <b/>
            <sz val="9"/>
            <color indexed="81"/>
            <rFont val="Tahoma"/>
            <family val="2"/>
          </rPr>
          <t>ACER INDONESIA:</t>
        </r>
        <r>
          <rPr>
            <sz val="9"/>
            <color indexed="81"/>
            <rFont val="Tahoma"/>
            <family val="2"/>
          </rPr>
          <t xml:space="preserve">
239 - 1364.B LS
432 - 2336 LS</t>
        </r>
      </text>
    </comment>
    <comment ref="K786" authorId="1" shapeId="0">
      <text>
        <r>
          <rPr>
            <b/>
            <sz val="9"/>
            <color indexed="81"/>
            <rFont val="Tahoma"/>
            <family val="2"/>
          </rPr>
          <t>ACER INDONESIA:</t>
        </r>
        <r>
          <rPr>
            <sz val="9"/>
            <color indexed="81"/>
            <rFont val="Tahoma"/>
            <family val="2"/>
          </rPr>
          <t xml:space="preserve">
171 - 0898 LS
247 - 1453/LS
655 - 3334 LS</t>
        </r>
      </text>
    </comment>
    <comment ref="K787" authorId="1" shapeId="0">
      <text>
        <r>
          <rPr>
            <b/>
            <sz val="9"/>
            <color indexed="81"/>
            <rFont val="Tahoma"/>
            <family val="2"/>
          </rPr>
          <t>ACER INDONESIA:</t>
        </r>
        <r>
          <rPr>
            <sz val="9"/>
            <color indexed="81"/>
            <rFont val="Tahoma"/>
            <family val="2"/>
          </rPr>
          <t xml:space="preserve">
171 - 0898 LS
247 - 1453/LS
655 - 3334 LS</t>
        </r>
      </text>
    </comment>
    <comment ref="K802" authorId="1" shapeId="0">
      <text>
        <r>
          <rPr>
            <b/>
            <sz val="9"/>
            <color indexed="81"/>
            <rFont val="Tahoma"/>
            <family val="2"/>
          </rPr>
          <t>ACER INDONESIA:</t>
        </r>
        <r>
          <rPr>
            <sz val="9"/>
            <color indexed="81"/>
            <rFont val="Tahoma"/>
            <family val="2"/>
          </rPr>
          <t xml:space="preserve">
421 - 2294 TU</t>
        </r>
      </text>
    </comment>
    <comment ref="K803" authorId="1" shapeId="0">
      <text>
        <r>
          <rPr>
            <b/>
            <sz val="9"/>
            <color indexed="81"/>
            <rFont val="Tahoma"/>
            <family val="2"/>
          </rPr>
          <t>ACER INDONESIA:</t>
        </r>
        <r>
          <rPr>
            <sz val="9"/>
            <color indexed="81"/>
            <rFont val="Tahoma"/>
            <family val="2"/>
          </rPr>
          <t xml:space="preserve">
189 - 1003 TU</t>
        </r>
      </text>
    </comment>
    <comment ref="K804" authorId="1" shapeId="0">
      <text>
        <r>
          <rPr>
            <b/>
            <sz val="9"/>
            <color indexed="81"/>
            <rFont val="Tahoma"/>
            <family val="2"/>
          </rPr>
          <t>ACER INDONESIA:</t>
        </r>
        <r>
          <rPr>
            <sz val="9"/>
            <color indexed="81"/>
            <rFont val="Tahoma"/>
            <family val="2"/>
          </rPr>
          <t xml:space="preserve">
432 - 2334 TU</t>
        </r>
      </text>
    </comment>
    <comment ref="K815" authorId="1" shapeId="0">
      <text>
        <r>
          <rPr>
            <b/>
            <sz val="9"/>
            <color indexed="81"/>
            <rFont val="Tahoma"/>
            <family val="2"/>
          </rPr>
          <t>ACER INDONESIA:</t>
        </r>
        <r>
          <rPr>
            <sz val="9"/>
            <color indexed="81"/>
            <rFont val="Tahoma"/>
            <family val="2"/>
          </rPr>
          <t xml:space="preserve">
421 - 2293 TU</t>
        </r>
      </text>
    </comment>
  </commentList>
</comments>
</file>

<file path=xl/comments5.xml><?xml version="1.0" encoding="utf-8"?>
<comments xmlns="http://schemas.openxmlformats.org/spreadsheetml/2006/main">
  <authors>
    <author>asus</author>
    <author>ACER INDONESIA</author>
  </authors>
  <commentList>
    <comment ref="F444" authorId="0" shapeId="0">
      <text>
        <r>
          <rPr>
            <b/>
            <sz val="9"/>
            <color indexed="81"/>
            <rFont val="Tahoma"/>
            <family val="2"/>
          </rPr>
          <t>asus:</t>
        </r>
        <r>
          <rPr>
            <sz val="9"/>
            <color indexed="81"/>
            <rFont val="Tahoma"/>
            <family val="2"/>
          </rPr>
          <t xml:space="preserve">
</t>
        </r>
      </text>
    </comment>
    <comment ref="C450" authorId="0" shapeId="0">
      <text>
        <r>
          <rPr>
            <b/>
            <sz val="9"/>
            <color indexed="81"/>
            <rFont val="Tahoma"/>
            <family val="2"/>
          </rPr>
          <t>asus:</t>
        </r>
        <r>
          <rPr>
            <sz val="9"/>
            <color indexed="81"/>
            <rFont val="Tahoma"/>
            <family val="2"/>
          </rPr>
          <t xml:space="preserve">
</t>
        </r>
      </text>
    </comment>
    <comment ref="C563" authorId="0" shapeId="0">
      <text>
        <r>
          <rPr>
            <b/>
            <sz val="9"/>
            <color indexed="81"/>
            <rFont val="Tahoma"/>
            <family val="2"/>
          </rPr>
          <t>asus:</t>
        </r>
        <r>
          <rPr>
            <sz val="9"/>
            <color indexed="81"/>
            <rFont val="Tahoma"/>
            <family val="2"/>
          </rPr>
          <t xml:space="preserve">
</t>
        </r>
      </text>
    </comment>
    <comment ref="E614" authorId="1" shapeId="0">
      <text>
        <r>
          <rPr>
            <b/>
            <sz val="9"/>
            <color indexed="81"/>
            <rFont val="Tahoma"/>
            <family val="2"/>
          </rPr>
          <t>ACER INDONESIA:</t>
        </r>
        <r>
          <rPr>
            <sz val="9"/>
            <color indexed="81"/>
            <rFont val="Tahoma"/>
            <family val="2"/>
          </rPr>
          <t xml:space="preserve">
452 - 2407 LS</t>
        </r>
      </text>
    </comment>
    <comment ref="E619" authorId="1" shapeId="0">
      <text>
        <r>
          <rPr>
            <b/>
            <sz val="9"/>
            <color indexed="81"/>
            <rFont val="Tahoma"/>
            <family val="2"/>
          </rPr>
          <t>ACER INDONESIA:</t>
        </r>
        <r>
          <rPr>
            <sz val="9"/>
            <color indexed="81"/>
            <rFont val="Tahoma"/>
            <family val="2"/>
          </rPr>
          <t xml:space="preserve">
332 - 1820 LS</t>
        </r>
      </text>
    </comment>
    <comment ref="E623" authorId="1" shapeId="0">
      <text>
        <r>
          <rPr>
            <b/>
            <sz val="9"/>
            <color indexed="81"/>
            <rFont val="Tahoma"/>
            <family val="2"/>
          </rPr>
          <t>ACER INDONESIA:</t>
        </r>
        <r>
          <rPr>
            <sz val="9"/>
            <color indexed="81"/>
            <rFont val="Tahoma"/>
            <family val="2"/>
          </rPr>
          <t xml:space="preserve">
463 - 2438 TU</t>
        </r>
      </text>
    </comment>
    <comment ref="E626" authorId="1" shapeId="0">
      <text>
        <r>
          <rPr>
            <b/>
            <sz val="9"/>
            <color indexed="81"/>
            <rFont val="Tahoma"/>
            <family val="2"/>
          </rPr>
          <t>ACER INDONESIA:</t>
        </r>
        <r>
          <rPr>
            <sz val="9"/>
            <color indexed="81"/>
            <rFont val="Tahoma"/>
            <family val="2"/>
          </rPr>
          <t xml:space="preserve">
655 - 3328 TU</t>
        </r>
      </text>
    </comment>
    <comment ref="E627" authorId="1" shapeId="0">
      <text>
        <r>
          <rPr>
            <b/>
            <sz val="9"/>
            <color indexed="81"/>
            <rFont val="Tahoma"/>
            <family val="2"/>
          </rPr>
          <t>ACER INDONESIA:</t>
        </r>
        <r>
          <rPr>
            <sz val="9"/>
            <color indexed="81"/>
            <rFont val="Tahoma"/>
            <family val="2"/>
          </rPr>
          <t xml:space="preserve">
287 - 1622 TU</t>
        </r>
      </text>
    </comment>
    <comment ref="E630" authorId="1" shapeId="0">
      <text>
        <r>
          <rPr>
            <b/>
            <sz val="9"/>
            <color indexed="81"/>
            <rFont val="Tahoma"/>
            <family val="2"/>
          </rPr>
          <t>ACER INDONESIA:</t>
        </r>
        <r>
          <rPr>
            <sz val="9"/>
            <color indexed="81"/>
            <rFont val="Tahoma"/>
            <family val="2"/>
          </rPr>
          <t xml:space="preserve">
655 - 3327 TU</t>
        </r>
      </text>
    </comment>
    <comment ref="E632" authorId="1" shapeId="0">
      <text>
        <r>
          <rPr>
            <b/>
            <sz val="9"/>
            <color indexed="81"/>
            <rFont val="Tahoma"/>
            <family val="2"/>
          </rPr>
          <t>ACER INDONESIA:</t>
        </r>
        <r>
          <rPr>
            <sz val="9"/>
            <color indexed="81"/>
            <rFont val="Tahoma"/>
            <family val="2"/>
          </rPr>
          <t xml:space="preserve">
655 - 3329 TU</t>
        </r>
      </text>
    </comment>
    <comment ref="E633" authorId="1" shapeId="0">
      <text>
        <r>
          <rPr>
            <b/>
            <sz val="9"/>
            <color indexed="81"/>
            <rFont val="Tahoma"/>
            <family val="2"/>
          </rPr>
          <t>ACER INDONESIA:</t>
        </r>
        <r>
          <rPr>
            <sz val="9"/>
            <color indexed="81"/>
            <rFont val="Tahoma"/>
            <family val="2"/>
          </rPr>
          <t xml:space="preserve">
287 - 1615 TU</t>
        </r>
      </text>
    </comment>
    <comment ref="E634" authorId="1" shapeId="0">
      <text>
        <r>
          <rPr>
            <b/>
            <sz val="9"/>
            <color indexed="81"/>
            <rFont val="Tahoma"/>
            <family val="2"/>
          </rPr>
          <t>ACER INDONESIA:</t>
        </r>
        <r>
          <rPr>
            <sz val="9"/>
            <color indexed="81"/>
            <rFont val="Tahoma"/>
            <family val="2"/>
          </rPr>
          <t xml:space="preserve">
463 - 2439 TU</t>
        </r>
      </text>
    </comment>
    <comment ref="E646" authorId="1" shapeId="0">
      <text>
        <r>
          <rPr>
            <b/>
            <sz val="9"/>
            <color indexed="81"/>
            <rFont val="Tahoma"/>
            <family val="2"/>
          </rPr>
          <t>ACER INDONESIA:</t>
        </r>
        <r>
          <rPr>
            <sz val="9"/>
            <color indexed="81"/>
            <rFont val="Tahoma"/>
            <family val="2"/>
          </rPr>
          <t xml:space="preserve">
287 - 1616 TU</t>
        </r>
      </text>
    </comment>
    <comment ref="E647" authorId="1" shapeId="0">
      <text>
        <r>
          <rPr>
            <b/>
            <sz val="9"/>
            <color indexed="81"/>
            <rFont val="Tahoma"/>
            <family val="2"/>
          </rPr>
          <t>ACER INDONESIA:</t>
        </r>
        <r>
          <rPr>
            <sz val="9"/>
            <color indexed="81"/>
            <rFont val="Tahoma"/>
            <family val="2"/>
          </rPr>
          <t xml:space="preserve">
655 - 3330 TU</t>
        </r>
      </text>
    </comment>
    <comment ref="E648" authorId="1" shapeId="0">
      <text>
        <r>
          <rPr>
            <b/>
            <sz val="9"/>
            <color indexed="81"/>
            <rFont val="Tahoma"/>
            <family val="2"/>
          </rPr>
          <t>ACER INDONESIA:</t>
        </r>
        <r>
          <rPr>
            <sz val="9"/>
            <color indexed="81"/>
            <rFont val="Tahoma"/>
            <family val="2"/>
          </rPr>
          <t xml:space="preserve">
287 - 1617 TU</t>
        </r>
      </text>
    </comment>
    <comment ref="E651" authorId="1" shapeId="0">
      <text>
        <r>
          <rPr>
            <b/>
            <sz val="9"/>
            <color indexed="81"/>
            <rFont val="Tahoma"/>
            <family val="2"/>
          </rPr>
          <t>ACER INDONESIA:</t>
        </r>
        <r>
          <rPr>
            <sz val="9"/>
            <color indexed="81"/>
            <rFont val="Tahoma"/>
            <family val="2"/>
          </rPr>
          <t xml:space="preserve">
287 - 1618 TU</t>
        </r>
      </text>
    </comment>
    <comment ref="E652" authorId="1" shapeId="0">
      <text>
        <r>
          <rPr>
            <b/>
            <sz val="9"/>
            <color indexed="81"/>
            <rFont val="Tahoma"/>
            <family val="2"/>
          </rPr>
          <t>ACER INDONESIA:</t>
        </r>
        <r>
          <rPr>
            <sz val="9"/>
            <color indexed="81"/>
            <rFont val="Tahoma"/>
            <family val="2"/>
          </rPr>
          <t xml:space="preserve">
655 - 3331 TU</t>
        </r>
      </text>
    </comment>
    <comment ref="E655" authorId="1" shapeId="0">
      <text>
        <r>
          <rPr>
            <b/>
            <sz val="9"/>
            <color indexed="81"/>
            <rFont val="Tahoma"/>
            <family val="2"/>
          </rPr>
          <t>ACER INDONESIA:</t>
        </r>
        <r>
          <rPr>
            <sz val="9"/>
            <color indexed="81"/>
            <rFont val="Tahoma"/>
            <family val="2"/>
          </rPr>
          <t xml:space="preserve">
287 - 1619 TU</t>
        </r>
      </text>
    </comment>
    <comment ref="E658" authorId="1" shapeId="0">
      <text>
        <r>
          <rPr>
            <b/>
            <sz val="9"/>
            <color indexed="81"/>
            <rFont val="Tahoma"/>
            <family val="2"/>
          </rPr>
          <t>ACER INDONESIA:</t>
        </r>
        <r>
          <rPr>
            <sz val="9"/>
            <color indexed="81"/>
            <rFont val="Tahoma"/>
            <family val="2"/>
          </rPr>
          <t xml:space="preserve">
287 - 1620 TU</t>
        </r>
      </text>
    </comment>
  </commentList>
</comments>
</file>

<file path=xl/comments6.xml><?xml version="1.0" encoding="utf-8"?>
<comments xmlns="http://schemas.openxmlformats.org/spreadsheetml/2006/main">
  <authors>
    <author>asus</author>
    <author>ACER INDONESIA</author>
  </authors>
  <commentList>
    <comment ref="L469" authorId="0" shapeId="0">
      <text>
        <r>
          <rPr>
            <b/>
            <sz val="9"/>
            <color indexed="81"/>
            <rFont val="Tahoma"/>
            <family val="2"/>
          </rPr>
          <t>asus:</t>
        </r>
        <r>
          <rPr>
            <sz val="9"/>
            <color indexed="81"/>
            <rFont val="Tahoma"/>
            <family val="2"/>
          </rPr>
          <t xml:space="preserve">
</t>
        </r>
      </text>
    </comment>
    <comment ref="C518" authorId="0" shapeId="0">
      <text>
        <r>
          <rPr>
            <b/>
            <sz val="9"/>
            <color indexed="81"/>
            <rFont val="Tahoma"/>
            <family val="2"/>
          </rPr>
          <t>asus:</t>
        </r>
        <r>
          <rPr>
            <sz val="9"/>
            <color indexed="81"/>
            <rFont val="Tahoma"/>
            <family val="2"/>
          </rPr>
          <t xml:space="preserve">
</t>
        </r>
      </text>
    </comment>
    <comment ref="K656" authorId="1" shapeId="0">
      <text>
        <r>
          <rPr>
            <b/>
            <sz val="9"/>
            <color indexed="81"/>
            <rFont val="Tahoma"/>
            <family val="2"/>
          </rPr>
          <t>ACER INDONESIA:</t>
        </r>
        <r>
          <rPr>
            <sz val="9"/>
            <color indexed="81"/>
            <rFont val="Tahoma"/>
            <family val="2"/>
          </rPr>
          <t xml:space="preserve">
452 - 2407 LS</t>
        </r>
      </text>
    </comment>
    <comment ref="K661" authorId="1" shapeId="0">
      <text>
        <r>
          <rPr>
            <b/>
            <sz val="9"/>
            <color indexed="81"/>
            <rFont val="Tahoma"/>
            <family val="2"/>
          </rPr>
          <t>ACER INDONESIA:</t>
        </r>
        <r>
          <rPr>
            <sz val="9"/>
            <color indexed="81"/>
            <rFont val="Tahoma"/>
            <family val="2"/>
          </rPr>
          <t xml:space="preserve">
332 - 1820 LS</t>
        </r>
      </text>
    </comment>
    <comment ref="K665" authorId="1" shapeId="0">
      <text>
        <r>
          <rPr>
            <b/>
            <sz val="9"/>
            <color indexed="81"/>
            <rFont val="Tahoma"/>
            <family val="2"/>
          </rPr>
          <t>ACER INDONESIA:</t>
        </r>
        <r>
          <rPr>
            <sz val="9"/>
            <color indexed="81"/>
            <rFont val="Tahoma"/>
            <family val="2"/>
          </rPr>
          <t xml:space="preserve">
463 - 2438 TU</t>
        </r>
      </text>
    </comment>
    <comment ref="K668" authorId="1" shapeId="0">
      <text>
        <r>
          <rPr>
            <b/>
            <sz val="9"/>
            <color indexed="81"/>
            <rFont val="Tahoma"/>
            <family val="2"/>
          </rPr>
          <t>ACER INDONESIA:</t>
        </r>
        <r>
          <rPr>
            <sz val="9"/>
            <color indexed="81"/>
            <rFont val="Tahoma"/>
            <family val="2"/>
          </rPr>
          <t xml:space="preserve">
655 - 3328 TU</t>
        </r>
      </text>
    </comment>
    <comment ref="K669" authorId="1" shapeId="0">
      <text>
        <r>
          <rPr>
            <b/>
            <sz val="9"/>
            <color indexed="81"/>
            <rFont val="Tahoma"/>
            <family val="2"/>
          </rPr>
          <t>ACER INDONESIA:</t>
        </r>
        <r>
          <rPr>
            <sz val="9"/>
            <color indexed="81"/>
            <rFont val="Tahoma"/>
            <family val="2"/>
          </rPr>
          <t xml:space="preserve">
287 - 1622 TU</t>
        </r>
      </text>
    </comment>
    <comment ref="K672" authorId="1" shapeId="0">
      <text>
        <r>
          <rPr>
            <b/>
            <sz val="9"/>
            <color indexed="81"/>
            <rFont val="Tahoma"/>
            <family val="2"/>
          </rPr>
          <t>ACER INDONESIA:</t>
        </r>
        <r>
          <rPr>
            <sz val="9"/>
            <color indexed="81"/>
            <rFont val="Tahoma"/>
            <family val="2"/>
          </rPr>
          <t xml:space="preserve">
655 - 3327 TU</t>
        </r>
      </text>
    </comment>
    <comment ref="K674" authorId="1" shapeId="0">
      <text>
        <r>
          <rPr>
            <b/>
            <sz val="9"/>
            <color indexed="81"/>
            <rFont val="Tahoma"/>
            <family val="2"/>
          </rPr>
          <t>ACER INDONESIA:</t>
        </r>
        <r>
          <rPr>
            <sz val="9"/>
            <color indexed="81"/>
            <rFont val="Tahoma"/>
            <family val="2"/>
          </rPr>
          <t xml:space="preserve">
655 - 3329 TU</t>
        </r>
      </text>
    </comment>
    <comment ref="K675" authorId="1" shapeId="0">
      <text>
        <r>
          <rPr>
            <b/>
            <sz val="9"/>
            <color indexed="81"/>
            <rFont val="Tahoma"/>
            <family val="2"/>
          </rPr>
          <t>ACER INDONESIA:</t>
        </r>
        <r>
          <rPr>
            <sz val="9"/>
            <color indexed="81"/>
            <rFont val="Tahoma"/>
            <family val="2"/>
          </rPr>
          <t xml:space="preserve">
287 - 1615 TU</t>
        </r>
      </text>
    </comment>
    <comment ref="K676" authorId="1" shapeId="0">
      <text>
        <r>
          <rPr>
            <b/>
            <sz val="9"/>
            <color indexed="81"/>
            <rFont val="Tahoma"/>
            <family val="2"/>
          </rPr>
          <t>ACER INDONESIA:</t>
        </r>
        <r>
          <rPr>
            <sz val="9"/>
            <color indexed="81"/>
            <rFont val="Tahoma"/>
            <family val="2"/>
          </rPr>
          <t xml:space="preserve">
463 - 2439 TU</t>
        </r>
      </text>
    </comment>
    <comment ref="K688" authorId="1" shapeId="0">
      <text>
        <r>
          <rPr>
            <b/>
            <sz val="9"/>
            <color indexed="81"/>
            <rFont val="Tahoma"/>
            <family val="2"/>
          </rPr>
          <t>ACER INDONESIA:</t>
        </r>
        <r>
          <rPr>
            <sz val="9"/>
            <color indexed="81"/>
            <rFont val="Tahoma"/>
            <family val="2"/>
          </rPr>
          <t xml:space="preserve">
287 - 1616 TU</t>
        </r>
      </text>
    </comment>
    <comment ref="K689" authorId="1" shapeId="0">
      <text>
        <r>
          <rPr>
            <b/>
            <sz val="9"/>
            <color indexed="81"/>
            <rFont val="Tahoma"/>
            <family val="2"/>
          </rPr>
          <t>ACER INDONESIA:</t>
        </r>
        <r>
          <rPr>
            <sz val="9"/>
            <color indexed="81"/>
            <rFont val="Tahoma"/>
            <family val="2"/>
          </rPr>
          <t xml:space="preserve">
655 - 3330 TU</t>
        </r>
      </text>
    </comment>
    <comment ref="K690" authorId="1" shapeId="0">
      <text>
        <r>
          <rPr>
            <b/>
            <sz val="9"/>
            <color indexed="81"/>
            <rFont val="Tahoma"/>
            <family val="2"/>
          </rPr>
          <t>ACER INDONESIA:</t>
        </r>
        <r>
          <rPr>
            <sz val="9"/>
            <color indexed="81"/>
            <rFont val="Tahoma"/>
            <family val="2"/>
          </rPr>
          <t xml:space="preserve">
287 - 1617 TU</t>
        </r>
      </text>
    </comment>
    <comment ref="K693" authorId="1" shapeId="0">
      <text>
        <r>
          <rPr>
            <b/>
            <sz val="9"/>
            <color indexed="81"/>
            <rFont val="Tahoma"/>
            <family val="2"/>
          </rPr>
          <t>ACER INDONESIA:</t>
        </r>
        <r>
          <rPr>
            <sz val="9"/>
            <color indexed="81"/>
            <rFont val="Tahoma"/>
            <family val="2"/>
          </rPr>
          <t xml:space="preserve">
287 - 1618 TU</t>
        </r>
      </text>
    </comment>
    <comment ref="K694" authorId="1" shapeId="0">
      <text>
        <r>
          <rPr>
            <b/>
            <sz val="9"/>
            <color indexed="81"/>
            <rFont val="Tahoma"/>
            <family val="2"/>
          </rPr>
          <t>ACER INDONESIA:</t>
        </r>
        <r>
          <rPr>
            <sz val="9"/>
            <color indexed="81"/>
            <rFont val="Tahoma"/>
            <family val="2"/>
          </rPr>
          <t xml:space="preserve">
655 - 3331 TU</t>
        </r>
      </text>
    </comment>
    <comment ref="K697" authorId="1" shapeId="0">
      <text>
        <r>
          <rPr>
            <b/>
            <sz val="9"/>
            <color indexed="81"/>
            <rFont val="Tahoma"/>
            <family val="2"/>
          </rPr>
          <t>ACER INDONESIA:</t>
        </r>
        <r>
          <rPr>
            <sz val="9"/>
            <color indexed="81"/>
            <rFont val="Tahoma"/>
            <family val="2"/>
          </rPr>
          <t xml:space="preserve">
287 - 1619 TU</t>
        </r>
      </text>
    </comment>
    <comment ref="K700" authorId="1" shapeId="0">
      <text>
        <r>
          <rPr>
            <b/>
            <sz val="9"/>
            <color indexed="81"/>
            <rFont val="Tahoma"/>
            <family val="2"/>
          </rPr>
          <t>ACER INDONESIA:</t>
        </r>
        <r>
          <rPr>
            <sz val="9"/>
            <color indexed="81"/>
            <rFont val="Tahoma"/>
            <family val="2"/>
          </rPr>
          <t xml:space="preserve">
287 - 1620 TU</t>
        </r>
      </text>
    </comment>
    <comment ref="D880" authorId="0" shapeId="0">
      <text>
        <r>
          <rPr>
            <b/>
            <sz val="9"/>
            <color indexed="81"/>
            <rFont val="Tahoma"/>
            <family val="2"/>
          </rPr>
          <t>asus:</t>
        </r>
        <r>
          <rPr>
            <sz val="9"/>
            <color indexed="81"/>
            <rFont val="Tahoma"/>
            <family val="2"/>
          </rPr>
          <t xml:space="preserve">
</t>
        </r>
      </text>
    </comment>
  </commentList>
</comments>
</file>

<file path=xl/comments7.xml><?xml version="1.0" encoding="utf-8"?>
<comments xmlns="http://schemas.openxmlformats.org/spreadsheetml/2006/main">
  <authors>
    <author>asus</author>
  </authors>
  <commentList>
    <comment ref="B114" authorId="0" shapeId="0">
      <text>
        <r>
          <rPr>
            <b/>
            <sz val="9"/>
            <color indexed="81"/>
            <rFont val="Tahoma"/>
            <family val="2"/>
          </rPr>
          <t>asus:</t>
        </r>
        <r>
          <rPr>
            <sz val="9"/>
            <color indexed="81"/>
            <rFont val="Tahoma"/>
            <family val="2"/>
          </rPr>
          <t xml:space="preserve">
</t>
        </r>
      </text>
    </comment>
  </commentList>
</comments>
</file>

<file path=xl/sharedStrings.xml><?xml version="1.0" encoding="utf-8"?>
<sst xmlns="http://schemas.openxmlformats.org/spreadsheetml/2006/main" count="11502" uniqueCount="7365">
  <si>
    <t>CONTOH FORMAT PENYALURAN</t>
  </si>
  <si>
    <t>NO.</t>
  </si>
  <si>
    <t>U R A I A N</t>
  </si>
  <si>
    <t>PERMINTAAN PENYALURAN TAHAP I</t>
  </si>
  <si>
    <t>KETERANGAN</t>
  </si>
  <si>
    <t>ALOKASI ANGGARAN                (Rp. )</t>
  </si>
  <si>
    <t>REALISASI PENYALURAN (Rp.)</t>
  </si>
  <si>
    <t>PROSENTASE REALISASI PENYALURAN (%)</t>
  </si>
  <si>
    <t>(1)</t>
  </si>
  <si>
    <t>(2)</t>
  </si>
  <si>
    <t>(3)</t>
  </si>
  <si>
    <t>(4)</t>
  </si>
  <si>
    <t>(5)</t>
  </si>
  <si>
    <t>(6)</t>
  </si>
  <si>
    <t>1.</t>
  </si>
  <si>
    <t xml:space="preserve">PROVINSI PAPUA BARAT </t>
  </si>
  <si>
    <t>2.</t>
  </si>
  <si>
    <t>KABUPATEN/KOTA</t>
  </si>
  <si>
    <t>JUMLAH</t>
  </si>
  <si>
    <t>Keterangan:</t>
  </si>
  <si>
    <t xml:space="preserve">Kolom (1) Diisi dengan nomor urut                                      </t>
  </si>
  <si>
    <t>Kolom (2) Diisi dengan nama provinsi dan/atau nama kabupaten/kota atau nama lain</t>
  </si>
  <si>
    <t xml:space="preserve">Kolom (3) Diisi dengan alokasi anggaran tahun sebelumnya </t>
  </si>
  <si>
    <t>Kolom (4) Diisi dengan realisasi penyaluran anggaran tahun sebelumnya</t>
  </si>
  <si>
    <t xml:space="preserve">Kolom (5) Diisi dengan prosentase perbandingan antara realisasi anggaran dengan alokasi anggaran tahun sebelumnya  </t>
  </si>
  <si>
    <t>Kolom (6) Diisi dengan keterangan yang dianggap perlu</t>
  </si>
  <si>
    <t>(kolom 4 : kolom 3 x 100%)</t>
  </si>
  <si>
    <t>Tabel A.2</t>
  </si>
  <si>
    <t>*) hanya diisi oleh Provinsi</t>
  </si>
  <si>
    <t xml:space="preserve"> PROVINSI              : PAPUA BARAT   </t>
  </si>
  <si>
    <t>PERMINTAAN PENYALURAN TAHAP II</t>
  </si>
  <si>
    <t>PERMINTAAN PENYALURAN TAHAP III</t>
  </si>
  <si>
    <t>PROSENTASE ALOKASI  ANGGARAN                        ( % )</t>
  </si>
  <si>
    <t>ALOKASI ANGGARAN (Rp.)</t>
  </si>
  <si>
    <t>REALISASI  PENYALURAN       (Rp.)</t>
  </si>
  <si>
    <t>(7)</t>
  </si>
  <si>
    <t>(8)</t>
  </si>
  <si>
    <t>(9)</t>
  </si>
  <si>
    <t>(10)</t>
  </si>
  <si>
    <t>(11)</t>
  </si>
  <si>
    <t>1. Kabupaten Teluk Bintuni</t>
  </si>
  <si>
    <t>2. Kabupaten Manokwari</t>
  </si>
  <si>
    <t>6. Kabupaten Raja Ampat</t>
  </si>
  <si>
    <t>7. Kabupaten Maybrat</t>
  </si>
  <si>
    <t>1) Diisi tahun anggaran berkenaan (Tn)</t>
  </si>
  <si>
    <t xml:space="preserve">Kolom (3) Diisi dengan alokasi anggaran tahun berkenaan </t>
  </si>
  <si>
    <t>Kolom (4) Diisi dengan prosentase perbandingan antara alokasi anggaran dengan total alokasi anggaran tahun berkenaan</t>
  </si>
  <si>
    <t>Kolom (5) Diisi dengan alokasi anggaran tahun berkenaan (apabila tidak ada perubahan sama dengan kolom 3)</t>
  </si>
  <si>
    <t>Kolom (8) Diisi dengan alokasi anggaran tahun berkenaan (apabila tidak ada perubahan sama dengan kolom 3) atau kolom 5)</t>
  </si>
  <si>
    <t>Kolom (11) Diisi dengan keterangan yang dianggap perlu</t>
  </si>
  <si>
    <t>KODE REKENING</t>
  </si>
  <si>
    <t>TAHUN ….. (n-1)</t>
  </si>
  <si>
    <t>ALOKASI ANGGARAN     (Rp.)</t>
  </si>
  <si>
    <t>REALISASI ANGGARAN         (Rp.)</t>
  </si>
  <si>
    <t>PROSENTASE REALISASI ANGGARAN (%)</t>
  </si>
  <si>
    <t>I</t>
  </si>
  <si>
    <t>01.</t>
  </si>
  <si>
    <t>1.01</t>
  </si>
  <si>
    <t>Urusan Pendidikan</t>
  </si>
  <si>
    <t>A</t>
  </si>
  <si>
    <t>01</t>
  </si>
  <si>
    <t>Dinas Pendidikan</t>
  </si>
  <si>
    <t>19</t>
  </si>
  <si>
    <t>Program Pendidikan Luar Biasa</t>
  </si>
  <si>
    <t>Pembangunan Gedung Sekolah</t>
  </si>
  <si>
    <t>18</t>
  </si>
  <si>
    <t>Pengadaan Mebeleur Sekolah</t>
  </si>
  <si>
    <t>21</t>
  </si>
  <si>
    <t>Program Pengembangan Budaya Baca dan Pemb Perpustakaan</t>
  </si>
  <si>
    <t>02</t>
  </si>
  <si>
    <t>Pengembangan Minat dan Budaya Baca</t>
  </si>
  <si>
    <t>09</t>
  </si>
  <si>
    <t>Penyediaan Bahan Pustaka Perpustakaan Umum daerah</t>
  </si>
  <si>
    <t xml:space="preserve">    1. Program………………</t>
  </si>
  <si>
    <t xml:space="preserve">        1.1 Kegiatan……………..</t>
  </si>
  <si>
    <t xml:space="preserve">        1.2 Kegiatan…………….</t>
  </si>
  <si>
    <t xml:space="preserve">        1.3 dst……………………..</t>
  </si>
  <si>
    <t xml:space="preserve">    2. Program…………………</t>
  </si>
  <si>
    <t xml:space="preserve">    3. dst……………………….</t>
  </si>
  <si>
    <t>B</t>
  </si>
  <si>
    <t>SKPD……………………………</t>
  </si>
  <si>
    <t>C</t>
  </si>
  <si>
    <t>dst…………………………………</t>
  </si>
  <si>
    <t>II</t>
  </si>
  <si>
    <t>02.</t>
  </si>
  <si>
    <t>Urusan Kesehatan</t>
  </si>
  <si>
    <t>Dinas Kesehatan</t>
  </si>
  <si>
    <t xml:space="preserve">        1.3 dst…………………..</t>
  </si>
  <si>
    <t>RSUD ….</t>
  </si>
  <si>
    <t>D</t>
  </si>
  <si>
    <t>04</t>
  </si>
  <si>
    <t>III</t>
  </si>
  <si>
    <t>03.</t>
  </si>
  <si>
    <t>…</t>
  </si>
  <si>
    <t>Urusan…………………………</t>
  </si>
  <si>
    <t>Kolom (1) Diisi dengan nomor urut</t>
  </si>
  <si>
    <t>Kolom (4) Diisi dengan realisasi anggaran tahun sebelumnya</t>
  </si>
  <si>
    <t>Kolom (7) Diisi dengan keterangan yang dianggap perlu</t>
  </si>
  <si>
    <t>Tabel A.4</t>
  </si>
  <si>
    <t xml:space="preserve">TAHUN ….  (n)   </t>
  </si>
  <si>
    <t>PROSENTASE (%)</t>
  </si>
  <si>
    <t>ALOKASI ANGGARAN  (Rp.)</t>
  </si>
  <si>
    <t>REALISASI PENYERAPAN  (Rp.)</t>
  </si>
  <si>
    <t>PROSENTASE REALISASI PENYERAPAN (%)</t>
  </si>
  <si>
    <t>CAPAIAN OUTPUT                    ( %)</t>
  </si>
  <si>
    <t>REALISASI PENYERAPAN (Rp.)</t>
  </si>
  <si>
    <t>CAPAIAN OUTPUT                       ( %)</t>
  </si>
  <si>
    <t>(12)</t>
  </si>
  <si>
    <t>(13)</t>
  </si>
  <si>
    <t>PROVINSI PAPUA BARAT</t>
  </si>
  <si>
    <t>1</t>
  </si>
  <si>
    <t>2</t>
  </si>
  <si>
    <t>IV</t>
  </si>
  <si>
    <t>V</t>
  </si>
  <si>
    <t>VI</t>
  </si>
  <si>
    <t>3</t>
  </si>
  <si>
    <t>4</t>
  </si>
  <si>
    <t>Kolom (3) Diisi dengan alokasi anggaran tahun berkenaan</t>
  </si>
  <si>
    <t>Kolom (4)  Diisi dengan perbandingan :</t>
  </si>
  <si>
    <t xml:space="preserve">                  - untuk baris Provinsi/Kab/Kota dibandingkan dengan Total Penerimaan Dana Otonomi Khusus</t>
  </si>
  <si>
    <t xml:space="preserve">                  - untuk baris urusan/program/kegiatan dibandingkan dengan penerimaan Dana Otsus Provinsi/Kab/Kota tsb</t>
  </si>
  <si>
    <t>Kolom (9) Diisi dengan alokasi anggaran tahun berkenaan (apabila tidak ada perubahan sama dengan kolom 3 atau kolom 5)</t>
  </si>
  <si>
    <t>Kolom (13) Diisi dengan keterangan yang dianggap perlu</t>
  </si>
  <si>
    <t>No.</t>
  </si>
  <si>
    <t>PENYALURAN TAHAP I</t>
  </si>
  <si>
    <t xml:space="preserve">(5) </t>
  </si>
  <si>
    <t xml:space="preserve">       a. Kegiatan……………..</t>
  </si>
  <si>
    <t xml:space="preserve">       b. Kegiatan…………….</t>
  </si>
  <si>
    <t xml:space="preserve">      c.  dst…………………..</t>
  </si>
  <si>
    <t>Keterangan</t>
  </si>
  <si>
    <t>Tabel A.6</t>
  </si>
  <si>
    <t>PENYALURAN TAHAP II</t>
  </si>
  <si>
    <t>PENYALURAN TAHAP III</t>
  </si>
  <si>
    <t>PROSENTASE ALOKASI ANGGARAN (%)</t>
  </si>
  <si>
    <t>REALISASI ANGGARAN  (Rp.)</t>
  </si>
  <si>
    <t>Tabel A.8</t>
  </si>
  <si>
    <t>PROVINSI/KAB/KOTA 2)</t>
  </si>
  <si>
    <t>CAPAIAN OUTPUT                     (%)</t>
  </si>
  <si>
    <t>CAPAIAN OUTPUT                   (%)</t>
  </si>
  <si>
    <t>Tabel B.1</t>
  </si>
  <si>
    <t>(Provinsi Aceh)</t>
  </si>
  <si>
    <t xml:space="preserve">Rekapitulasi Alokasi Dan Realisasi Penyaluran Dana Otonomi Khusus Antara Provinsi Dan Kabupaten/Kota Tahun Anggaran ....1) </t>
  </si>
  <si>
    <t xml:space="preserve"> PROVINSI            : ACEH </t>
  </si>
  <si>
    <t>PENERIMAAN        : Rp. …………………….2)</t>
  </si>
  <si>
    <t>PROSENTASE  REALISASI PENYALURAN (%)</t>
  </si>
  <si>
    <t>PROVINSI ACEH</t>
  </si>
  <si>
    <t xml:space="preserve">1. KABUPATEN………….. </t>
  </si>
  <si>
    <t xml:space="preserve">2. KABUPATEN………….. </t>
  </si>
  <si>
    <t xml:space="preserve">3. KOTA ……….…………... </t>
  </si>
  <si>
    <t>4. Dst.</t>
  </si>
  <si>
    <t>1) Diisi tahun anggaran sebelumnya (n-1)</t>
  </si>
  <si>
    <t>2) Diisi dengan total penerimaan tahun anggaran sebelumnya (n-1)</t>
  </si>
  <si>
    <t xml:space="preserve">Kolom (2) Diisi dengan nama provinsi dan nama kabupaten/kota </t>
  </si>
  <si>
    <t xml:space="preserve">Kolom (3) Diisi dengan alokasi  anggaran tahun sebelumnya </t>
  </si>
  <si>
    <t xml:space="preserve">Kolom (5) Diisi dengan prosentase perbandingan antara realisasi penyaluran dengan alokasi anggaran tahun sebelumnya  </t>
  </si>
  <si>
    <t>Tabel B.2</t>
  </si>
  <si>
    <t>Rekapitulasi Alokasi Pembagian Dana Otonomi Khusus Antara Provinsi Dan Kabupaten/Kota Tahun Anggaran ...........1)</t>
  </si>
  <si>
    <t xml:space="preserve"> PROVINSI             : ACEH</t>
  </si>
  <si>
    <t>TAHUN ….. (n)</t>
  </si>
  <si>
    <t>PROSENTASE  ALOKASI ANGGARAN             ( % )</t>
  </si>
  <si>
    <t>REALISASI  PENYALURAN       S/D TW II       (Rp.)</t>
  </si>
  <si>
    <t>REALISASI  PENYALURAN       SD TW III       (Rp.)</t>
  </si>
  <si>
    <t>2) Diisi dengan total penerimaan tahun anggaran berkenaan</t>
  </si>
  <si>
    <t>Kolom (2) Diisi dengan nama provinsi dan nama kabupaten/kota</t>
  </si>
  <si>
    <t>Kolom (6) Diisi dengan realisasi penyaluran sampai dengan triwulan II tahun anggaran berkenaan</t>
  </si>
  <si>
    <t xml:space="preserve">Kolom (7) Diisi dengan prosentase perbandingan antara realisasi penyaluran sampai dengan triwulan II dengan alokasi anggaran tahun berkenaan  </t>
  </si>
  <si>
    <t>Kolom (9)  Diisi dengan realisasi penyaluran sampai dengan triwulan III tahun anggaran berkenaan</t>
  </si>
  <si>
    <t xml:space="preserve">Kolom (10) Diisi dengan prosentase perbandingan antara realisasi penyaluran sampai dengan triwulan III dengan alokasi anggaran tahun berkenaan  </t>
  </si>
  <si>
    <t>Tabel B.3</t>
  </si>
  <si>
    <t>(Provinsi ACEH)</t>
  </si>
  <si>
    <t xml:space="preserve">Rekapitulasi Alokasi Dan Realisasi Penggunaan Dana Otonomi Khusus Tahun Anggaran ...........1) Diuraikan Berdasarkan Urusan, Organisasi, Program/Kegiatan Provinsi Dan Kabupaten/Kota </t>
  </si>
  <si>
    <t>PROVINSI                                    :  ACEH</t>
  </si>
  <si>
    <t>PENERIMAAN                               : Rp. …………………….2)</t>
  </si>
  <si>
    <t>CAPAIAN OUTPUT                  (%)</t>
  </si>
  <si>
    <t>2) Diisi dengan total penerimaan tahun sebelumnya (n-1)</t>
  </si>
  <si>
    <t>Kolom (2) Diisi dengan Provinsi/Kabupaten/Kota, urusan, unit organisasi, program dan kegiatan</t>
  </si>
  <si>
    <t>Kolom (6) Diisi dengan Capaian Output Provinsi/Kabupaten/Kota, urusan, unit organisasi, program dan kegiatan</t>
  </si>
  <si>
    <t>Tabel B.4</t>
  </si>
  <si>
    <t>Rekapitulasi Alokasi Penggunaan Dana Otonomi Khusus Diuraikan Berdasarkan Urusan, Organisasi, Program/Kegiatan Provinsi Dan Kabupaten/Kota Tahun Anggaran Berjalan 1)</t>
  </si>
  <si>
    <t xml:space="preserve">PROVINSI                                     : ACEH </t>
  </si>
  <si>
    <t>REALISASI PENYERAPAN SD TW II (Rp.)</t>
  </si>
  <si>
    <t>CAPAIAN OUTPUT  (%)</t>
  </si>
  <si>
    <t>REALISASI PENYERAPAN SD TW III (Rp.)</t>
  </si>
  <si>
    <t>PROVINSI/KAB/KOTA 2) ACEH</t>
  </si>
  <si>
    <t>2) Diisi dengan total penerimaan tahun berkenaan</t>
  </si>
  <si>
    <t>Kolom (2) Diisi dengan Provinsi/Kabupaten/Kota, urusan, unit organisasi, program dan kegiatan.</t>
  </si>
  <si>
    <t>Kolom (6) Diisi dengan realisasi penggunaan sampai dengan triwulan II tahun anggaran berkenaan</t>
  </si>
  <si>
    <t xml:space="preserve">Kolom (7) Diisi dengan prosentase perbandingan antara realisasi anggaran sampai dengan triwulan II dengan alokasi anggaran tahun berkenaan  </t>
  </si>
  <si>
    <t>Kolom (8) Diisi dengan Capaian Output Provinsi/Kabupaten/Kota, urusan, unit organisasi, program dan kegiatan</t>
  </si>
  <si>
    <t>Kolom (10) Diisi dengan realisasi penggunaan sampai dengan triwulan III tahun anggaran berkenaan</t>
  </si>
  <si>
    <t xml:space="preserve">Kolom (11) Diisi dengan prosentase perbandingan antara realisasi anggaran sampai dengan triwulan III dengan alokasi anggaran tahun berkenaan  </t>
  </si>
  <si>
    <t xml:space="preserve">Kolom (12) Diisi dengan Capaian Output Provinsi/Kabupaten/Kota, urusan, unit organisasi, program dan kegiatan </t>
  </si>
  <si>
    <t>Tabel B.5</t>
  </si>
  <si>
    <t>Rekapitulasi Alokasi Dan Realisasi Penggunaan Dana Otonomi Khusus diuraikan Per Bidang  Tahun Anggaran............ 1)</t>
  </si>
  <si>
    <t xml:space="preserve">PROVINSI                                      : ACEH </t>
  </si>
  <si>
    <t>BIDANG INFRASTRUKTUR</t>
  </si>
  <si>
    <t>A.</t>
  </si>
  <si>
    <t>SKPD</t>
  </si>
  <si>
    <t>dst………………………………..</t>
  </si>
  <si>
    <t>BIDANG PEMBERDAYAAN EKONOMI RAKYAT</t>
  </si>
  <si>
    <t>BIDANG PENGENTASAN KEMISKINAN</t>
  </si>
  <si>
    <t>BIDANG PENDIDIKAN</t>
  </si>
  <si>
    <t>BIDANG SOSIAL</t>
  </si>
  <si>
    <t>BIDANG KESEHATAN</t>
  </si>
  <si>
    <t xml:space="preserve">Kolom (2) Diisi dengan Provinsi/Kabupaten/Kota, bidang, unit organisasi, program dan kegiatan </t>
  </si>
  <si>
    <t>Kolom (6) Diisi dengan Capaian Output Provinsi/Kabupaten/Kota, bidang, unit organisasi, program dan kegiatan:</t>
  </si>
  <si>
    <t>Kolom (7)Diisi dengan keterangan yang dianggap perlu</t>
  </si>
  <si>
    <t>Tabel B.6</t>
  </si>
  <si>
    <t>Rekapitulasi Alokasi Penggunaan Dana Otonomi Khusus Diuraikan Per Bidang Tahun Anggaran Berkenaan</t>
  </si>
  <si>
    <t>PROVINSI                                       : ACEH</t>
  </si>
  <si>
    <t>REALISASI SD TW II (Rp.)</t>
  </si>
  <si>
    <t>REALISASI S/D TW III (Rp.)</t>
  </si>
  <si>
    <t xml:space="preserve">Kolom (2) Diisi dengan Provinsi/Kabupaten/Kota bidang, unit organisasi, program dan kegiatan </t>
  </si>
  <si>
    <t xml:space="preserve">Kolom (4)  Diisi dengan perbandingan: </t>
  </si>
  <si>
    <t xml:space="preserve">                  - untuk baris bidang/program/kegiatan dibandingkan dengan penerimaan Dana Otsus Provinsi/Kab/Kota tsb</t>
  </si>
  <si>
    <t xml:space="preserve">Kolom (8) Diisi dengan Capaian Output Provinsi/Kabupaten/Kota, bidang, unit organisasi, program dan kegiatan </t>
  </si>
  <si>
    <t>Kolom (9) Diisi dengan alokasi tahun anggaran berkenaan (apabila tidak ada perubahan sama dengan kolom 3 atau kolom 5)</t>
  </si>
  <si>
    <t xml:space="preserve">Kolom (12) Diisi dengan Capaian Output Provinsi/Kabupaten/Kota, bidang, unit organisasi, program dan kegiatan </t>
  </si>
  <si>
    <t>REKAPITULASI ALOKASI DAN REALISASI PENGGUNAAN DANA OTONOMI KHUSUS</t>
  </si>
  <si>
    <t>DIURAIKAN BERDASARKAN ORGANISASI, PROGRAM/KEGIATAN PROVINSI DAN KABUPATEN/KOTA</t>
  </si>
  <si>
    <t>PROVINSI           : PAPUA BARAT</t>
  </si>
  <si>
    <t>PENERIMAAN      : Rp.2.406.778.685.000,-</t>
  </si>
  <si>
    <t>Badan Pengelola Keuangan dan Aset Daerah</t>
  </si>
  <si>
    <t>1.1. Belanja Tidak Langsung</t>
  </si>
  <si>
    <t>1.3. Program Pendidikan Menengah</t>
  </si>
  <si>
    <t>5</t>
  </si>
  <si>
    <t>6</t>
  </si>
  <si>
    <t>7</t>
  </si>
  <si>
    <t>8</t>
  </si>
  <si>
    <t>9</t>
  </si>
  <si>
    <t>10</t>
  </si>
  <si>
    <t>11</t>
  </si>
  <si>
    <t>12</t>
  </si>
  <si>
    <t>13</t>
  </si>
  <si>
    <t>Dinas Pekerjaan Umum dan Penataan Ruang</t>
  </si>
  <si>
    <t>Dinas Perhubungan</t>
  </si>
  <si>
    <t>1.1. Program Peningkatan Sarana dan Prasarana Aparatur</t>
  </si>
  <si>
    <t>7.1. Program Peningkatan Sarana dan Prasarana Aparatur</t>
  </si>
  <si>
    <t>1. DINAS PENDIDIKAN</t>
  </si>
  <si>
    <t>1.1. Program Wajib Belajar Pendidikan Dasar Sembilan Tahun</t>
  </si>
  <si>
    <t>1.2. Program Pendidikan Menengah dan Tinggi</t>
  </si>
  <si>
    <t>2.  DINAS KESEHATAN</t>
  </si>
  <si>
    <t>2.1. Program Obat dan Perbekalan Kesehatan</t>
  </si>
  <si>
    <t>3. DINAS PEKERJAAN UMUM</t>
  </si>
  <si>
    <t>II. KABUPATEN MANOKWARI</t>
  </si>
  <si>
    <t xml:space="preserve">1. DINAS PENDIDIKAN DAN KEBUDAYAAN </t>
  </si>
  <si>
    <t>1.1.  Program Pendidikan Anak Usia Dini</t>
  </si>
  <si>
    <t>1.1.1. Pelatihan Kopentensi Tenaga Pendidik</t>
  </si>
  <si>
    <t>2. DINAS KESEHATAN</t>
  </si>
  <si>
    <t xml:space="preserve">3.  RUMAH SAKIT UMUM DAERAH </t>
  </si>
  <si>
    <t xml:space="preserve">4.  DINAS PEKERJAAN UMUM DAN PENATAAN RUANG </t>
  </si>
  <si>
    <t xml:space="preserve">5. DINAS PERUMAHAN RAKYAT DAN KAWASAN PEMUKIMAN </t>
  </si>
  <si>
    <t>6. BADAN KESATUAN BANGSA DAN POLITIK</t>
  </si>
  <si>
    <t xml:space="preserve">6.1.  Program Pengembangan Wawasan Kebangasaan </t>
  </si>
  <si>
    <t>7. DINAS SOSIAL</t>
  </si>
  <si>
    <t xml:space="preserve">7.3.  Program Pemberdayaan Kelembagaan Kesejahteraan Sosial </t>
  </si>
  <si>
    <t xml:space="preserve">8. BADAN PENANGGULANGAN BENCANA DAERAH </t>
  </si>
  <si>
    <t>.</t>
  </si>
  <si>
    <t>VI. KABUPATEN RAJA AMPAT</t>
  </si>
  <si>
    <t>1. DINAS PENDIDIKAN DAN KEBUDAYAAN</t>
  </si>
  <si>
    <t>1.3. Program Pendidikan Non Formal</t>
  </si>
  <si>
    <t>1.5. Program Manajemen Pelayanan Pendidikan</t>
  </si>
  <si>
    <t>2.1. Program Pelayanan Administrasi Perkantoran</t>
  </si>
  <si>
    <t>4. DINAS PEKERJAAN UMUM DAN PERUMAHAN</t>
  </si>
  <si>
    <t>5. DINAS KEBERSIHAN DAN PERTAMANAN</t>
  </si>
  <si>
    <t>6. DINAS TENAGA KERJA DAN TRANSMIGRASI</t>
  </si>
  <si>
    <t>8.1. Program Peningkatan Sarana dan Prasarana Aparatur</t>
  </si>
  <si>
    <t>VII. KABUPATEN MAYBRAT</t>
  </si>
  <si>
    <t>1.2.   Program Pendidikan Anak Usia Dini</t>
  </si>
  <si>
    <t>1.3.    Program Wajib Belajar Pendidikan Dasar Sembilan Tahun</t>
  </si>
  <si>
    <t>3. DINAS PEKERJAAN UMUM DAN PENATAAN RUANG</t>
  </si>
  <si>
    <t>VIII. KABUPATEN TAMBRAUW</t>
  </si>
  <si>
    <t>1.8. Program Peningkatan Mutu Pendidik dan Tenaga Kependidikan</t>
  </si>
  <si>
    <t>2.4. Program Perbaikan Gizi Masyarakat</t>
  </si>
  <si>
    <t>4. DINAS PERUMAHAN DAN KAWASAN PERMUKIMAN</t>
  </si>
  <si>
    <t>4.1. Program Pengembangan Perumahan</t>
  </si>
  <si>
    <t>6. DINAS PEMBERDAYAAN MASYARAKAT DAN KAMPUNG</t>
  </si>
  <si>
    <t>7. DINAS KOPERASI, PERINDUSTRIAN DAN PERDAGANGAN</t>
  </si>
  <si>
    <t>8. BPKD selaku PPKD</t>
  </si>
  <si>
    <t>1.2. Program Wajib Belajar Pendidikan Dasar Sembilan Tahun</t>
  </si>
  <si>
    <t>1.4. Program Pendidikan Non Formal</t>
  </si>
  <si>
    <t>1.6. Program Afirmasi Pendidikan Bagi Putra/Putri Asli Papua dan Papua Barat</t>
  </si>
  <si>
    <t>1.6.2. Yohanes Surya Institute</t>
  </si>
  <si>
    <t>2.2. Program Upaya Kesehatan Masyarakat</t>
  </si>
  <si>
    <t>2.2.2. Monitoring, Evaluasi dan Pelaporan</t>
  </si>
  <si>
    <t>2.5. Program Perbaikan Gizi Masyarakat</t>
  </si>
  <si>
    <t>2.7. Program Pencegahan dan Penanggulangan Penyakit Menular</t>
  </si>
  <si>
    <t>1. DINAS PENDIDIKAN, PEMUDA DAN OLAHRAGA</t>
  </si>
  <si>
    <t>1.1. Program Pendidikan Anak Usia Dini</t>
  </si>
  <si>
    <t>2.1. Program Peningkatan Sarana dan Prasarana Aparatur</t>
  </si>
  <si>
    <t>2.2. Program Obat dan Perbekalan Kesehatan</t>
  </si>
  <si>
    <t>2.3. Program Upaya Kesehatan Masyarakat</t>
  </si>
  <si>
    <t>2.9. Program Peningkatan Keselamatan Ibu Melahirkan dan Anak</t>
  </si>
  <si>
    <t>4. DINAS SOSIAL, TENAGA KERJA DAN TRANSMIGRASI</t>
  </si>
  <si>
    <t>7. BADAN LINGKUNGAN HIDUP, KEHUTANAN DAN PERTAMBANGAN</t>
  </si>
  <si>
    <t>8. DINAS KEPENDUDUKAN DAN CATATAN SIPIL</t>
  </si>
  <si>
    <t>8.1. Program Penataan Administrasi Kependudukan</t>
  </si>
  <si>
    <t>9.1. Program Pengembangan Budidaya Perikanan</t>
  </si>
  <si>
    <t>20. DINAS PENDAPATAN, PENGELOLAAN KEUANGAN DAN ASET DAERAH (PPKD)</t>
  </si>
  <si>
    <t>20.1. Non Program</t>
  </si>
  <si>
    <t>3. RSUD Sele Be Solu</t>
  </si>
  <si>
    <t>4.1. Program Pembangunan Jalan dan Jembatan</t>
  </si>
  <si>
    <t>4.1.1. Pembangunan Trotoar Kota Sorong</t>
  </si>
  <si>
    <t>14.1. Program Peningkatan Partisipasi Masyarakat dalam Membangun Desa</t>
  </si>
  <si>
    <t>14.1.1. Pemberdayaan Masyarakat di Lingkungan Distrik dan Kelurahan</t>
  </si>
  <si>
    <t>16.1.1. Pemberdayaan Masyarakat di Lingkungan Distrik dan Kelurahan</t>
  </si>
  <si>
    <t>17.1. Program Peningkatan Partisipasi Masyarakat dalam Membangun Desa</t>
  </si>
  <si>
    <t>19.1. Program Peningkatan Partisipasi Masyarakat dalam Membangun Desa</t>
  </si>
  <si>
    <t>19.1.1. Pemberdayaan Masyarakat di Lingkungan Distrik dan Kelurahan</t>
  </si>
  <si>
    <t>20.1. Program Peningkatan Partisipasi Masyarakat dalam Membangun Desa</t>
  </si>
  <si>
    <t>21.1. Program Peningkatan Partisipasi Masyarakat dalam Membangun Desa</t>
  </si>
  <si>
    <t>21.1.1. Pemberdayaan Masyarakat di Lingkungan Distrik dan Kelurahan</t>
  </si>
  <si>
    <t>23.3. Belanja Bantuan Kesehatan</t>
  </si>
  <si>
    <t>1.2. Program Pendidikan Menengah</t>
  </si>
  <si>
    <t>1.5.1. Pelaksanaan Evaluasi Hasil Kinerja Bidang Pendidikan</t>
  </si>
  <si>
    <t>3. UPT RSUD</t>
  </si>
  <si>
    <t>3.1. Program Pelayanan Kesehatan Penduduk Miskin</t>
  </si>
  <si>
    <t>5. BADAN KESATUAN BANGSA DAN POLITIK</t>
  </si>
  <si>
    <t>6.2. Program Pengembangan Perumahan</t>
  </si>
  <si>
    <t>6.2.1. Pembangunan Sarana dan Prasarana Rumah Sederhana Sehat</t>
  </si>
  <si>
    <t>7. BADAN PENANGGULANGAN BENCANA DAERAH</t>
  </si>
  <si>
    <t>7.1. Program Pelayanan Administrasi Perkantoran</t>
  </si>
  <si>
    <t>7.1.1. Penyediaan Jasa Administrasi Keuangan</t>
  </si>
  <si>
    <t>7.2. Program Peningkatan Kapasitas Sumber Daya Aparatur</t>
  </si>
  <si>
    <t>8.5. Program Pelayanan Kontrasepsi</t>
  </si>
  <si>
    <t>8.5.1. Pelayanan Konseling KB</t>
  </si>
  <si>
    <t>9. DINAS LINGKUNGAN HIDUP DAN PERTANAHAN</t>
  </si>
  <si>
    <t>10. DINAS KEPENDUDUKAN DAN PENCATATAN SIPIL</t>
  </si>
  <si>
    <t>10.1. Penataan Administrasi Kependudukan</t>
  </si>
  <si>
    <t>11. DINAS PEMBERDAYAAN MASYARAKAT DAN KAMPUNG</t>
  </si>
  <si>
    <t>11.1. Program Peningkatan Keberdayaan Masyarakat Perdesaan</t>
  </si>
  <si>
    <t>12. DINAS PERHUBUNGAN</t>
  </si>
  <si>
    <t>12.1. Program Peningkatan Sarana dan Prasarana Aparatur</t>
  </si>
  <si>
    <t>13. DINAS KOPERASI USAHA KECIL DAN MENENGAH</t>
  </si>
  <si>
    <t>14. DINAS KEARSIPAN DAN PERPUSTAKAAN</t>
  </si>
  <si>
    <t>15. DINAS PERIKANAN DAN KELAUTAN</t>
  </si>
  <si>
    <t>15.1. Program Peningkatan Sarana dan Prasarana Aparatur</t>
  </si>
  <si>
    <t>17. DINAS PERTANIAN DAN KETAHANAN PANGAN</t>
  </si>
  <si>
    <t>18. DINAS PERKEBUNAN</t>
  </si>
  <si>
    <t>19. DINAS PERDAGANGAN DAN PERINDUSTRIAN</t>
  </si>
  <si>
    <t>20. DINAS TRANSMIGRASI DAN TENAGA KERJA</t>
  </si>
  <si>
    <t>23.1. Program Peningkatan Partisipasi Masyarakat dalam Membangun Desa</t>
  </si>
  <si>
    <t>1. Dinas Pendidikan Pemuda dan Olah Raga</t>
  </si>
  <si>
    <t>2.  Dinas Kesehatan</t>
  </si>
  <si>
    <t>2.3. Program Obat dan Perbekalan Kesehatan</t>
  </si>
  <si>
    <t>2.4.1. Pemberian Tambahan Makanan dan Vitamin</t>
  </si>
  <si>
    <t>3. RSUD</t>
  </si>
  <si>
    <t>3.1. Program Peningkatan Sarana dan Prasarana Aparatur</t>
  </si>
  <si>
    <t>3.1.2. Pengadaan Meubelair</t>
  </si>
  <si>
    <t>4. Dinas Pekerjaan Umum dan Penata Ruang</t>
  </si>
  <si>
    <t>12. Dinas Sosial, Pengendalian Penduduk dan Keluarga Berencana</t>
  </si>
  <si>
    <t>14. Badan Pengelola Keuangan dan Aset Daerah</t>
  </si>
  <si>
    <t>14.1. Bantuan Sosial Organisasi Keagamaan</t>
  </si>
  <si>
    <t>14.2. Bantuan Sosisal Organisasi Seni Budaya dan Olah Raga</t>
  </si>
  <si>
    <t>4.1. Program Pembangunan Jembatan</t>
  </si>
  <si>
    <t xml:space="preserve"> 1. 1. Program Pendidikan Anak Usia Dini</t>
  </si>
  <si>
    <t xml:space="preserve">1.2. Program Wajib Belajar Pendidikan Dasar Sembilan Tahun </t>
  </si>
  <si>
    <t xml:space="preserve">2. DINAS KESEHATAN </t>
  </si>
  <si>
    <t>3. RUMAH SAKIT UMUM DAERAH</t>
  </si>
  <si>
    <t>4.1. Program Peningkatan Jalan dan Jembatan</t>
  </si>
  <si>
    <t xml:space="preserve">5. DINAS SOSIAL </t>
  </si>
  <si>
    <t xml:space="preserve">10.1. Program Penataan Administrasi Kependudukan </t>
  </si>
  <si>
    <t xml:space="preserve">11. DINAS PEMBERDAYAAN MASYARAKAT DAN KAMPUNG </t>
  </si>
  <si>
    <t xml:space="preserve">12. DINAS PERHUBUNGAN </t>
  </si>
  <si>
    <t>4. DINAS PEKERJAAN UMUM</t>
  </si>
  <si>
    <t>1. Dinas Pendidikan Nasional</t>
  </si>
  <si>
    <t>1.3. Program Wajib Belajar Pendidikan Dasar Sembilan Tahun</t>
  </si>
  <si>
    <t>1.4. Program Pendidikan Menengah</t>
  </si>
  <si>
    <t xml:space="preserve">2.1. Program Pengadaan, Pendistribusian Obat &amp; Perbekalan Kesehatan </t>
  </si>
  <si>
    <t xml:space="preserve">2.1.1. Pengadaan, Pendistribusian Obat &amp; Perbekalan Kesehatan </t>
  </si>
  <si>
    <t>2.2. Program Promosi Kesehatan dan Pemberdayaan Masyarakat</t>
  </si>
  <si>
    <t>2.11. Program Pelayanan Kesehatan</t>
  </si>
  <si>
    <t>5.1. Program Peningkatan Kwalitas Hidup &amp; Perlindungan Perempuan</t>
  </si>
  <si>
    <t>6.2.1. Pelatihan Operator Alat Berat</t>
  </si>
  <si>
    <t>7.1. Program Pengembangan Kewirausahaan &amp; Unggulan  Kompetitif UKM</t>
  </si>
  <si>
    <t>8.1. Program Peningkatan Ketahanan Pangan ( Pertanian/ Peternakan)</t>
  </si>
  <si>
    <t>8.1.3. Lomba Menu Sehat</t>
  </si>
  <si>
    <t>10.1. Program Peningkatan Produksi Pertanian</t>
  </si>
  <si>
    <t>1. Dinas Pendidikan, Pemuda dan Olahraga</t>
  </si>
  <si>
    <t>2. Dinas Kesehatan</t>
  </si>
  <si>
    <t>3. Dinas Pekerjaan Umum dan Penataan Ruang</t>
  </si>
  <si>
    <t>4. Dinas Perumahan Rakyat, Kawasan Pemukiman dan Lingkungan Hidup</t>
  </si>
  <si>
    <t xml:space="preserve">ALOKASI PEMBAGIAN DAN PENYALURAN DANA OTONOMI KHUSUS </t>
  </si>
  <si>
    <t>2) Diisi dengan nama provinsi</t>
  </si>
  <si>
    <t>3) Diisi dengan total penerimaan dana otsus</t>
  </si>
  <si>
    <t xml:space="preserve">Kolom (3) Diisi dengan alokasi anggaran </t>
  </si>
  <si>
    <t>REKAPITULASI ALOKASI DAN REALISASI PENGGUNAAN DANA OTONOMI KHUSUS UNTUK PENDIDIKAN</t>
  </si>
  <si>
    <t xml:space="preserve"> DIURAIKAN BERDASARKAN, ORGANISASI, PROGRAM/KEGIATAN PROVINSI DAN KABUPATEN/KOTA </t>
  </si>
  <si>
    <t>REKAPITULASI ALOKASI DAN REALISASI PENGGUNAAN DANA OTONOMI KHUSUS UNTUK KESEHATAN</t>
  </si>
  <si>
    <t xml:space="preserve">DIURAIKAN BERDASARKAN, ORGANISASI, PROGRAM/KEGIATAN PROVINSI DAN KABUPATEN/KOTA </t>
  </si>
  <si>
    <t>REKAPITULASI ALOKASI DAN REALISASI PENGGUNAAN DANA TAMBAHAN INFRASTRUKTUR</t>
  </si>
  <si>
    <t xml:space="preserve"> DIURAIKAN BERDASARKAN, ORGANISASI, PROGRAM/KEGIATAN  </t>
  </si>
  <si>
    <t>1.5. Program Peningkatan Mutu Pendidik dan Tenaga Kependidikan</t>
  </si>
  <si>
    <t xml:space="preserve">5.2.1. Pembangunan Jalan lingkungan </t>
  </si>
  <si>
    <t>3.1.2. Pengadaan Bahan Medis Habis Pakai</t>
  </si>
  <si>
    <t xml:space="preserve">4.1.1. Pembangunan Sarana dan Prasarana Rumah Sederhana Sehat </t>
  </si>
  <si>
    <t>PROVINSI            : PAPUA BARAT</t>
  </si>
  <si>
    <t>REALISASI ANGGARAN (Rp.)</t>
  </si>
  <si>
    <t>thap i</t>
  </si>
  <si>
    <t>thp ii</t>
  </si>
  <si>
    <t>Tambrauw</t>
  </si>
  <si>
    <t>sebelum perubahan</t>
  </si>
  <si>
    <t>setelah perubahan</t>
  </si>
  <si>
    <t>selisih</t>
  </si>
  <si>
    <t>Kab. Sorong</t>
  </si>
  <si>
    <t>total tambrau + Kabsor</t>
  </si>
  <si>
    <t>prov</t>
  </si>
  <si>
    <t>telbint</t>
  </si>
  <si>
    <t>mkw</t>
  </si>
  <si>
    <t>kota sorong</t>
  </si>
  <si>
    <t>fakfak</t>
  </si>
  <si>
    <t>kaimana</t>
  </si>
  <si>
    <t>R4</t>
  </si>
  <si>
    <t>Maybrat</t>
  </si>
  <si>
    <t>Tambrau</t>
  </si>
  <si>
    <t>perubahan</t>
  </si>
  <si>
    <t>sorsel</t>
  </si>
  <si>
    <t>kabsor</t>
  </si>
  <si>
    <t>pegaf</t>
  </si>
  <si>
    <t>telwon</t>
  </si>
  <si>
    <t>mansel</t>
  </si>
  <si>
    <t>pagu awal</t>
  </si>
  <si>
    <t>respek</t>
  </si>
  <si>
    <t>KET</t>
  </si>
  <si>
    <t>3. Kabupaten Fakfak</t>
  </si>
  <si>
    <t>4. Kabupaten Kaimana</t>
  </si>
  <si>
    <t>5. Kota Sorong</t>
  </si>
  <si>
    <t xml:space="preserve">  8. Kabupaten Sorong Selatan</t>
  </si>
  <si>
    <t xml:space="preserve">  9. Kabupaten Tambrauw</t>
  </si>
  <si>
    <t>10. Kabupaten Pegunungan Arfak</t>
  </si>
  <si>
    <t>11. Kabupaten Sorong</t>
  </si>
  <si>
    <t>12. Kabupaten Manokwari Selatan</t>
  </si>
  <si>
    <t>13. Kabupaten Teluk Wondama</t>
  </si>
  <si>
    <t>BANTUAN KEAGAMAAN</t>
  </si>
  <si>
    <t xml:space="preserve">  HIBAH FAK KEDOKTERAN UNIPA</t>
  </si>
  <si>
    <t>TAHUN ANGGARAN 2018</t>
  </si>
  <si>
    <t>PENERIMAAN      : Rp.2.408.937.478.000,-</t>
  </si>
  <si>
    <t>14.2.1. Pengadaan Bahan Makanan Untuk Anak anak dalam Panti Asuhan</t>
  </si>
  <si>
    <t>2.1.2. Pengadaan Alat-Alat Kesehatan Puskesmas</t>
  </si>
  <si>
    <t>2.1.3. Pengadaan Set Rawat Inap</t>
  </si>
  <si>
    <t>2.1.4. Pengadaan Puskesmas Set</t>
  </si>
  <si>
    <t>2.1.5. Pengadaan Pustu Set</t>
  </si>
  <si>
    <t>2.1.6. Pengadaan Bahan Medis Habis Pakai</t>
  </si>
  <si>
    <t>2.1.7. Pengadaan Lansia Kit</t>
  </si>
  <si>
    <t>2.2.1. Monitoring dPembinaan dan Evaluasi Pelayanan Kesehatan Masyarakat OAP</t>
  </si>
  <si>
    <t>2.3. Program Perbaikan Gizi Masyarakat</t>
  </si>
  <si>
    <t>2.3.1. Pemberian Vitamin A</t>
  </si>
  <si>
    <t>2.3.2. Pelayanan Kesehatan dan Gizi Posbindu</t>
  </si>
  <si>
    <t>2.4.1. Pemberantasan Penyakit Filariasis</t>
  </si>
  <si>
    <t>2.4.2. Pemberian Obat Filariasis</t>
  </si>
  <si>
    <t>2.4.3. Pengawasan Minum Obat Penderita Kusta</t>
  </si>
  <si>
    <t>2.4.4. Penyelidikan Epidemologi Kasus Diare</t>
  </si>
  <si>
    <t>2.4.5. Penyelidikan Epidemologiu Kasus Frambusia</t>
  </si>
  <si>
    <t>2.4. Program Pencegahan dan Penanggulangan Penyakit Menular</t>
  </si>
  <si>
    <t>2.5. Program Pengadaan, Peningk dan Perbaikan Sarana dan Prasarana Kesehatan</t>
  </si>
  <si>
    <t>2.5.1. Pembangunan Rumah Paramedis Distrik Klasafet</t>
  </si>
  <si>
    <t>2.5.2. Pembangunan Puskesmas Distrik Klasafet</t>
  </si>
  <si>
    <t>2.5.3. Pengadaan Ambulance Serta Kelengkapon</t>
  </si>
  <si>
    <t>2.5.4. Pengadaan Puskesmas Keliling Double Gardan</t>
  </si>
  <si>
    <t>2.5.5. Pembangunan Instalansi Pengolahan Air Limbar</t>
  </si>
  <si>
    <t>2.5.6. Pembangunan Rumah Paramedis Distrik Maudus</t>
  </si>
  <si>
    <t>2.5.7. Pembangunan Puskesmas Distrik Maudus</t>
  </si>
  <si>
    <t>2.6. Program Peningkatan Pelayanan Kesehatan Anak Balita</t>
  </si>
  <si>
    <t>2.6.1. Pelayanan Imunisasi bagi Bayi, Bumil dan Anak Sekolah</t>
  </si>
  <si>
    <t>2.6.2. Bulan Imunisasi Anak Sekolah</t>
  </si>
  <si>
    <t>2.6.3. Penjaringan Anak Sekolah Kelas 1, 7 dan 10</t>
  </si>
  <si>
    <t>2.7. Program Peningkatan Keselamatan Ibu Melahirkan dan Anak</t>
  </si>
  <si>
    <t>2.7.1. Pelayanan Kesehatan Ibu Hamil</t>
  </si>
  <si>
    <t xml:space="preserve">2.7.2. Pelayanan Ibu Bersalin ditolong oleh Nakes </t>
  </si>
  <si>
    <t>2.8. Program Upaya Kesehatan Perorangan</t>
  </si>
  <si>
    <t>2.9. Program Kesehatan Masyarakat</t>
  </si>
  <si>
    <t>2.9.1.Pelayanan Kesehatan Masyarakat di Daerah Terpencil</t>
  </si>
  <si>
    <t>2.10. Program Pengawasan Obat dan Makanan</t>
  </si>
  <si>
    <t>2.10.1. Penyediaan Makanan dan Minuman Pasien Rawat Inap</t>
  </si>
  <si>
    <t>2.8.1. Penguatan Sistem Rujukan Puskesmas dan Rumah Sakit</t>
  </si>
  <si>
    <t>8.1.1. Pengembangan Usaha Pangan Lokal</t>
  </si>
  <si>
    <t>10.1.1. Pengadaan Bibit Sapi, Kambing Kacang, Obat-obatan dan Sosialisasi untuk Peternak Papua</t>
  </si>
  <si>
    <t>3. RSUD KAB. SORONG (SELAKU SKPD)</t>
  </si>
  <si>
    <t>3.1.1. Pengadaan Obat-obatan</t>
  </si>
  <si>
    <t>4.1.1. Peningkatan Jalan Km 84 - Sayosa</t>
  </si>
  <si>
    <t>4.1.2. Peningkatan Jalan Ruas Buk - Klarion</t>
  </si>
  <si>
    <t>4.2. Program Pembangunan Jalan &amp; Jembatan</t>
  </si>
  <si>
    <t>4.2.1. Pembangunan Jalan Poros Klaili - Kampung Klamugun</t>
  </si>
  <si>
    <t>4.2.2. Pembangunan Jalan Lingkungan Pulau Arar</t>
  </si>
  <si>
    <t>4.2.3. Pembangunan Jalan Ruas Maudud - Dasri</t>
  </si>
  <si>
    <t>4.2.4. PembangunanJembatan Yorbes</t>
  </si>
  <si>
    <t>6.1. Program Peningkatan Kwalitasdan Produktivitas Tenaga Kerja</t>
  </si>
  <si>
    <t>6.1.1. Pelatihan Meubelair</t>
  </si>
  <si>
    <t>6.1.2. Padat Karya Produkti</t>
  </si>
  <si>
    <t>6.2. Program Peningkatan Kwalitas Sumber Daya Manusia Bidang Ketenagakerjaan</t>
  </si>
  <si>
    <t>7.1.1. Pelatihan Akuntansi Koperasi</t>
  </si>
  <si>
    <t>7.1.2. Sosialisasi Pembentukan Koperasi Bagi Orang Asli Papua</t>
  </si>
  <si>
    <t>8.1.2. Pemanfaatan Lahan Pekarangan</t>
  </si>
  <si>
    <t>9.1. Program Pengendalian Pencemaran dan Perusakan Lingkungan Hidup</t>
  </si>
  <si>
    <t>9.2. Program Pengelolaan Ruang Terbuka Hijau</t>
  </si>
  <si>
    <t>9.2.1. Penanaman Pohon untuk Ruang Terbuka Hijau</t>
  </si>
  <si>
    <t>9.3. Program Peningkatan Peran Serta Masyarakat Dalam Pemelihataan Lingkungan Hidup</t>
  </si>
  <si>
    <t>9.3.1. Pembinaan Peran Serta Masyarakat &amp; Pengendalian Hutan Mangrove</t>
  </si>
  <si>
    <t>10.1.2. Pengadaan Vaksin untuk Ternak</t>
  </si>
  <si>
    <t>10.2. Program Peningkatan Produksi, Produktivitas dan Mutu Tanaman Perkebunan</t>
  </si>
  <si>
    <t>10.2.1. Rehabiulitasi Tanaman Kakao</t>
  </si>
  <si>
    <t>10.2.2. Pengembangan Lada</t>
  </si>
  <si>
    <t>10.2.3. Bantuan Mesin Parut Sagu</t>
  </si>
  <si>
    <t>10.3. Program Peningkatan Produksi, Produktivitas dan Mutu Tanaman Holtikultura</t>
  </si>
  <si>
    <t>10.3.1. Penyediaan Sarana Produksi Tanaman Holtikultura</t>
  </si>
  <si>
    <t>10.4. Program Penyediaan Prasarana dan Sarana Pertanian</t>
  </si>
  <si>
    <t>10.4.1. Penyediaan Sarana Prasarana Alsintan</t>
  </si>
  <si>
    <t>10.5. Program Peningkatan Produksi, Produktivitas dan Mutu Tanaman Pangan</t>
  </si>
  <si>
    <t>10.5.1. Penyediaan Sarana Produksi Tanaman Pangan</t>
  </si>
  <si>
    <t>11.1. Program Peningkatan Sumber Daya Petani Ikan dan Nelayan</t>
  </si>
  <si>
    <t>11.1.1. Pelatihan Teknis Perikanan bagi Pembudidaya Ikan</t>
  </si>
  <si>
    <t>11.1.2. Pelatihan Pem dan Perbaikan Mesin Motor Tempel Kasko Fiber</t>
  </si>
  <si>
    <t>11.2. Program Pengembangan Kapasitas Perikanan Masyarakat Pesisir</t>
  </si>
  <si>
    <t>11.2.1. Rehabilitasi Kolam Rakyat dan Sarana Produksi Budidaya</t>
  </si>
  <si>
    <t>11.2.3. Pengembangan Sarpras Produksi Penangkapan Ikan dan Udang</t>
  </si>
  <si>
    <t>11.2.2. Pembangunan Keramba Budidaya Teripang Pasir</t>
  </si>
  <si>
    <t>11.2.5. Pembangunan Kolan Percontohan Budidaya Ikan Payau</t>
  </si>
  <si>
    <t>12.1. Program Pengembangan Data/Informasi</t>
  </si>
  <si>
    <t>12.1.1. Pembuatan Data Base Pendidikan</t>
  </si>
  <si>
    <t>12.2. Program Perencanaan Pembangunan Daerah</t>
  </si>
  <si>
    <t>12.2.1. Monitoring Otsus 2018</t>
  </si>
  <si>
    <t>13.1. Program Pegembangan Destinasi Pariwisata</t>
  </si>
  <si>
    <t>13.1.1. Revitalisasi Sarana dan Prasarana Wisata Jeflo</t>
  </si>
  <si>
    <t>14.1. Program Peningkatan Kesejahteraan Sosial</t>
  </si>
  <si>
    <t>14.1.1. Program Keluarga Harapan</t>
  </si>
  <si>
    <t>14.1.2. Pendataan Keluarga Tidak Mampu untuk Jamkesda</t>
  </si>
  <si>
    <t>14.1.3. Pemberdayaan Masyarakat Pesisir</t>
  </si>
  <si>
    <t>15.1. Program Pembinaan Koperasi dan UKM</t>
  </si>
  <si>
    <t>15.1.1. Pelatihan Proses Pengelolaan Sagu Menjadi Tepung Sagu</t>
  </si>
  <si>
    <t>15.2. Program Pembangunan Sarana Perdagangan</t>
  </si>
  <si>
    <t>15.2.1. Pembangunan Rehabilitasi  Pasar Tradisional di Distrik Mariat Kel. Mariyai</t>
  </si>
  <si>
    <t>16.1. Program Rehabilitasi dan Rekonstruksi Sarana Prasarana Pasca Bencana</t>
  </si>
  <si>
    <t>16.1.1. Rehabilitasi Sarana Prasarana Pasca Bencana</t>
  </si>
  <si>
    <t>17.1. Program Peningkatan Kapasitas Sumber Daya Aparatur</t>
  </si>
  <si>
    <t>17.1.1. Gerakan Pemasyarakatan Minat Membaca</t>
  </si>
  <si>
    <t>17.1.2. Arsip Masuk Kampung</t>
  </si>
  <si>
    <t>17.2. Program Peningkatan Kwalitas Minat dan Gemar Membaca</t>
  </si>
  <si>
    <t>17.2.1. Lomba Bercerita Tingkat SD/MI Kab. Sorong</t>
  </si>
  <si>
    <t>18.1. Program Pengembangan Perumahan</t>
  </si>
  <si>
    <t>18.1.1. Pembangunan Rumah Penduduk Distrik Maudus</t>
  </si>
  <si>
    <t>18.1.2. Pemb. Rumah Kopel Pegawai Dinas Kesehatan Distrik Sunook</t>
  </si>
  <si>
    <t>18.1.3. Pemb. Rumah Penduduk Kampung Tarsa Distrik Konhir</t>
  </si>
  <si>
    <t>18.1.4. Pemb. Rumah Penduduk Kampung Mlawar Distrik Klaili</t>
  </si>
  <si>
    <t>18.1.5. Pemb. Rumah Penduduk Kampung Miskun Distrik Klasouw</t>
  </si>
  <si>
    <t>18.1.6. Pemb. Rumah Penduduk Kampung Sabaga Distrik Klasouw</t>
  </si>
  <si>
    <t>18.1.7. Pemb. Rumah Penduduk Kampung Asbaken Distrik Makbon</t>
  </si>
  <si>
    <t>18.1.8. Pemb. Rumah Penduduk Kampung Hobart Distrik Hobart</t>
  </si>
  <si>
    <t>18.1.9. Pemb. Rumah Penduduk Distrik Sayosa</t>
  </si>
  <si>
    <t>18.1.10. Penataan Permukiman/Perumahan Desa di Distrik Sayosa Timur</t>
  </si>
  <si>
    <t>18.1.11. Pemb. Rumah Penduduk Distrik Botain</t>
  </si>
  <si>
    <t>18.2. Program Penyediaan dan Pengelolaan Air Baku</t>
  </si>
  <si>
    <t>18.2.1. Pembangunan Sistem Penyediaan Air Minum/SPAM Distrik Klaili</t>
  </si>
  <si>
    <t>18.2.2. Pembangunan Sistem Penyediaan Air Minum/SPAM Distrik Klasouw</t>
  </si>
  <si>
    <t>18.2.3. Pembangunan Sistem Penyediaan Air Minum/SPAM Distrik Batu Payung</t>
  </si>
  <si>
    <t>18.3. Program Pengelolaan Persampahan</t>
  </si>
  <si>
    <t>18.3.1. Penyediaan Kendaraan Pengangkut Sampah</t>
  </si>
  <si>
    <t>14.2. Program Pembinaan Panti Asuhan/ Panti Jompo</t>
  </si>
  <si>
    <t>I. KABUPATEN TELUK BINTUNI</t>
  </si>
  <si>
    <t>1. DINAS PENDIDIKAN PEMUDA DAN OLAH RAGA</t>
  </si>
  <si>
    <t>1.2. Program Pendidikan Anak Usia Dini</t>
  </si>
  <si>
    <t>1.5.8. Pelatihan Penyusunan PTK Bagi Guru</t>
  </si>
  <si>
    <t>2.1. Program Peningkatan Kapasitas Sumber Daya Aparatur</t>
  </si>
  <si>
    <t>2.1.1. Rapat Kerja Kesehatan</t>
  </si>
  <si>
    <t>2.2.10. Operasional Puskesmas Mubrani</t>
  </si>
  <si>
    <t>2.2.11. Operasional Puskesmas Amberbaken</t>
  </si>
  <si>
    <t>2.3. Program Promosi Kesehatan dan Pemberdayaan Masyarakat</t>
  </si>
  <si>
    <t>2.3.1. Penyuluhan masyarakat pola hidup sehat</t>
  </si>
  <si>
    <t>2.3.2. Penyuluhan HIV AIDS dan Penyakit Menular</t>
  </si>
  <si>
    <t>2.4.1. Pengadaan Suplemen Gizi Buruk Dan Ibu Hamil</t>
  </si>
  <si>
    <t>2.4.3. Pengadaan Makanan Tambahan (PMT)</t>
  </si>
  <si>
    <t>2.5. Program Pencegahan dan Penanggulangan Penyakit Menular</t>
  </si>
  <si>
    <t>2.6. Program pengadaan, peningkatan dan perbaikan sarana dan prasarana puskesmas/ puskemas pembantu dan jaringannya</t>
  </si>
  <si>
    <t>2.6.8. Pembangunan Kopel Rumah Dokter RS Pratama di Fef 2 Unit</t>
  </si>
  <si>
    <t xml:space="preserve">2.6.1. Pembangunan Puskesmas Yembun </t>
  </si>
  <si>
    <t xml:space="preserve">2.6.4. Pengadaan Meubelair Puskesmas Salemkai </t>
  </si>
  <si>
    <t xml:space="preserve">2.6.3. Pembangunan Sarana dan Prasarana Puskesmas Kwoor </t>
  </si>
  <si>
    <t xml:space="preserve">2.6.5. Pengadaan Alat Kesehatan Puskesmas Pustu Tambamsere </t>
  </si>
  <si>
    <t xml:space="preserve">2.6.7. Pembangunan Rumah Kopel Tenaga Medis di Senopi </t>
  </si>
  <si>
    <t xml:space="preserve">2.6.6. Pengadaan Meubelair Puskesmas Pembantu Tambamsere </t>
  </si>
  <si>
    <t xml:space="preserve">2.6.9. Pembangunan Kopel Rumah Tenaga Medis RS Pratama di Fef </t>
  </si>
  <si>
    <t>2.7. Program Upaya Pelayanan Kesehatan ibu dan anak</t>
  </si>
  <si>
    <t>2.8. Program Peningkatan Pelayanan Kesehatan</t>
  </si>
  <si>
    <t>3.1. Program Peningkatan Jalan &amp; Jembatan</t>
  </si>
  <si>
    <t>3.1.1. Peningkatan Struktur Jalan Mega - Selewok Pada Ruas Jalan Mega - Fef (Km.0+000 s/d Km.12+000)</t>
  </si>
  <si>
    <t>3.2. Program pembangunan jalan dan jembatan</t>
  </si>
  <si>
    <t>3.3. Program rehabilitasi/pemeliharaan jalan dan jembatan</t>
  </si>
  <si>
    <t>5.1. Program Pemberdayaan Perempuan Dalam Ekonomi Keluarga dan Masyarakat</t>
  </si>
  <si>
    <t>5.1.1. Pendidikan dan Pelatihan Teknis Membatik</t>
  </si>
  <si>
    <t>5.2. Program Pemberdayaan Ekonomi Keluarga</t>
  </si>
  <si>
    <t>5.2.1. Pelatihan Keterampilan Dalam Rangka Peningkatan Ekonomi Keluarga</t>
  </si>
  <si>
    <t>6.1. Program pengembangan lembaga ekonomi Masyarakat</t>
  </si>
  <si>
    <t>7.1. Program Peningkatan Kemampuan Teknologi Industri</t>
  </si>
  <si>
    <t>8.1. Belanja Bantuan Sosial Kepala Kelompok Masyarakat</t>
  </si>
  <si>
    <t>8.2.1.. Belanja Bantuan Sosial Kepada Sekolah Anak Indonesia (Pendidikan)</t>
  </si>
  <si>
    <t>5. DINAS PEMBERDAYAAN PEREMPUAN, PERLINDUNGAN ANAK DAN KB</t>
  </si>
  <si>
    <t>1.1.1. Pembangunan Rumah Dinas Guru Type 36 SD Negeri Tabamsere</t>
  </si>
  <si>
    <t xml:space="preserve">1.1.3. Pembangunan Rumah Dinas Guru SMP Negeri SATAP Abun Tahap II </t>
  </si>
  <si>
    <t xml:space="preserve">1.1.2. Pembangunan Rumah Dinas Guru SMP N 23 Senopi Tahap II </t>
  </si>
  <si>
    <t xml:space="preserve">1.1.4. Pembangunan Mess Guru Dinas Pendidikan di Fef ( 6 Kamar) </t>
  </si>
  <si>
    <t>8. BPKAD selaku PPKD</t>
  </si>
  <si>
    <t xml:space="preserve">8.1.1. Belanja Bantuan Sosial kepada Kelompok Masyarakat (Kesehatan) </t>
  </si>
  <si>
    <t>III. KABUPATEN FAKFAK</t>
  </si>
  <si>
    <t>IV. KABUPATEN KAIMANA</t>
  </si>
  <si>
    <t>V. KOTA SORONG</t>
  </si>
  <si>
    <t>VIII. KABUPATEN SORONG SELATAN</t>
  </si>
  <si>
    <t>IX. KABUPATEN TAMBRAUW</t>
  </si>
  <si>
    <t>X. KABUPATEN PEGUNUNGAN ARFAK</t>
  </si>
  <si>
    <t>XI. KABUPATEN SORONG</t>
  </si>
  <si>
    <t>XII. KABUPATEN MANOKWARI SELATAN</t>
  </si>
  <si>
    <t>XIII.  KABUPATEN TELUK WONDAMA</t>
  </si>
  <si>
    <t>2.1.  Program Peningkatan Kapasitas Sumber Daya Aparatur</t>
  </si>
  <si>
    <t>2.2.  Program Obat dan Perbekalan Kesehatan</t>
  </si>
  <si>
    <t>2.3.  Program Perbaikan Gizi Masyarakat</t>
  </si>
  <si>
    <t>2.6.  Program Peningkatan Pelayanan Puskesmas</t>
  </si>
  <si>
    <t>2.7.  Program Promosi Kesehatan dan Pemberdayaan Masyarakat</t>
  </si>
  <si>
    <t>3.1.  Program Peningkatan Sarana dan Prasarana Aparatur</t>
  </si>
  <si>
    <t>V.  KOTA SORONG</t>
  </si>
  <si>
    <t>VIII.  KABUPATEN SORONG SELATAN</t>
  </si>
  <si>
    <t xml:space="preserve">2.7.1. Pelayanan Posyandu KIA </t>
  </si>
  <si>
    <t>23. BADAN PENGELOLA KEUANGAN DAN ASET DAERAH (PPKD)</t>
  </si>
  <si>
    <t>1.1.1. Pembangunan Gedung Sekolah</t>
  </si>
  <si>
    <t>1.1.2. Pembangunan Rumah Dinas Kepala Sekolah, Guru, Penjaga Sekolah</t>
  </si>
  <si>
    <t>1.1.3. Pengadaan buku-buku dan alat tulis siswa</t>
  </si>
  <si>
    <t>1.1.4. Pengadaan Mebeleur Sekolah</t>
  </si>
  <si>
    <t>1.1.5. Pengadaan sarana mobilitas sekolah</t>
  </si>
  <si>
    <t>1.1.6. Cerdas Cermat MIPA Siswa Matrikulasi Tk. SD</t>
  </si>
  <si>
    <t>1.1.7. Cerdas Cermat MIPA Siswa Matrikulasi Tk. SMP</t>
  </si>
  <si>
    <t>1.1.8. Bantuan Operasional Sekolah Daerah (BOSDA)</t>
  </si>
  <si>
    <t>1.1.9. Operasional Penampungan Siswa Tingkat SMP di 7 Distrik</t>
  </si>
  <si>
    <t>1.2. Program Pendidikan Non Formal dan Informal</t>
  </si>
  <si>
    <t>1.2.1. Penyelenggaraan Pendidikan Keaksaraan</t>
  </si>
  <si>
    <t>1.2.2. Penyelenggaraan Ujian Nasional Pendidikan Kesetaraan Paket C (UNPK-Paket C)</t>
  </si>
  <si>
    <t>1.3. Program manajemen pelayanan Pendidikan</t>
  </si>
  <si>
    <t>1.3.1. Afirmasi Pendidikan Menengah (ADEM) Bagi Putra/i Asli Papua</t>
  </si>
  <si>
    <t>1.3.2. Afirmasi Pendidikan Tinggi (ADIK) bagi Putra/putri Asli Papua</t>
  </si>
  <si>
    <t>1.3.3. Biaya Pendidikan Mahasiswa Guru MIPA Kerjasama PEMDA dengan STIKIP SURYA</t>
  </si>
  <si>
    <t>1.4. Program peningkatan sarana dan Prasarana Olah Raga</t>
  </si>
  <si>
    <t>1.4.1. Pembangunan Sarana Olah Raga</t>
  </si>
  <si>
    <t>2.1.  Program pelayanan Administrasi Perkantoran</t>
  </si>
  <si>
    <t>2.1.1. Penyediaan makanan dan minuman</t>
  </si>
  <si>
    <t>2.2. Program Peningkatan Sarana dan Prasarana Aparatur</t>
  </si>
  <si>
    <t>2.2.1. Pembangunan gedung kantor</t>
  </si>
  <si>
    <t>2.2.2. Pengadaan Kendaraan Dinas / Operasional</t>
  </si>
  <si>
    <t>2.2.3. Pengadaan Perlengkapan Gedung Kantor</t>
  </si>
  <si>
    <t>2.2.4. Pengadaan peralatan gedung Kantor</t>
  </si>
  <si>
    <t>2.2.6. Pengadaan Motor Tempel</t>
  </si>
  <si>
    <t>2.2.7. Rehabilitasi sedang/berat rumah dinas</t>
  </si>
  <si>
    <t>2.2.8. Rehabilitasi sedang/berat gedung kantor</t>
  </si>
  <si>
    <t>2.3.1. Pengadaaan Obat dan Perbekalan Kesehatan</t>
  </si>
  <si>
    <t>2.3.2. Penyediaan Bahan Laboraturium</t>
  </si>
  <si>
    <t>2.3.3. Penunjang Kegiatan gudang farmasi</t>
  </si>
  <si>
    <t>2.4.2. Monitoring, evaluasi dan pelaporan Bidang Kesga</t>
  </si>
  <si>
    <t>2.4.3. Penanganan Perawatan Penderita Gizi Buruk</t>
  </si>
  <si>
    <t>2.5. Program pengembangan lingkungan sehat</t>
  </si>
  <si>
    <t>2.5.1. Pengawasan Kwalitas bahan makanan yg dicurigai mengadung bahan kimia berbahaya</t>
  </si>
  <si>
    <t>2.5.2. Koordinasi Kinerja Sanitarian</t>
  </si>
  <si>
    <t>2.6. Program Pencegahaan dan Penanggulangan Penyakit Menular</t>
  </si>
  <si>
    <t>2.6.1. Penyemprotan/fogging sarang nyamuk</t>
  </si>
  <si>
    <t>2.6.2. Monitoring, Evaluasi dan Pelaporan Penyakit Menular</t>
  </si>
  <si>
    <t>2.6.3. Pengobatan Massal Filariasis ( Tahun 8 )</t>
  </si>
  <si>
    <t>2.6.4. Case Finding Neglected Disease ( TB,Kusta,Filariasis,HIV )</t>
  </si>
  <si>
    <t>2.6.5. Penanggulangan Wabah dan Bencana</t>
  </si>
  <si>
    <t>2.6.7. Workshop Penguatan Sistim Percepatan Eliminasi Malaria</t>
  </si>
  <si>
    <t>2.6.8. Pembinaan Kesehatan Haji</t>
  </si>
  <si>
    <t>2.7. Program Revitalisasi Penyuluhan dan Promosi Kesehatan</t>
  </si>
  <si>
    <t>2.7.1. Monitoring dan Evaluasi</t>
  </si>
  <si>
    <t>2.8. Program Peningkatan Kesehatan Ibu dan Anak</t>
  </si>
  <si>
    <t>2.8.1. Pelatihan PWS KIA Bagi Penanggung jawab KIA</t>
  </si>
  <si>
    <t>2.8.2. Pelatihan penanganan ASFIKSIA</t>
  </si>
  <si>
    <t>2.8.3. Pelatihan Puskesmas Poned</t>
  </si>
  <si>
    <t>2. 9. Program pengembangan manajemen Kesehatan</t>
  </si>
  <si>
    <t>2.9.1. Monitoring, Evaluasi dan Validasi Data ASPAK (aplikasi Sarana, Prasarana dan Alat Kesehatan)</t>
  </si>
  <si>
    <t>2.9.2. Pelatihan Program Indonesia Sehat dengan Pendekatan Keluaraga (PIS-PK)</t>
  </si>
  <si>
    <t>2.9.3. Pelatihan Penyusunan SOP dan Perencanaan Tingkat Puskesmas (PTP) Terpadu</t>
  </si>
  <si>
    <t>3.1.1. Pengadaan gedung kantor</t>
  </si>
  <si>
    <t>3.2. Program Pengadaan,  Peningkatan Sarana dan Prasarana Rumah Sakit</t>
  </si>
  <si>
    <t>3.2.1. Pengadaan bahan - bahan Logistik Rumah Sakit</t>
  </si>
  <si>
    <t>3.2.2. Penyusunan dokumen Evaluasi Lingkungan Hidup</t>
  </si>
  <si>
    <t>4.1.1. Pembangunan jalan</t>
  </si>
  <si>
    <t>4.1.2. Pembangunan jembatan</t>
  </si>
  <si>
    <t>4.2. Program Pembangunan Saluran Drainase.Gorong-gorong</t>
  </si>
  <si>
    <t>4.2.1. Pembangunan saluran drainase/gorong-gorong</t>
  </si>
  <si>
    <t>4.3. Program pembangunan turap/talud/bronjong</t>
  </si>
  <si>
    <t>4.3.1. Pembangunan turap/talud/bronjong</t>
  </si>
  <si>
    <t>4.4. Program rehabilitasi/pemeliharaan jalan dan jembatan</t>
  </si>
  <si>
    <t>4.4.1. Rehabilitasi / pemeliharaan jalan</t>
  </si>
  <si>
    <t>5. Dinas Pertanahan, Perumahan dan Kawasan Pemukiman</t>
  </si>
  <si>
    <t>5.1. Program pengembangan perumahan</t>
  </si>
  <si>
    <t>5.1.1. Pembangunan sarana dan prasarana rumah sederhana sehat</t>
  </si>
  <si>
    <t>6. Dinas Perhubungan</t>
  </si>
  <si>
    <t>6.1. Program Peningkatan Pelayanan Angkutan</t>
  </si>
  <si>
    <t>6.1.1. Kegiatan Penciptaan Pelayanan Cepat, Tepat, Murah dan Mudah</t>
  </si>
  <si>
    <t>6.1.2. Monitoring, evaluasi dan pelaporan</t>
  </si>
  <si>
    <t>6.1.3. Pengembangan dan Peningkatan Fasilitas Keselamatan Pelayaran</t>
  </si>
  <si>
    <t>6.2. Program pembangunan sarana dan prasarana perhubungan</t>
  </si>
  <si>
    <t>6.2.1. Pembangunan Dan Rehabilitasi Dermaga Lokal</t>
  </si>
  <si>
    <t>6.3. Program pengendalian dan pengamanan lalu lintas</t>
  </si>
  <si>
    <t>6.3.1. Kegiatan Penciptaan Keamanan Dan Kenyamanan Penumpang Dilingkungan Terminal</t>
  </si>
  <si>
    <t>8. Dinas Pertanian dan Ketahanan Pangan</t>
  </si>
  <si>
    <t>13.3.1. Fasilitasi TKPKD Kabupaten Kaimana</t>
  </si>
  <si>
    <t>14.3. Bantuan Masyarakat</t>
  </si>
  <si>
    <t>14.4. Bantuan untuk Pendidikan</t>
  </si>
  <si>
    <t>1.1. Program Pelayanan Administrasi Perkantoran</t>
  </si>
  <si>
    <t>1.2. Program peningkatan dan pengembangan pengelolaan keuangan daerah</t>
  </si>
  <si>
    <t>1.9. Program Pengelolaan Keragaman Budaya</t>
  </si>
  <si>
    <t xml:space="preserve">2.2.1. Pembangunan Ruang Puskesmas Waisai </t>
  </si>
  <si>
    <t>2.3. Program Peningkatan dan Pengembangan Pengelolaan Keuangan Daerah</t>
  </si>
  <si>
    <t>2.2. Program Pencegahan Penyakit Menular</t>
  </si>
  <si>
    <t>2.2. Program Pelayanan Administrasi Perkantoran</t>
  </si>
  <si>
    <t>2.4. Program Peningkatan Kapasitas Sumberdaya Aparatur</t>
  </si>
  <si>
    <t xml:space="preserve">2.3.1. Monitoring dan Evaluasi Kinerja Program Gizi </t>
  </si>
  <si>
    <t>2.1.4. Optimalisasi Pelayanan Kader Posyandu dan Kader Bersalin</t>
  </si>
  <si>
    <t xml:space="preserve">2.1.3. Optimalisasi Kendaraan Darat dan Laut </t>
  </si>
  <si>
    <t xml:space="preserve">2.1.2. Peningkatan Pelayanan Dokter Tidak Berpraktek </t>
  </si>
  <si>
    <t>2.1.1. Penyediaan Jasa Tenaga Kesehatan Non PNS</t>
  </si>
  <si>
    <t>2.5. Program Obat Pembekalan Masyarakat</t>
  </si>
  <si>
    <t xml:space="preserve">2.5.1. Pengawasan Obat, Makanan dan Minuman </t>
  </si>
  <si>
    <t xml:space="preserve">2.5.3. Operasional Gudang Farmasi </t>
  </si>
  <si>
    <t>2.6. Program Pencegahan dan Penanggulangan Penyakit</t>
  </si>
  <si>
    <t>2.7. Program Promosi Kesehatan Pemberdayaan Masyarakat</t>
  </si>
  <si>
    <t>2.7.3. Penyuluhan Kesehatan Reproduksi Remaja dan Pemberian Tablet FE (Tambah Darah) Untuk Remaja Putri</t>
  </si>
  <si>
    <t xml:space="preserve">2.7.2. Sosialisasi dan Pembentukan Pos Pandu dan Bindu PTM </t>
  </si>
  <si>
    <t xml:space="preserve">2.7.1. Sosialisasi Kesehatan dan PHBS Bagi Masyarakat dan Anak Sekolah </t>
  </si>
  <si>
    <t xml:space="preserve">2.6.10.Survey dan Pengobatan Pasien TB. Paru </t>
  </si>
  <si>
    <t xml:space="preserve">2.6.9. Headlingcost Pengadaan Obat dan Pemeriksaan HIV/AIDS </t>
  </si>
  <si>
    <t>2.6.8. Pencegahan dan Pengendalian Penyakit DBD dan Malaria</t>
  </si>
  <si>
    <t>2.6.7. Pengobatan Penyakit Filariasis</t>
  </si>
  <si>
    <t xml:space="preserve">2.6.6. Operasional Komisi Penanggulangan AIDS KPA </t>
  </si>
  <si>
    <t xml:space="preserve">2.6.5. Imunisasi BIAS (Bulan Imunisasi Anak Sekolah) </t>
  </si>
  <si>
    <t xml:space="preserve">2.6.4. Pemeliharaan Rantai Vaksin dan Operasional Gudang Vaksin Dinas Kesehatan </t>
  </si>
  <si>
    <t xml:space="preserve">2.6.3. Kampanye MR (Measles Rubella) Bagi Anak Usia 9 Bulan - 15 Tahun </t>
  </si>
  <si>
    <t>2.6.2. Surveilans/ Kegiatan Pengambilan dan Pengiriman Sampel Campak</t>
  </si>
  <si>
    <t>2.6.1. Surveilans/Kegiatan Pelacakan Penderita, Pengambilan dan Pengiriman Sampel AFP</t>
  </si>
  <si>
    <t>2.8. Program Upaya Kesehatan Masyarakat</t>
  </si>
  <si>
    <t>2.9. Program Pengadaan Peningkatan dan Perbaikan</t>
  </si>
  <si>
    <t xml:space="preserve">2.9.1. Rehabilitasi Pustu Kampung Fafanlap </t>
  </si>
  <si>
    <t>2.9.2. Rehabilitasi Berat Pustu Kampung Magey</t>
  </si>
  <si>
    <t xml:space="preserve">2.4.2. Pertemuan Desiminasi Penguatan Sistem Rujukan Maternal dan Neonatal Tingkat Kabupaten </t>
  </si>
  <si>
    <t xml:space="preserve">2.4.3. Review Kegiatan Pelayanan Manajemen Terpadu Balita Sakit (MTBS) Tingkat Kabupaten </t>
  </si>
  <si>
    <t xml:space="preserve">2.4.4. Peningkatan Kapasitas Kader Posyandu Tentang Pemanfaatan Apotik Hidup dan Warung Hidup </t>
  </si>
  <si>
    <t>2.4.5. Program Surveilans/Peningkatan Kapasitas Petugas PKM Tentang Tatalaksana Bayi/Balita Pneumonia</t>
  </si>
  <si>
    <t>3. RUMAH SAKIT UMUM  DAERAH</t>
  </si>
  <si>
    <t>3.1. Program Pengadaan, Peningkatan Sarana dan Prasarana Penunjang Pelayanan Rumah Sakit</t>
  </si>
  <si>
    <t xml:space="preserve">3.1.1. Penyediaan Jasa Kebersihan </t>
  </si>
  <si>
    <t xml:space="preserve">3.1.2. Pengadaan Obat-obatan RS </t>
  </si>
  <si>
    <t>3.1.3. Pengadaan Bahan Medis Habis Pakai</t>
  </si>
  <si>
    <t xml:space="preserve">3.1.4. Pengadaan Sarana Penunjang Farmasi </t>
  </si>
  <si>
    <t xml:space="preserve">3.1.5. Pengadaan AC Kamar Operasi </t>
  </si>
  <si>
    <t>3.1.6. Operasional Unit Transfusi Darah</t>
  </si>
  <si>
    <t xml:space="preserve">3.1.7. Pembangunan Selasar RS </t>
  </si>
  <si>
    <t xml:space="preserve">3.1.8. Operasional Pemeliharaan Inscenerator dan IPAL </t>
  </si>
  <si>
    <t xml:space="preserve">3.1.9. Operasioanal Pemeliharaan Mesin Gas Medic </t>
  </si>
  <si>
    <t xml:space="preserve">3.1.10.Pembuatan Master Plan dan DED RS </t>
  </si>
  <si>
    <t>3.2. Program Upaya Kesehatan Masyarakat</t>
  </si>
  <si>
    <t>3.3. Program Peningkatan Disiplin Aparatur</t>
  </si>
  <si>
    <t xml:space="preserve">3.2.1. Pelayanan Pemberian Makan dan Minum Pasien Rawat Inap </t>
  </si>
  <si>
    <t xml:space="preserve">2.8.3. Optimalisasi Peningkatan Pelayanan Dokter Kontrak </t>
  </si>
  <si>
    <t xml:space="preserve">2.8.2. Pemicuan STBM (Sanitasi Total Berbasis Masyarakat) Merubah Perilaku Masyarakat </t>
  </si>
  <si>
    <t>4.1.1. Pembangunan Trotoar Jalan 30</t>
  </si>
  <si>
    <t>4.5. Program Pembangunan Drainase (RPJMD Pembangunan Drainase Pedesaan)</t>
  </si>
  <si>
    <t xml:space="preserve">4.5.1. Pembangunan Drainase di Kobeoser </t>
  </si>
  <si>
    <t>4.6.1. Pembangunan Pagar Gereja Katholik</t>
  </si>
  <si>
    <t xml:space="preserve">4.6.2. Pembangunan Masjid Waigama </t>
  </si>
  <si>
    <t xml:space="preserve">4.6.3. Pembangunan Masjid Beo (Lanjutan) </t>
  </si>
  <si>
    <t xml:space="preserve">4.6.4. Pembangunan Rumah Imam Masjid Kabare </t>
  </si>
  <si>
    <t xml:space="preserve">4.6.5. Pembangunan Gedung Masjid Lopintol (Lanjutan) </t>
  </si>
  <si>
    <t xml:space="preserve">4.6.6. Pembangunan Gedung Masjid Dusun Yalapale </t>
  </si>
  <si>
    <t>5.1. Program Pembangunan dan Sarana Pendukung Kebersihan dan Pertamanan</t>
  </si>
  <si>
    <t xml:space="preserve">5.1.3. Pengadaan Kendaraan Penyiram Taman  </t>
  </si>
  <si>
    <t xml:space="preserve">5.1.2. Pengadaan Tong Sampah Roda </t>
  </si>
  <si>
    <t xml:space="preserve">5.1.1. Pembangunan TPS (Permanen) Skala Prioritas </t>
  </si>
  <si>
    <t>9.1. Program Peningkatan Sumber Daya Aparatur</t>
  </si>
  <si>
    <t xml:space="preserve">9.3.1. Pengembangan Tanaman Buah Naga  </t>
  </si>
  <si>
    <t>11.3. Program Peningkatan Kualitas Kelembagaan Koperasi</t>
  </si>
  <si>
    <t>11.5. Program Pembinaan, Perlindungan dan Pengawasan UKM</t>
  </si>
  <si>
    <t>13.1. Program Peningkatan Sarana dan Prasarana Aparatur</t>
  </si>
  <si>
    <t xml:space="preserve">11.5.1. Penyusunan Kebijakan Tentang Usaha Kecil Menengah </t>
  </si>
  <si>
    <t xml:space="preserve">1.1.1. Penyediaan Jasa Tenaga Non PNS  </t>
  </si>
  <si>
    <t xml:space="preserve">1.2.1. Optimalisasi Pendataan Aset SKPD </t>
  </si>
  <si>
    <t>17.1. Program Peningkatan Sarana dan Prasarana Aparatur</t>
  </si>
  <si>
    <t>19. BADAN PENGELOLA KEUANGAN DAN ASET DAERAH</t>
  </si>
  <si>
    <t>19.2. Belanja Bantuan Keuangan</t>
  </si>
  <si>
    <t xml:space="preserve">2.4.1. Pelatihan Kader Pos Bindu/PTM </t>
  </si>
  <si>
    <t xml:space="preserve">2.5.2. Distribusi Obat dan Bahan Habis Pakai  </t>
  </si>
  <si>
    <t xml:space="preserve">1.9.1. Festival Suling Tambur </t>
  </si>
  <si>
    <t>1.1.1. Penyediaan Jasa Pelayanan Administrasi Perkantoran</t>
  </si>
  <si>
    <t>1.2.1 Pengadaan alat praktik dan peraga siswa</t>
  </si>
  <si>
    <t>1.2.3 Pemberian Bantuan Operasional TK dan PAUD</t>
  </si>
  <si>
    <t>1.2.4 Pelatihan Manajemen Kepala TK/PAUD</t>
  </si>
  <si>
    <t>1.2.5 Pembangunan gedung sekolah TK</t>
  </si>
  <si>
    <t>1.2.6 Diklat Berjenjang</t>
  </si>
  <si>
    <t>1.3.1 Pengadaan buku-buku dan alat tulis siswa</t>
  </si>
  <si>
    <t>1.3.3 Pengadaan pakaian olahraga SD</t>
  </si>
  <si>
    <t>1.3.5 Monitoring, evaluasi dan pelaporan</t>
  </si>
  <si>
    <t>1.3.6 Pembangunan rumah dinas kepala sekolah, guru, penjaga sekolah SD</t>
  </si>
  <si>
    <t>1.3.7 Penyediaan Biaya MOS Siswa SMP</t>
  </si>
  <si>
    <t>1.3.12 Pembangunan Gedung Sekolah SD</t>
  </si>
  <si>
    <t>1.3.13 Pengadaan pakaian seragam sekolah SMP</t>
  </si>
  <si>
    <t>1.3.14 Pengadaan pakaian olahraga SMP</t>
  </si>
  <si>
    <t>1.3.15 Penyediaan beasiswa SD</t>
  </si>
  <si>
    <t>1.3.16 Penyediaan beasiswa SMP</t>
  </si>
  <si>
    <t>1.3.17 Penyediaan biaya registrasi siswa SD</t>
  </si>
  <si>
    <t>1.4.1 Penyediaan beasiswa SMA</t>
  </si>
  <si>
    <t>1.5.1 Pemberian penyuluhan tentang bahaya narkoba bagi pemuda</t>
  </si>
  <si>
    <t>1.6.1 Pelatihan Bagi Pendidik Untuk Memenuhi Standar Kompetensi</t>
  </si>
  <si>
    <t xml:space="preserve">1.6.2 Pengembangan Mutu Dan Kualitas Program Pendidikan Dan Pelatihan Bagi Pendidik Dan Tenaga Kependidikan </t>
  </si>
  <si>
    <t>1.6.3 Pelatihan Manejemen Kepala Sekolah</t>
  </si>
  <si>
    <t>1.4.  Program Pendidikan Menengah</t>
  </si>
  <si>
    <t>1.5.  Program upaya pencegahan penyalahgunaan narkoba</t>
  </si>
  <si>
    <t>1.6.  Program Peningkatan Mutu Pendidik dan Tenaga Kependidikan</t>
  </si>
  <si>
    <t>2.1 Program Pelayanan Administrasi Perkantoran</t>
  </si>
  <si>
    <t>2.1.1 Penyediaan Jasa Pelayanan Administrasi Perkantoran</t>
  </si>
  <si>
    <t xml:space="preserve">2.2.1 Pengadaaan Obat dan Perbekalan Kesehatan </t>
  </si>
  <si>
    <t>2.3 Program Upaya Kesehatan Masyarakat</t>
  </si>
  <si>
    <t>2.3.1 Penyelenggaraan penyehatan lingkungan</t>
  </si>
  <si>
    <t>2.3.2 Pelayanan Kesehatan (Makan Minum Pasien)</t>
  </si>
  <si>
    <t xml:space="preserve">2.4.1 Pemberian tambahan makanan dan vitamin </t>
  </si>
  <si>
    <t>2.5 Program Pencegahan dan Penanggulangan Penyakit Menular</t>
  </si>
  <si>
    <t>2.5.1 Pelayanan vaksinasi bagi balita, anak sekolah dan Wanita Usia Subur</t>
  </si>
  <si>
    <t>2.5.2 Pelayanan pencegahan dan penanggulangan penyakit menular</t>
  </si>
  <si>
    <t>3.1 Program Pengembangan Kinerja Pengelolaan Air Minum dan Air Limbah</t>
  </si>
  <si>
    <t>3.2 Program Pengendalian Banjir</t>
  </si>
  <si>
    <t>3.2.1 Pembangunan prasarana pengaman pantai</t>
  </si>
  <si>
    <t>3.2.2 Pembangunan Turap/Talud/Bronjong</t>
  </si>
  <si>
    <t>3.3 Program Pelaksanaan Normalisasi Saluran Sungai</t>
  </si>
  <si>
    <t>3.3.1 Kegiatan Normalisasi Sungai</t>
  </si>
  <si>
    <t>3.4 Program Rehabilitasi Sekolah</t>
  </si>
  <si>
    <t>3.4.1 Kegiatan Rehab SMP Swadaya Ransiki</t>
  </si>
  <si>
    <t xml:space="preserve">3.1.1 Penyediaan prasarana dan sarana air minum bagi masyarakat berpenghasilan rendah  </t>
  </si>
  <si>
    <t>4.2 Program Pelayanan dan Rehabilitasi Kesejahteraan Sosial</t>
  </si>
  <si>
    <t>4.2.1 Peningkatan kualitas pelayanan, sarana, dan prasarana rehabilitasi kesejahteraan sosial bagi PMKS</t>
  </si>
  <si>
    <t>4.3 Program Pengembangan Perumahan</t>
  </si>
  <si>
    <t xml:space="preserve">1.2.2 Pemberian Bantuan Tenaga Pendidik PAUD </t>
  </si>
  <si>
    <t>1.3.2 Pengadaan pakaian seragam sekolah SD</t>
  </si>
  <si>
    <t>1.3.4 Pengadaan meubelair sekolah</t>
  </si>
  <si>
    <t>1.3.8 Pengadaan Buku Raport SD</t>
  </si>
  <si>
    <t xml:space="preserve">1.3.10 Penyelenggaraan Ujian Nasional SD/MI </t>
  </si>
  <si>
    <t>1.3.9 Pengadaan Buku Raport SMP</t>
  </si>
  <si>
    <t>1.3.11 Penyelenggaraan Ujian Nasional SMP/MTs</t>
  </si>
  <si>
    <t xml:space="preserve">4.3.1 Pembangunan Rumah Layak Huni Masyarakat Miskin </t>
  </si>
  <si>
    <t>5.1 Program Penguatan Kelembagaan Pengarusutamaan Gender dan Anak</t>
  </si>
  <si>
    <t>5.1.1 Fasilitasi pengembangan pusat pelayanan terpadu pemberdayaan perempuan (P2TP2)</t>
  </si>
  <si>
    <t>5.2 Program peningkatan peran serta dan kesetaraan jender dalam pembangunan</t>
  </si>
  <si>
    <t>5.2.2 Kegiatan pameran hasil karya perempuan dibidang pembangunan</t>
  </si>
  <si>
    <t>6. DINAS PERTANAHAN, PERUMAHAN DAN KAWASAN PERMUKIMAN</t>
  </si>
  <si>
    <t>6.1 Program Pengembangan Perumahan</t>
  </si>
  <si>
    <t>6.1.1 Pembangunan Rumah Bagi Masyarakat TYPE 70 dan TYPE 42</t>
  </si>
  <si>
    <t>6.2 Program pembangunan saluran drainase/gorong-gorong</t>
  </si>
  <si>
    <t>6.2.1 Pembangunan Jalan Lingkungan dan Dranaise pada Daerah Kawasan Permukiman</t>
  </si>
  <si>
    <t>7.1 Pembinaan Dan Pengembangan Energi Ketenagalistrikan</t>
  </si>
  <si>
    <t>7.1.1 Pengembangan taman rekreasi</t>
  </si>
  <si>
    <t>7.2 Pembinaan Dan Pengembangan Energi Ketenagalistrikan</t>
  </si>
  <si>
    <t>7.2.1 Pengadaan Saranan dan Prasarana Ketenagalistrikan</t>
  </si>
  <si>
    <t>8.1.1 Pelayanan Pencatatan Perkawinan Massal</t>
  </si>
  <si>
    <t>13.1.2 Penataan Tempat Berusaha Pedagang Kaki Lima Dan Asongan</t>
  </si>
  <si>
    <t>14. DISTRIK ORANSBARI</t>
  </si>
  <si>
    <t>14.2 Program Pendidikan Anak Usia Dini</t>
  </si>
  <si>
    <t>14.2.1 Pengadaan Kebutuhan Sekolah Bagi Anak PAUD/TK/SD/KBM</t>
  </si>
  <si>
    <t>17. DISTRIK  NENEY</t>
  </si>
  <si>
    <t>17.3.  Program Pendidikan Anak Usia Dini</t>
  </si>
  <si>
    <t>17.3.1 Pengadaan Kebutuhan Sekolah Bagi Anak PAUD/TK/SD/KBM</t>
  </si>
  <si>
    <t>18.2.  Program Pengembangan Lembaga Ekonomi Pedesaan</t>
  </si>
  <si>
    <t>19. DISTRIK ISIM</t>
  </si>
  <si>
    <t>19.1.  Program Wajib Belajar Pendidikan Dasar Sembilan Tahun</t>
  </si>
  <si>
    <t>19.1.1. Pengadaan Buku Pelajaran Sekolah</t>
  </si>
  <si>
    <t>20.1.1.2. Hibah Kepada Badan/Lembaga/Organisasi Swasta (Pendidikan)</t>
  </si>
  <si>
    <t xml:space="preserve">2.6.2. Pembangunan Puskesmas Pembantu Arupi </t>
  </si>
  <si>
    <t>XI. KABUPATEN TAMBRAUW</t>
  </si>
  <si>
    <t>18.2.4. Pembangunan Sistem Penyediaan Air Minum/SPAM Kampung Klalin Mos Distrik Wemak</t>
  </si>
  <si>
    <t>18.2.5. Pembangunan  Sistem Penyediaan Air Minum/SPAM Distrik Maudus</t>
  </si>
  <si>
    <t>1.1. Program Peningkatan Kapasitas Sumber Daya Aparatur</t>
  </si>
  <si>
    <t>1.1.1. Sosialisasi &amp; Pelatihan Penetapan Angka Kredit Guru</t>
  </si>
  <si>
    <t>1.1.2. Pengadaan Server Dapodik Mandiri</t>
  </si>
  <si>
    <t>1.2.1. Penyelenggaraan Ujian Nasional SD</t>
  </si>
  <si>
    <t>1.2.2. Penyelenggaraan Ujian Nasional SMP/MTs</t>
  </si>
  <si>
    <t>1.2.3. BOSDA untuk SD/MI</t>
  </si>
  <si>
    <t>1.2.4. BOSDA untuk SMP/MTs</t>
  </si>
  <si>
    <t>1.2.5. Pembangunan RKB SD YPK Klatim Maudus</t>
  </si>
  <si>
    <t xml:space="preserve">1.2.7. Pemb. USB SD Negeri Kmpg. Wen Dist. Mayamuk </t>
  </si>
  <si>
    <t>1.3.1.UAN dan UAS Paket A setara SD</t>
  </si>
  <si>
    <t>1.3.2. UAN dan UAS Paket B setara SMP</t>
  </si>
  <si>
    <t>1.3.3. UAN dan UAS Paket C setara SMA</t>
  </si>
  <si>
    <t>1.3.4. Pendataan APS (Angka Putus Sekolah)</t>
  </si>
  <si>
    <t>1.3.5. Pelatihan Kurikulum K13 PAUD dan Kesetaraan</t>
  </si>
  <si>
    <t>1.4. Program Pengembangan Kesenian Lokal</t>
  </si>
  <si>
    <t>1.4.1. Festival Seni Budaya Malamoi II</t>
  </si>
  <si>
    <t>1.4.2. Dialog Budaya Nasional</t>
  </si>
  <si>
    <t>1.4.3. Seleksi Gita Bahana Nusantara</t>
  </si>
  <si>
    <t>1.4.4. Pendataan Sanggar Seni Budaya dan Situs Cagar Budaya</t>
  </si>
  <si>
    <t>1.5. Program Peningkatan Mutu Pendidik &amp; Tenaga Kependidikan</t>
  </si>
  <si>
    <t>1.5.1. Pelaksanaan Keprofesian Berkelanjutan (PKB)</t>
  </si>
  <si>
    <t>1.5.2. Diklat Peningkatan Kompetensi Kepala Sekolah Tahun 2018</t>
  </si>
  <si>
    <t>1.5.4. Penyusunan dan Penghitungan Angka Kredit Guru</t>
  </si>
  <si>
    <t>1.5.3. Fasilitasi Sertifikasi Guru</t>
  </si>
  <si>
    <t xml:space="preserve">1.5.5. Pemetaan dan Pendataan Tenaga Kebudayaan </t>
  </si>
  <si>
    <t>1.5.7. Seleksi Guru, Kepala Sekolah, Pengawas dan Penilik Berprestasi</t>
  </si>
  <si>
    <t>1.5.6. Pendataan dan Pengelolaan Data Base Guru dan Tenaga Kependidikan</t>
  </si>
  <si>
    <t>1.5.8. Operasional Pengawas</t>
  </si>
  <si>
    <t xml:space="preserve">3.1. Program Obat dan Perbekalan Kesehatan </t>
  </si>
  <si>
    <t>1.1 Program Pelayanan Administrasi Perkantoran</t>
  </si>
  <si>
    <t>1.1.1. Penyediaan jasa komunikasi, sumber daya air dan listrik</t>
  </si>
  <si>
    <t xml:space="preserve">1.2.1. Pengadaan Guru Kontrak PAUD </t>
  </si>
  <si>
    <t xml:space="preserve">1.2.2. Pendidikan / Pelatihan bagi Guru dan Pengelola PAUD </t>
  </si>
  <si>
    <t>1.2.3. Studi Banding Bunda-bunda PAUD</t>
  </si>
  <si>
    <t xml:space="preserve">1.3.1. Perencanaan dan Pengawasan Teknis </t>
  </si>
  <si>
    <t xml:space="preserve">1.3.2. Pembayaran Guru Kontrak SD </t>
  </si>
  <si>
    <t>1.3.3. Pembayaran Guru Kontrak SMP</t>
  </si>
  <si>
    <t xml:space="preserve">1.3.4. Biaya Operasional Siswa Kabupaten (BOSKAB) SD, SMP </t>
  </si>
  <si>
    <t xml:space="preserve">1.3.5. Biaya Operasional Pengawas TK, SD, SMP, SMA/SMK </t>
  </si>
  <si>
    <t xml:space="preserve">1.3.6. Biaya Operasional Pengawas PSW YPK dan YPPK </t>
  </si>
  <si>
    <t xml:space="preserve">1.3.7. Ujian Nasional SMP </t>
  </si>
  <si>
    <t xml:space="preserve">1.3.8. Ujian Nasional SD </t>
  </si>
  <si>
    <t>1.3.9. Pembinaan Kelembagaan Sekolah dan Manajemen Berbasis Sekolah</t>
  </si>
  <si>
    <t xml:space="preserve">1.3.10.Sosialisasi BOS SD dan SMP </t>
  </si>
  <si>
    <t xml:space="preserve">1.3.11.Sosialisasi Dapodikdas </t>
  </si>
  <si>
    <t xml:space="preserve">1.3.12.Evaluasi dan Monitoring Program </t>
  </si>
  <si>
    <t xml:space="preserve">1.3.13.Program Afirmasi Pendidikan SMP </t>
  </si>
  <si>
    <t>1.3.14.MGMP (Musyawarah Guru Mata Pelajaran)</t>
  </si>
  <si>
    <t>1.3.15.KKG ( Kelompok Kerja Guru)</t>
  </si>
  <si>
    <t xml:space="preserve">1.4.1. Biaya Operasional Sekolah Kabupaten (BOSKAB) SMA dan SMK </t>
  </si>
  <si>
    <t xml:space="preserve">1.4.2. Penyusunan Data Pokok Pendidikan (DAPODIKMEN) </t>
  </si>
  <si>
    <t xml:space="preserve">1.4.3. Penyelenggaraan Afirmasi Dikti (ADIK) </t>
  </si>
  <si>
    <t xml:space="preserve">1.4.4. Afirmasi Pendidikan Menengah (ADIM) </t>
  </si>
  <si>
    <t xml:space="preserve">1.4.5. Musyawarah Kerja Kepala Sekolah (MKKS dan Pengawas) </t>
  </si>
  <si>
    <t>1.4.6. Makan minum untuk siswa-siswi SMA</t>
  </si>
  <si>
    <t xml:space="preserve">1.5.1. Pendidikan Siswa Berbakat </t>
  </si>
  <si>
    <t>1.5.  Program Pendidikan Non Formal</t>
  </si>
  <si>
    <t>1.5.2. Ujian Paket C</t>
  </si>
  <si>
    <t>1.5.3. Ujian Paket B</t>
  </si>
  <si>
    <t>1.5.4. Pelatihan Paskibraka</t>
  </si>
  <si>
    <t>1.5.5. Pelatihan Mahir Dasar Pramuka SD dan SMP</t>
  </si>
  <si>
    <t>1.5.6. Pelatihan PON SD, SMP dan SMA</t>
  </si>
  <si>
    <t>1.5.7. Olimpiade Sains SMP</t>
  </si>
  <si>
    <t>1.6.1. Pelaksanaan uji kompetensi pendidik dan tenaga pendidik</t>
  </si>
  <si>
    <t>1.6.2. Pelaksanaan Sertifikasi Guru SD, SMP dan SMA/SMK</t>
  </si>
  <si>
    <t>1.6.3. Temu Wicara Bupati dengan Komunitas PGRI</t>
  </si>
  <si>
    <t>1.6.4. Sosialisasi Pelatihan dan Penilaian Kinerja Guru</t>
  </si>
  <si>
    <t>1.6.5. Biaya Pendidikan Penyelenggaraan Jarak Jauh (PJSS S1-PGSJ)</t>
  </si>
  <si>
    <t>1.6.6. Sosialisasi Uji Penpentensi Guru KG</t>
  </si>
  <si>
    <t>1.6.7. Sosialisasi Dapodik PTK Dikdasmen</t>
  </si>
  <si>
    <t>1.6.8. Biaya Pemondokan Mahasiswa</t>
  </si>
  <si>
    <t>1.6.9. Biaya Pembebasan Lahan Bangunan Asrama Mahasiswa</t>
  </si>
  <si>
    <t>1.6.10.Afirmasi masuk pendidikan Menengah</t>
  </si>
  <si>
    <t>1.7 Program Bidang Pemuda dan Olahraga</t>
  </si>
  <si>
    <t>1.7.1. Liga Pendidikan tingkat Kabupaten dan Provinsi</t>
  </si>
  <si>
    <t>1.7.2. Pengadaan Perahu Sampan</t>
  </si>
  <si>
    <t>1.7.3. Pembangunan Stadion Mini</t>
  </si>
  <si>
    <t>1.7.4. Pembangunan lapangan bola basket</t>
  </si>
  <si>
    <t>1.7.5. Pembangunan ruang ganti</t>
  </si>
  <si>
    <t>1.7.6. Pembangunan Tribun mini</t>
  </si>
  <si>
    <t>1.7.7. Pembangunan lapangan bola futsal</t>
  </si>
  <si>
    <t>1.7.8. Pembangunan Lapangan bola volly</t>
  </si>
  <si>
    <t xml:space="preserve">2.1.1. Pelatihan Sistem Kredit Poin (SKP) </t>
  </si>
  <si>
    <t>2.1.2. Rapat Kerja Kesehatan</t>
  </si>
  <si>
    <t xml:space="preserve">2.2.1. Pengadaaan Obat dan Perbekalan Kesehatan </t>
  </si>
  <si>
    <t xml:space="preserve">2.2.2. Distribusi Obat Ke Instalasi Farmasi/Puskesmas/Pustu </t>
  </si>
  <si>
    <t xml:space="preserve">2.2.3. Pemeliharaan / Repacking Obat </t>
  </si>
  <si>
    <t>2.3.1. Pemberian makanan tambahan</t>
  </si>
  <si>
    <t>2.4.  Program Pencegahan dan Penanggulangan Penyakit Menular</t>
  </si>
  <si>
    <t>2.4.1. Pelayanan imunisasi rutin di 200 kampung</t>
  </si>
  <si>
    <t>2.4.2. Distribusi vaksin ke puskesmas dan kampung</t>
  </si>
  <si>
    <t xml:space="preserve">2.5.1. Pengadaan sarana dan prasarana puskesmas </t>
  </si>
  <si>
    <t>2.5.2. Perencanaan dan Pengawasan Teknis Tahun 2018</t>
  </si>
  <si>
    <t>2.6.1. Operasional IGD Puskesmas Ayamaru</t>
  </si>
  <si>
    <t>2.6.2. Operasional Pustu</t>
  </si>
  <si>
    <t>2.6.3. Akreditasi Puskesmas</t>
  </si>
  <si>
    <t xml:space="preserve">2.7.1. Insentif Kader Posyandu Untuk Kampung </t>
  </si>
  <si>
    <t xml:space="preserve">2.8. Program Peningkatan Keselamatan Ibu melahirkan dan anak </t>
  </si>
  <si>
    <t>2.8.1. Monitoring Evaluasi dan Pelaporan KIA</t>
  </si>
  <si>
    <t>4. SATUAN POLISI PAMONG PRAJA</t>
  </si>
  <si>
    <t>4.1. Program Peningkatan keamanan dan kenyamanan lingkungan</t>
  </si>
  <si>
    <t>4.1.1. Penyiapan tenaga pengendali keamanan dan kenyamanan lingkungan</t>
  </si>
  <si>
    <t>4.1.2. Penyelenggaraan Kegiatan Pemuda Penggerak Pembangunan Maybrat (P3M)</t>
  </si>
  <si>
    <t>5.1. Program Peningkatan efesiensi perdagangan dalam negeri</t>
  </si>
  <si>
    <t>5.2. Program Peningkatan Kesempatan Kerja</t>
  </si>
  <si>
    <t>5.1.1. Pembangunan Pasar</t>
  </si>
  <si>
    <t>5.2.1. Pelatihan Pelaku Usaha OAP</t>
  </si>
  <si>
    <t>6. BADAN PERENCANAAN PEMBANGUNAN DAERAH</t>
  </si>
  <si>
    <t>6.1.1. Bimbingan teknis penyusunan dokumen perencanaan ( E-PLANES)</t>
  </si>
  <si>
    <t>6.1. Program Peningkatan Sarana dan Prasarana Aparatur</t>
  </si>
  <si>
    <t>6.2. Program Perencanaan Pembangunan Daerah</t>
  </si>
  <si>
    <t>6.2.1. Musyawarah Rencana Pembangunan Daerah Tahun 2018 (MUSRENBANG)</t>
  </si>
  <si>
    <t>6.2.2. Penyusunan Rencana Kerja Pemerintah Daerah (RKPD) 2018</t>
  </si>
  <si>
    <t>6.2.3. Penyusunan KUA PPAS Perubahan Tahun Anggaran 2018 dan penyusunan KUA PPAS Tahun 2019</t>
  </si>
  <si>
    <t>6.2.4. Review RKPD 2018</t>
  </si>
  <si>
    <t>6.2.5. Review RPJMD 2017 - 2022</t>
  </si>
  <si>
    <t>6.3. Program Perencanaan Sosial dan Budaya</t>
  </si>
  <si>
    <t>6.3.1. Perencanaan strategis bidang Pendidikan</t>
  </si>
  <si>
    <t>6.4. Program Perencanaan Tata Ruang</t>
  </si>
  <si>
    <t>6.4.1. Penyusunan KLHS</t>
  </si>
  <si>
    <t>6.4.2. Operasional PAMSIMAS</t>
  </si>
  <si>
    <t>7. BADAN KEPEGAWAIAN DAN DIKLAT DAERAH</t>
  </si>
  <si>
    <t>7.1.1. Revolusi Mental</t>
  </si>
  <si>
    <t>7.1. Program Pengembangan dan Pembinaan Aparatur</t>
  </si>
  <si>
    <t>8. SKPKD</t>
  </si>
  <si>
    <t>8.1. Belanja Bantuan Sosial Masyarakat</t>
  </si>
  <si>
    <t>8.1.1. Belanja Bantuan sosial di bidang pendidikan</t>
  </si>
  <si>
    <t>8.1.2. Belanja Bantuan sosial di bidang kesehatan</t>
  </si>
  <si>
    <t>8.1.3. Bantuan Pemberdayaan ekonomi</t>
  </si>
  <si>
    <t>8.1.4. Bantuan Sosial Kemasyarakatan</t>
  </si>
  <si>
    <t>8.1.5. Bantuan Beasiswa</t>
  </si>
  <si>
    <t>8.1.6. Bantuan Sosial Bengkel</t>
  </si>
  <si>
    <t>8.1.7. Bantuan Sosial Pencucian Mobil</t>
  </si>
  <si>
    <t>8.1.8. Bantuan Pelatihan Pemuda Penggerak Pembangunan Maybrat</t>
  </si>
  <si>
    <t>5. DINAS PERDAGANGAN DAN TENAGA KERJA</t>
  </si>
  <si>
    <t>1.2.2. Pengadaan Alat Praktik dan Peraga Siswa</t>
  </si>
  <si>
    <t>1.3.1. Pengembangan Data dan Informasi Pendidikan Non Formal</t>
  </si>
  <si>
    <t>1.3.2. Pengembangan Kurikulum, Bahan Ajar dan Model Pembelajaran Pendidikan Non Formal</t>
  </si>
  <si>
    <t>1.4. Program Pendidikan Luar Biasa</t>
  </si>
  <si>
    <t>1.4.1. Pembangunan Sarana dan Prasarana Olahraga</t>
  </si>
  <si>
    <t xml:space="preserve">1.6.1. Afirmasi Pendidikan Bagi Putra/Putri Asli Papua dan Papua Barat  </t>
  </si>
  <si>
    <t xml:space="preserve">1.3.3. Pengembangan Pendidikan Keaksaraan  </t>
  </si>
  <si>
    <t>1.8. Program Peningkatan Peran Serta Kepemudaan</t>
  </si>
  <si>
    <t>2.4. Program Pengawasan Obat dan Makanan</t>
  </si>
  <si>
    <t>2.6. Program Perbaikan Gizi Masyarakat</t>
  </si>
  <si>
    <t>2.8. Program Pencegahan dan Penanggulangan Penyakit Menular</t>
  </si>
  <si>
    <t>3.1. Program Obat dan Perbekalan Kesehatan</t>
  </si>
  <si>
    <t>3.1.1. Pengadaaan Perbekalan Kesehatan Barang Habis Pakai</t>
  </si>
  <si>
    <t>3.2. Program Pengadaan, Peningkatan Sarana dan Prasarana Rumah Sakit/Rumah Sakit Jiwa</t>
  </si>
  <si>
    <t xml:space="preserve">3.1.2. Pengadaan Obat dan Perbekalan Kesehatan  </t>
  </si>
  <si>
    <t xml:space="preserve">3.2.1. Pengadaan Alat-Alat Kesehatan RSUD Teluk Wondama </t>
  </si>
  <si>
    <t>4.4. Program Pengembangan dan Pengelolaan Jaringan Irigasi, Rawa dan Jaringan Pengairan</t>
  </si>
  <si>
    <t>5.1. Program Pemberdayaan Fakir Miskin, Komunitas Adat Terpencil (KAT) dan Penyandang Masalah Kesejahteraan Sosial (PMKS) Lainnya</t>
  </si>
  <si>
    <t>17.1. Program Peningkatan Kesejahteraan Petani</t>
  </si>
  <si>
    <t>1.  DINAS PENDIDIKAN PEMUDA DAN OLAH RAGA</t>
  </si>
  <si>
    <t>1.4.2. Penyediaan Perlengkapan Sarana Olahraga</t>
  </si>
  <si>
    <t xml:space="preserve">ANTARA PROVINSI DAN KABUPATEN/KOTA </t>
  </si>
  <si>
    <t>PENERIMAAN      : Rp.2.408.937.478.000,00</t>
  </si>
  <si>
    <t xml:space="preserve">2.2.12. Pembinaan Upaya Kesehatan Kerja dan Olah raga </t>
  </si>
  <si>
    <t>1.1.1. Pendidikan dan Pelatihan Formal</t>
  </si>
  <si>
    <t>1.2. Program Pendidikan Anak usia Dini</t>
  </si>
  <si>
    <t>1.2.1. Pembangunan Sarana dan Prasarana Bermain</t>
  </si>
  <si>
    <t>1.2.3. Penyelenggaan Pendidikan anak usia dini</t>
  </si>
  <si>
    <t>1.2.4. Pengembangan Kurikulum, Bahan Ajar dan Model Pembelajaran Pendidikan Anak Usia Dini</t>
  </si>
  <si>
    <t>1.3.1. Pembangunan rumah dinas kepala sekolah, guru, penjaga sekolah</t>
  </si>
  <si>
    <t>1.3.2. Pembangunan Taman, Lapangan Upacara dan Fasilitas Parkir</t>
  </si>
  <si>
    <t>1.3.3. Pengadaan Buku - Buku dan Alat Tulis Siswa</t>
  </si>
  <si>
    <t>1.3.4. Pengadaan Alat Praktik dan Peraga Siswa</t>
  </si>
  <si>
    <t>1.3.5. Pengadaan Mebeluer Sekolah</t>
  </si>
  <si>
    <t>1.3.6. Pengadaan Sarana Mobilitas Sekolah</t>
  </si>
  <si>
    <t>1.3.7. Penyelenggaraan Paket A setara SD</t>
  </si>
  <si>
    <t>1.3.8. Penyelenggaraan Paket B setara SMP</t>
  </si>
  <si>
    <t>1.3.9. Pengembangan Comprehensive Teaching And Learning (CTL)</t>
  </si>
  <si>
    <t>1.3.10.Monitoring, Evaluasi dan Pelaporan</t>
  </si>
  <si>
    <t>1.3.11.Penyelenggaraan UAS / UAN SD / MI</t>
  </si>
  <si>
    <t>1.3.12.Penyelenggaraan UAS / UAN SMP / MTs</t>
  </si>
  <si>
    <t>1.3.13.Lomba Olimpiade Sains IPA dan Matematika Tingkat SD</t>
  </si>
  <si>
    <t>1.3.14.Pelatihan Penyusunan Kurikulum (OTSUS)</t>
  </si>
  <si>
    <t>1.3.15.Pelatihan Kurikulum Bagi Guru SD / MI</t>
  </si>
  <si>
    <t>1.3.16.Pelatihan Kurikulum Bagi Guru SMP / MTs</t>
  </si>
  <si>
    <t>1.4.1. Pengadaan Buku - Buku dan Alat Tulis Siswa</t>
  </si>
  <si>
    <t>1.4.2. Pengadaan Alat Praktik dan Peraga Siswa</t>
  </si>
  <si>
    <t>1.4.3. Penyelenggaraan Paket C setara SMU</t>
  </si>
  <si>
    <t>1.4.4. Seleksi Afirmas Pendidikan Menengah UP4B</t>
  </si>
  <si>
    <t xml:space="preserve">1.4.5. Pendidikan Lanjut Tingkat SMA Bagi Putra - Putri Papua Berprestasi </t>
  </si>
  <si>
    <t>1.5. Program Peningkatan dan Pengembangan Pengelolaan Keuangan Daerah</t>
  </si>
  <si>
    <t>1.5.1. Peningkatan Manajemen Aset / Barang Daerah</t>
  </si>
  <si>
    <t>1.6. Program Pendidikan Non Formal</t>
  </si>
  <si>
    <t>1.6.1. Pengembangan Pendidikan Keaksaraan</t>
  </si>
  <si>
    <t>1.6.2. Pembinaan Terhadap Kegiatan PASKIBRAKA</t>
  </si>
  <si>
    <t>1.6.3. Penyelenggaraan Kompetisi Festifal Lomba Seni Siswa Tingkat Nasional 9FLS2N)</t>
  </si>
  <si>
    <t>1.7. Program Pembinaan dan Pemasyarakatan Olah Raga</t>
  </si>
  <si>
    <t xml:space="preserve">1.7.1. Pembinaan Cabang Olahraga Prestasi Di Tingkat Daerah </t>
  </si>
  <si>
    <t>1.7.2. Mengikuti Kompetisi Olah Raga</t>
  </si>
  <si>
    <t>1.7.3. Penyelenggaraan TC LPI</t>
  </si>
  <si>
    <t>1.7.4. Mengikuti Kompetisi LSP</t>
  </si>
  <si>
    <t>1.8.1. Pelaksanaan Sertifikasi pendidik</t>
  </si>
  <si>
    <t>1.8.2. Pelaksanaan uji kompetensi pendidik dan tenaga kependidikan</t>
  </si>
  <si>
    <t xml:space="preserve">1.8.3. Pendidikan Lanjutan Bagi Pendidik Untuk Memenuhi Standar Kualifikasi </t>
  </si>
  <si>
    <t>1.8.4. Pengembangan Sistem Pendataan dan Pemetaan Pendidik dan Tenaga Kependidikan</t>
  </si>
  <si>
    <t>1.8.5. Pengembangan Sistem Penghargaan dan Perlindungan Terhadap Profesi Pendidik</t>
  </si>
  <si>
    <t>1.8.6. Pengembangan Sistem Perencanaan dan Pengendalian Program Profesi Pendidik dan Tenaga Kependidikan</t>
  </si>
  <si>
    <t>1.8.7. Monitoring, Evaluasi dan Pelaporan</t>
  </si>
  <si>
    <t>1.8.8. Pelatihan Penulisan Karya Inovatif / Karya Ilmiah Guru</t>
  </si>
  <si>
    <t>1.9. Program Manajemen Pelayanan Pendidikan</t>
  </si>
  <si>
    <t>1.9.1. Pelaksanaan evaluasi hasil kinerja bidang pendidikan</t>
  </si>
  <si>
    <t>1.9.2. Pelaksanaan kerjasama secara kelembagaan di bidang pendidikan</t>
  </si>
  <si>
    <t>1.9.3. Sosialisasi dan Advokasi Berbagai Peraturan Pemerintah Di Bidang Pendidikan</t>
  </si>
  <si>
    <t>1.9.4. Penerapan sistem dan informasi manajemen pendidikan</t>
  </si>
  <si>
    <t xml:space="preserve">1.9.5. Seleksi Afirmasi Perguruan Tinggi UP4B </t>
  </si>
  <si>
    <t>2.1.1. Penyediaan Peralatan dan Perlengkapan Kantor</t>
  </si>
  <si>
    <t>2.2.1. Peningkatan Pemerataan Obat dan Perbekalan Kesehatan</t>
  </si>
  <si>
    <t>2.3.1. Pemeliharaan dan Pemulihan Kesehatan</t>
  </si>
  <si>
    <t>2.3.2. Peningkatan Pelayanan dan Penanggulangan Masalah Kesehatan</t>
  </si>
  <si>
    <t xml:space="preserve">2.3.3. Penyediaan Biaya Operasional Puskesmas Fakfak Kota </t>
  </si>
  <si>
    <t xml:space="preserve">2.3.4. Penyediaan Biaya Operasional Puskesmas Fakfak Tengah </t>
  </si>
  <si>
    <t>2.3.5. Penyediaan Biaya Operasional Puskesmas Sekban</t>
  </si>
  <si>
    <t xml:space="preserve">2.3.6. Penyediaan Biaya Operasional Puskesmas Weri </t>
  </si>
  <si>
    <t xml:space="preserve">2.3.7. Penyediaan Biaya Operasional Puskesmas Karas </t>
  </si>
  <si>
    <t>2.3.8. Penyediaan Biaya Operasional Puskesmas Werba</t>
  </si>
  <si>
    <t>2.3.9. Penyediaan Biaya Operasional Puskesmas Kramongmongga</t>
  </si>
  <si>
    <t>2.3.10.Penyediaan Biaya Operasional Puskesmas Degen</t>
  </si>
  <si>
    <t>2.3.11.Penyediaan Biaya Operasional Puskesmas Kokas</t>
  </si>
  <si>
    <t xml:space="preserve">2.3.12.Penyediaan Biaya Operasional Puskesmas Bomberay </t>
  </si>
  <si>
    <t>2.4.1. Peningkatan Penyidikan dan Penegakan Hukum di Bidang Obat dan Makanan</t>
  </si>
  <si>
    <t>2.5. Program Pengembangan Obat Asli Indonesia</t>
  </si>
  <si>
    <t>2.5.1. Pengembangan Standarisasi Tanaman Obat Bahan Alam Indonesia</t>
  </si>
  <si>
    <t>2.6. Program Promosi Kesehatan dan Pemberdayaan Masyarakat</t>
  </si>
  <si>
    <t>2.6.1. Pengembangan Media Promosi dan Informasi Sadar Hidup Sehat</t>
  </si>
  <si>
    <t>2.6.2. Penyuluhan Masyarakat Pola Hidup Sehat</t>
  </si>
  <si>
    <t>2.6.3. Monitoring, Evaluasi dan Pelaporan</t>
  </si>
  <si>
    <t>2.7. Program Perbaikan Gizi Masyarakat</t>
  </si>
  <si>
    <t>2.7.1. Penanggulangan Kurang Energi Protein (KEP), Anemia Gizi Besi, Gangguan Akibat Kurang Yodium (GAKY), Kurang Vitamin A, dan Kekurangan Zat Gizi Mikro Lainnya</t>
  </si>
  <si>
    <t>2.8. Program Pengembangan Lingkungan Sehat</t>
  </si>
  <si>
    <t>2.8.1. Sosialisasi Kebijakan Lingkungan Sehat</t>
  </si>
  <si>
    <t>2.8.2. Pengkajian Pengembangan Lingkungan Sehat</t>
  </si>
  <si>
    <t>2.9. Program Pencegahan dan Penanggulangan Penyakit Menular</t>
  </si>
  <si>
    <t>2.9.1. Penyemprotan / Fogging Sarang Nyamuk</t>
  </si>
  <si>
    <t>2.9.2. Peningkatan Imunisasi</t>
  </si>
  <si>
    <t>2.9.3. Peningkatan Survellance Epidemiologi an Penanggulangan Wabah</t>
  </si>
  <si>
    <t>2.9.4. Monitoring, Evaluasi dan Pelaporan</t>
  </si>
  <si>
    <t>2.10. Program Standarisasi Pelayanan Kesehatan</t>
  </si>
  <si>
    <t>2.10.1. Penyusunan Standar Pelayanan Kesehatan</t>
  </si>
  <si>
    <t>2.10.2. Evaluasi dan Pengembangan Standar Pelayanan Kesehatan</t>
  </si>
  <si>
    <t>2.10.3. Pembangunan dan Pemutakhiran Data Dasar Standar Pelayanan Kesehatan</t>
  </si>
  <si>
    <t>2.10.4. Penyusunan Naskah Akademis Standar Pelayanan Kesehatan</t>
  </si>
  <si>
    <t>2.11. Program Pelayanan Kesehatan Penduduk Miskin</t>
  </si>
  <si>
    <t>2.11.1. Monitoring, Evaluasi dan Pelaporan</t>
  </si>
  <si>
    <t>2.11.2. Pelayanan Kesehatan Masyarakat</t>
  </si>
  <si>
    <t>2.12. Program Pengadaan, Peningkatan dan Perbaikan Sarana dan Prasarana Puskesmas / Puskesmas Pembantu dan Jaringannya</t>
  </si>
  <si>
    <t>2.12.1. Pengadaan Sarana dan prasarana Puskesmas</t>
  </si>
  <si>
    <t>2.12.2. Monitoring, Evaluasi dan Pelaporan</t>
  </si>
  <si>
    <t>2.13. Program Peningkatan Pelayanan Kesehatan Lansia</t>
  </si>
  <si>
    <t>2.13.1. Pendidikan dan Pelatihan Perawatan Kesehatan</t>
  </si>
  <si>
    <t>2.14. Program Peningkatan Keselamatan Ibu Melahirkan dan Anak</t>
  </si>
  <si>
    <t>2.14.1. Perawatan Secara Berkala Bagi Ibu Hamil Bagi Keluarga Kurang Mampu</t>
  </si>
  <si>
    <t xml:space="preserve">3.1.1. Pelayanan Kesehatan Masyarakat </t>
  </si>
  <si>
    <t>2.10.5. Penyusunan Standar Analisis Belanja Pelayanan Kesehatan</t>
  </si>
  <si>
    <t>4. DINAS PEKERJAAN UMUM, PENATAAN RUANG, PERUMAHAN RAKYAT DAN KAWASAN PERMUKIMAN</t>
  </si>
  <si>
    <t>4.1.1. Pembangunan Jembatan</t>
  </si>
  <si>
    <t>4.2. Program Pembangunan Turap / Talud Bronjol</t>
  </si>
  <si>
    <t>4.2.1. Pembangunan Turap / Talud Bronjol</t>
  </si>
  <si>
    <t>4.3. Program rehabilitasi/pemeliharaan jalan dan jembatan</t>
  </si>
  <si>
    <t xml:space="preserve">4.3.1. Rehabilitasi/Pemeliharaan Jalan </t>
  </si>
  <si>
    <t>5.1. Program Pengembangan Wawasan Kebangsaan</t>
  </si>
  <si>
    <t>5.1.1. Peningkatan Kesadaran Masyarakat akan Nilai-Nilai Luhur Budaya Bangsa</t>
  </si>
  <si>
    <t>5.3. Program Pendidikan Politik Masyarakat</t>
  </si>
  <si>
    <t>5.3.1. Penyuluhan Kepada Masyarakat</t>
  </si>
  <si>
    <t>6.1. Program Pemberdayaan Fakir Miskin, Komunitas Adat Terpencil (KAT) &amp; Penyandang Masalah Kesejahteraan Sosial (PMKS) Lainnya</t>
  </si>
  <si>
    <t>6.1.1. Peningkatan Kemampuan (Capacity Building) Petugas dan Pendamping Sosial Pemberdayaan Fakir Miskin , KAT dan PMKS Lainnya</t>
  </si>
  <si>
    <t>6.1.2. Pengadaan Sarana dan Prasarana Pendukung Usaha Bagi Keluarga Miskin</t>
  </si>
  <si>
    <t>6.1.3. Pelatihan Keterampilan Bagi Penyandang Masalah Kesejahteraan Sosial</t>
  </si>
  <si>
    <t>6.3. Program Pelayanan Dan Rehabilitasi Kesejahteraan Sosial</t>
  </si>
  <si>
    <t>6.3.1. Pengembangan Kebijakan Tentang Akses Sarana dan Prasarana Publik Bagi Penyandang Cacat dan Lansia</t>
  </si>
  <si>
    <t>6.3.2. Pelayanan &amp; Perlindungan Sosial,Hukum bagi Korban Eksploitasi,Perdagangan Perempuan &amp; Anak</t>
  </si>
  <si>
    <t>6.3.4. Peningkatan Kualitas Pelayanan, Sarana, dan Prasarana Rehabilitasi Kesejahteraan Sosial Bagi PMKS</t>
  </si>
  <si>
    <t>6.3.5. Pembinaan dan Pelayanan Anggota Veteran</t>
  </si>
  <si>
    <t>6.3.6. Keluarga Harapan (PKH)</t>
  </si>
  <si>
    <t>6.3.7. Penguatan TPA, TPQ , Sekolah Minggu dan Sekami</t>
  </si>
  <si>
    <t>6.4. Program Upaya Kesehatan Masyarakat</t>
  </si>
  <si>
    <t>6.4.1. Pemeliharaan dan Pemulihan Kesehatan</t>
  </si>
  <si>
    <t>6.5. Program Pembinaan Anak Terlantar</t>
  </si>
  <si>
    <t>6.5.1. Monitoring, Evaluasi dan Pelaporan</t>
  </si>
  <si>
    <t>6.6. Program Pembinaan Para Penyandang Cacat dan Trauma</t>
  </si>
  <si>
    <t>6.6.1. Pendidikan dan Pelatihan Bagi Penyandang Cacat dan Eks Trauma</t>
  </si>
  <si>
    <t>6.7. Program Pembinaan Panti Asuhan / Panti Jompo</t>
  </si>
  <si>
    <t>6.7.1. Monitoring, Evaluasi dan Pelaporan</t>
  </si>
  <si>
    <t>7.2.1. Sosialisasi Peraturan Perundang-undangan</t>
  </si>
  <si>
    <t>8.1. Program Keluarga Berencana</t>
  </si>
  <si>
    <t>8.1.1. Pelayanan KIE</t>
  </si>
  <si>
    <t>8.1.2. Pembinaan Keluarga Berencana</t>
  </si>
  <si>
    <t>8.2. Program Keserasian Kebijakan Peningkatan Kualitas Anak dan Perempuan</t>
  </si>
  <si>
    <t>8.2.1. Perumusan Kebijakan Peningkatan Kualitas Hidup Perempuan Di Bidang Ilmu Pengetahuan &amp; tehnologi</t>
  </si>
  <si>
    <t xml:space="preserve">8.2.2. Pelaksanaan sosialisasi yang terkait dengan kesetaraan gender, pemberdayaan perempuan dan perlindungan anak </t>
  </si>
  <si>
    <t xml:space="preserve">8.2.3. Pengembangan Forum Anak Daerah </t>
  </si>
  <si>
    <t>8.2.4. Penguatan Kelembagaan Forum Anak Daerah</t>
  </si>
  <si>
    <t>8.2.6. Pelaksanaan Sosialisasi Perlindungan &amp; Pemenuhan Hak Anak</t>
  </si>
  <si>
    <t xml:space="preserve">8.2.5.Tata Cara Penanganan Kekerasan Terhadap Perempuan dan Anak </t>
  </si>
  <si>
    <t>8.2.7. Pembinaan Usaha Kelompok Perempuan</t>
  </si>
  <si>
    <t>8.3. Program Kesehatan Reproduksi Remaja</t>
  </si>
  <si>
    <t>8.3.1. Advokasi dan KIE tentang Kesehatan Reproduksi Remaja (KRR)</t>
  </si>
  <si>
    <t>8.4. Program Penguatan Kelembagaan Pengarusutamaan Gender dan Anak</t>
  </si>
  <si>
    <t>8.4.1. Pengembangan materi dan pelaksanaan KIE tentang kesetaraan dan keadilan gender (KKG)</t>
  </si>
  <si>
    <t>8.6. Program Peningkatan Kualitas Hidup dan Perlindungan Perempuan</t>
  </si>
  <si>
    <t>8.6.1. Pelaksanaan kebijakan perlindungan perempuan di daerah</t>
  </si>
  <si>
    <t>8.6.2. Sosialisasi dan Advokasi Kebijakan Penghapusan Buta Aksara Perempuan (PBAP)</t>
  </si>
  <si>
    <t>8.7. Program Pembinaan Peran serta Masyarakat Dalam Pelayanan KB / KR Yang Mandiri</t>
  </si>
  <si>
    <t>8.7.1. Fasilitasi Pembentukan Kelompok Masyarakat Peduli KB</t>
  </si>
  <si>
    <t>8.8. Program peningkatan peran serta dan kesetaraan jender dalam pembangunan</t>
  </si>
  <si>
    <t>8.8.1. Kegiatan pembinaan organisasi perempuan</t>
  </si>
  <si>
    <t>8.8.2. Kegiatan Penyuluhan Bagi Ibu Rumah Tangga Dalam Membangun Keluarga Sejahtera</t>
  </si>
  <si>
    <t>8.8.3. Kegiatan bimbingan manajemen usah abagi perempuan dalam mengelola usaha</t>
  </si>
  <si>
    <t>8.9. Program Promosi Kesehatan Ibu, Bayi dan Anak Melalui Kelompok Kegiatan di Masyarakat</t>
  </si>
  <si>
    <t>8.9.1. Penyuluhan Kesehatan Ibu, Bayi dan Anak melalui Kelompok di Masyarakat</t>
  </si>
  <si>
    <t>8.10. Program pengembangan pusat pelayanan informasi dan konseling KRR</t>
  </si>
  <si>
    <t>8.10.1. Fasilitasi forum pelayanan KKR bagi kelompok remaja dan kelompok sebaya diluar sekolah</t>
  </si>
  <si>
    <t>8.11. Program peningkatan penanggulangan narkoba, PMS termasuk HIV/AIDS</t>
  </si>
  <si>
    <t>8.11.1. Penyuluhan penanggulangan narkoba dan PMS di sekolah</t>
  </si>
  <si>
    <t>8.12. Program Pengembangan Bahan Informasi Tentang Pengasuhan dan Pembinaan Tumbuh Kembang Anak</t>
  </si>
  <si>
    <t>8.12.1. Pengumpulan Bahan Informasi Tentang Pengasuhan dan Pembinaan Tumbuh Kembang Anak</t>
  </si>
  <si>
    <t>8.13. Program penyiapan tenaga pedamping kelompok bina keluarga</t>
  </si>
  <si>
    <t>8.13.1. Pelatihan tenaga pedamping kelompok bina keluarga di kecamatan</t>
  </si>
  <si>
    <t>9.1. Program Pengembangan Kinerja Pengelolaan Persampahan</t>
  </si>
  <si>
    <t>9.1.1. Penyediaan Prasarana dan Sarana Pengelolaan Persampahan</t>
  </si>
  <si>
    <t>9.2. Program Perlindungan dan Konservasi Sumber Daya Alam</t>
  </si>
  <si>
    <t>9.2.1. Pengendalian Kerusakan Hutan dan Lahan</t>
  </si>
  <si>
    <t>9.2.2. Pengelolaan Keanekaragaman Hayati dan Ekosistem</t>
  </si>
  <si>
    <t>9.3. Program Peningkatan Kualitas dan Akses Informasi Sumber Daya Alam dan Lingkungan Hidup</t>
  </si>
  <si>
    <t>9.3.1. Peningkatan Edukasi dan Komunikasi Masyarakat Di Bidang Lingkungan</t>
  </si>
  <si>
    <t>9.4. Program pengelolaan dan rehabilitasi ekosistem pesisir dan laut</t>
  </si>
  <si>
    <t>9.5. Program Pengelolaan Ruang Terbuka Hijau (RTH)</t>
  </si>
  <si>
    <t>9.5.1. Pemeliharaan RTH</t>
  </si>
  <si>
    <t>10.1.1. Peningkatan Pelayanan Publik dalam Bidang Kependudukan</t>
  </si>
  <si>
    <t>11.1.1. Penyelenggaraan Diseminasi Informasi Bagi Masyarakat Desa</t>
  </si>
  <si>
    <t>11.1.2. Pelaksanaan Lomba Kampung / Keluarahan</t>
  </si>
  <si>
    <t>11.2. Program pengembangan lembaga ekonomi pedesaan</t>
  </si>
  <si>
    <t>11.2.1. Pelatihan ketrampilan manajemen badan usaha milik desa</t>
  </si>
  <si>
    <t>11.3. Program peningkatan partisipasi masyarakat dalam membangun desa</t>
  </si>
  <si>
    <t>11.3.1. Pemberian Stimulan Pembangunan Desa</t>
  </si>
  <si>
    <t>11.3.2. Pencanangan Bulan Bahkti Gotong Royong</t>
  </si>
  <si>
    <t>11.4. Program peningkatan kapasitas aparatur pemerintah desa</t>
  </si>
  <si>
    <t>11.4.1. Monitoring, Evaluasi dan Pelaporan</t>
  </si>
  <si>
    <t>11.5. Program Pembinaan Dan Fasilitasi Pengelolaan Keuangan Desa</t>
  </si>
  <si>
    <t>11.5.1. Pelatihan Aparatur Pemerintah Desa dalam bidang Pengelolaan Keuangan Kampung</t>
  </si>
  <si>
    <t>12.1.1. Rehabilitasi Sedang / Berat Gedung Kantor</t>
  </si>
  <si>
    <t>12.2. Program Pembangunan Prasarana dan Fasilitas Perhubungan</t>
  </si>
  <si>
    <t>12.2.1. Perencanaan pembangunan prasarana dan fasilitas perhubungan</t>
  </si>
  <si>
    <t>12.3. Program Pengendalian dan Pengamanan Lalu Lintas</t>
  </si>
  <si>
    <t xml:space="preserve">12.3.1. Pengadaan Pagar Pengaman Jalan </t>
  </si>
  <si>
    <t>13.1. Program penciptaan iklim usaha Usaha Kecil Menengah yang konduksif</t>
  </si>
  <si>
    <t>13.1.1. Fasilitasi pengembangan Usaha Kecil Menengah</t>
  </si>
  <si>
    <t>13.2. Program Pengembangan Kewirausahaan dan Keunggulan Kompetatif usaha kecil dan menengah</t>
  </si>
  <si>
    <t>13.2.1. Penyelenggaraan pelatihan kewirausahaan</t>
  </si>
  <si>
    <t>13.2.2. Pelatihan manajemen pengelolaan Koperasi/KUD</t>
  </si>
  <si>
    <t>13.3. Program Pengembangan Sistem Pendukung Usaha Bagi Usaha Mikro Kecil Menengah</t>
  </si>
  <si>
    <t>13.3.1. Pengembangan Sarana Pemasaran Produk Usaha Mikro Kecil Menengah</t>
  </si>
  <si>
    <t>13.3.2. Penyelenggaraan Promosi Produk Usaha Mikro Kecil Menengah</t>
  </si>
  <si>
    <t>13.4. Program Peningkatan Kualitas Kelembagaan Koperasi</t>
  </si>
  <si>
    <t>13.4.1. Sosialisasi Prinsip - Prinsip Pemahaman Perkoperasian</t>
  </si>
  <si>
    <t>13.4.2. Pembinaan, Pengawasan dan Penghargaan Koperasi Berprestasi</t>
  </si>
  <si>
    <t>13.4.3. Peningkatan dan pengembangan Jaringan Kerjasama Usaha Koperasi</t>
  </si>
  <si>
    <t>14.1. Program Peningkatan Kualitas Pelayanan Informasi</t>
  </si>
  <si>
    <t>14.1.1. Sosialisasi / Penyuluhan Kearsipan di Lingkungan Instansi Pemerintah / Swasta</t>
  </si>
  <si>
    <t>14.2. Program Pengembangan Budaya Baca dan Pembinaan Perpustakaan</t>
  </si>
  <si>
    <t>14.2.1. Publikasi dan Sosialisasi Minat dan Budaya Baca</t>
  </si>
  <si>
    <t>15.1.1. Pembangunan Rumah Dinas</t>
  </si>
  <si>
    <t>15.2. Program Pemberdayaan Ekonomi Masyarakat Pesisir</t>
  </si>
  <si>
    <t>15.2.1. Pendampingan Program Pengembangan Usaha Mina Pedesaan (PUMP)</t>
  </si>
  <si>
    <t>15.3. Program Pemberdayaan Masyarakat Dalam Pengawasan dan Pengendalian Sumber Daya Kelautan</t>
  </si>
  <si>
    <t>15.3.1. Patroli Laut</t>
  </si>
  <si>
    <t>15.3.2. Kampanye Konservasi dan Pengawasan Sumber Daya Pantai Pulau - Pulau Kecil</t>
  </si>
  <si>
    <t>15.4. Program Peningkatan Kesadaran dan Penegakan Hukum Dalam Pendayagunaan Sumber Daya Laut</t>
  </si>
  <si>
    <t>15.4.1. Promosi dan Informasi Pendayagunaan Potensi Sumber Daya Laut</t>
  </si>
  <si>
    <t>15.5. Program Pengembangan Budi Daya Perikanan</t>
  </si>
  <si>
    <t>15.5.1. Pendampingan Pada Kelompokani Pembudiya Ikan</t>
  </si>
  <si>
    <t>15.5.2. Pembinaan dan Pengembangan Perikanan</t>
  </si>
  <si>
    <t>15.5.3. Pengembangan Budi Daya Rumput Laut di Kawasan Minapolitan</t>
  </si>
  <si>
    <t>15.5.4. Monitoring, Evaluasi Pelaporan</t>
  </si>
  <si>
    <t>15.5.5. Identifikasi dan Sosialisasi Program Budi Daya Perikanan</t>
  </si>
  <si>
    <t>15.5.6. Pendampingan Pembuatan Kebun Bibit Rumput Laut</t>
  </si>
  <si>
    <t>15.5.7. Sosialisasi dan Pembinaan, Penerbitan TPUPI dan TPKPIH Pembudidayaan Perikanan</t>
  </si>
  <si>
    <t>15.5.8. Workshop Penguatan Sektor Swasta Usaha Rumput Laut Berkelanjutan</t>
  </si>
  <si>
    <t xml:space="preserve">15.5.9. Pembinaan , Pengawasan dan Penerbitan Surat Izin Usaha Perikanan </t>
  </si>
  <si>
    <t>15.6. Program Pengembangan Perikanan Tangkap</t>
  </si>
  <si>
    <t xml:space="preserve">15.6.1. Pemetaan Daerah Konservasi Ekowisata Pesisir </t>
  </si>
  <si>
    <t>15.7. Program Optimalisasi Pengelolaan dan Pemasaran Produksi Perikanan</t>
  </si>
  <si>
    <t>15.7.1. Pembinaan dan Bimbingan Bagi Nelayan Pengolah</t>
  </si>
  <si>
    <t>15.7.2. Pelatihan Pengolahan Ikan Asap Cair</t>
  </si>
  <si>
    <t>15.8. Program Pengembangan Kawasan Budi Daya Laut, Air Payau dan Air Tawar</t>
  </si>
  <si>
    <t>15.8.1. Pengembangan Populasi Ikan Air Tawar dan Payau di Perairan Umum</t>
  </si>
  <si>
    <t>15.8.2. Optimalisasi Sarana dan Prasarana Budi Daya Perikanan Laut, Payau dan Air Tawar</t>
  </si>
  <si>
    <t>16.1. Program Pengembangan Nilai Budaya</t>
  </si>
  <si>
    <t>16.1.1. Pelestarian dan Aktualisasi Adat Budaya Daerah</t>
  </si>
  <si>
    <t>16.2. Program Pengelolaan Kekayaan Budaya</t>
  </si>
  <si>
    <t>16.2.1. Sosialisasi Pengelolaan Kekayaan Budaya Lokal Daerah</t>
  </si>
  <si>
    <t>16.3. Program Pengembangan Destinasi Pariwisata</t>
  </si>
  <si>
    <t>16.3.1. Peningkatan Pembangunan Sarana dan Prasarana Pariwisata</t>
  </si>
  <si>
    <t>16.3.2. Pengembangan, Sosialisasi dan Penerapan Swera Pengawasan Standarisasi</t>
  </si>
  <si>
    <t>16.4. Program Pengelolaan Keragaman Budaya</t>
  </si>
  <si>
    <t>16.4.1. Pengembangan Kesenian dan Kebudayaan Daerah</t>
  </si>
  <si>
    <t>16.4.2. Fasilitasi Penyelenggaraan Festifal Budaya Daerah</t>
  </si>
  <si>
    <t>17.1.1. Pelatihan Pengolahan dan Promosi Hasil Produksi Pertanian</t>
  </si>
  <si>
    <t>17.2. Program Peningkatan Ketahan Pangan (Pertanian/Perkebunan)</t>
  </si>
  <si>
    <t>17.2.1. Analisis dan Penyusunan Pola Konsumsi dan Suplai Pangan</t>
  </si>
  <si>
    <t>17.2.2. Pemanfaatan Pekarangan Untuk Pengembangan Pangan</t>
  </si>
  <si>
    <t>17.2.3. Pemantauan dan Analisis Akses Pangan Masyarakat</t>
  </si>
  <si>
    <t>17.2.4. Penanganan Pasca Panen dan Pengolahan Hasil Pertanian</t>
  </si>
  <si>
    <t>17.2.5. Pengembangan Desa Mandiri Pangan</t>
  </si>
  <si>
    <t>17.2.6. Peningkatan Mutu dan Keamanan Pangan</t>
  </si>
  <si>
    <t>17.2.7. Pengembangan Tanaman Pangan Lokal</t>
  </si>
  <si>
    <t>17.2.8. Pengembangan Tanaman Sayur - sayuran</t>
  </si>
  <si>
    <t>17.2.9. Pengembangan Tanaman Buah - Buahan</t>
  </si>
  <si>
    <t>17.3. Program peningkatan penerapan teknologi pertanian/perkebunan</t>
  </si>
  <si>
    <t>17.3.1. Kegiatan penyuluhan penerapan teknologi pertanian/perkebunan tepat guna</t>
  </si>
  <si>
    <t>17.3.2. Pelatihan dan Bimbingan Pengoperasian Teknologi Pertanian / Perkebunan Tepat Guna</t>
  </si>
  <si>
    <t>17.3.3. Pelatihan Penerapan Teknologi Pertanian / Perkebunan Modern Bercocok Tanam</t>
  </si>
  <si>
    <t>17.4. Program Pemberdayaan Penyuluh Pertanian / Perkebunan Lapangan</t>
  </si>
  <si>
    <t>17.4.1. Penyuluhan dan Pendampingan Bagi Pertanian / Perkebunan</t>
  </si>
  <si>
    <t>17.5. Program Pencegahan dan Penanggulangan Penyakit Ternak</t>
  </si>
  <si>
    <t>17.5.1. Pemeliharaan Kesehatan dan Pencegahan Penyakit Menular Ternak</t>
  </si>
  <si>
    <t>17.6. Program peningkatan produksi hasil peternakan</t>
  </si>
  <si>
    <t>17.6.1. Pengembangan agribisnis peternakan</t>
  </si>
  <si>
    <t>18.1. Program Peningkatan Kesejahteraan Petani</t>
  </si>
  <si>
    <t>18.1.1. Penyuluhan dan Pendampingan Petani dan Pelaku Agribisnis</t>
  </si>
  <si>
    <t>18.3. Program peningkatan produksi pertanian/perkebunan</t>
  </si>
  <si>
    <t>18.2. Program Peningkatan Ketahan Pangan (pertanian/perkebunan)</t>
  </si>
  <si>
    <t>18.2. Penanganan pasca panen dan pengolahan hasil pertanian</t>
  </si>
  <si>
    <t>18.2.1. Pengembangan Perbenihan / Perbibitan</t>
  </si>
  <si>
    <t>18.3.1. Pengendalian Hama dan Penyakit Tanaman Perkebuan</t>
  </si>
  <si>
    <t>18.3.2. Pemeliharaan Tanaman Pertanian dan Perkebunan</t>
  </si>
  <si>
    <t xml:space="preserve">18.3.3. Peningkatan usaha ekstensifikasi, rehabilitasi, intensifikasi dan diversifikasi komoditi perkebunan </t>
  </si>
  <si>
    <t>19.1. Program Peningkatan Kapasitas Iptek Sistem Produksi</t>
  </si>
  <si>
    <t>19.1.1. Pengembangan Kapasitas Pranata Pengukuran, Standarisasi, Pengujian dan Kualitas</t>
  </si>
  <si>
    <t>19.2. Program pengembangan industri kecil dan menengah</t>
  </si>
  <si>
    <t>19.2.1. Fasilitasi bagi industri kecil dan menengah terhadap pemanfaatan sumber daya</t>
  </si>
  <si>
    <t>20.1. Program Pengembangan Wilayah Transmigrasi</t>
  </si>
  <si>
    <t>20.1.1. Penyediaan dan Pengelolaan Prasarana dan Sarana Sosial dan Ekonomi Di Kawasan Transmigrasi</t>
  </si>
  <si>
    <t>20.1.2. Pengerahan dan Fasilitasi Perpindahan serta Penempatan Transmigrasi untuk Memenuhi Kebutuhan SDM</t>
  </si>
  <si>
    <t>20.2. Program Peningkatan Kesempatan Kerja</t>
  </si>
  <si>
    <t>20.2.1. Penyiapan tenaga kerja siap pakai</t>
  </si>
  <si>
    <t>20.2.2. Pemberian fasilitasi dan mendorong sistem pendanaan pelatihan berbasis masyarakat</t>
  </si>
  <si>
    <t>21. INSPEKTORAT</t>
  </si>
  <si>
    <t>21.1. Program peningkatan sistem pengawasan internal dan pengendalian pelaksanaan kebijakan KDH</t>
  </si>
  <si>
    <t>21.1.1. Pengendalian manajemen pelaksanaan kebijakan KDH</t>
  </si>
  <si>
    <t>22. BAPPEDA (BP4D)</t>
  </si>
  <si>
    <t>24. BPPKAD (PPKD)</t>
  </si>
  <si>
    <t>24.1. BELANJA HIBAH</t>
  </si>
  <si>
    <t>24.1.3. Hibah Belanja BPJS Kesehatan</t>
  </si>
  <si>
    <t>24.2. BELANJA BANTUAN SOSIAL</t>
  </si>
  <si>
    <t>24.2.1. Belanja Bantuan Berobat Kepada Masyarakat</t>
  </si>
  <si>
    <t>24.2.2. Belanja Bantuan Pendidikan</t>
  </si>
  <si>
    <t>22.1. Program Pengembangan Data / Informasi</t>
  </si>
  <si>
    <t>22.1.1. Fasilitasi Pelaksanaan Kampung Gerbang Kaca</t>
  </si>
  <si>
    <t xml:space="preserve">22.1.2. Study Gerbang Kaca </t>
  </si>
  <si>
    <t>22.2. Program Perencanaan Pengembangan Wilayah Strategis dan Cepat Tumbuh</t>
  </si>
  <si>
    <t>22.2.1. Penyusunan Kawasan Strategis</t>
  </si>
  <si>
    <t>22.3. Program Perencanaan Pembangunan Daerah</t>
  </si>
  <si>
    <t>22.3.1. Monitoring, Evaluasi dan Pelaporan</t>
  </si>
  <si>
    <t>22.4. Program Perencanaan Pembangunan Ekonomi</t>
  </si>
  <si>
    <t>22.4.1. Pemetaan Potensi Ekonomi Kreatif Daerah</t>
  </si>
  <si>
    <t xml:space="preserve">24.1.4. Belanja Hibah Pendidikan  </t>
  </si>
  <si>
    <t>6.  DINAS SOSIAL</t>
  </si>
  <si>
    <t>2.12.3. Pengadaan Sarana dan prasarana Puskesmas</t>
  </si>
  <si>
    <t xml:space="preserve">2.8.1. Penyediaan Tenaga Medis  </t>
  </si>
  <si>
    <t xml:space="preserve">1. 3. Program Pendidikan Non Formal </t>
  </si>
  <si>
    <t>5.2.1. Fasilitasi Pencapaian Halaqoh dan Berbagai Forum Keagamaan Lainnya Dalam Upaya Peningkatan Wawasan Kebangsaan</t>
  </si>
  <si>
    <t xml:space="preserve">9.4.1. Pengelolaan dan rehabilitasi ekosistem pesisir dan laut  </t>
  </si>
  <si>
    <t>Tabel A.10</t>
  </si>
  <si>
    <t>1.5. Program Guru dan Tenaga Kependidikan</t>
  </si>
  <si>
    <t>2.1.1. Pengadaan Tambahan Lahan RSUD Provinsi</t>
  </si>
  <si>
    <t>2.1.2. Pembangunan RSUD Provinsi</t>
  </si>
  <si>
    <t>2.2. Program Rujukan Kesehatan bagi orang Papua</t>
  </si>
  <si>
    <t>2.2.1. Rujukan kesehatan bagi orang Papua</t>
  </si>
  <si>
    <t>3.1.1. Pemeliharaan rutin/berkala peralatan gedung kantor</t>
  </si>
  <si>
    <t>3.2. Program Pemberdayaan Sosial, Komunitas Adat Terpencil (KAT) dan Penyandang Masalah Kesejahteraan Sosial (PMKS) Lainnya</t>
  </si>
  <si>
    <t>3.2.1. Bantuan Stimulan Usaha Ekonomi Produktif (UEP) Bagi Mama Mama Asli Papua</t>
  </si>
  <si>
    <t>4.1. Program peningkatan pengembangan sistem pelaporan capaian kinerja dan keuangan</t>
  </si>
  <si>
    <t>4.1.1. Penyusunan Rencana Kerja (Renja) Perangkat Daerah</t>
  </si>
  <si>
    <t>4.2. Program peningkatan peran serta dan kesetaraan gender dalam pembangunan</t>
  </si>
  <si>
    <t>4.2.1. Pelatihan Kepemimpinan Perempuan yang Berbasis Budaya</t>
  </si>
  <si>
    <t>5.1. Program pengembangan lembaga ekonomi Kampung</t>
  </si>
  <si>
    <t>5.1.1. Pelatihan dan bantuan pembuatan pinang kering</t>
  </si>
  <si>
    <t>5.1.2. Pelatihan dan Pemberian Stimulan bagi kelompok masyarakat pesisir papua di kampung</t>
  </si>
  <si>
    <t>6.2. Pengembangan Pendukung Usaha Bagi KUMKM</t>
  </si>
  <si>
    <t>6.2.1. Pameran Produk Unggulan OAP</t>
  </si>
  <si>
    <t>9.1. Program Peningkatan Kesejahteraan Petani</t>
  </si>
  <si>
    <t>9.1.1. Pelatihan Pembuatan Biogas Peternakan bagi Poktan OAP</t>
  </si>
  <si>
    <t>9.2. Program peningkatan produksi hasil peternakan</t>
  </si>
  <si>
    <t>9.2.1. Pengadaan dan Pendistribusian Bibit Ternak Kepada OAP</t>
  </si>
  <si>
    <t>9.3. Program Peningkatan Sarana Dan Prasarana Peternakan</t>
  </si>
  <si>
    <t>9.3.1. Peingkatan produktifitas lahan tidur Peternakan Sapi Milik OAP</t>
  </si>
  <si>
    <t>10.1. Program perlindungan konsumen dan pengamanan perdagangan</t>
  </si>
  <si>
    <t>10.1.1. Sosialisasi Standardisasi Mutu Produk Barang dan atau Pelayanan Jasa pada kalangan Pelaku usaha di Daerah</t>
  </si>
  <si>
    <t>10.2. Program peningkatan dan pengembangan ekspor Impor</t>
  </si>
  <si>
    <t>10.2.1. Pengadaan peralatan pengolahan pala bagi AOP</t>
  </si>
  <si>
    <t>10.3. Program peningkatan efisiensi perdagangan dalam negeri</t>
  </si>
  <si>
    <t>10.3.1. Pengadaan Peralatan Usaha Pedagang kaki lima dan asongan</t>
  </si>
  <si>
    <t>11.1. Program peningkatan kemampuan teknologi industri</t>
  </si>
  <si>
    <t>11.1.1. Bantuan Peralatan Pengolahan Limbah Plastik</t>
  </si>
  <si>
    <t>11.2. Program Peningkatan SDM Industri yang Kompeten dan disiplin</t>
  </si>
  <si>
    <t>11.2.1. Pelatihan Pengolahan buah Nanas</t>
  </si>
  <si>
    <t>11.2.2. Magang pembuatan Batik Tulis</t>
  </si>
  <si>
    <t>1.1. Program Peningkatan Jalan &amp; Jembatan</t>
  </si>
  <si>
    <t>1.1.1. Peningkatan  Jalan Brigjen Abraham O.Atururi-Katebu</t>
  </si>
  <si>
    <t>1.1.2. Peningkatan Jalan Arfai - Pami</t>
  </si>
  <si>
    <t>1.1.3. Peningkatan Jalan Batas Kota Pegaf - Menyambou</t>
  </si>
  <si>
    <t>1.1.4. Peningkatan Jalan Drs. Dominggus Mandacan</t>
  </si>
  <si>
    <t>1.1.5. Peningkatan Jalan SP2-SP1 - Tomage</t>
  </si>
  <si>
    <t>1.1.6. Peningkatan Jalan Kayuni - Teluk  Patipi</t>
  </si>
  <si>
    <t>1.1.7. Peningkatan Jalan Weri - Sangram</t>
  </si>
  <si>
    <t>1.1.8. Penigkatan Ruas Jalan Teluk Patipi - Sipatnanam</t>
  </si>
  <si>
    <t>1.1.9. Peningkatan Jalan Jenderal Sudirman Kota Sorong</t>
  </si>
  <si>
    <t>1.1.21. Peningkatan Jalan Soribo Manokwari (Lanjutan)</t>
  </si>
  <si>
    <t>1.1.20. Peningkatan Jalan Maripi-SP1 (Lanjutan)</t>
  </si>
  <si>
    <t>1.1.19. Peningkatan Jalan Batas Kab. Masel -Batas Kota Pegaf</t>
  </si>
  <si>
    <t>1.1.18. Peningkatan Jalan Ruas Baun - Selewok</t>
  </si>
  <si>
    <t>1.1.16. Penunjang DAK bidang Binamarga Tahun 2018</t>
  </si>
  <si>
    <t>1.1.15. Peningkatan Jalan Sogun -  Soribo</t>
  </si>
  <si>
    <t>1.1.14. Peningkatan Jalan Mega - Sausafor</t>
  </si>
  <si>
    <t>1.1.13. Peningkatan Jalan Batas Kota Pegaf-Batas Kab. Mansel</t>
  </si>
  <si>
    <t>1.1.12. Peningkatan Jalan Ruas Selewok - Baun</t>
  </si>
  <si>
    <t>1.1.11. Peningkatan Jalan Ayamaru-Sauf- Wehali - Batas Kab. Sorsel</t>
  </si>
  <si>
    <t>1.1.10. Peningkatan Jalan Srer - Sisir</t>
  </si>
  <si>
    <t>1.1.22. Peningkatan Jalan SP5 - Sibuni</t>
  </si>
  <si>
    <t>1.1.23. Peningkatan Jalan Masni- Sibuni</t>
  </si>
  <si>
    <t>1.1.24. Peningkatan Jalan Batas Kota Manokwari - Sibuni</t>
  </si>
  <si>
    <t>1.1.25. Peningkatan Jalan Mayamuk - Yefilio</t>
  </si>
  <si>
    <t>1.1.26. Peningkatan Majener - Klasari</t>
  </si>
  <si>
    <t>1.1.27. Peningkatan Batas Kota Rasiei - Yopenggar</t>
  </si>
  <si>
    <t>1.1.28. Peningkatan Jalan Yopenggar - Batas Kota Rasiei</t>
  </si>
  <si>
    <t>2.1.  Program Peningkatan Pelayanan Angkutan Jalan</t>
  </si>
  <si>
    <t xml:space="preserve"> 2.1.1. Pembangunan POOL BUS BRT Kota Sorong Tahap III</t>
  </si>
  <si>
    <t>2.2. Program Pembangunan Terminal</t>
  </si>
  <si>
    <t>2.2.1. Pembangunan Terminal Type B Kota Sorong Tahap II</t>
  </si>
  <si>
    <t>2.2.2. Pembangunan terminal kokas tahap IV</t>
  </si>
  <si>
    <t>2.2.3. Pembangunan Teminal  Momiwaren Tahap IV</t>
  </si>
  <si>
    <t>2.3. Program Prasarana Perhubungan Udara</t>
  </si>
  <si>
    <t>2.3.1. Pembangunan Bandara Udara Rendani Tahap III</t>
  </si>
  <si>
    <t>2.3.2. Pembangunan Sisi Darat Bandara Iray Anggi</t>
  </si>
  <si>
    <t>2.4. Program Peningkatan Prasarana Pelayaran</t>
  </si>
  <si>
    <t>2.4.1. Pengembangan Pelabuhan Kofiau</t>
  </si>
  <si>
    <t>2.4.2. Pembangunan Dermaga Apung Kabupaten Kaimana</t>
  </si>
  <si>
    <t>2.4.3. Pembangunan Dermaga Apung Kabupaten Fakfak</t>
  </si>
  <si>
    <t>2.4.4. Pembangunan Lapangan Kontainer Pelabuhan Manokwari Tahap IV</t>
  </si>
  <si>
    <t>2.4.5. FS Shorebase Bintuni</t>
  </si>
  <si>
    <t>2.4.6. Pembangunan Pelabuhan Kapadiri tahap V</t>
  </si>
  <si>
    <t>2.4.7. FS Pelabuhan warifi</t>
  </si>
  <si>
    <t>2.4.8. Penyusunan Dokumen Ijin Lingkungan Pelabuhan Masni</t>
  </si>
  <si>
    <t>2.4.9. Pembangunan Workshop Dan Docking Kapal Dermaga DIshub</t>
  </si>
  <si>
    <t>2.4.10. Pembangunan Dermaga Sheet Pile Kampung Yomakan Distrik Rumberpon</t>
  </si>
  <si>
    <t>2.4.11. Pembangunan Guess House dan Docking Kapal Pelabuhan Klalin</t>
  </si>
  <si>
    <t>2.5. Program Peningkatan  Keselamatan LLAJ</t>
  </si>
  <si>
    <t>2.5.1. Study Rencana Umum Jaringan Transportasi Jalan</t>
  </si>
  <si>
    <t>2.5.2. Pengadaan dan Pembangunan Fasilitas Pengamanan LLAJ</t>
  </si>
  <si>
    <t>2.5.3. Pengadaan Mobil Crane Unit Service Traffic Light</t>
  </si>
  <si>
    <t>2.5.4. Pemeliharaan Fasilitas Keselamatan LLAJ</t>
  </si>
  <si>
    <t>2.5.5. Pengadaan dan Pemasangan Fasilitas Pengendalian Lalu Lintas Jalan</t>
  </si>
  <si>
    <t>2.6. Program Perkeretaapian</t>
  </si>
  <si>
    <t>2.6.1. Study Amdal Lintas Sorong‑Manokwari Tahap II</t>
  </si>
  <si>
    <t>2.6.2. Study LARAP Lintas Sorong‑Manokwari Tahap II</t>
  </si>
  <si>
    <t>1.2. Program pembangunan jalan dan jembatan</t>
  </si>
  <si>
    <t>1.2.1. Pembangunan Jalan Dataran Bemes - Pegaf</t>
  </si>
  <si>
    <t>1.2.2. Pembangunan Jalan Moskona - Maybrat</t>
  </si>
  <si>
    <t>1.2.3. Pembangunan Jalan Wombu -Undurara</t>
  </si>
  <si>
    <t>1.2.4. Pembangunan Jalan Waryori - Wasirawi distrik masni</t>
  </si>
  <si>
    <t>1.2.5. Pembangunan Jalan Kampung Buk - Batu Panyung</t>
  </si>
  <si>
    <t>1.2.6. Pembangunan jalan Aimas - Klamono - Klabra</t>
  </si>
  <si>
    <t>1.2.7. Pembangunan Jalan Katapop Pantai - Pelabuhan Seget</t>
  </si>
  <si>
    <t>1.2.8. Pembangunan Jalan Ayamaru - Fatigome</t>
  </si>
  <si>
    <t>1.2.9. Pembangunan Jalan Tofot - Haha (kakas -  Klabot)</t>
  </si>
  <si>
    <t>1.2.10. Pembangunan Box Culvert Pami - Inodus</t>
  </si>
  <si>
    <t>1.2.11. Pembangunan Jalan Windesi - Werianggi - Idor</t>
  </si>
  <si>
    <t>1.2.12. Pembangunan Jalan Drs. Dominggus Mandacan (Sowi Gunung)</t>
  </si>
  <si>
    <t>1.2.13. Pembangunan Jembatan Sumber Boga CS Distrik Masni</t>
  </si>
  <si>
    <t>1.2.14. Pembangunan Jalan Nuasalasi - Bomberay Tahap II</t>
  </si>
  <si>
    <t>1.2.16. Pembangunan Jalan Konja - Seya Tahap II</t>
  </si>
  <si>
    <t>1.2.17. Pembangunan Jalan Kiruru - Kaimana Tahap II</t>
  </si>
  <si>
    <t>1.2.18. Pembangunan Jalan Kaimana - Kiruru Tahap II</t>
  </si>
  <si>
    <t>1.2.19. Pembangunan Jalan Tembus Teluk Triton - Kaimana</t>
  </si>
  <si>
    <t>1.2.20. Pembangunan Jalan Umoisi-Batas Kabupaten Manokwari Selatan - Sururey</t>
  </si>
  <si>
    <t>1.2.21. Pembangunan Jalan  Kabupaten Teluk Bintuni-Merdey (Lanjutan)</t>
  </si>
  <si>
    <t>1.3. Program pembangunan turap/talud/bronjong</t>
  </si>
  <si>
    <t>1.3.1. Pembangunan Pengamanan Abrasi Pantai Maruni Tahap I</t>
  </si>
  <si>
    <t>1.3.2. Pembangunan Abrasi Pantai Utarum Tahap V</t>
  </si>
  <si>
    <t>1.3.3. Pengaman Abrasi Pantai Kampung Gar Distrik Furwagi</t>
  </si>
  <si>
    <t>1.3.4. Pengaman Abrasi Pantai Kampung Bronkendi, Distrik Fakfak tengah</t>
  </si>
  <si>
    <t>1.3.5. Pengaman Abrasi Pantai Kolam Sisir, Kampung Marsi</t>
  </si>
  <si>
    <t>1.3.6. Pengaman Abrasi Kali Warfisi Wermas Distrik Teminabuan Kab.Sorsel</t>
  </si>
  <si>
    <t>1.4. Program rehabilitasi/pemeliharaan jalan dan jembatan</t>
  </si>
  <si>
    <t>1.4.1. Pemeliharaan Jalan Provinsi Kab. Kaimana</t>
  </si>
  <si>
    <t>1.4.2. Pemeliharaan Jalan Provinsi Kab. Manokwari</t>
  </si>
  <si>
    <t>1.4.3. Pemeliharaan Jalan Provinsi Kab. Sorong dan Kota Sorong</t>
  </si>
  <si>
    <t>1.4.4. Pemeliharaan Jalan Provinsi Kab. Sorong Selatan</t>
  </si>
  <si>
    <t>1.4.5. Pemeliharaan Jalan Provinsi Kab. Raja Ampat</t>
  </si>
  <si>
    <t>1.4.6. Pemeliharaan Jalan Provinsi Kab. Fakfak</t>
  </si>
  <si>
    <t>1.4.7. Pemeliharaan Jalan Provinsi Kab. Teluk Wondama</t>
  </si>
  <si>
    <t>1.4.8. Pemeliharaan Jalan Provinsi Kab. Teluk Bintuni</t>
  </si>
  <si>
    <t>1.4.9. Pemeliharaan Jalan Provinsi Kab. Maybrat</t>
  </si>
  <si>
    <t>1.4.10.Pemeliharaan Jalan Provinsi Kab.Tambrauw</t>
  </si>
  <si>
    <t>1.5. Program Pengembangan dan Pengelolaan Jaringan Irigasi, Rawa dan Jaringan Pengairan lainnya</t>
  </si>
  <si>
    <t>1.5.1. Rehabilitasi Jaringan Irigasi D.I Prafi (Distrik Masni)</t>
  </si>
  <si>
    <t>1.5.2. Rehabilitasi Jaringan Irigasi D.I Muturi</t>
  </si>
  <si>
    <t>1.5.3. Pembangunan Jaringan Irigasi Wariori</t>
  </si>
  <si>
    <t>1.5.4. Peningkatan D.I. Bomberay</t>
  </si>
  <si>
    <t>1.6. Program Penyediaan dan Pengelolaan Air Baku</t>
  </si>
  <si>
    <t>1.6.1. Pekerjaan Sumur Bor Kabupaten Manokwari</t>
  </si>
  <si>
    <t>1.7.  Program Pengembangan Kinerja Pengelolaan Air Minum dan Air Limbah</t>
  </si>
  <si>
    <t>1.7.1. Pembangunan SPAM IKK Kabupaten Manokwari</t>
  </si>
  <si>
    <t>1.7.2. Pembangunan SPAM IKK Kabupaten Manokwari Selatan</t>
  </si>
  <si>
    <t>1.7.3. Pembangunan SPAM IKK Kabupaten Pegunungan Arfak</t>
  </si>
  <si>
    <t>1.7.4. Pembangunan SPAM IKK Kabupaten Raja Ampat</t>
  </si>
  <si>
    <t>1.7.5. Pembangunan SPAM Air Bersih Kampung KWOK II Distrik Hink Kab.Pegaf</t>
  </si>
  <si>
    <t>1.8. Program Pengendalian Banjir</t>
  </si>
  <si>
    <t>1.8.1. Normalisasi Sungai Klabala (hulu)</t>
  </si>
  <si>
    <t>1.8.2. Normalisasi Sungai Macuan SP V Masni</t>
  </si>
  <si>
    <t>1.8.3. Normalisasi Sungai Wosi Tahap 5</t>
  </si>
  <si>
    <t>1.8.4. Normalisasi Sungai Sinifagu</t>
  </si>
  <si>
    <t>1.8.5. Normalisasi Sungai Sakartemen</t>
  </si>
  <si>
    <t>1.8.6. Normalisasi Sungai Viktory Km.10</t>
  </si>
  <si>
    <t>1.8.7. Normalisasi Kali Mati Ransiki</t>
  </si>
  <si>
    <t>1.8.8. Normalisasi Sungai Isait Kampung Kokas Distrik Aifat Kabupaten Maybrat</t>
  </si>
  <si>
    <t>1.8.9. Normalisasi Kali Waimop Suapen Perkebunan Kelurahan Manokwari Barat Kab. Manokwari</t>
  </si>
  <si>
    <t>1.8.10. Normalisasi Drainase Kelurahan Tampa Garam Kota Sorong</t>
  </si>
  <si>
    <t>1.8.11. Normalisasi Saluran Drainase Kelurahan Malaingkedi Kota Sorong</t>
  </si>
  <si>
    <t>1.9. Program Perencanaan dan Pengawasan Jalan dan Jembatan</t>
  </si>
  <si>
    <t>1.9.1. Core Team Desain Jalan dan Jembatan</t>
  </si>
  <si>
    <t>1.9.2. Perencanaan Teknik Jalan dan Jembatan</t>
  </si>
  <si>
    <t>1.10. Program Perencanaan dan Pengawasan Teknis Pengembangan dan Pengelolaan Jaringan Irigasi, Rawa dan Jaringan Pengairan lainnya</t>
  </si>
  <si>
    <t>1.10.1. Core Team Supervisi Bidang SDA</t>
  </si>
  <si>
    <t>1.10.2. Core Team Perencanaan Bidang SDA</t>
  </si>
  <si>
    <t>1.11. Program Penataan Bangunan Gedung</t>
  </si>
  <si>
    <t>1.11.1. Pembangunan Pagar Keliling Persiapan Kantor Kejati Papua Barat</t>
  </si>
  <si>
    <t>1.11.2. Pembangunan Sport Center Tahap 1</t>
  </si>
  <si>
    <t>1.11.3. Pembangunan Kantor Dinas Pekerjaan Umum dan Penataan Ruang Provinsi Papua Barat Tahap V</t>
  </si>
  <si>
    <t>1.11.4. Pembangunan Gedung Darma Wanita Provinsi Papua Barat Tahap IV</t>
  </si>
  <si>
    <t>1.11.5. Pematangan Lahan BPKP Lanjutan (Tahap II)</t>
  </si>
  <si>
    <t>1.11.6. Pembangunan Landscaping DPD KNPI Provinsi Papua Barat</t>
  </si>
  <si>
    <t>1.11.7. Pembangunan Gedung Aula Serbaguna Jalan Tanjung Pinang Kota Sorong (lanjutan)</t>
  </si>
  <si>
    <t>1.11.8. Pembangunan Gedung Rektorat Kampus STIE Bukit Zaitun Kota Sorong</t>
  </si>
  <si>
    <t>1.11.9. Pembangunan Gedung Kuliah Kampus STIE Bukit Zaitun Kota Sorong</t>
  </si>
  <si>
    <t>1.12. Program Perencanaan Sarana dan Prasarana Infrastruktur</t>
  </si>
  <si>
    <t>1.12.1. Core Team Perencanaan dan Pengawasan Tata Bangunan</t>
  </si>
  <si>
    <t>1.12.3. Perencanaan Gedung Kantor Satuan Kerja Ciptakarya</t>
  </si>
  <si>
    <t>1.11.45. Pembangunan Jalan Lingkungan Sutubey</t>
  </si>
  <si>
    <t>1.11.78. Pembangunan Drainase di Kabupaten Kaimana</t>
  </si>
  <si>
    <t>13.1. Belanja Hibah</t>
  </si>
  <si>
    <t>13.2. Belanja Bantuan Sosial</t>
  </si>
  <si>
    <t>13.2.1.  Belanja Bantuan Sosial untuk Masyarakat (Fungsi Pendidikan)</t>
  </si>
  <si>
    <t>1.1.2. Pengembangan kurikulum, bahan ajar dan model pembelajaran Pendidikan Anak Usia Dini</t>
  </si>
  <si>
    <t>1.1.3. Publikasi dan sosialisasi Pendidikan Anak Usia Dini</t>
  </si>
  <si>
    <t xml:space="preserve">1.1.4. Penyelenggaraan Pendidikan Anak Usia Dini  </t>
  </si>
  <si>
    <t xml:space="preserve">1.2.  Program Wajib Belajar Pendidikan Dasar Sembilan Tahun </t>
  </si>
  <si>
    <t>1.2.1.  Pemeliharaan rutin/berkala perlengkapan sekolah</t>
  </si>
  <si>
    <t>1.2.2. Pelatihan kompetensi tenaga pendidik</t>
  </si>
  <si>
    <t>1.2.3. Pelatihan Penyusunan kurikulum</t>
  </si>
  <si>
    <t>1.2.4. Penyediaan Bantuan Operasional Sekolah (BOS) jenjang SD/MI/SDLB dan SMP/MTS serta pesantren Salafiyah dan Satuan Pendidikan Non-Islam Setara SD dan SMP</t>
  </si>
  <si>
    <t>1.2.5. Pembinaan kelembagaan dan manajemen sekolah dengan penerapan Manajemen Berbasis Sekolah (MBS) di Satuan Pendidikan Dasar</t>
  </si>
  <si>
    <t>1.2.6. Pengembangan Comprehensive Teaching And Learning (CTL)</t>
  </si>
  <si>
    <t>1.2.7. Pengembangan materi belajar mengajar dan metode pembelajaran dengan menggunakan teknologi informasi dan komunikasi</t>
  </si>
  <si>
    <t>1.2.8. Pelaksanaan Seleksi Lomba Olimpiade Sains Nasional Tingkat SD</t>
  </si>
  <si>
    <t>1.2.9. Pelatihan Kurikulum PKHS Tingkat SD</t>
  </si>
  <si>
    <t>1.2.10. Pelaksanaan Ujian Nasional SD/MI dan SMP/MTs</t>
  </si>
  <si>
    <t>1.2.11. Seleksi OSN Jenjang SMP</t>
  </si>
  <si>
    <t>1.2.12. Pelatihan Kurikulum PKHS Tingkat SMP</t>
  </si>
  <si>
    <t xml:space="preserve">1.3.  Program Pendidikan Non Formal </t>
  </si>
  <si>
    <t>1.3.1. Pemberian bantuan operasional pendidikan non formal</t>
  </si>
  <si>
    <t>1.3.2. Pembinaan pendidikan kursus dan kelembagaan</t>
  </si>
  <si>
    <t>1.3.3. Pengembangan pendidikan keaksaraan</t>
  </si>
  <si>
    <t>1.3.4. Pengembangan pendidikan kecakapan hidup</t>
  </si>
  <si>
    <t>1.3.5. Monitoring, evaluasi dan pelaporan</t>
  </si>
  <si>
    <t xml:space="preserve">1.4  Program Peningkatan Mutu Pendidik dan Kependidikan </t>
  </si>
  <si>
    <t xml:space="preserve">1.4.1.  Pelaksanaan Sertivikasi Pendidik </t>
  </si>
  <si>
    <t xml:space="preserve">1.4.2.  Pelaksanaan Uji Kompetensi Pendidik dan Tenaga Pendidik </t>
  </si>
  <si>
    <t xml:space="preserve">1.4.3.  Pelatihan bagi pendidik untuk memenuhi standar kopentensi </t>
  </si>
  <si>
    <t xml:space="preserve">1.4.4.  Pelatihan penguatan kapasitas  Tim Penilai Angka Kredit  Guru dan Tenaga Kependidikan </t>
  </si>
  <si>
    <t xml:space="preserve">1.5  Program manajemen Pelayanan Pendidikan </t>
  </si>
  <si>
    <t>1.5.2. Pelaksanaan Kerja Sama Secara Kelembagaan di Bidang Pendidikan</t>
  </si>
  <si>
    <t>1.5.3. Sosialisasi dan Advokasi Berbagai Peraturan Pemerintah di Bidang Pendidikan</t>
  </si>
  <si>
    <t>1.5.4. Penerapan Sistem dan Informasi Manajemen Pendidikan</t>
  </si>
  <si>
    <t>1.5.7. Penyelenggaraan Pelatihan, Seminar dan Lokakarya, serta Diskusi Ilmiah tentang Berbagai Isu Pendidikan (Tim Tehnis)</t>
  </si>
  <si>
    <t xml:space="preserve">1.5.5. Penyediaan Bantuan Hari-Hari Besar </t>
  </si>
  <si>
    <t xml:space="preserve">1.5.6. Pelatihan Kepengawasan Sekolah  </t>
  </si>
  <si>
    <t>2.1.1. Pendidikan dan pelatihan formal</t>
  </si>
  <si>
    <t>2.2.1. Peningkatan pemerataan obat dan perbekalan kesehatan</t>
  </si>
  <si>
    <t>2.3.1. Pelayanan kefarmasian dan alat kesehatan</t>
  </si>
  <si>
    <t>2.3.2. Penyediaan biaya operasional dan pemeliharaan</t>
  </si>
  <si>
    <t>2.3.3. Penyelenggaraan penyehatan lingkungan</t>
  </si>
  <si>
    <t>2.3.5. Penyediaaan Biaya Operasional Rumah Sakit</t>
  </si>
  <si>
    <t>2.3.7. Perencanaan Terpadu Kesehatan Ibu dan Anak</t>
  </si>
  <si>
    <t>2.4.1. Peningkatan pengawasan keaman pangan dan bahan berbahaya</t>
  </si>
  <si>
    <t>2.4.2. Monitoring, evaluasi dan pelaporan</t>
  </si>
  <si>
    <t>2.5.1. Pemberian tambahan makanan dan vitamin</t>
  </si>
  <si>
    <t>2.5.2. Penanggulangan Kurang Energi Protein (KEP), Anemia Gizi Besi, Gangguan Akibat kurang Yodium (GAKY), Kurang Vitamin A, dan Kekurangan Zat Gizi Mikro Lainnya</t>
  </si>
  <si>
    <t>2.5.3. Monitoring, evaluasi dan pelaporan</t>
  </si>
  <si>
    <t>2.6. Program Pencegahan dan Penanggulangan Penyakit Menular</t>
  </si>
  <si>
    <t>2.6.1. Pelayanan pencegahan dan penanggulangan penyakit menular</t>
  </si>
  <si>
    <t>2.6.2. Peningkatan survellance Epidemiologi dan penanggulangan wabah</t>
  </si>
  <si>
    <t>2.7. Program Standarisasi Pelayanan Kesehatan</t>
  </si>
  <si>
    <t>2.7.1. Akreditasi Puskesmas</t>
  </si>
  <si>
    <t>2.8. Program pengadaan, peningkatan dan perbaikan sarana dan prasarana puskesmas/ puskemas pembantu dan jaringannya</t>
  </si>
  <si>
    <t>2.8.1. Pengadaan sarana dan prasarana puskesmas</t>
  </si>
  <si>
    <t>2.8.2. Monitoring, evaluasi dan pelaporan</t>
  </si>
  <si>
    <t xml:space="preserve">2.8.3. Pengadaan sarana dan prasarana puskesmas </t>
  </si>
  <si>
    <t>3.1. Program Peningkatan Kapasitas Sumber Daya Aparatur</t>
  </si>
  <si>
    <t>3.1.1. Pendidikan dan pelatihan formal</t>
  </si>
  <si>
    <t>3.2. Program Obat dan Perbekalan Kesehatan</t>
  </si>
  <si>
    <t xml:space="preserve">3.2.1. Pengadaaan Obat dan Perbekalan Kesehatan </t>
  </si>
  <si>
    <t>4.1. Program pembangunan saluran drainase/gorong-gorong</t>
  </si>
  <si>
    <t>4.1.1. Pembangunan saluran drainase/gorong-gorong</t>
  </si>
  <si>
    <t xml:space="preserve">4.2. Program Pembangunan turap/talud/bronjong/Normalisasi Aliran Sungai </t>
  </si>
  <si>
    <t>4.2.1. Pembangunan turap/talud/bronjong</t>
  </si>
  <si>
    <t xml:space="preserve">4.2.2. Pembangunan Talud  </t>
  </si>
  <si>
    <t>4.3. Program pembangunan infrastruktur perdesaan</t>
  </si>
  <si>
    <t>4.3.1. Pembangunan jalan dan jembatan perdesaan</t>
  </si>
  <si>
    <t>5.1. Program Lingkungan Sehat Perumahan</t>
  </si>
  <si>
    <t>5.1.1. Pembangunan Jamban (sanitasi)</t>
  </si>
  <si>
    <t>5.2. Program Pengembangan Infrastruktur permukiman</t>
  </si>
  <si>
    <t>5.3. Program Penyediaan Air Bersih</t>
  </si>
  <si>
    <t>5.3.1. Penyediaan Sarana Air Bersih</t>
  </si>
  <si>
    <t>6.4.3. Pembangunan Gedung Logistik Bencana Alam</t>
  </si>
  <si>
    <t>1.6. Program Pengelolaan Keragaman Budaya</t>
  </si>
  <si>
    <t>1.7. Program pengembangan kerjasama pengelolaan kekayaan budaya</t>
  </si>
  <si>
    <t>1.7.1. Fasilitasi Pengembangan Kemitraan Dengan Dewan Adat PAPUA Dan Masyarakat</t>
  </si>
  <si>
    <t>1.6.1. Pengembangan kesenian dan kebudayaan daerah</t>
  </si>
  <si>
    <t>1.6.2. Fasilitasi penyelenggaraan festival budaya daerah</t>
  </si>
  <si>
    <t>1.6.3. Fasilitasi penyelenggaraan festival HUT Kota Manokwari</t>
  </si>
  <si>
    <t>22.1. Program Pendidikan Anak Usia Dini</t>
  </si>
  <si>
    <t>22.1.1. Penyelenggaraan Pendidikan Anak Usia Dini</t>
  </si>
  <si>
    <t>22.2. Program Pemberdayaan Kelembagaan Kesejahteraan Sosial</t>
  </si>
  <si>
    <t>22.3. Program peningkatan peran serta dan kesetaraan jender dalam pembangunan</t>
  </si>
  <si>
    <t>22.3.1. Kegiatan pembinaan organisasi perempuan</t>
  </si>
  <si>
    <t>23.1. Program Pendidikan Anak Usia Dini</t>
  </si>
  <si>
    <t>23.1.1. Penyelenggaraan Pendidikan Anak Usia Dini</t>
  </si>
  <si>
    <t>23.2. Program Pemberdayaan Kelembagaan Kesejahteraan Sosial</t>
  </si>
  <si>
    <t>23.3. Program peningkatan peran serta dan kesetaraan jender dalam pembangunan</t>
  </si>
  <si>
    <t>23.3.1. Kegiatan pembinaan organisasi perempuan</t>
  </si>
  <si>
    <t>24.1. Program Pendidikan Anak Usia Dini</t>
  </si>
  <si>
    <t>24.2. Program Pemberdayaan Kelembagaan Kesejahteraan Sosial</t>
  </si>
  <si>
    <t xml:space="preserve">24.2.1. Fasilitasi Bantuan Sosial Lembaga Keagamaan  </t>
  </si>
  <si>
    <t>24.3. Program peningkatan peran serta dan kesetaraan jender dalam pembangunan</t>
  </si>
  <si>
    <t>24.3.1. Kegiatan pembinaan organisasi perempuan</t>
  </si>
  <si>
    <t>25.1. Program Pendidikan Anak Usia Dini</t>
  </si>
  <si>
    <t>25.2. Program Pemberdayaan Kelembagaan Kesejahteraan Sosial</t>
  </si>
  <si>
    <t>26.3. Program peningkatan peran serta dan kesetaraan jender dalam pembangunan</t>
  </si>
  <si>
    <t>26.3.1. Kegiatan pembinaan organisasi perempuan</t>
  </si>
  <si>
    <t>26.4. Program Peningkatan Keberdayaan Masyarakat Perdesaan</t>
  </si>
  <si>
    <t>26.4.1. Pemberdayaan Lembaga dan Organisasi Masyarakat Perdesaan</t>
  </si>
  <si>
    <t>25.3. Program peningkatan peran serta dan kesetaraan jender dalam pembangunan</t>
  </si>
  <si>
    <t>25.3.1. Kegiatan pembinaan organisasi perempuan</t>
  </si>
  <si>
    <t>25.4. Program Peningkatan Keberdayaan Masyarakat Perdesaan</t>
  </si>
  <si>
    <t>25.4.1. Pemberdayaan Lembaga dan Organisasi Masyarakat Perdesaan</t>
  </si>
  <si>
    <t>25.5. Program pengembangan lembaga ekonomi pedesaan</t>
  </si>
  <si>
    <t>25.6. Program peningkatan partisipasi masyarakat dalam membangun desa</t>
  </si>
  <si>
    <t>26.1. Program Pendidikan Anak Usia Dini</t>
  </si>
  <si>
    <t>26.2. Program Pemberdayaan Kelembagaan Kesejahteraan Sosial</t>
  </si>
  <si>
    <t>26.5. Program pengembangan lembaga ekonomi pedesaan</t>
  </si>
  <si>
    <t>26.6. Program peningkatan partisipasi masyarakat dalam membangun desa</t>
  </si>
  <si>
    <t>27.1. Program Pendidikan Anak Usia Dini</t>
  </si>
  <si>
    <t>27.2. Program Pemberdayaan Kelembagaan Kesejahteraan Sosial</t>
  </si>
  <si>
    <t>27.3. Program peningkatan peran serta dan kesetaraan jender dalam pembangunan</t>
  </si>
  <si>
    <t>27.3.1. Kegiatan pembinaan organisasi perempuan</t>
  </si>
  <si>
    <t>27.4. Program Peningkatan Keberdayaan Masyarakat Perdesaan</t>
  </si>
  <si>
    <t>27.4.1. Pemberdayaan Lembaga dan Organisasi Masyarakat Perdesaan</t>
  </si>
  <si>
    <t>27.5. Program pengembangan lembaga ekonomi pedesaan</t>
  </si>
  <si>
    <t>27.6. Program peningkatan partisipasi masyarakat dalam membangun desa</t>
  </si>
  <si>
    <t xml:space="preserve">6.1.1. Peningkatan toleransi dan kerukunan dalam kehidupan beragama  </t>
  </si>
  <si>
    <t xml:space="preserve">6.1.2. Peningkatan rasa solidaritas dan ikatan sosial dikalangan masyarakat </t>
  </si>
  <si>
    <t>7.1. Program Pemberdayaan Penyandang Masalah Kesejahteraan Sosial (PMKS) Lainnya</t>
  </si>
  <si>
    <t>7.1.1. Sosialisasi dan Pendataan PMKS</t>
  </si>
  <si>
    <t>7.2. Program Pelayanan dan Rehabilitasi Kesejahteraan Sosial</t>
  </si>
  <si>
    <t>7.2.1. Pelatihan keterampilan dan praktek belajar kerja bagi anak terlantar termasuk anak jalanan, anak cacat, dan anak nakal</t>
  </si>
  <si>
    <t>7.3.1. Peningkatan kualitas SDM kesejahteraan sosial masyarakat</t>
  </si>
  <si>
    <t>7.4. Program Perlindungan dan Jaminan Sosial</t>
  </si>
  <si>
    <t>7.4.1. Bimbingan Teknis Kelompuk Usaha Bersama</t>
  </si>
  <si>
    <t>7.4.2. Rehabilitasi Sosial Daerah Kumuh (RSDK)</t>
  </si>
  <si>
    <t>7.4.4. Penanganan Masalah Tanggap Darurat dan Kampung Siaga Bencana</t>
  </si>
  <si>
    <t>7.5. Program Pemberdayaan Sosial dan Penangulangan Kemiskinan</t>
  </si>
  <si>
    <t>7.5.1. Pelatihan Keterampilan Bagi Keluarga Kurang Mampu (Pembuatan Keripik)</t>
  </si>
  <si>
    <t>7.5.2. Pendataan Pengembangan Kawasan Adat Terpencil</t>
  </si>
  <si>
    <t>7.5.3. Penunjang Kegiatan Karang Taruna</t>
  </si>
  <si>
    <t>7.5.4. Koordinasi Tim Data Terpadu Upaya-upaya Penanggulangan Kemiskinan</t>
  </si>
  <si>
    <t>8.1. Progam Pembangunan Prasarana Kebencanaan</t>
  </si>
  <si>
    <t xml:space="preserve">8.1.1. Pembangunan Rumah Pasca Bencana  </t>
  </si>
  <si>
    <t>9.1. Program Peningkatan Kualitas dan Produktivitas Tenaga Kerja</t>
  </si>
  <si>
    <t>18. DINAS PERTANIAN DAN KETAHANAN PANGAN</t>
  </si>
  <si>
    <t xml:space="preserve">22.2.1. Fasilitasi Bantuan Sosial Lembaga Keagamaan  </t>
  </si>
  <si>
    <t>23.4. Program Peningkatan Keberdayaan Masyarakat Perdesaan</t>
  </si>
  <si>
    <t>23.4.1. Pemberdayaan Lembaga dan Organisasi Masyarakat Perdesaan</t>
  </si>
  <si>
    <t>23.5. Program pengembangan lembaga ekonomi pedesaan</t>
  </si>
  <si>
    <t>23.6. Program peningkatan partisipasi masyarakat dalam membangun desa</t>
  </si>
  <si>
    <t>23.7. Program peningkatan kapasitas aparatur pemerintah desa</t>
  </si>
  <si>
    <t>23.8. Program perencanaan pembangunan daerah</t>
  </si>
  <si>
    <t>23.8.1. Penyelenggaraan musrenbang RKPD</t>
  </si>
  <si>
    <t xml:space="preserve">25.2.1. Fasilitasi Bantuan Sosial Lembaga Keagamaan  </t>
  </si>
  <si>
    <t>25.5.1. Fasilitasi permodalan bagi usaha mikro kecil dan menengah di perdesaan</t>
  </si>
  <si>
    <t>26.8. Program perencanaan pembangunan daerah</t>
  </si>
  <si>
    <t>26.8.1. Penyelenggaraan musrenbang RKPD</t>
  </si>
  <si>
    <t xml:space="preserve">27.2.1. Fasilitasi Bantuan Sosial Lembaga Keagamaan  </t>
  </si>
  <si>
    <t>32.1. Program peningkatan partisipasi masyarakat dalam membangun desa</t>
  </si>
  <si>
    <t xml:space="preserve">32.1.1. Pelaksanaan Lomba Kebersihan Antar RT  </t>
  </si>
  <si>
    <t>33.1. Program peningkatan partisipasi masyarakat dalam membangun desa</t>
  </si>
  <si>
    <t xml:space="preserve">33.1.1. Pelaksanaan Lomba Kebersihan Antar RT  </t>
  </si>
  <si>
    <t>34.1. Program peningkatan partisipasi masyarakat dalam membangun desa</t>
  </si>
  <si>
    <t xml:space="preserve">34.1.1. Pelaksanaan Lomba Kebersihan Antar RT  </t>
  </si>
  <si>
    <t>35.1. Program peningkatan partisipasi masyarakat dalam membangun desa</t>
  </si>
  <si>
    <t xml:space="preserve">35.1.1. Pelaksanaan Lomba Kebersihan Antar RT  </t>
  </si>
  <si>
    <t>36.1. Program peningkatan partisipasi masyarakat dalam membangun desa</t>
  </si>
  <si>
    <t xml:space="preserve">36.1.1. Pelaksanaan Lomba Kebersihan Antar RT  </t>
  </si>
  <si>
    <t>37.1. Program peningkatan partisipasi masyarakat dalam membangun desa</t>
  </si>
  <si>
    <t xml:space="preserve">37.1.1. Pelaksanaan Lomba Kebersihan Antar RT  </t>
  </si>
  <si>
    <t>40. BPKAD</t>
  </si>
  <si>
    <t>40.1. Belanja Bantuan Sosial</t>
  </si>
  <si>
    <t>40.1. 1. Belanja Bantuan Sosial Pendidikan Kepada Anggota Masyarakat</t>
  </si>
  <si>
    <t xml:space="preserve">40.2. Belanja Hibah </t>
  </si>
  <si>
    <t>40.2.1.  Belanja Hibah kepada Badan/Lembaga/Organisasi Pendidikan</t>
  </si>
  <si>
    <t>1.1.1. Tambahan Penghasilan Berdasarkan Kelangkaan Profesi</t>
  </si>
  <si>
    <t>1.2.1. Penyelenggaraan Paket A Setara SD</t>
  </si>
  <si>
    <t>1.2.2. Penyelenggaraan Paket B Setara SMP</t>
  </si>
  <si>
    <t>1.2.3. Pembinaan Kelembagaan dan Manajemen Sekolah Dengan Penerapan Manajemen Berbasis Sekolah (MBS di Satuan Pendidikan Dasar</t>
  </si>
  <si>
    <t>1.2.4. Afirmasi Pendidikan Menengah / ADEM</t>
  </si>
  <si>
    <t>1.2.6. Penyelenggaraan Ujian Sekolah dan Ujian Nasional</t>
  </si>
  <si>
    <t>1.2.5. Penyelenggaraan Paket C Setara SMA</t>
  </si>
  <si>
    <t>2.1. Belanja Tidak Langsung</t>
  </si>
  <si>
    <t>2.1.1. Tambahan Penghasilan Berdasarkan Kelangkaan Profesi</t>
  </si>
  <si>
    <t>2.2.1. Pengadaan Obat dan Reagen</t>
  </si>
  <si>
    <t>2.2.2. Pengadaan Bahan Habis Pakai Gigi</t>
  </si>
  <si>
    <t>2.2.3. Pengadaan Alat Laboratorium Air</t>
  </si>
  <si>
    <t>2.3.1. Pembiayaan Standar Pelayanan Minimal (SPM) Kota Sorong</t>
  </si>
  <si>
    <t>2.4. Program Standarisasi Pelayanan Kesehatan</t>
  </si>
  <si>
    <t>2.4.1. Akreditasi Puskesmas</t>
  </si>
  <si>
    <t>2.4.2. Kalibrasi Alat Kesehatan Puskesmas</t>
  </si>
  <si>
    <t>2.4.3. Sistem Informatika Puskesmas</t>
  </si>
  <si>
    <t>2.6. Program Sumber Daya Kesehatan</t>
  </si>
  <si>
    <t>2.6.1. Pelatihan Manajemen Data</t>
  </si>
  <si>
    <t>2.5.1. Pengadaan Sarana Penyimpanan IFK</t>
  </si>
  <si>
    <t>2.5.2. Pengadaan Sarana Penunjang dan Pengaman IFK</t>
  </si>
  <si>
    <t>2.5.3. Pengadaan Incenerator</t>
  </si>
  <si>
    <t>2.5.4. Pengadaan Sarana dan Prasarana Puskesmas</t>
  </si>
  <si>
    <t>2.5.5. Pembangunan Puskesmas</t>
  </si>
  <si>
    <t>4.1.2. Peningkatan Jalan Dalam Kota Sorong Dengan Rigid</t>
  </si>
  <si>
    <t>4.1.3. Peningkatan Jalan Dalam Kota Sorong Dengan Latasir</t>
  </si>
  <si>
    <t>4.2. Program Pembangunan Saluran Drainase/Gorong-Gorong</t>
  </si>
  <si>
    <t>4.2.1. Pembangunan Drainase Perkotaan</t>
  </si>
  <si>
    <t>4.2.2. Pembangunan Drainase Dalam Kota Sorong</t>
  </si>
  <si>
    <t>4.2.3. Pembangunan Drainase dan Gorong-Gorong</t>
  </si>
  <si>
    <t>4.3.2. Pelaksanaan Normalisasi Saluran Sungai</t>
  </si>
  <si>
    <t>4.4. Program Penyiapan Potensi Sumber Daya, Sarana dan Prasarana Daerah</t>
  </si>
  <si>
    <t>4.4.1. Pembangunan Gerbang Utama Pasar Modern Rufei</t>
  </si>
  <si>
    <t>5.1. Program Pengembangan Perumahan</t>
  </si>
  <si>
    <t>5.1.1. Pembangunan Sarana dan Prasarana Rumah Sederhana Sehat</t>
  </si>
  <si>
    <t>5.2. Program Lingkungan Sehat Perumahan</t>
  </si>
  <si>
    <t>5.2.1. Penyediaan Sanitasi Dasar</t>
  </si>
  <si>
    <t>6. BADAN KESATUAN BANGSA, POLITIK DAN PERLINDUNGAN MASYARAKAT</t>
  </si>
  <si>
    <t>6.1. Program Pengembangan Wawasan Kebangsaan</t>
  </si>
  <si>
    <t>6.1.1. Fasilitas dan Pembinaan Forum Lintas Suku Asli Papua Raya Kota Sorong</t>
  </si>
  <si>
    <t>7. DINAS PEMBERDAYAAN PEREMPUAN DAN PERLINDUNGAN ANAK</t>
  </si>
  <si>
    <t>7.1.1. Pembangunan Gedung Kantor</t>
  </si>
  <si>
    <t>7.2. Program Peningkatan Peran Serta Dan Kesetaraan Jender Dalam Pembangunan</t>
  </si>
  <si>
    <t>7.2.1. Pemberdayaan Pengusaha Perempuan Papua</t>
  </si>
  <si>
    <t>7.3. Program Peningkatan Kualitas Hidup Perempuan</t>
  </si>
  <si>
    <t>7.3.1. Pelatihan (TOT) SDM Pelayanan dan Pendampingan Korban KDRT</t>
  </si>
  <si>
    <t>7.4. Program Perlindungan Anak dan Korban Kekerasan</t>
  </si>
  <si>
    <t>7.4.1. Kampanye Bersama Lindungi Anak</t>
  </si>
  <si>
    <t>7.5. Program Peningkatan Peran Serta Dalam Kesetaraan Jender</t>
  </si>
  <si>
    <t>7.5.1. Pendidikan dan Pelatihan Peningkatan Peran Serta Kesetaraan Gender</t>
  </si>
  <si>
    <t>8. LINGKUNGAN HIDUP</t>
  </si>
  <si>
    <t>8.1. Program Pengendalian Pencemaran dan Perusakan Lingkungan Hidup</t>
  </si>
  <si>
    <t>8.1.1. Pengawasan Pelaksanaan Kebijakan Bidang Lingkungan Hidup</t>
  </si>
  <si>
    <t>8.1.2. Pengelolaan B3 dan Limbah B3</t>
  </si>
  <si>
    <t>8.1.3. Peningkatan Pengelolaan Lingkungan Pertambangan</t>
  </si>
  <si>
    <t>8.1.4. Pendataan Perusahaan Wajib AMDAL, UKL, IPL, SPPL</t>
  </si>
  <si>
    <t>8.2. Program Perlindungan dan Konservasi Sumber Daya Alam</t>
  </si>
  <si>
    <t>8.2.1. Konservasi Sumber Daya Air dan Pengendalian Kerusakan Sumber-Sumber Air</t>
  </si>
  <si>
    <t>8.2.2. Peningkatan Peran Serta Masyarakat Dalam Perlindungan dan Konservasi SDA</t>
  </si>
  <si>
    <t>8.3. Program Pengelolaan Ruang Terbuka Hijau (RTH)</t>
  </si>
  <si>
    <t>8.3.1. Pemeliharaan RTH</t>
  </si>
  <si>
    <t>8.4. Program Pengadaan Sarana dan Prasarana Perlindungan dan Pengelolaan Lingkungan hidup</t>
  </si>
  <si>
    <t xml:space="preserve">8.4.1. Penanaman Manggrove atau Tanaman Pantai Lain di Daerah Pesisir </t>
  </si>
  <si>
    <t>8.5. Program Pengadaan Sarana dan Prasarana dalam rangak Adaptasi dan Mitigasi Perubahan Iklim</t>
  </si>
  <si>
    <t>8.5.1. Pengendalian Kerusakan Hutan dan Lahan</t>
  </si>
  <si>
    <t>9. DINAS PERTANIAN</t>
  </si>
  <si>
    <t>9.1. Program Peningkatan Produksi Hasil Peternakan</t>
  </si>
  <si>
    <t>9.1.1. Pendistribusian Bibit Ternak Kepada Masyarakat</t>
  </si>
  <si>
    <t>10. DINAS PERIKANAN</t>
  </si>
  <si>
    <t>10.1. Program Pemberdayaan Ekonomi Masyarakat</t>
  </si>
  <si>
    <t>10.1.1. Pemberdayaan Ekonomi Masyarakat</t>
  </si>
  <si>
    <t>11. DINAS PERDAGANGAN</t>
  </si>
  <si>
    <t>11.1. Program Perlindungan Konsumen dan Pengamanan Perdagangan</t>
  </si>
  <si>
    <t>11.1.1. Pelaksanaan Pasar Murah</t>
  </si>
  <si>
    <t>11.2. Program Pembinaan Pedagang Kakilima dan Asongan</t>
  </si>
  <si>
    <t>11.2.1. Pembinaan Organisasi Pedagang Kakilima dan Asongan</t>
  </si>
  <si>
    <t>11.3.1. Monitoring, Evaluasi dan Pelaporan</t>
  </si>
  <si>
    <t>11.3.2. Peningkatan dan Penguatan Kelembagaan Koperasi</t>
  </si>
  <si>
    <t>12. DINAS PERINDUSTRIAN</t>
  </si>
  <si>
    <t>12.1. Program Pengembangan Industri Kecil dan Menengah</t>
  </si>
  <si>
    <t>12.1.1. Pelatihan Ukiran dan Cenderamata Khas Papua</t>
  </si>
  <si>
    <t>12.1.2. Pameran Produk Industri Nasional</t>
  </si>
  <si>
    <t>12.1.3. Pembinaan IKM dalam Jaringan Klaster Industri</t>
  </si>
  <si>
    <t>13. SEKRETARIAT DAERAH</t>
  </si>
  <si>
    <t>13.1. Program Peningkatan Sarana dan Prasarana Fisik Pamong Praja</t>
  </si>
  <si>
    <t>13.1.1. Pembangunan Gedung Kantor</t>
  </si>
  <si>
    <t>13.1.2. Rehabilitasi Kantor Distrik dan Kelurahan</t>
  </si>
  <si>
    <t>14. DISTRIK SORONG TIMUR</t>
  </si>
  <si>
    <t>15. DISTRIK SORONG BARAT</t>
  </si>
  <si>
    <t>15.1. Program Pemberdayaan Masyarakat Kota Sorong</t>
  </si>
  <si>
    <t>15.1.1. Pemberdayaan Masyarakat di Lingkungan Distrik dan Kelurahan</t>
  </si>
  <si>
    <t>16. DISTRIK SORONG KEPULAUAN</t>
  </si>
  <si>
    <t>16.1. Program Peningkatan Partisipasi Masyarakat dalam Membangun Desa</t>
  </si>
  <si>
    <t>17. DISTRIK SORONG</t>
  </si>
  <si>
    <t>17.1.1 Pemberdayaan Masyarakat di Lingkungan Distrik dan Kelurahan</t>
  </si>
  <si>
    <t>18. DISTRIK SORONG UTARA</t>
  </si>
  <si>
    <t>18.1. Program Pemberdayaan Masyarakat Kota Sorong</t>
  </si>
  <si>
    <t>18.1.1. Pemberdayaan Masyarakat di Lingkungan Distrik dan Kelurahan</t>
  </si>
  <si>
    <t>19. DISTRIK SORONG MANOI</t>
  </si>
  <si>
    <t>20. DISTRIK MALADOM MES</t>
  </si>
  <si>
    <t>20.1.1.Pemberdayaan Masyarakat di Lingkungan Distrik dan Kelurahan</t>
  </si>
  <si>
    <t>21. DISTRIK SORONG KOTA</t>
  </si>
  <si>
    <t>22. DISTRIK KLAURUNG</t>
  </si>
  <si>
    <t>22.1. Program Peningkatan Partisipasi Masyarakat dalam Membangun Desa</t>
  </si>
  <si>
    <t>22.1.1. Pemberdayaan Masyarakat di Lingkungan Distrik dan Kelurahan</t>
  </si>
  <si>
    <t>23. DISTRIK MALIAMSIMSA</t>
  </si>
  <si>
    <t>23.1.1. Pemberdayaan Masyarakat di Lingkungan Distrik dan Kelurahan</t>
  </si>
  <si>
    <t>24.1. Program Peningkatan Kapasitas Sumber Daya Aparatur</t>
  </si>
  <si>
    <t>24.1.1. Pendidikan dan Pelatihan Struktural bagi PNS daerah (Diklat PIM III)</t>
  </si>
  <si>
    <t>25.1. Belanja Hibah kepada Badan/Lembaga/Organisasi</t>
  </si>
  <si>
    <t>25.3. Belanja Bantuan Kesehatan</t>
  </si>
  <si>
    <t>25.2. Belanja Bantuan Pendidikan</t>
  </si>
  <si>
    <t>2.5.  Program Pengadaan, Peningkatan dan Perbaikan Sarana dan Prasarana Puskesmas/Puskesmas Pembantu dan Jaringannya</t>
  </si>
  <si>
    <t xml:space="preserve">3.3.1. Akreditasi Rumah Sakit </t>
  </si>
  <si>
    <t>3.1. Program Pengadaan, Peningkatan Sarana dan Prasarana Rumah Sakit/Rumah Sakit Jiwa/Rumah Sakit Paru-paru/Rumah Sakit Mata</t>
  </si>
  <si>
    <t>3.1.1. Pembangunan Gedung Poli Rawat Jalan dan Kantor Administrasi Tahap 4 Dua Lantai</t>
  </si>
  <si>
    <t>3.1.2. Pengadaan Meubelair Rumah Sakit</t>
  </si>
  <si>
    <t>3.1.3. Pembangunan Poli Rawat Jalan Khusus</t>
  </si>
  <si>
    <t>3.1.4. Pematangan Lahan Gedung Perinatology</t>
  </si>
  <si>
    <t>3.1.5. Pembangunan Gudang Perbekalan Farmasi</t>
  </si>
  <si>
    <t>3.1.6. Pengadaan Peralatan Kantor</t>
  </si>
  <si>
    <t>3.1.7. Pengadaan Perlengkapan Gedung Kantor</t>
  </si>
  <si>
    <t>3.1.8. Pengadaan Obat-obatan Rumah Sakit</t>
  </si>
  <si>
    <t>3.1.9. Pengadaan Alat-alat Kesehatan Rumah Sakit</t>
  </si>
  <si>
    <t xml:space="preserve">4.3. Program Pengembangan dan Pengelolaan Jaringan Irigasi, Rawa dan Jaringan Irigasi, Rawa dan Jaringan Pengairan Lainnya </t>
  </si>
  <si>
    <t>2.1. Program Pengadaan, Peningkatan dan Perbaikan Sarana dan Prasarana Puskesmas/Puskesmas Pembantu dan Jaringannya</t>
  </si>
  <si>
    <t>4.1 Program Pemberdayaan Fakir Miskin, Komunitas Adat Terpencil (KAT) dan Penyandang Masalah Kesejahteraan Sosial (PMKS) Lainnya</t>
  </si>
  <si>
    <t>2.1.1. Peningkatan Kapasitas Tenaga Bidan Dan Gizi</t>
  </si>
  <si>
    <t>2.1.2. Terlaksananya Kegiatan Seksi Promkes</t>
  </si>
  <si>
    <t>2.1.3. Pelatihan PIS Pelayanan Kesehatan 10 Puskesmas</t>
  </si>
  <si>
    <t>2.1.4. Kegiatan Monitoring dan Evaluasi Tenaga Kesehatan</t>
  </si>
  <si>
    <t>2.1.5. Pelatihan Manajemen Puskesmas</t>
  </si>
  <si>
    <t>2.2. Program peningkatan dan pengembangan pengelolaan keuangan daerah</t>
  </si>
  <si>
    <t>2.2.1. Registrasi dan Manajemen Aset Daerah</t>
  </si>
  <si>
    <t>2.2.2. Pelayanan Manajemen Aparatur Sipil (ASN)</t>
  </si>
  <si>
    <t>2.3. Program Pembinaan Kesehatan Masyarakat</t>
  </si>
  <si>
    <t>2.3.1. Kegiatan Dukungan Manajemen Puskesmas</t>
  </si>
  <si>
    <t>2.4. Program Obat dan Perbekalan Kesehatan</t>
  </si>
  <si>
    <t>2.4.1. Monitoring, evaluasi dan pelaporan</t>
  </si>
  <si>
    <t>2.5. Program Upaya Kesehatan Masyarakat</t>
  </si>
  <si>
    <t>2.5.1. Pengadaan, peningkatan, dan perbaikan sarana dan prasarana puskesmas dan jaringannya</t>
  </si>
  <si>
    <t>2.7.1. Pelayanan pencegahan dan penanggulangan penyakit menular</t>
  </si>
  <si>
    <t>2.7.2. Peningkatan Vaknisasi Balita dan Anak</t>
  </si>
  <si>
    <t>2.8. Program Standarisasi Pelayanan Kesehatan</t>
  </si>
  <si>
    <t>2.8.1. Kegiatan Monitoring Standarisasi Pelayanan Puskesmas dan Nomor Registrasi Puskesmas</t>
  </si>
  <si>
    <t>2.9. Program pengadaan, peningkatan dan perbaikan sarana dan prasarana puskesmas/ puskemas pembantu dan jaringannya</t>
  </si>
  <si>
    <t xml:space="preserve">2.9.1. Kegiatan Pengadaan dan Perbaikan Sarana dan Prasarana Puskesmas dan Jaringannya </t>
  </si>
  <si>
    <t xml:space="preserve">2.7.3. Pemberantasan Penyakit Tidak Menular dan Kesehatan Jiwa </t>
  </si>
  <si>
    <t xml:space="preserve">2.5.2. Pelayanan kesehatan dasar luar gedung puskesmas </t>
  </si>
  <si>
    <t xml:space="preserve">3.1. Program Peningkatan Sarana dan Prasarana Aparatur </t>
  </si>
  <si>
    <t xml:space="preserve">3.1.1. Pembangunan gedung kantor (Multy Yers)  </t>
  </si>
  <si>
    <t>5. Dinas Sosial dan Pemberdayaan Masyarakat Kampung</t>
  </si>
  <si>
    <t xml:space="preserve">5.1.1. Pembangunan Perumahan Rakyat  </t>
  </si>
  <si>
    <t>5.2. Program pembinaan anak terlantar</t>
  </si>
  <si>
    <t>5.3.1. Pembangunan Balai Kampung</t>
  </si>
  <si>
    <t>6. Dinas Pemberdayaan Perempuan, Perlindungan Anak dan Keluarga Bencana</t>
  </si>
  <si>
    <t xml:space="preserve">6.1. Program Peningkatan Sarana dan Prasarana Aparatur </t>
  </si>
  <si>
    <t>6.1.1. Pembangunan gedung kantor</t>
  </si>
  <si>
    <t>6.2. Program Peningkatan Kapasitas Sumber Daya Aparatur</t>
  </si>
  <si>
    <t>6.2.1. Penyusunan Renstra SKPD</t>
  </si>
  <si>
    <t>6.3. Program Peningkatan Kualitas Hidup dan Perlindungan Perempuan</t>
  </si>
  <si>
    <t>6.3.1. Monitoring, evaluasi dan pelaporan</t>
  </si>
  <si>
    <t>6.3.2. Pelatihan Pencatatan Dan Pelaporan Data Kekerasan Terhadap Perempuan Dan Anak Melalui Sistem Simfoni 1 PPA (Sistem Aplikasi Data)</t>
  </si>
  <si>
    <t>6.3.3. Sosialisasi Pengaruh Pornografi Khusus Bagi Anak</t>
  </si>
  <si>
    <t>7. Dinas Perhubungan, Perikanan dan Pertanahan</t>
  </si>
  <si>
    <t>7.1. Program Pembangunan Prasarana dan Fasilitas Perhubungan</t>
  </si>
  <si>
    <t>7.1.1. Perencanaan pembangunan prasarana dan fasilitas perhubungan</t>
  </si>
  <si>
    <t>7.2. Program Rehabilitasi dan Pemeliharaan Prasarana dan Fasilitas LLAJ</t>
  </si>
  <si>
    <t>7.2.1. Rehabilitasi/pemeliharaan prasarana balai pengujian kendaraan bermotor</t>
  </si>
  <si>
    <t>7.3. Pogram peningkatan pelayanan angkutan</t>
  </si>
  <si>
    <t>7.3.1. Kegiatan penciptaan pelayanan cepat, tepat, murah dan mudah</t>
  </si>
  <si>
    <t>7.4. Program peningkatan kelaikan pengoperasian kendaraan bermotor</t>
  </si>
  <si>
    <t xml:space="preserve">7.4.1. Pelaksanaan uji petik kendaraan bermotor </t>
  </si>
  <si>
    <t>8.1. Program Peningkatan Kesejahteraan Petani</t>
  </si>
  <si>
    <t>8.1.1. Magang Petani dan Penyuluh</t>
  </si>
  <si>
    <t>8.2. Program Peningkatan Ketahanan Pangan (pertanian/perkebunan)</t>
  </si>
  <si>
    <t>8.2.1. Peningkatan produksi, produktivitas dan mutu produk perkebunan, produk pertanian</t>
  </si>
  <si>
    <t>8.2.2. Penyuluhan sumber pangan alternatif</t>
  </si>
  <si>
    <t>8.2.3. Pengembangan Penganekaragaman Konsumsi Pangan (P2KP) bagi Kelompok Wanita Tani</t>
  </si>
  <si>
    <t>8.3. Program peningkatan penerapan teknologi pertanian/perkebunan</t>
  </si>
  <si>
    <t>8.3.1. Pelatihan dan bimbingan pengoperasian teknologi pertanian/perkebunan tepat guna</t>
  </si>
  <si>
    <t>8.4. Program peningkatan produksi pertanian/perkebunan</t>
  </si>
  <si>
    <t>8.4.1. Penyuluhan peningkatan produksi pertanian/perkebunan</t>
  </si>
  <si>
    <t>8.4.2. Pengembangan bibit unggul pertanian/perkebunan</t>
  </si>
  <si>
    <t>8.4.3. Pengembangan Tanaman Sayuran Dataran Tinggi</t>
  </si>
  <si>
    <t>8.4.4. Pengembangan Komoditas Perkebunan</t>
  </si>
  <si>
    <t>8.5. Program pemberdayaan penyuluh pertanian/perkebunan lapangan</t>
  </si>
  <si>
    <t>8.5.1. Peningkatan kapasitas tenaga penyuluh pertanian/perkebunan</t>
  </si>
  <si>
    <t>8.5.2. Peningkatan kesejahteraan tenaga penyuluh pertanian/perkebunan</t>
  </si>
  <si>
    <t>8.5.3. Bimbingan Teknis Pengembangan Komuditas Perkebunan</t>
  </si>
  <si>
    <t>8.6. Program pencegahan dan penanggulangan penyakit ternak</t>
  </si>
  <si>
    <t>8.6.1. Pemeliharaan kesehatan dan pencegahan penyakit menular ternak</t>
  </si>
  <si>
    <t>8.6.2. Pelatihan Penanganan Kesehatan dan Pencegahan Penyakit Menular</t>
  </si>
  <si>
    <t>8.7. Program peningkatan produksi hasil peternakan</t>
  </si>
  <si>
    <t>8.7.1. Penyuluhan pengelolaan bibit ternak yang didistribusikan kepada masyarakat</t>
  </si>
  <si>
    <t>2.6.1. Penanggulangan Kurang Energi Protein (KEP), Anemia Gizi Besi, Gangguan Akibat kurang Yodium (GAKY), Kurang Vitamin A, dan Kekurangan Zat Gizi Mikro Lainnya</t>
  </si>
  <si>
    <t>3.2.1. Pembangunan Jalan  (DDL)</t>
  </si>
  <si>
    <t xml:space="preserve">3.2.2. Pembangunan Jalan  </t>
  </si>
  <si>
    <t>3.2.3. Pembangunan dan Pemeliharaan Jalan Kabupaten</t>
  </si>
  <si>
    <t>3.3. Program Pengendalian Banjir</t>
  </si>
  <si>
    <t>3.3.1. Normalisasi Sungai</t>
  </si>
  <si>
    <t>4.1.2. Pembangunan Perumahan Rakyat</t>
  </si>
  <si>
    <t>4.2. Program Lingkungan Sehat Perumahan</t>
  </si>
  <si>
    <t>4.2.1. Pemeliharaan Ruang Terbuka Hijau</t>
  </si>
  <si>
    <t>5.1. Program Pemberdayaan Fakir Miskin,Komunitas Adat Terpencil (KAT) dan Penyandang Masalah Kesejahteraan Sosial (PMKS)</t>
  </si>
  <si>
    <t>2.6.3. Pencegahan Penyakit Tidak Menular (PTM)</t>
  </si>
  <si>
    <t>5.2. Program Kemitraan Pengembangan Wawasan Kebangsaan</t>
  </si>
  <si>
    <t xml:space="preserve">6.1.1. Pelatihan Pembuatan Gula Merah  </t>
  </si>
  <si>
    <t xml:space="preserve">6.1.2. Pelatihan Pembuatan Alat-Alat Bakar Sagu Vorna  </t>
  </si>
  <si>
    <t>5.1.1. Pelatihan Pembuatan Abon dan Kerupuk dari Bahan Dasar Ikan serta Pembuatan Dodol dan Juice dari Bahan Dasar Terong dan Tomat</t>
  </si>
  <si>
    <t>4.1.1 Pelatihan ketrampilan berusaha bagi keluarga miskin</t>
  </si>
  <si>
    <t xml:space="preserve">23.2.1. Fasilitasi Bantuan Sosial Lembaga Keagamaan  </t>
  </si>
  <si>
    <t>1.4. Program Peningkatan Mutu Pendidik dan Tenaga  Kependidikan</t>
  </si>
  <si>
    <t xml:space="preserve"> 1.1.1  Pengadaan  Pakaian Seragam TK/PAUD  </t>
  </si>
  <si>
    <t xml:space="preserve">1.6.9. Penetapan Angka Kredit dan Kenaikan Pangkat  </t>
  </si>
  <si>
    <t xml:space="preserve">1.6.6. Fasilitasi Program Afirmasi Pendidikan Tinggi  </t>
  </si>
  <si>
    <t xml:space="preserve">1.6.2. Pengadaan Jaringan Internet Dinas Pendidikan </t>
  </si>
  <si>
    <t xml:space="preserve">1.6.3. Pembangunan Sumur Bor Dinas Pendidikan  </t>
  </si>
  <si>
    <t>2. 1. Program Pengadaan Sarana dan Prasarana Kesehatan</t>
  </si>
  <si>
    <t>2.2.1. Operasional Puskesmas</t>
  </si>
  <si>
    <t>2.3.1. Penyediaan Jasa Pegawai Non PNS (Perawat, Dokter, Bidan Dll)</t>
  </si>
  <si>
    <t>2.4. Program Pengembangan Lingkungan Sehat</t>
  </si>
  <si>
    <t>2.6. Program Standarisasi Pelayanan Kesehatan</t>
  </si>
  <si>
    <t>2.7. Program Pelayanan Kesehatan Penduduk Miskin</t>
  </si>
  <si>
    <t>2.10. Program Peningkatan Sumber Daya Kesehatan</t>
  </si>
  <si>
    <t xml:space="preserve">2.1.1. Pengadaan Meubelair Puskesmas </t>
  </si>
  <si>
    <t xml:space="preserve">2.2. Program Operasional Puskesmas </t>
  </si>
  <si>
    <t xml:space="preserve">2.4.1. Pengawasan dan Pemeriksaan Kualitas Air Bersih dan Air Minum </t>
  </si>
  <si>
    <t xml:space="preserve">2.4.2. Replika Desa Open Denication Free (ODF) dan SBASS (Stop Buang Air Besar sembarangan)  </t>
  </si>
  <si>
    <t xml:space="preserve">2.5.1. Peningkatan Kapasitas HIV/AIDS/Peningkatan Kapasitas Pengelola TB dan Peningkatan Kapasitas Pengelolaan ISPA dan Diare  </t>
  </si>
  <si>
    <t xml:space="preserve">2.5.2. Pengendalian Penyakit dan Pemberian Obat Pencegahan Massal (POPM Filariassis Tahap 4)  </t>
  </si>
  <si>
    <t xml:space="preserve">2.6.1. Rekreditasi Puskesmas  </t>
  </si>
  <si>
    <t>2.8. Program Pengadaan, Peningkatan dan Perbaikan Sarana dan Prasarana Puskesmas-Puskesmas Pembantu dan Jaringannya</t>
  </si>
  <si>
    <t xml:space="preserve">2.7.1. Pengobatan Massal  </t>
  </si>
  <si>
    <t xml:space="preserve">2.8.4. Distribusi Alat Kesehatan  </t>
  </si>
  <si>
    <t xml:space="preserve">2.8.3. Pembangunan Kopel Paramedis </t>
  </si>
  <si>
    <t xml:space="preserve">2.8.2. Pengadaan Apar untuk Puskesmas  </t>
  </si>
  <si>
    <t xml:space="preserve">2.8.1. Pengadaan Lemari Alat Kesehatan  </t>
  </si>
  <si>
    <t xml:space="preserve">2.9.1. Pelatihan Asuhan Persalinan Normal (APN)  </t>
  </si>
  <si>
    <t xml:space="preserve">2.10.2. Rapat Kerja Kesehatan Daerah RAKERKESDA  </t>
  </si>
  <si>
    <t xml:space="preserve">2.10.1. Pelatihan Manajemen Puskesmas </t>
  </si>
  <si>
    <t>4.2. Program Pembangunan Jalan Lingkungan</t>
  </si>
  <si>
    <t>5.2. Program Pemberdayaan Kelembagaan Kesejahteraan Sosial</t>
  </si>
  <si>
    <t xml:space="preserve">5.1.2. Pembangunan Rumah Singgah Bersalin Sengget Kampung Seyolo III </t>
  </si>
  <si>
    <t xml:space="preserve">6. DINAS PEMBERDAYAAN PEREMPUAN DAN PERLINDUNGAN ANAK </t>
  </si>
  <si>
    <t>6.1. Program Keserasian Kebijakan Peningkatan Kualitas Anak dan Perempuan</t>
  </si>
  <si>
    <t>6.1.2. Forum Anak Daerah (PAD)</t>
  </si>
  <si>
    <t>6.2. Program Peningkatan Kualitas Hidup dan Perlindungan Perempuan</t>
  </si>
  <si>
    <t>6.2.2. Sosialisasi UU No 23 Tahun 2000 Tentang Perlindungan Anak</t>
  </si>
  <si>
    <t>6.2.4. Pelatihan Penghapusan Buta Aksara Perempuan (PBAP)</t>
  </si>
  <si>
    <t>6.3. Program Peningkatan Peran Serta dan Kesetaraan Jender Dalam Pembangunan</t>
  </si>
  <si>
    <t>6.4. Program Penguatan Kelembagaan Pengarusutamaan Gender dan Anak</t>
  </si>
  <si>
    <t xml:space="preserve">1.3.1. Pendataan Masyarakat Buta Aksara  </t>
  </si>
  <si>
    <t xml:space="preserve">1.3.2. Ujian Paket A, B, C </t>
  </si>
  <si>
    <t xml:space="preserve">5.2.1. Pengadaan Inventaris Kantor  </t>
  </si>
  <si>
    <t xml:space="preserve">6.4.1. Pelatihan Manjemen Bagi Organisasi Perempuan  </t>
  </si>
  <si>
    <t xml:space="preserve">6.4.2. Pelatihan Pembuatan Kue dari Bahan Lokal  </t>
  </si>
  <si>
    <t xml:space="preserve">6.4.3. Pelatihan Anyam-Anyaman dari Bahan Lokal </t>
  </si>
  <si>
    <t xml:space="preserve">6.4.4. Pelatihan Pembuatan Batik Papua  </t>
  </si>
  <si>
    <t xml:space="preserve">6.4.5. Pelatihan Manjemen Koperasi Bagi Perempuan  </t>
  </si>
  <si>
    <t>7. DINAS KETAHANAN PANGAN</t>
  </si>
  <si>
    <t>7.1. Program Peningkatan Ketersediaan dan Kerawanan Pangan</t>
  </si>
  <si>
    <t>7.1.1. Penanganan Kewaspadaan Pangan dan Gizi (SKPG)</t>
  </si>
  <si>
    <t>7.1.2. Pembuatan Demplot Pertanian</t>
  </si>
  <si>
    <t>7.1.3. Pengembangan Desa Mandiri Pangan</t>
  </si>
  <si>
    <t xml:space="preserve">7.1.4. Neraca Ketersediaan dan Konsumsi Pangan </t>
  </si>
  <si>
    <t>7.1.5. Pembuatan Demplot Pertanian</t>
  </si>
  <si>
    <t>7.2. Program  Peningkatan Distribusi dan cadangan Pangan</t>
  </si>
  <si>
    <t>7.2.1. Pemantauan dan Analisis Harga Pangan Pokok</t>
  </si>
  <si>
    <t>7.2.2. Pengembangan Cadangan Pangan Pemerintah Daerah</t>
  </si>
  <si>
    <t>7.2.3. Pengembangan Model Distribusi Pangan yang Efisien</t>
  </si>
  <si>
    <t>7.2.4. Promosi Hasil Produk Pangan Lokal</t>
  </si>
  <si>
    <t>7.3. Program Peningkatan Penganekaragaman Konsumsi dan Keamanan Pangan</t>
  </si>
  <si>
    <t>7.3.1. Pengembangan Tanaman Pangan dan Gizi dan Lahan Pekarangan</t>
  </si>
  <si>
    <t>7.3.2. Analisis dan Dan Penyusunan Pola Konsumsi Pangan</t>
  </si>
  <si>
    <t>7.3.3. Pelatihan Pembuatan Tepung-Tepungan Berbahan Pangan Lokal</t>
  </si>
  <si>
    <t>7.3.4. Pembinaa Mutu dan Keamanan Pangan</t>
  </si>
  <si>
    <t>7.3.5. Pembuatan Demplot Jamur</t>
  </si>
  <si>
    <t>7.3.6. Pembuatan Demplot Ikan Air Tawar</t>
  </si>
  <si>
    <t>7.3.7. Lomba Cipta Menu Tingkat Kabupaten dan Provinsi</t>
  </si>
  <si>
    <t>7.3.8. Pameran Hari Pangan Sedunia</t>
  </si>
  <si>
    <t>7.4. Program Peningkatan SDM dan Kelembagaan Pangan</t>
  </si>
  <si>
    <t>7.4.1. Operasional Penyuluh</t>
  </si>
  <si>
    <t>7.4.2. Pelatihan Bagi Penyuluh</t>
  </si>
  <si>
    <t>7.4.3. Pembinaan Kelompok Tani Lahan Kering</t>
  </si>
  <si>
    <t>7.4.4. Penyediaan Media Penyuluh</t>
  </si>
  <si>
    <t>8. DINAS LINGKUNGAN HIDUP</t>
  </si>
  <si>
    <t>9. BADAN PENANGGULANGAN BENCANA DAERAH</t>
  </si>
  <si>
    <t>9.2. Program Pengadaan Sarana dan Prasarana Penanggulangan Bencana</t>
  </si>
  <si>
    <t xml:space="preserve">9.2.9. Pembangunan Talud  </t>
  </si>
  <si>
    <t xml:space="preserve">9.2.8. Pengadaan Jaring Tramel Net  </t>
  </si>
  <si>
    <t xml:space="preserve">9.2.7. Pengadaan Mesin Motor Tempel 40 PK Kampung Arbasina  </t>
  </si>
  <si>
    <t xml:space="preserve">9.2.6. Pengadaan Mesin Motor Tempel 40 PK Kampung Kasuwer </t>
  </si>
  <si>
    <t xml:space="preserve">9.2.5. Pengadaan Motor Tempel 15 PK  </t>
  </si>
  <si>
    <t xml:space="preserve">9.2.4. Pengadaan Jaring Tramel Net </t>
  </si>
  <si>
    <t xml:space="preserve">9.2.3. Pengadaan Mesin Motor Tempel 40 PK  </t>
  </si>
  <si>
    <t xml:space="preserve">9.2.2. Pengadaan Mesin Motor Tempel 15 PK </t>
  </si>
  <si>
    <t xml:space="preserve">9.2.1. Pengadaan Profil Tank  </t>
  </si>
  <si>
    <t>11.1. Program Peningkatan keberdayaan Masyarakat Pedesaan</t>
  </si>
  <si>
    <t>11.2. Program Peningkatan Partisipasi Masyarakat Dalam Membangun Desa</t>
  </si>
  <si>
    <t>11.2.1. Operasional Bagi Kelompok Binaan Tenun</t>
  </si>
  <si>
    <t>11.3. Program Peningkatan Kapasitas Aparatur Pemerintah Desa</t>
  </si>
  <si>
    <t>11.3.1. Pelatihan Penguatan Kader Penggerak Pemberdayaan Masyarakat Desa/Kampung</t>
  </si>
  <si>
    <t>11.4. Program Peningkatan teknologi Tepat Guna</t>
  </si>
  <si>
    <t>11.4.1. Studi Banding Bagi Kelompok Binaan Tenun</t>
  </si>
  <si>
    <t>11.4.2. Operasional Bagi Pengelola BUMDES</t>
  </si>
  <si>
    <t>12.1. Program Peningkatan Pelayanan angkutan</t>
  </si>
  <si>
    <t>12.2. Program Pembangunan Sarana dan Prasarana Perhubungan</t>
  </si>
  <si>
    <t>13. DINAS PERIKANAN DAN KELAUTAN</t>
  </si>
  <si>
    <t>13.1. Program Pengembangan Perikanan Tangkap</t>
  </si>
  <si>
    <t>13.1.1. Pengadaan Mesin Motor Tempel 15 PK</t>
  </si>
  <si>
    <t>13.1.2. Pengadaan Mesin Motor Tempel 40 PK</t>
  </si>
  <si>
    <t>13.1.3. Pengadaan Body Perahu Fiber dan Mesin Motor Tempel 15 PK</t>
  </si>
  <si>
    <t>13.1.4. Pengadaan Mesin Motor Tempel 15 PK Distrik Kais</t>
  </si>
  <si>
    <t>13.1.5. Pengadaan Mesin Motor Tempel 15 PK Distrik Metemani</t>
  </si>
  <si>
    <t>13.1.6. Pengadaan Mesin Motor Tempel 15 PK Distrik Inanwatan</t>
  </si>
  <si>
    <t>13.1.7. Pengadaan Jaring Udang</t>
  </si>
  <si>
    <t>13.1.8. Pengadaan Mesin Ketintin</t>
  </si>
  <si>
    <t>13.1.9. Pembangunan Tambatan Perahu Nelayan Kampung Yahadian</t>
  </si>
  <si>
    <t>13.1.10. Pengadaan Jaring Tramel Net</t>
  </si>
  <si>
    <t>13.1.11. Pengadaan Katinting</t>
  </si>
  <si>
    <t>13.1.12. Pengadaan Perahu Fiber dan Mesin 15 PK</t>
  </si>
  <si>
    <t>13.1.13. Pengadaan Mesin Motor Tempel 40 PK</t>
  </si>
  <si>
    <t>13.1.14. Pengadaan Jaring Tramel Net</t>
  </si>
  <si>
    <t>13.1.15. Pengadaan Katinting</t>
  </si>
  <si>
    <t xml:space="preserve">5.1.1. Pembangunan Rumah Layak Huni KAT Komunitas Adat Terpencil KAT </t>
  </si>
  <si>
    <t>14. DINAS PERTANIAN</t>
  </si>
  <si>
    <t>14.1. Program Peningkatan Produksi, Produktifitas dan Mutu Hasil Tanaman Pangan dan Holtikultura</t>
  </si>
  <si>
    <t>14.2. Program Peningkatan Produksi Komoditi Perkebunan Berkelanjutan</t>
  </si>
  <si>
    <t xml:space="preserve">14.3.1. Penyusunan PERDA Peternakan  </t>
  </si>
  <si>
    <t xml:space="preserve">14.3.2. Penyediaan Hijauan Pakan Ternak  </t>
  </si>
  <si>
    <t xml:space="preserve">14.3.3. Penyediaan Pejantan Sapi  </t>
  </si>
  <si>
    <t xml:space="preserve">14.3.4. Penyediaan Indukan Sapi  </t>
  </si>
  <si>
    <t xml:space="preserve">14.3.5. Pengembangan Ternak Babi  </t>
  </si>
  <si>
    <t xml:space="preserve">14.2.4. Pengembangan Pinang  </t>
  </si>
  <si>
    <t xml:space="preserve">14.2.3. Pengembangan Siri  </t>
  </si>
  <si>
    <t xml:space="preserve">14.2.2. Penataan Sagu  </t>
  </si>
  <si>
    <t xml:space="preserve">14.2.1. Pengembangan Sagu  </t>
  </si>
  <si>
    <t xml:space="preserve">14.1.10. Pengadaan Bibit Pisang  </t>
  </si>
  <si>
    <t xml:space="preserve">14.1.9. Pengadaan Bibit Rambutan Binjai  </t>
  </si>
  <si>
    <t xml:space="preserve">14.1.8. Pengadaan Bibit Pinang  </t>
  </si>
  <si>
    <t xml:space="preserve">14.1.7. Pengembangan Nangka  </t>
  </si>
  <si>
    <t xml:space="preserve">14.1.6. Pengembangan Sayur-Sayuran  </t>
  </si>
  <si>
    <t xml:space="preserve">14.1.4. Pengembangan Padi  </t>
  </si>
  <si>
    <t xml:space="preserve">14.1.5. Pengembangan Alpukat </t>
  </si>
  <si>
    <t xml:space="preserve">14.1.3. Pengembangan Keladi  </t>
  </si>
  <si>
    <t xml:space="preserve">14.1.2. Pengembangan Ubi Jalar  </t>
  </si>
  <si>
    <t xml:space="preserve">14.1.1. Pengembangan Jagung </t>
  </si>
  <si>
    <t>15. BADAN PENGELOLA KEUANGAN DAN ASET DAERAH</t>
  </si>
  <si>
    <t>15.5.1. Bantuan Sosial Pendidikan</t>
  </si>
  <si>
    <t>15.5.1.1.. Mahasiswa Kedokteran</t>
  </si>
  <si>
    <t>15.5.1.2. Mahasiswa Pendidikan Umum</t>
  </si>
  <si>
    <t>15.5.2. Bantuan Sosial Pemondokan/Asrama Mahasiswa</t>
  </si>
  <si>
    <t>15.5.2.1. Asrama Putra Jayapura</t>
  </si>
  <si>
    <t>15.5.2.2. Asrama Putri Jayapura</t>
  </si>
  <si>
    <t>15.5.2.3. Asrama Putra Manokwari</t>
  </si>
  <si>
    <t>15.5.2.4. Asrama Putri Manokwari</t>
  </si>
  <si>
    <t>15.5.2.5. Asrama Putra Manado</t>
  </si>
  <si>
    <t>15.5.2.6. Asrama Putri Manado</t>
  </si>
  <si>
    <t>15.5.2.7. Asrama Putra Surabaya</t>
  </si>
  <si>
    <t>15.5.2.8. Asrama Putra Jogjakarta</t>
  </si>
  <si>
    <t xml:space="preserve">10.1.3. Pembentukan Kampung Tertib Administrasi Kependudukan </t>
  </si>
  <si>
    <t xml:space="preserve">10.1.1. Pemutahiran Data Base Kependudukan Orang Asli Papua  </t>
  </si>
  <si>
    <t xml:space="preserve">9.1.3. Pembangunan Talud Sungai Wayer  </t>
  </si>
  <si>
    <t xml:space="preserve">9.1.4. Pembangunan Talud </t>
  </si>
  <si>
    <t xml:space="preserve">9.1.2. Pemasangan Bronjong Longsor Pertigaan Konda Nakna  </t>
  </si>
  <si>
    <t xml:space="preserve">9.1.1. Pembangunan Drainase Kampung Sengget dan Seyolo  </t>
  </si>
  <si>
    <t xml:space="preserve">8.1.1. Pengadaan Komputer Dinas Lingkungan Hidup  </t>
  </si>
  <si>
    <t xml:space="preserve">6.3.5. Diklat Pengembangan Aparatur Dinas PPPA </t>
  </si>
  <si>
    <t xml:space="preserve">6.3.3. Sosialisasi Undang-Undang KDRT </t>
  </si>
  <si>
    <t xml:space="preserve">6.3.4. Peningkatan Kapasitas SDM Aparatur Bidang PP dan Perlindungan Anak </t>
  </si>
  <si>
    <t xml:space="preserve">6.3.2. Study banding Penanganan Korban/Pengembangan SDM Pengurus P2TP2A  </t>
  </si>
  <si>
    <t xml:space="preserve">6.3.1. Fasilitasi Korban KDRT  </t>
  </si>
  <si>
    <t xml:space="preserve">6.2.3. Sosialisasi Perilaku Hidup Bersih dan Sehat (PHBS)  </t>
  </si>
  <si>
    <t xml:space="preserve">6.2.1. Sosialisasi UU Pembentukan Kota/Kabupaten Layak Anak </t>
  </si>
  <si>
    <t xml:space="preserve">6.1.4. Penyusunan Profil Pembangunan Perempuan Sorong Selatan Berbasis Gender  </t>
  </si>
  <si>
    <t xml:space="preserve">6.1.3. Pelatihan Peningkatan SDM Bagi Kader PARPOL dan Calon Legislatif </t>
  </si>
  <si>
    <t xml:space="preserve">6.1.1. Sosialisasi Undang-Undang No 8 Tahun 2012  </t>
  </si>
  <si>
    <t xml:space="preserve">2.8.1. Sosialisasi Bagi Pemilik dan Penjamah rumah Makan dan Pemilik Karyawan Depot Air Minuman </t>
  </si>
  <si>
    <t>1. DINAS PENDIDIKAN, KEBUDAYAAN, PEMUDA DAN OLAH RAGA</t>
  </si>
  <si>
    <t>3.1.1. Pengadaan Alat-Alat Kesehatan Rumah Sakit</t>
  </si>
  <si>
    <t>6.1. Program Pengembangan Lembaga Ekonomi Pedesaan</t>
  </si>
  <si>
    <t>DAN ASET DAERAH</t>
  </si>
  <si>
    <t xml:space="preserve">                        </t>
  </si>
  <si>
    <t xml:space="preserve"> KEPALA BADAN PENGELOLA KEUANGAN</t>
  </si>
  <si>
    <t>ABIA ULLU, S.Sos</t>
  </si>
  <si>
    <t>PEMBINA UTAMA MUDA</t>
  </si>
  <si>
    <t>NIP. 19600209 198803 1 011</t>
  </si>
  <si>
    <t>8. DINAS PEMBERDAYAAN PEREMPUAN, PERLINDUNGAN ANAK,   PENGENDALIAN PENDUDUK DAN KELUARGA BERENCANA</t>
  </si>
  <si>
    <t>7. Dinas Pertanian dan Ketahanan Pangan</t>
  </si>
  <si>
    <t>7.1. Program Peningkatan dan pengembangan ketahanan pangan</t>
  </si>
  <si>
    <t>7.1.1. Lomba Cipta Menu Beragam, Bergisi Seimbang dan Aman (B2SA) berbasis Pangan Lokal Tk. Kabupaten</t>
  </si>
  <si>
    <t>8.1. Program pencegahan dan penanggulangan penyakit ternak</t>
  </si>
  <si>
    <t>8.1.1. Pengadaan Alat dan Obat-Obatan Keswan</t>
  </si>
  <si>
    <t>8.2. Program peningkatan produksi peternakan</t>
  </si>
  <si>
    <t>8.2.1. Pengembangan Ternak Sapi</t>
  </si>
  <si>
    <t>8.3. Program produksi perkebunan</t>
  </si>
  <si>
    <t>8.3.1. Budidaya Tanaman Perkebunan</t>
  </si>
  <si>
    <t>8.4. Program produksi pertanian</t>
  </si>
  <si>
    <t>8.4.1. Pengembangan Pisang 50 Ha</t>
  </si>
  <si>
    <t>8.4.2. Pengadaan Bibit Tanaman Buah-Buahan</t>
  </si>
  <si>
    <t>8.4.3. Pengembangan Keladi</t>
  </si>
  <si>
    <t>8.4.4. Pengembangan Ubi Jalar 10 Ha</t>
  </si>
  <si>
    <t>8.4.5. Penyediaan Sarana dan Prasarana Pertanian</t>
  </si>
  <si>
    <t>84.6. Pengadaan Bibit Sayur</t>
  </si>
  <si>
    <t>9. Dinas Perikanan</t>
  </si>
  <si>
    <t>9.1.1. Pengadaan Sarana Budidaya</t>
  </si>
  <si>
    <t>9.1.2. Pengadaan Bibit Kerapu Bebek</t>
  </si>
  <si>
    <t>9.1.3. Paket kebun bibit rumput laut</t>
  </si>
  <si>
    <t>9.1.4. Paket pengembangan budidaya kepiting bakau dan perlengkapan</t>
  </si>
  <si>
    <t>9.2. Program Pengembangan Perikanan Tangkap</t>
  </si>
  <si>
    <t>9.2.1. Penyediaan Sarana Perikanan Tangkap Untuk Nelayan dan Kelompok Usaha Bersama (KUB)</t>
  </si>
  <si>
    <t>9.2.2. Peyediaan sarana perikanan tangkap</t>
  </si>
  <si>
    <t>9.2.3. Operasional tenaga pendamping pemberdayaan usaha skala masyarakat KP</t>
  </si>
  <si>
    <t>10. Dinas Perindustrian, Perdagangan dan Koperasi Usaha Kecil dan Menengah</t>
  </si>
  <si>
    <t>10.1. Program peningkatan kualitas kelembagaan koperasi</t>
  </si>
  <si>
    <t>10.1.1. Pelatihan Lanjutan Manajemen Perekonomian Bagi Pengurus Koperasi Orang Asli Papua (OAP)</t>
  </si>
  <si>
    <t>10.1.2. Pameran Hasil Produk, IKM dan UKM Binaan</t>
  </si>
  <si>
    <t>10.2. Program pengembangan industri kecil dan menengah</t>
  </si>
  <si>
    <t>10.2.1. Fasilitasi IKM terhadap peningkatan sumber daya</t>
  </si>
  <si>
    <t>10.2.2. Pelatihan Pengolahan Aneka Kue Basah/Roti Berbasis Pisang</t>
  </si>
  <si>
    <t>10.3. Program perlindungan konsumen dan pengamanan perdagangan</t>
  </si>
  <si>
    <t>10.3.1. Pemeriksaan Terhadap Ukuran Takaran Timbangan dan Perlengkapannya (UTTP)</t>
  </si>
  <si>
    <t>10.3.2. Pemeriksaan dan Pengawasan Barang Kadaluarsa dan Berstandar SNI</t>
  </si>
  <si>
    <t>11. Dinas Pemberdayaan Masyarakat Desa</t>
  </si>
  <si>
    <t>11.1. Program Peningkatan Partisipasi Masyarakat Dalam Membangun Desa</t>
  </si>
  <si>
    <t>11.1.1. Kegiatan Lomba Kampung Tingkat Kabupaten Tahun 2018</t>
  </si>
  <si>
    <t xml:space="preserve">11.2. Program Pemberdayaan Masyarakat Pedesaan </t>
  </si>
  <si>
    <t>11.2.1. Pembinaan dan fasilitasi Pengelola Keuangan dan Pembinaan Kampung</t>
  </si>
  <si>
    <t>11.3. Program peningkatan kapasitas aparat pemberdayaan masyarakat dan pemerintah kampung</t>
  </si>
  <si>
    <t>11.3.1. Pelatihan Penguatan Kapasitas Aparat Bina Pemerintahan, Pemberdayaan, Pembangunan dan Keuangan Kampung</t>
  </si>
  <si>
    <t xml:space="preserve">11.4. Program penataan kelembagaan kampung </t>
  </si>
  <si>
    <t>11.4.1. Penyusunan Produk Hukum Kampung</t>
  </si>
  <si>
    <t>12.1.1. Rehabilitasi Kesejahteraan Sosial untuk Penyandang Cacat Mental</t>
  </si>
  <si>
    <t>12.1.2. Peringatan Hari Besar Kenegaraan Hari Pahlawan</t>
  </si>
  <si>
    <t>12.1.3. Pelatihan Ketrampilan Bagi Penyandang Masalah Kesejahteraan Sosial</t>
  </si>
  <si>
    <t>12.2. Program komunitas adat terpencil</t>
  </si>
  <si>
    <t>12.2.1. Pemetaan Sosial Kampung Jarati</t>
  </si>
  <si>
    <t>12.2.2. Penjajakan Awal Kampung Kategori KAT (Kpg. Jarati)</t>
  </si>
  <si>
    <t>12.2.3. Semiloka Daerah</t>
  </si>
  <si>
    <t>12.2.4. Pelayanan Sosial Bagi Lansia,Veteran, Asrama/Pesantren dan Orang Terlantar</t>
  </si>
  <si>
    <t>12.3. Program keluarga harapan</t>
  </si>
  <si>
    <t>12.3.1. Operasional Pendampingan Program Keluarga Harapan</t>
  </si>
  <si>
    <t>13. Bappeda, Penelitian dan Pengembangan</t>
  </si>
  <si>
    <t>13.1. Program perencanaan tata ruang</t>
  </si>
  <si>
    <t>13.1.1. PK RTRW 2012-2022</t>
  </si>
  <si>
    <t>13.1.2. Inventarisasi sarana dan prasarana wilayah berbasis GIS</t>
  </si>
  <si>
    <t>13.2. Program perencanaan pembangunan daerah</t>
  </si>
  <si>
    <t>13.3. Program perencanaan pembangunan ekonomi</t>
  </si>
  <si>
    <t>13.5. Program perencanaan sosial dan budaya</t>
  </si>
  <si>
    <t>13.5.1. Penyusunan  Profil  Daerah  ( SIPDA)  Kabupaten Kaimana</t>
  </si>
  <si>
    <t>13.5.2. Studi evaluasi dampak pembangunan terhadap kehidupan Sosial Ekonomi masyarakat  "Kajian Antropologi Pembangunan"</t>
  </si>
  <si>
    <t>2.10. Program Pencegahan dan Pengobatan Ibu Hamil Khusus HIV dan Malaria bagi orang Papua</t>
  </si>
  <si>
    <t>2.10.1. Pengadaan Obat dan Perbekalan IMS dan HIV</t>
  </si>
  <si>
    <t>2.11.1. Jaminan Kesehatan Masyarakat Umum (BPJS Kesehatan)</t>
  </si>
  <si>
    <t>2.11.2. Penyediaan biaya rujukan pasien gawat darurat (dari PKM ke RSUD)</t>
  </si>
  <si>
    <t>2.11.3. Puskesmas Jalan Kaki (Pusjaki)</t>
  </si>
  <si>
    <t>2.11.4. Penanggulangan Katarak (60 mata)</t>
  </si>
  <si>
    <t>2.11.6. Pelayanan Operasi Minor dan Mayor</t>
  </si>
  <si>
    <t>2.11.7. Pelaksanaan Survey Akreditasi</t>
  </si>
  <si>
    <t>2.11.8. Pencanangan Gerakan Masyarakat Hidup Sehat (GERMAS)</t>
  </si>
  <si>
    <t>1.3.5. Pengadaan Meubelair Sekolah</t>
  </si>
  <si>
    <t>23. BPPKAD (PPKD)</t>
  </si>
  <si>
    <t>23.1. BELANJA HIBAH</t>
  </si>
  <si>
    <t xml:space="preserve">23.1.1. Belanja Hibah Kepada Badan/Lembaga/Organisasi  </t>
  </si>
  <si>
    <t xml:space="preserve">23.1.2. Belanja Hibah Kepada Badan/Lembaga/Organisasi Keagamaan  </t>
  </si>
  <si>
    <t>23.1.3. Hibah Belanja BPJS Kesehatan</t>
  </si>
  <si>
    <t xml:space="preserve">23.1.4. Belanja Hibah Pendidikan  </t>
  </si>
  <si>
    <t>23.2. BELANJA BANTUAN SOSIAL</t>
  </si>
  <si>
    <t>23.2.1. Belanja Bantuan Berobat Kepada Masyarakat</t>
  </si>
  <si>
    <t>23.2.2. Belanja Bantuan Pendidikan</t>
  </si>
  <si>
    <t>2.11.5. Pelatihan petugas sistem pencatatan dan pelaporan terpadu Puskesmas (SP2TP)</t>
  </si>
  <si>
    <t>2.9.3. Pembangunan Parkiran Puskesmas</t>
  </si>
  <si>
    <t>1.1.2. Penambahan Ruang Kelas Sekolah</t>
  </si>
  <si>
    <t xml:space="preserve">1.1.3. Pelatihan Kompetensi Tenaga Pendidik TK dan PAUD </t>
  </si>
  <si>
    <t>2.1.1. Pengadaan Obat-Obatan perbekalan Kesehatan</t>
  </si>
  <si>
    <t>2.2. Program Pencegahan dan Penanggulangan Penyakit Menular</t>
  </si>
  <si>
    <t xml:space="preserve">2.2.4. Pelayanan Pencegahan dan Penanggulangan Penyakit Menular </t>
  </si>
  <si>
    <t xml:space="preserve">2.2.3. Penanggulangan ODHA  </t>
  </si>
  <si>
    <t xml:space="preserve">2.2.2. Penanggulangan dan Pemberantasan Penyakit TBC </t>
  </si>
  <si>
    <t>2.3. Program Pengadaan, Peningkatan dan Perbaikan Sarana dan Prasarana Puskesmas/Puskemas Pembantu dan Jaringannya</t>
  </si>
  <si>
    <t>2.3.1. Pembangunan Puskesmas</t>
  </si>
  <si>
    <t>2.4. Program Peningkatan Pelayanan Puskesmas/Puskemas Pembantu</t>
  </si>
  <si>
    <t xml:space="preserve">2.4.1. Peningkatan Pelayanan Puskesmas/Puskesmas Pembantu BABO  </t>
  </si>
  <si>
    <t xml:space="preserve">2.4.2. Peningkatan Pelayanan Puskesmas/Puskesmas Pembantu BINTUNI </t>
  </si>
  <si>
    <t xml:space="preserve">2.4.4. Peningkatan Pelayanan Puskesmas/Puskesmas Pembantu MOSKONA UTARA </t>
  </si>
  <si>
    <t>2.4.3. Peningkatan Pelayanan Puskesmas/Puskesmas Pembantu MANIMERI</t>
  </si>
  <si>
    <t xml:space="preserve">2.4.5. Peningkatan Pelayanan Puskesmas/Puskesmas Pembantu FARFURWAR </t>
  </si>
  <si>
    <t xml:space="preserve">2.4.6. Peningkatan Pelayanan Puskesmas/Puskesmas Pembantu Plus STENKOOL III </t>
  </si>
  <si>
    <t xml:space="preserve">2.4.7. Peningkatan Pelayanan Puskesmas/Puskesmas Pembantu TANAH MERAH </t>
  </si>
  <si>
    <t xml:space="preserve">2.4.8. Peningkatan Pelayanan Puskesmas/Puskesmas Pembantu KURI </t>
  </si>
  <si>
    <t xml:space="preserve">2.4.7. Peningkatan Palayanan Puskesmas/Puskesmas Pembantu IDOOR </t>
  </si>
  <si>
    <t xml:space="preserve">2.4.9. Peningkatan Pelayanan Puskesmas/Puskesmas Pembantu TOFOI </t>
  </si>
  <si>
    <t xml:space="preserve">2.4.10.Peningkatan Pelayanan Puskesmas/Puskesmas Pembantu TEMBUNI </t>
  </si>
  <si>
    <t xml:space="preserve">2.4.11.Peningkatan Pelayanan Puskesmas/Puskesmas Pembantu MERDEY </t>
  </si>
  <si>
    <t xml:space="preserve">2.4.12.Peningkatan Pelayanan Puskesmas/Puskesmas Pembantu JAGIRO </t>
  </si>
  <si>
    <t>2.4.13.Peningkatan Pelayanan Puskesmas/Puskesmas Pembantu ARANDAY</t>
  </si>
  <si>
    <t xml:space="preserve">2.4.14.Peningkatan Pelayanan Puskesmas/Puskesmas Pembantu WERIAGAR </t>
  </si>
  <si>
    <t xml:space="preserve">2.4.15.Peningkatan Pelayanan Puskesmas/Puskesmas Pembantu TUHIBA </t>
  </si>
  <si>
    <t xml:space="preserve">2.4.16.Peningkatan Pelayanan Puskesmas/Puskesmas Pembantu KAITARO </t>
  </si>
  <si>
    <t xml:space="preserve">2.4.17.Peningkatan Pelayanan Puskesmas/Puskesmas Pembantu KALITAMI </t>
  </si>
  <si>
    <t xml:space="preserve">2.4.18.Peningkatan Pelayanan Puskesmas/Puskesmas Pembantu Dataran Beimes </t>
  </si>
  <si>
    <t xml:space="preserve">2.4.19.Peningkatan Pelayanan Puskesmas/Puskesmas Pembantu Moskona Barat </t>
  </si>
  <si>
    <t xml:space="preserve">2.4.20.Peningkatan Pelayanan Puskesmas/Puskesmas Pembantu Aroba </t>
  </si>
  <si>
    <t xml:space="preserve">2.4.11.Peningkatan Pelayanan Puskesmas/Puskesmas Pembantu Moskona Timur </t>
  </si>
  <si>
    <t xml:space="preserve">2.4.12.Peningkatan Pelayanan Puskesmas/Puskesmas Pembantu Masyeta </t>
  </si>
  <si>
    <t xml:space="preserve">2.4.13.Peningkatan Pelayanan Puskesmas/Puskesmas Aranday Kampung </t>
  </si>
  <si>
    <t>2.4.14.Peningkatan Pelayanan Puskesmas/Puskesmas Biscoop</t>
  </si>
  <si>
    <t xml:space="preserve">2.4.15.Peningkatan Pelayanan Puskesmas/Puskesmas MUTURI </t>
  </si>
  <si>
    <t>4.1.2. Fasilitasi dan Stimulasi Pembangunan Perumahan Masyarakat Kurang Mampu</t>
  </si>
  <si>
    <t>4.2.1. Penyediaan Sarana Air Bersih dan Sanitasi Dasar Terutama Bagi Masyarakat Miskin</t>
  </si>
  <si>
    <t>4.2.2. Pembangunan Fasilitas Penerangan Kawasan Pemukiman</t>
  </si>
  <si>
    <t>5. DINAS PERIKANAN</t>
  </si>
  <si>
    <t>5.1. Program Pengembangan Budidaya Perikanan</t>
  </si>
  <si>
    <t xml:space="preserve">5.1.5. Pengadaan Kolam Bioflok </t>
  </si>
  <si>
    <t xml:space="preserve">5.1.5. Pengadaan KJA </t>
  </si>
  <si>
    <t xml:space="preserve">5.1.3. Pengadaan Mesin Pembuat Pakan Ikan </t>
  </si>
  <si>
    <t xml:space="preserve">5.1.2. Magang Budidaya Perikanan Teknologi Bioflok &amp; KJA Untuk Pembudidaya Ikan Air Tawar </t>
  </si>
  <si>
    <t xml:space="preserve">5.1.1. Pengadaan Benih Ikan/Pakan Ikan/Probiotik &amp; Kapur </t>
  </si>
  <si>
    <t xml:space="preserve">6.1.1. Pelatihan Pengelolaan Buah Merah </t>
  </si>
  <si>
    <t>6.2. Program Peningkatan Peran Perempuan Di Perdesaan</t>
  </si>
  <si>
    <t>6.2.1. Pelatihan Perempuan Di Perdesaan Dalam Bidang Usaha Ekonomi Produktif</t>
  </si>
  <si>
    <t>6.2.2. Peningkatan Kapasitas Peran Perempuan di Pedesaan</t>
  </si>
  <si>
    <t>6.2.3. Peran Serta Perempuan dalam Usaha Ekonomi Produktif</t>
  </si>
  <si>
    <t>7.1. Program Pemberdayaan Fakir Miskin, Komunitas Adat Terpencil (KAT) dan Penyandang Masalah Kesejahteraan Sosial (PMKS) Lainnya</t>
  </si>
  <si>
    <t>7.1.1. Pengadaan Sarana dan Prasarana Pendukung Usaha Bagi Keluarga Miskin</t>
  </si>
  <si>
    <t>7.2. Program Pengembangan Perumahan</t>
  </si>
  <si>
    <t>7.2.1. Fasilitasi dan Stimulasi Pembangunan Perumahan Masyarakat Kurang Mampu</t>
  </si>
  <si>
    <t>8. BPKAD - Selaku PPKD</t>
  </si>
  <si>
    <t>8.1. Belanja Bantuan Sosial</t>
  </si>
  <si>
    <t>8.1.1. Belanja Bantuan Sosial Organisasi Kemasyarakatan</t>
  </si>
  <si>
    <t>8.1.2. Belanja Bantuan Sosial Pendidikan</t>
  </si>
  <si>
    <t>8.1.3. Belanja Bantuan Sosial Rujukan Kesehatan</t>
  </si>
  <si>
    <t>8.1.4. Belanja Bantuan Operasional Kampung Pemekaran</t>
  </si>
  <si>
    <t>9.1. Program Peningkatan Produksi Pertanian/Perkebunan</t>
  </si>
  <si>
    <t>9.1.1. Pengembangan Tanaman Pala</t>
  </si>
  <si>
    <t>9.1.2. Rehabilitasi dan Pengembangan Tanaman Buah Merah</t>
  </si>
  <si>
    <t>9.1.3. Pengembangan Tanaman Kacang Tanah</t>
  </si>
  <si>
    <t>9.2. Program Peningkatan Produksi Hasil Peternakan</t>
  </si>
  <si>
    <t>9.2.1. Pendistribusian Bibit Ternak Kepada Masyarakat</t>
  </si>
  <si>
    <t>10. DINAS PERDAGANGAN, PERINDUSTRIAN, KOPERASI dan UMKM</t>
  </si>
  <si>
    <t>10.1. Program Peningkatan Efisiensi Perdagangan Dalam Negeri</t>
  </si>
  <si>
    <t>10.1.1. Rehab Pasar Sentral Bintuni</t>
  </si>
  <si>
    <t>10.2. Peningkatan Ekonomi Kerakyatan</t>
  </si>
  <si>
    <t>10.2.1. Pembangunan Pasar Koperasi</t>
  </si>
  <si>
    <t>1.1.1. Pembangunan Rumah Dinas Kepala Sekolah, Guru, Penjaga Sekolah</t>
  </si>
  <si>
    <t xml:space="preserve">1.1.3. Pembangunan Gedung Sekolah </t>
  </si>
  <si>
    <t>1.1.4. Pembangunan Rumah Dinas Kepala Sekolah, Guru, Penjaga Sekolah</t>
  </si>
  <si>
    <t xml:space="preserve">1.1.5. Rehabilitasi Sedang/Berat Bangunan Sekolah </t>
  </si>
  <si>
    <t xml:space="preserve">1.2.1. Penyediaan Bantuan Operasional Manajemen Mutu (BOMM)   </t>
  </si>
  <si>
    <t xml:space="preserve">2.3.4. Peningkatan Pelayanan dan Penanggulangan Masalah Kesehatan Bagi PNS </t>
  </si>
  <si>
    <t xml:space="preserve">2.3.6. Peningkatan pelayanan dan penanggulangan masalah kesehatan </t>
  </si>
  <si>
    <t>3.1. Program Pengadaan, Peningkatan Sarana dan Prasarana Rumah Sakit</t>
  </si>
  <si>
    <t>3.1.2. Pengadaan Obat-obatan Rumah Sakit</t>
  </si>
  <si>
    <t xml:space="preserve">4.1.1. Pembangunan sarana dan prasarana rumah sederhana sehat </t>
  </si>
  <si>
    <t>21.1.1.1. Bantuan Sosial Bidang Pendidikan</t>
  </si>
  <si>
    <t xml:space="preserve">5.3. Program Penataan Daerah Otonomi Baru </t>
  </si>
  <si>
    <t xml:space="preserve">1.1.2. Pengadaan Meubelair Sekolah </t>
  </si>
  <si>
    <t>ALOKASI</t>
  </si>
  <si>
    <t>PENYALURAN 30%</t>
  </si>
  <si>
    <t>REALISASI</t>
  </si>
  <si>
    <t>15.7. Bantuan Sosial Kedukaan dan Pengobatan Lanjut</t>
  </si>
  <si>
    <t>15.7.1. Bantuan Sosial Kedukaan dan Pengobatan Lanjut</t>
  </si>
  <si>
    <t>2.5. Program Pengadaan, Peningkatan dan Perbaikan Sarana dan Prasarana Puskesmas/Pustu dan Jaringannya</t>
  </si>
  <si>
    <t>1.3. Program Manajemen Pelayanan Pendidikan</t>
  </si>
  <si>
    <t>1.3.1. Sosialisasi dan Advokasi Berbagai Peraturan Pemerintah di Bidang Pendidikan</t>
  </si>
  <si>
    <t>1.3.2. Seleksi Guru Berprestasi</t>
  </si>
  <si>
    <t>1.3.3. Penilaian Kinerja Guru</t>
  </si>
  <si>
    <t>1.3.4. Peningkatan Pelayanan Dewan Pendidikan</t>
  </si>
  <si>
    <t>1.4. Program Pendidikan Tinggi</t>
  </si>
  <si>
    <t>1.4.1. Peningkatan Sarana dan Prasarana Pendidikan Tinggi</t>
  </si>
  <si>
    <t>1.5. Program Pengembangan Potensi Belajar</t>
  </si>
  <si>
    <t>1.5.1. Fasilitas Pengiriman Peserta OSN, O2SN dan FLSN</t>
  </si>
  <si>
    <t>1.5.2. Penyelenggaraan Kurikulum Pendidikan Kecakapan Hidup Sehat (PKHS)</t>
  </si>
  <si>
    <t>1.5.3. Penyelenggaraan Lomba Cerdas Cermat SD Tingkat Kota</t>
  </si>
  <si>
    <t>1.5.4. Penyelenggaraan Pertandingan Olahraga Tingkat Guru dan Pelajar</t>
  </si>
  <si>
    <t>1.5.5. Penyelenggaraan Liga SMP</t>
  </si>
  <si>
    <t>1.6. Program Peningkatan Sarana, Prasarana dan Mutu Pendidikan</t>
  </si>
  <si>
    <t>1.6.1. Pengadaan Pakaian Seragam dan Peralatan Sekolah Siswa/I Asli Papua</t>
  </si>
  <si>
    <t>1.6.2. Rapat Kerja Dinas Pendidikan Kota Sorong</t>
  </si>
  <si>
    <t>1.6.3. Penyediaan Administrasi Pengelolaan Program Peningkatan Sarana, Prasarana dan Mutu Pendidikan</t>
  </si>
  <si>
    <t>1.6.4. Bimbingan Teknis Pendidikan</t>
  </si>
  <si>
    <t>1.6.5. Peningkatan Sarana dan Prasarana Pendidikan TK, SD/MI, SMP/MTS</t>
  </si>
  <si>
    <t>1.6.6. Sosialisasi /Pelatihan Bidang Pendidikan</t>
  </si>
  <si>
    <t>alokasi pendidikan</t>
  </si>
  <si>
    <t>pagu</t>
  </si>
  <si>
    <t>alokasi kesehatan</t>
  </si>
  <si>
    <t>10% s.d. 20%</t>
  </si>
  <si>
    <t>20% s.d. 30%</t>
  </si>
  <si>
    <t>5. DINAS PERUMAHAN DAN KAWASAN PERMUKIMAN</t>
  </si>
  <si>
    <t>10.1.2. Pemutahiran Data Keluarga</t>
  </si>
  <si>
    <t>KEPALA BADAN PENGELOLA KEUANGAN</t>
  </si>
  <si>
    <t>1.3. Program wajib belajar pendidikan 9 tahun</t>
  </si>
  <si>
    <t>1.3.1. Pengadaan Meubelair</t>
  </si>
  <si>
    <t>1.3.2.Pengadaan Komputer UNBK SMP</t>
  </si>
  <si>
    <t>1.3.3. Pembanguan SMP Yapis</t>
  </si>
  <si>
    <t>1.3.4. Pengadaan Meubelair SMP Yapis</t>
  </si>
  <si>
    <t>1.3.5. Pembangunan SD Aisyah 01 Waisai</t>
  </si>
  <si>
    <t>1.4.1. Keaksaraan</t>
  </si>
  <si>
    <t>1.4.3. Diklat Kepala PAUD</t>
  </si>
  <si>
    <t>1.4.4. Monitoring BOP PAUD/TK</t>
  </si>
  <si>
    <t xml:space="preserve">1.4.6. Evaluasi Pengawasan Daerah Khusus 3T </t>
  </si>
  <si>
    <t>1.4.7. Penataan Arsip Tenaga Pendidik</t>
  </si>
  <si>
    <t>1.5. Program Peningkatan Mutu Pendidikan dan Tenaga Kependidikan</t>
  </si>
  <si>
    <t xml:space="preserve">1.5.1. Kegiatan KKG dan KKSS </t>
  </si>
  <si>
    <t>1.6. Program Manajemen Pelayanan Pendidikan</t>
  </si>
  <si>
    <t xml:space="preserve">1.6.1. Asrama Mahasiswa Raja Ampat dan Fasilitas Listrik dan Air (Jpr, Mkw, Mnd, dan Jgj) </t>
  </si>
  <si>
    <t>1.6.2. Peningkatan Pelayanan Pendidikan Guru Gugus Terdepan / SM3T</t>
  </si>
  <si>
    <t>1.6.3. Monitoring Affirmasi Penyelenggaraan Affirmasi Pendidikan Tinggi dan Menengah</t>
  </si>
  <si>
    <t>1.6.4. Penyediaan Sarana dan Prasarana Mahasiswa Raja Ampat (Tersebar)</t>
  </si>
  <si>
    <t>1.7. Program Pengembangan Nilai Budaya</t>
  </si>
  <si>
    <t xml:space="preserve">1.7.1. Penjemputan Tamu-tamu Khusus Daerah (Mansorandak) </t>
  </si>
  <si>
    <t>1.8. Program Pengelolaan Kekayaan Budaya</t>
  </si>
  <si>
    <t xml:space="preserve">1.8.1. Pembinaan Lembaga Sanggar Seni </t>
  </si>
  <si>
    <t xml:space="preserve">1.8.2. Workshop Budaya Raja Ampat </t>
  </si>
  <si>
    <t>1.8.3. Pembuatan Pusat Informasi Budaya</t>
  </si>
  <si>
    <t>1.8.4. Monitoring Pusat Budaya dan Sejarah</t>
  </si>
  <si>
    <t>1.8.5. Pengelolaan Situs Budaya</t>
  </si>
  <si>
    <t>1.8.6. Pembangunan Gedung Kesenian</t>
  </si>
  <si>
    <t>1.10. Program Peningkatan Kualitas dan Kuantitas Sarana/Prasarana Penunjang/Pendukung Pendidikan Tinggi</t>
  </si>
  <si>
    <t>10.1.1. Pembangunan lanjutan kampus III UNIPA Raja Ampat</t>
  </si>
  <si>
    <t>10.1.2. Pembangunan lanjutan asrama mahasiswa Raja Ampat</t>
  </si>
  <si>
    <t>3.2. Program Peningkatan Kapasitas Sumber Daya Aparatur</t>
  </si>
  <si>
    <t>3.2.1. Bimtek Petugas Kesehatan</t>
  </si>
  <si>
    <t>3.3. Program Upaya Kesehatan Masyarakat</t>
  </si>
  <si>
    <t xml:space="preserve">3.3.1. Pelayanan Pemberian Makan dan Minum Pasien Rawat Inap </t>
  </si>
  <si>
    <t>3.4. Program Peningkatan Disiplin Aparatur</t>
  </si>
  <si>
    <t xml:space="preserve">3.4.1. Akreditasi Rumah Sakit </t>
  </si>
  <si>
    <t xml:space="preserve">4.1.3. Peningkatan Jalan Folley - Limalas </t>
  </si>
  <si>
    <t>4.2. Program Rehabilitasi/Pemeliharaan Jalan dan Jembatan</t>
  </si>
  <si>
    <t>5.2. Program Pemeliharaan dan Pengadaan Sarana dan Prasarana Umum</t>
  </si>
  <si>
    <t>5.2.1. Penataan Halaman Musholah Nurul Bahri</t>
  </si>
  <si>
    <t>5.2.2. Pengadaan Kendaraan Penyiram Tanaman</t>
  </si>
  <si>
    <t>5.3. Program Pengelolaan Ruang Terbuka Hijau (RTH)</t>
  </si>
  <si>
    <t xml:space="preserve">5.3.1. Pembangunan Taman Pintar Kofarko </t>
  </si>
  <si>
    <t>1.4.2. Sosialisasi BOS PAUD/TK dan Pelatihan Pembuatan Laporan Pertanggungjawaban</t>
  </si>
  <si>
    <t>2.2.5. Pengadaan Meubelair</t>
  </si>
  <si>
    <t>1.4.5. Rehab 4 Ruang PAUD</t>
  </si>
  <si>
    <t>19.2.4. Jaminan Pemeliharaan Masyarakat Miskin (Jamkesda)</t>
  </si>
  <si>
    <t>SETELAH PERUBAHAN</t>
  </si>
  <si>
    <t>PENYALURAN 45%</t>
  </si>
  <si>
    <t>PENYALURAN THP I, II</t>
  </si>
  <si>
    <t>HIBAH FAK KEDOKTERAN UNIPA</t>
  </si>
  <si>
    <t>8. Kabupaten Sorong Selatan</t>
  </si>
  <si>
    <t>9. Kabupaten Tambrauw</t>
  </si>
  <si>
    <t xml:space="preserve"> 8. Kabupaten Sorong Selatan</t>
  </si>
  <si>
    <t xml:space="preserve"> 9. Kabupaten Tambrauw</t>
  </si>
  <si>
    <t>8.2. Belanja Bantuan Sosial Kepada Anggota Masyarakat</t>
  </si>
  <si>
    <t>4. DINAS PU</t>
  </si>
  <si>
    <t>5. KANTOR PEMBERDAYAAN PEREMPUAN DAN KB</t>
  </si>
  <si>
    <t>7. DINAS KOPERASI DAN UKM</t>
  </si>
  <si>
    <t>8. DINAS PETERNAKAN / KETAHANAN PANGAN</t>
  </si>
  <si>
    <t>9. DINAS PERTAMBANGAN DAN LINGKUNGAN HIDUP</t>
  </si>
  <si>
    <t>10. DINAS PERTANIAN</t>
  </si>
  <si>
    <t>11. DINAS KELAUTAN DAN PERIKANAN</t>
  </si>
  <si>
    <t>12. BADAN PERENCANAAN PEMBANGUNAN DAERAH</t>
  </si>
  <si>
    <t>13. DINAS KEBUDAYAAN PARIWISATA  PEMUDA DAN OLAHRAGA</t>
  </si>
  <si>
    <t>14. DINAS SOSIAL</t>
  </si>
  <si>
    <t>15. DINAS PERINDUSTRIAN DAN PERDAGANGAN</t>
  </si>
  <si>
    <t>17. DINAS PERPUSTAKAAN DAN KEARSIPAN</t>
  </si>
  <si>
    <t>18. DINAS PERUMAHAN DAN KAWASAN PERMUKIMAN</t>
  </si>
  <si>
    <t>BADAN PENGELOLA KEUANGAN DAN ASET DAERAH</t>
  </si>
  <si>
    <t>SEKRETARIAT DAERAH</t>
  </si>
  <si>
    <t>DINAS PERINDUSTRIAN DAN PERDAGANGAN</t>
  </si>
  <si>
    <t>DINAS PETERNAKAN DAN KESEHATAN HEWAN</t>
  </si>
  <si>
    <t>DINAS TANAMAN PANGAN, HORTIKULTURA DAN PERKEBUNAN</t>
  </si>
  <si>
    <t>DINAS KELAUTAN DAN PERIKANAN</t>
  </si>
  <si>
    <t>DINAS KOPERASI DAN USAHA MIKRO KECIL DAN MENENGAH</t>
  </si>
  <si>
    <t>DINAS PEMBERDAYAAN MASYARAKAT DAN KAMPUNG</t>
  </si>
  <si>
    <t>DINAS PEMBERDAYAAN PEREMPUAN DAN PERLINDUNGAN ANAK</t>
  </si>
  <si>
    <t>DINAS SOSIAL</t>
  </si>
  <si>
    <t>DINAS KESEHATAN</t>
  </si>
  <si>
    <t>DINAS PENDIDIKAN</t>
  </si>
  <si>
    <t>2.8.9. Kampanye Imunisasi MR (MEASLES RUBELLA) Tahun 2018</t>
  </si>
  <si>
    <t xml:space="preserve">8.5. Program Peningkatan Sumber Daya Aparatur </t>
  </si>
  <si>
    <t>8.5.1. Pelatihan Pembuatan Sirup Pala</t>
  </si>
  <si>
    <t>8.3.2. Rehabilitasi dan Perluasan Tanaman Pala Dana APBN Dinas Provinsi TA 2018</t>
  </si>
  <si>
    <t>11.3.2.Pelatihan Penguatan Kapasitas Anggota Bamuskam Terpilih 2018-2024</t>
  </si>
  <si>
    <t>11.4.2. Fasilitasi Pemilihan dan Peresemian Anggota Bamuskam Periode 2018-2024</t>
  </si>
  <si>
    <t>14.5. Bantuan Sosial Yang Tidak Direncanakan</t>
  </si>
  <si>
    <t xml:space="preserve"> - </t>
  </si>
  <si>
    <t>9.1. Program Pencegahan Dini dan Penanggulangan Korban Bencana Alam</t>
  </si>
  <si>
    <t xml:space="preserve">12.2.3. Pembangunan Pagar Pengaman Jalan Kampung Magis </t>
  </si>
  <si>
    <t xml:space="preserve">12.2.2. Pembangunan Pagar Pengamanan Jalan Kampung Wehali </t>
  </si>
  <si>
    <t xml:space="preserve">12.2.4. Rehabilitasi Berat Tambatan Perahu Seyolo II </t>
  </si>
  <si>
    <t xml:space="preserve">12.2.5.Pembangunan Tambatan Perahu Seyolo III </t>
  </si>
  <si>
    <t>min 50%</t>
  </si>
  <si>
    <t>min 70%</t>
  </si>
  <si>
    <t>PROV/KAB/KOTA</t>
  </si>
  <si>
    <t>RELISASI sd thp II</t>
  </si>
  <si>
    <t>SEBELUM PERUBAHAN</t>
  </si>
  <si>
    <t>11.2.4. Pelatihan Teknis Perikanan Bagi Pembudidaya Teripang</t>
  </si>
  <si>
    <t>6.3.  Program Pengembangan Perumahan</t>
  </si>
  <si>
    <t>6.3.1.  Pembangunan Rumah Tipe 42 di Warsui Timur</t>
  </si>
  <si>
    <t>5. BADAN PEMBERDAYAAN PEREMPUAN  DAN PERLINDUNGAN ANAK</t>
  </si>
  <si>
    <t>7.2.2.  Pengadaan Saranan dan Prasarana Ketenagalistrikan (Tambahan Perubahan)</t>
  </si>
  <si>
    <t>2.4.2. Pelayanan Gizi Kurang dan Buruk</t>
  </si>
  <si>
    <t>2.4.4. Pengadaan Makanan Tambahan (PMT) PKK</t>
  </si>
  <si>
    <t>3.5 Program pembangunan jalan dan jembatan</t>
  </si>
  <si>
    <t>3.5.1 Pembangunan jalan</t>
  </si>
  <si>
    <t>3. 6 Program pembangunan saluran drainase/gorong-gorong</t>
  </si>
  <si>
    <t>3.6.1 Pembangunan saluran drainase/gorong-gorong</t>
  </si>
  <si>
    <t>3. 7 Program Pembinaan dan Pengembangan Bidang Ketenaga Listrikan</t>
  </si>
  <si>
    <t>3.7.1 Peningkatan Operasi dan Pemeliharaan Sarana dan Prasarana Ketenaga Listrikan</t>
  </si>
  <si>
    <t>4. 4 Program pencegahan dini dan penanggulangan korban bencana alam</t>
  </si>
  <si>
    <t>4.4.1 Sinkronisasi Sistem dan Prosedur Penanganan Becana Alam</t>
  </si>
  <si>
    <t>5.2.1 Kegiatan bimbingan manajemen usaha bagi perempuan dalam mengelola usaha</t>
  </si>
  <si>
    <t xml:space="preserve">6. DINAS SOSIAL </t>
  </si>
  <si>
    <t xml:space="preserve">IV. KABUPATEN KAIMANA </t>
  </si>
  <si>
    <t>12.1. Program pelayanan dan rehabilitasi kesejahteraan sosial</t>
  </si>
  <si>
    <t xml:space="preserve">4. DINAS PEKERJAAN UMUM DAN PENATAAN RUANG </t>
  </si>
  <si>
    <t xml:space="preserve">12.1.1. Pengadaan Long Boat + Mesin 15 PK </t>
  </si>
  <si>
    <t>12.2.1. Pembangunan Tambatan Perahu</t>
  </si>
  <si>
    <t xml:space="preserve"> 
</t>
  </si>
  <si>
    <t>catatan :</t>
  </si>
  <si>
    <t>pada kolom 4 baris Provinsi pembagi adalah 721.842.675.274 (total jumlah alokasi papua barat)</t>
  </si>
  <si>
    <t>1.7  Program Pembinaan dan Pemasyarakatan Olahraga</t>
  </si>
  <si>
    <t>35. BADAN KEUANGAN DAN ASET DAERAH (PPKD)</t>
  </si>
  <si>
    <t>35.1. Belanja Hibah</t>
  </si>
  <si>
    <t xml:space="preserve">16. DINAS PARIWISATA DAN KEBUDAYAAN  </t>
  </si>
  <si>
    <t xml:space="preserve">4.6. Program Pemeliharaan dan Pengadaan Sarana dan Prasarana Umum </t>
  </si>
  <si>
    <t>13.1.2.  Hibah kepada Fakultas Kedokteran UNIPA</t>
  </si>
  <si>
    <t xml:space="preserve">ALOKASI DAN REALISASI PENYALURAN DANA OTONOMI KHUSUS                                    </t>
  </si>
  <si>
    <t xml:space="preserve"> DARI PROVINSI KE KABUPATEN/KOTA ATAU NAMA LAIN   </t>
  </si>
  <si>
    <t xml:space="preserve">Tabel A.1  </t>
  </si>
  <si>
    <t>(5)=(4)/(3)*100</t>
  </si>
  <si>
    <t xml:space="preserve">JUMLAH  </t>
  </si>
  <si>
    <t>1) Diisi dengan  tahun anggaran sebelumnya (n-1)</t>
  </si>
  <si>
    <t xml:space="preserve">Kolom (4) Diisi dengan realisasi penyaluran </t>
  </si>
  <si>
    <t xml:space="preserve">Kolom (5) Diisi dengan prosentase perbandingan antara realisasi penyaluran  dengan alokasi anggaran </t>
  </si>
  <si>
    <t xml:space="preserve">  TAHUN ANGGARAN 2018</t>
  </si>
  <si>
    <t>PROVINSI         : PAPUA BARAT</t>
  </si>
  <si>
    <t xml:space="preserve">PENERIMAAN   : Rp. 2.408.937.478.000,00 </t>
  </si>
  <si>
    <t>TAHUN ANGGARAN 2019</t>
  </si>
  <si>
    <t>PENERIMAAN        : Rp. 2.507.241.496.000,00</t>
  </si>
  <si>
    <t>TAHUN 2019</t>
  </si>
  <si>
    <t xml:space="preserve">TAHUN 2019 </t>
  </si>
  <si>
    <t xml:space="preserve">TAHUN 2019   </t>
  </si>
  <si>
    <t>1.1. Program Pendidikan Menengah</t>
  </si>
  <si>
    <t>1.1.1. Pembangunan pagar BPKB Papua Barat</t>
  </si>
  <si>
    <t>1.1.2. Pembangunan RKB YPPK St.Arnolous Jansen</t>
  </si>
  <si>
    <t>1.1.3. Pembangunan RKB Madrasah Aliyah (MA) Baitul Amin</t>
  </si>
  <si>
    <t>1.1.4. Pembangunan RKB SMA Negeri 1 Manokwari</t>
  </si>
  <si>
    <t>1.1.5. Pembangunan Aula SMA Don Bosco Fakfak</t>
  </si>
  <si>
    <t>1.1.6. Pembangunan pagar SMA St Paulus Manokwari</t>
  </si>
  <si>
    <t>1.2.  Program Manajemen Pelayanan Pendidikan</t>
  </si>
  <si>
    <t>1.2.1. Pelatihan dan penyususnan RKAS SMA dan SMK se Papua Barat</t>
  </si>
  <si>
    <t>1.2.2. Penguatan Data Pokok Pendidikan di Kabupaten / kota dan Papua Barat</t>
  </si>
  <si>
    <t>1.3.  Program Pengembangan Perguruan Tinggi</t>
  </si>
  <si>
    <t>1.3.1. Beasiswa bagi anak asli papua di perguruan tinggi negeri angkatan I, II, III, IV dan ADEM</t>
  </si>
  <si>
    <t>1.3.2. Monitoring Beasiswa bagi anak asli di PTN dan ADEM</t>
  </si>
  <si>
    <t>1.3.3. Beasiswa Anak Asli Papua Studi di Luar Negeri</t>
  </si>
  <si>
    <t>1.4. Program Guru dan Tenaga Kependidikan</t>
  </si>
  <si>
    <t>1.4.1. Penguatan pendidikan budaya karakter guru dan pengawas</t>
  </si>
  <si>
    <t>1.4.2. Peningkatan mutu Guru‑guru Bahasa Inggris SMA/SMK</t>
  </si>
  <si>
    <t>1.4.3. Pendataan Bagi Guru‑Guru SMA/SMK  3T (Terluar,Terpencil, dan Terpinggir) Se Papua Barat</t>
  </si>
  <si>
    <t>1.4.4. Operasional Pengawas SMA/SMK</t>
  </si>
  <si>
    <t>1.4.5. Penilaian Angka Kredit ( PAK ) di Papua Barat</t>
  </si>
  <si>
    <t>1.4.6. Seleksi Guru Berprestasi</t>
  </si>
  <si>
    <t>3.3. Program Publikasi dan Promosi Pembangunan Kessos</t>
  </si>
  <si>
    <t>3.3.1. Pameran HKSN</t>
  </si>
  <si>
    <t>7.1.1. Penyediaan Jasa Sewa Gedung</t>
  </si>
  <si>
    <t>7.2. Program pengembangan perikanan tangkap</t>
  </si>
  <si>
    <t xml:space="preserve">7.2.1. Pengadaan Sarana Perikanan Tangkap  </t>
  </si>
  <si>
    <t>7.3.  Program Optimalisasi pengelolaan dan pemasaran produksi perikanan</t>
  </si>
  <si>
    <t xml:space="preserve">7.3.1. Pengadaan Sarana Mutu Perikanan  </t>
  </si>
  <si>
    <t>8.1. Program Peningkatan Produksi, Produktivitas dan mutu produk tanaman holtikultura</t>
  </si>
  <si>
    <t>8.1.1. Pengembangan buah sukun</t>
  </si>
  <si>
    <t>8.2. Program Peningkatan Produksi, Produktivitas dan mutu produk tanaman perkebunan</t>
  </si>
  <si>
    <t>8.2.1. Pembinaan dan penyediaan sarana pengolah perkebunan</t>
  </si>
  <si>
    <t>8.2.2. Pembangunan Kebun Rakyat</t>
  </si>
  <si>
    <t>PENERIMAAN      : Rp.2.507.241.496.000,00</t>
  </si>
  <si>
    <t>12.1. Belanja Hibah</t>
  </si>
  <si>
    <t>12.2. Belanja Bantuan Sosial</t>
  </si>
  <si>
    <t>12.2.1.  Belanja Bantuan Sosial untuk Masyarakat (Fungsi Pendidikan)</t>
  </si>
  <si>
    <t>Tabel A.5</t>
  </si>
  <si>
    <t>12.1.2.  Hibah kepada Fakultas Kedokteran UNIPA</t>
  </si>
  <si>
    <t xml:space="preserve"> TAHUN ANGGARAN 2018</t>
  </si>
  <si>
    <t xml:space="preserve">PROVINSI            : PAPUA BARAT  </t>
  </si>
  <si>
    <t>1.1.17. Peningkatan Jalan Batas Kabupaten Pegaf-Minyambouw</t>
  </si>
  <si>
    <t>1.2.15. Pembangunan Jalan Tembus Kaimana Menuju Kampung Bitsyari Distrik Kaimana</t>
  </si>
  <si>
    <t>1.11.10. Pembangunan Kantor Kejati Prov. Papua Barat</t>
  </si>
  <si>
    <t>1.12.2. Core Team Perencanaan dan Pengawasan Penyehatan Lingkungan Permukiman</t>
  </si>
  <si>
    <t>1.12.4. Perencanaan Pembangunan Rumah Layak Huni OAP</t>
  </si>
  <si>
    <t>1.13. Program Penyehatan Lingkungan Permukiman</t>
  </si>
  <si>
    <t>1.13.1. Pembangunan Jalan Lingkungan Kantor  Polda Tahap 2</t>
  </si>
  <si>
    <t>1.13.2. Pembangunan Jalan Lingkungan Rumah Jabatan Kapolda dan Wakapolda</t>
  </si>
  <si>
    <t>1.13.3. Pembangunan Jalan Lingkungan Kabupaten Manokwari</t>
  </si>
  <si>
    <t>1.13.4. Pembangunan Jalan Lingkungan Bumi Marina Asri</t>
  </si>
  <si>
    <t>1.13.5. Pembangunan Jalan Lingkungan Provinsi Papua Barat</t>
  </si>
  <si>
    <t>1.13.6. Pembangunan Drainase di Provinsi Papua Barat</t>
  </si>
  <si>
    <t>1.13.7. Pembangunan Jalan Lingkungan Catubow - Anggi</t>
  </si>
  <si>
    <t>1.13.8. Pembangunan Jalan Lingkungan Soribo</t>
  </si>
  <si>
    <t>1.13.9. Pembangunan Jalan Lingkungan Swaven Perkebunan Balai PU</t>
  </si>
  <si>
    <t>1.13.10. Pembangunan Jalan Lingkungan Fanindi ST</t>
  </si>
  <si>
    <t>1.13.11. Pembangunan Jalan Lingkungan Amban</t>
  </si>
  <si>
    <t>1.13.12. Pembangunan Jalan Lingkungan Bomberay</t>
  </si>
  <si>
    <t>1.13.13. Pembangunan Jalan Lingkungan di Kampung Pikpik</t>
  </si>
  <si>
    <t>1.13.14. Pembangunan Jalan Lingkungan Gwerpe</t>
  </si>
  <si>
    <t>1.13.15. Pembangunan Jalan Lingkungan Kokas</t>
  </si>
  <si>
    <t>1.13.16. Pembangunan Jalan Lingkungan Goa</t>
  </si>
  <si>
    <t>1.13.17. Pembangunan Jalan Lingkungan di Kampung Lobo</t>
  </si>
  <si>
    <t>1.13.18. Pembangunan Jalan Lingkungan di Kampung Mamasan</t>
  </si>
  <si>
    <t>1.13.19. Pembangunan Jalan Lingkungan di Kampung Sisir</t>
  </si>
  <si>
    <t>1.13.20. Pembangunan Jalan Lingkungan Monggoapi - Mulyono</t>
  </si>
  <si>
    <t>1.13.21. Pembangunan Jalan Lingkungan Arowi 1</t>
  </si>
  <si>
    <t>1.13.22. Pembangunan Jalan Lingkungan Biryosi</t>
  </si>
  <si>
    <t>1.13.23. Pembangunan Jalan Lingkungan di Kampung Katebu, Distrik Manokwari Selatan</t>
  </si>
  <si>
    <t>1.13.24. Pembangunan Jalan Lingkungan di Kampung Mesepi, Distrik Manokwari Selatan</t>
  </si>
  <si>
    <t>1.13.25. Pembangunan Jalan Lingkungan Kampung Ayambori</t>
  </si>
  <si>
    <t>1.13.26. Pembangunan Jalan Lingkungan Kampung Insifuri</t>
  </si>
  <si>
    <t>1.13.27. Pembangunan Jalan Lingkungan Kampung Susweni</t>
  </si>
  <si>
    <t>1.13.28. Pembangunan Jalan Lingkungan Pemukiman Arowi</t>
  </si>
  <si>
    <t>1.13.29. Pembangunan Jalan Lingkungan Pulau Lemon</t>
  </si>
  <si>
    <t>1.13.30. Pembangunan Jalan Lingkungan Distrik Oransbari</t>
  </si>
  <si>
    <t>1.13.31. Pembangunan Jalan Lingkungan Kampung Momi - Waren</t>
  </si>
  <si>
    <t>1.13.32. Pembangunan Jalan Lingkungan Kampung Fategomi</t>
  </si>
  <si>
    <t>1.13.33. Pembangunan Jalan Lingkungan Kampung Tabam Srir, Distrik Aitinyo Utara</t>
  </si>
  <si>
    <t>1.13.34. Pembangunan Jalan Lingkungan Kampung Jitmau  (Lingkungan Syahyoh), Distrik Aitinyo Raya</t>
  </si>
  <si>
    <t>1.13.35. Pembangunan Jalan Lingkungan Kampung  Kona, Distrik Ayamaru Timur Utara</t>
  </si>
  <si>
    <t>1.13.36. Pembangunan Jalan Lingkungan di Kampung Ayau</t>
  </si>
  <si>
    <t>1.13.37. Pembangunan Jalan Lingkungan Kampung Igimbay</t>
  </si>
  <si>
    <t>1.13.38. Pembangunan Jalan Lingkungan Kampung Imbai</t>
  </si>
  <si>
    <t>1.13.39. Pembangunan Jalan Lingkungan Kampung Irai</t>
  </si>
  <si>
    <t>1.13.40. Pembangunan Jalan Lingkungan Kampung Lingkam Ayau</t>
  </si>
  <si>
    <t>1.13.41. Pembangunan Jalan Lingkungan Kampung Pamaha</t>
  </si>
  <si>
    <t>1.13.42. Pembangunan Jalan Lingkungan Kampung Srubey</t>
  </si>
  <si>
    <t>1.13.43. Pembangunan Jalan Lingkungan Kampung Susi</t>
  </si>
  <si>
    <t>1.13.44. Pembangunan Jalan Lingkungan Kampung Testega Pamaha</t>
  </si>
  <si>
    <t>1.13.46. Pembangunan Jalan Lingkungan di Distrik Aimas</t>
  </si>
  <si>
    <t>1.13.47. Pembangunan Jalan Lingkungan  Distrik Klamono</t>
  </si>
  <si>
    <t>1.13.48. Pembangunan Jalan Lingkungan  Kelurahan Mariat Pantai</t>
  </si>
  <si>
    <t>1.13.49. Pembangunan Jalan Lingkungan  Distrik Makbon</t>
  </si>
  <si>
    <t>1.13.50. Pembangunan Jalan Lingkungan di Distrik Kebar</t>
  </si>
  <si>
    <t>1.13.51. Pembangunan Jalan Lingkungan di Distrik Meyah</t>
  </si>
  <si>
    <t>1.13.52. Pembangunan Jalan Lingkungan di Sausapor Cs</t>
  </si>
  <si>
    <t>1.13.53. Pembangunan Jalan Lingkungan di Distrik Babo</t>
  </si>
  <si>
    <t>1.13.54. Pembangunan Jalan Lingkungan di Kampung Kali Kodok</t>
  </si>
  <si>
    <t>1.13.55. Pembangunan Jalan Lingkungan di Kampung Masawi</t>
  </si>
  <si>
    <t>1.13.56. Pembangunan Jalan Lingkungan di Kampung Tuhiba</t>
  </si>
  <si>
    <t>1.13.57. Pembangunan Jalan Lingkungan di Kota Bintuni</t>
  </si>
  <si>
    <t>1.13.58. Pembangunan Jalan Lingkungan Kampung Aisandami</t>
  </si>
  <si>
    <t>1.13.59. Pembangunan Jalan Lingkungan Kampung Maniwak</t>
  </si>
  <si>
    <t>1.13.60. Pembangunan Jalan Lingkungan Kampung Sobei</t>
  </si>
  <si>
    <t>1.13.61. Pembangunan Jalan Lingkungan Kampung Warayaro</t>
  </si>
  <si>
    <t>1.13.62. Pembangunan Jalan Lingkungan Jambu Mete asrama Kodim, Kel. Klakublik</t>
  </si>
  <si>
    <t>1.13.63. Pembangunan Jalan Lingkungan Kampung Rejauw, Distrik Klakublik</t>
  </si>
  <si>
    <t>1.13.64. Pembangunan Jalan Lingkungan Klamaru, Kel. Klablin Distrik Klaurun</t>
  </si>
  <si>
    <t>1.13.65. Pembangunan Jalan Lingkungan Worot Gunung (MPRG)</t>
  </si>
  <si>
    <t>1.13.66. Pembangunan Jalan Poros Gunung Jati Soribo</t>
  </si>
  <si>
    <t>1.13.67. Pembangunan Drainase di Gunung Jati Soribo</t>
  </si>
  <si>
    <t>1.13.68. Pembangunan Drainase di kampung Menyambow</t>
  </si>
  <si>
    <t>1.13.69. Pembangunan Drainase di kampung Soribo</t>
  </si>
  <si>
    <t>1.13.70. Pembangunan Drainase dalam Pasar Wosi Manokwari</t>
  </si>
  <si>
    <t>1.13.71. Pembangunan Jalan Lingkungan Sufado - Kali Lompat</t>
  </si>
  <si>
    <t>1.13.72. Pembangunan Jalan Lingkungan Di Kab. Raja Ampat</t>
  </si>
  <si>
    <t>1.13.73. Pembangunan Jalan Lingkungan Di Manokwari Selatan</t>
  </si>
  <si>
    <t>1.13.74. Peningkatann Jalan Lingkungan Permukiman di Manokwari Selatan</t>
  </si>
  <si>
    <t>1.13.75. Pembangunan Jalan Poros Desa Gaya Baru-Susweni</t>
  </si>
  <si>
    <t>1.13.76. Pembangunan Drainase depan SMU Negeri 02 Manokwari</t>
  </si>
  <si>
    <t>1.13.77. Pembangunan Drainase Jalan Sufado - Pasir Putih manokwari</t>
  </si>
  <si>
    <t>1.13.79. Pembangunan Drainase di Kab. Raja Ampat</t>
  </si>
  <si>
    <t>1.13.80. Pembangunan Drainase Jalan Tumbow Wosi Dalam</t>
  </si>
  <si>
    <t>1.13.81. Peningkatan Jalan Lingkungan Kampung Krooy, Distrik kaimana</t>
  </si>
  <si>
    <t>1.13.82. Pembangunan jalan Lingkungan Belakang Pos Polisi Strep Kampung Trikora, Distrik Kaimana</t>
  </si>
  <si>
    <t>1.13.83. Pembangunan Jalan Lingkungan di Kelurahan Matawolot</t>
  </si>
  <si>
    <t>1.13.84. Pembangunan Jalan Lingkungan RT02/RW02 Kelurahan Amban</t>
  </si>
  <si>
    <t>1.13.85. Peningkatan Jalan Lingkungan Kenanga 2</t>
  </si>
  <si>
    <t>1.13.86. Pembangunan Jalan Poros Desa Gaka Lama, Distrik Buruway</t>
  </si>
  <si>
    <t>1.13.87. Pembangunan Drainase Kilometer Nol  Lingkar Kota kaimana</t>
  </si>
  <si>
    <t>1.13.88. Pembangunan Drainase Kampung Coa, Distrik Kaimana</t>
  </si>
  <si>
    <t>1.13.89. Pembangunan Drainase Kampung Waidim Distrik salawati Utara</t>
  </si>
  <si>
    <t>1.13.90. Pembangunan Jalan Lingkungan Kab. Sorong Selatan</t>
  </si>
  <si>
    <t>1.13.91. Pembangunan Drainase Kabupaten Sorong</t>
  </si>
  <si>
    <t>1.13.92. Peningkatan Jalan Lingkar Rumah Sakit Rujukan Provinsi Papua Barat</t>
  </si>
  <si>
    <t>1.13.93. Pembangunan Saluran Drainase Kelurahan Klaligi Kota Sorong</t>
  </si>
  <si>
    <t>1.13.94. Peningkatan Jalan Lingkungan Ruas Bukit Baru Palputi-SMA ABT-Wihara Kota Sorong (Pembersihan bahu jalan)</t>
  </si>
  <si>
    <t>1.13.95. Pembangunan Jalan Lingkungan Teuku umar RT 04/ RW 04 Distri Menyamuk Kab.Sorong</t>
  </si>
  <si>
    <t>1.13.96. Pembangunan Jalan Lingkungan Swapen Perkebunan Kelurahan Manokwari Barat Kab.Manokwari</t>
  </si>
  <si>
    <t>1.13.97. Peningkatan Jalan Lingkungan Tridaga Distrik Taige Kab.Pegaf</t>
  </si>
  <si>
    <t>1.2.22. Pembangunan Jalan Isim - Tuhugesa - Neney</t>
  </si>
  <si>
    <t>1.2.23. Pembangunan Jalan Klasari - Seget</t>
  </si>
  <si>
    <t>1.2.24. Pembangunan Jembatan Penibut Tahap IV</t>
  </si>
  <si>
    <t>1.2.25. Pembangunan Jembatan Pami Tahap II</t>
  </si>
  <si>
    <t>1.2.26. Pembangunan Jembatan Sibuni Tahap II</t>
  </si>
  <si>
    <t>1.2.27. Pembangunan Jembatan Yeflio Tahap IV</t>
  </si>
  <si>
    <t>1.2.28. Pembangunan Jembatan Manuhama</t>
  </si>
  <si>
    <t>1.2.29. Pembangunan Jalan Kampung Irbos - Kampung Tomstera</t>
  </si>
  <si>
    <t>1.2.30. Pembangunan Jembatan Iray</t>
  </si>
  <si>
    <t>1.2.31. Pembangunan Jalan Merdey - Mogoi</t>
  </si>
  <si>
    <t>1.10.3. Jasa perencanaan Bidang Pengairan</t>
  </si>
  <si>
    <t>1.10.4. Jasa Pengawasan  Bidang Pengairan</t>
  </si>
  <si>
    <t>1.10.5. Perencanaan Teknis Pembangunan Talud Pengaman Abrasi Pantai Kampung Sisir 1 /Masri</t>
  </si>
  <si>
    <t>1.13.98. Pembangunan Drainase Kali Batas Tampa Garam Suprau, Kel.Suprau Distrik Maladumes Kota Sorong</t>
  </si>
  <si>
    <t xml:space="preserve"> TAHUN ANGGARAN 2019</t>
  </si>
  <si>
    <t>PENERIMAAN      : Rp.1.440.553.463.000,00.</t>
  </si>
  <si>
    <t>2.2.1. Peningkatan Imunisasi</t>
  </si>
  <si>
    <t>1.1.1. Pembangunan Tempat Penampungan Air Kantor</t>
  </si>
  <si>
    <t>1.2.1. Lomba-lomba Tk.Provinsi dan Nasional</t>
  </si>
  <si>
    <t>1.2.2. Lomba-lomba  bagi siswa Berkebutuhan khusus (Bidang SMA)</t>
  </si>
  <si>
    <t>1.2.3. Lomba LKS</t>
  </si>
  <si>
    <t>1.2.4. Lomba FL2SN</t>
  </si>
  <si>
    <t>1.2.5. Prakerin</t>
  </si>
  <si>
    <t>1.2.6. Pelatihan Penyusunan kurikulum</t>
  </si>
  <si>
    <t>1.2.7. Peningkatan Kerjasama dengan dunia usaha dan dunia indutri SMK</t>
  </si>
  <si>
    <t>1.2.8. Lomba lomba Bidang SMA</t>
  </si>
  <si>
    <t>1.2.9. Pembangunan RKB SMA Moria Kota Sorong</t>
  </si>
  <si>
    <t>1.2.10.Pembanguan Pagar SMAN Kokas Fakfak</t>
  </si>
  <si>
    <t>1.2.11.Pembangunan Laboratorium SMK N 2 Bomberay Fakfak</t>
  </si>
  <si>
    <t>1.2.12.Renovasi Gedung Pendidikan BPKB Manokwari</t>
  </si>
  <si>
    <t>1.2.13.Lomba O2SN SMK Tingkat Provinsi dan Nasional</t>
  </si>
  <si>
    <t>1.2.14.Pelatihan Guru Matematika</t>
  </si>
  <si>
    <t>1.2.15.Pengadaan komputer SMAS YPPK Don Bosco Fakfak</t>
  </si>
  <si>
    <t>1.2.16.Pengadaan komputer SMKN 1 Fakfak</t>
  </si>
  <si>
    <t>1.2.17.Pengadaan komputer SMKS Yapis Fakfak</t>
  </si>
  <si>
    <t>1.2.18.Pengadaan komputer SMAN 2 Fakfak</t>
  </si>
  <si>
    <t>1.2.19.Rehabiitasi Berat SMAN 2 Fakfak</t>
  </si>
  <si>
    <t>1.2.20.Rehab Sedang (Gedung A) SMKN 1 Fakfak</t>
  </si>
  <si>
    <t>1.2.21.Rehab Berat Lab IPA (Gedung E) SMKN 1 Fakfak</t>
  </si>
  <si>
    <t>1.2.22.Rehab Sedang Ruang Teori (Gedung D) SMKN 1 Fakfak</t>
  </si>
  <si>
    <t>1.2.23.Rehab Ruang Workshop (Gedung L dan N) SMKN 1 Fakfak</t>
  </si>
  <si>
    <t>1.2.34.Penguatan Program Revitalisasi SMK</t>
  </si>
  <si>
    <t>1.2.25.Pembangunan Gedung Praktek Siswa Perikanan Dotir Kab. Teluk Wondama</t>
  </si>
  <si>
    <t>1.2.25.Pembangunan 2 (dua) Ruang Kelas Baru dan Mebeluiar SMKS YABT Petra Kais Kab. Sorong Selatan</t>
  </si>
  <si>
    <t>1.2.26.Pembangunan Pagar SMKN 1 Kab. Sorong</t>
  </si>
  <si>
    <t>1.2.27.Pembangunan 2 (dua) Ruang Kelas Baru SMA YPK Teminabuan Kab. Sorong</t>
  </si>
  <si>
    <t>1.2.28.Pembangunan Pagar SMAN 1 Kota Sorong</t>
  </si>
  <si>
    <t>1.2.29.Pembangunan Laboratorium IPA SMKN 4 Prafi</t>
  </si>
  <si>
    <t>1.2.30.Pembangunan Laboratorium dan Ruang Praktek Sekolah</t>
  </si>
  <si>
    <t>1.2.31.Kajian Pembangunan SMK Maritim</t>
  </si>
  <si>
    <t>1.2.32.Penyediaan Peralatan UNBBK Sekolah SMK</t>
  </si>
  <si>
    <t>1.2.33.Pembangunan Ruang Kelas Baru SMA Negeri 1 Aitinyo Kabupaten Maybrat</t>
  </si>
  <si>
    <t>1.3.  Program Peningkatan Mutu Pendidik dan Tenaga Kependidikan</t>
  </si>
  <si>
    <t>1.3.1. Pelatihan Penguatan kapasitas tim penilai angka kredit guru dan Tenaga Kependidikan</t>
  </si>
  <si>
    <t>1.3.2. Workshop Penilaian Kinerja Guru</t>
  </si>
  <si>
    <t>1.4.  Program Pmanajemen Pelayanan Pendidikan</t>
  </si>
  <si>
    <t>1.4.1. Evaluasi Pelaksanaan Kurikulum Pada Pendidikan Menengah dan Pengembangan Sistem Penjaminan Mutu Pendidikan di Seluruh Papua Barat</t>
  </si>
  <si>
    <t>1.5.1. Seleksi Guru Berprestasi</t>
  </si>
  <si>
    <t>1.5.2. Beasiswa OAP Study ke Luar Negeri</t>
  </si>
  <si>
    <t>1.5.3. Pelatihan calon kepala sekolah SMA/SMK</t>
  </si>
  <si>
    <t>1.5.4. Pelatihan Pendidikan Diklat PPG (Program Pendidikan Profesi Guru)</t>
  </si>
  <si>
    <t>1.5.5. Operasional Pengawas SMA dan SMK</t>
  </si>
  <si>
    <t>1.5.6. Pendataan dan Validasi Guru Tendik di Seluruh Papua Barat</t>
  </si>
  <si>
    <t>1.5.7. Rehabilitasi dan Pengadaan SKO Papua Barat</t>
  </si>
  <si>
    <t>1.5.8. Pelatihan Penguatan Pengawas SMA/SMK</t>
  </si>
  <si>
    <t>1.5.9. Pelantikan Kepala Sekolah SMA dan SMK Papua Barat</t>
  </si>
  <si>
    <t>1.6. Program Afirmasi Pendidikan Bagi Putra/putri asli Papua dan Papua Barat</t>
  </si>
  <si>
    <t>1.6.1. Afirmasi bagi anak asli papua di Perguruan Tinggi dan ADEM</t>
  </si>
  <si>
    <t>2.1.1. Pengadaaan Obat dan Perbekalan Kesehatan</t>
  </si>
  <si>
    <t>2.2.1. Pelacakan Kasus Gizi Buruk Kabupaten / Kota</t>
  </si>
  <si>
    <t>2.3. Program pengadaan, peningkatan sarana dan prasarana rumah sakit/ rumah sakit jiwa/  rumah sakit paru-paru/  rumah sakit mata</t>
  </si>
  <si>
    <t>2.3.1. Pelayanan Pengelolaan darah Untuk OAP</t>
  </si>
  <si>
    <t>2.4. Program Rujukan Kesehatan bagi orang Papua</t>
  </si>
  <si>
    <t xml:space="preserve">2.4.1. Pembiayaan Iuaran Peserta JKN Penduduk AOP dalam Rangka Menjaga Keberlangsungan UHC </t>
  </si>
  <si>
    <t>2.5. Program pengiriman dan pendisiplinan tenaga kesehatan ke distrik, kampung terpencil dan terisolir</t>
  </si>
  <si>
    <t>2.5.1. Penempatan Tenaga Kesehatan ( Analis, Kesling, Bidan, Gizi )</t>
  </si>
  <si>
    <t>DINAS PEKERJAAN UMUM DAN PENATAAN RUANG</t>
  </si>
  <si>
    <t>3.1.1. Pemeliharaan rutin/berkala perlengkapan gedung kantor</t>
  </si>
  <si>
    <t>3.1.2. Pemeliharaan rutin/berkala peralatan gedung kantor</t>
  </si>
  <si>
    <t>BADAN KESATUAN BANGSA DAN POLITIK</t>
  </si>
  <si>
    <t>4.1. Program pendidikan politik masyarakat</t>
  </si>
  <si>
    <t>4.1.1. Sosialisasi Pendidikan Politik Bagi Partai Politik</t>
  </si>
  <si>
    <t>4.1.2. Sosialisasi Peran Etika dan Budaya Politik dalam Memantapkan Kerukunan Masyarakat dalam Berdemokrasi</t>
  </si>
  <si>
    <t>5.1. Program  Pemberdayaan Sosial dan Penanggulangan Kemiskinan</t>
  </si>
  <si>
    <t>5.1.1. Pengadan UEP Pertanian bagi Warga Komunitas Adat Terpencil di Daerah Pegunungan</t>
  </si>
  <si>
    <t>5.1.2. Renovasi Rumah Warga Bagi Daerah Kumuh Perkotaan</t>
  </si>
  <si>
    <t>5.1.3. Pemberdayaan Sosial Stimulan Usaha Ekonomi Produktif (UEP) Bagi Mama -  Mama Asli Papua</t>
  </si>
  <si>
    <t>5.1.4. Pengadaan Bantuan Kelompok Usaha Bersama (KUBE) Bagi Warga Komunitas Adat Terpencil</t>
  </si>
  <si>
    <t>5.2. Program Perlindungan dan Jaminan Sosial</t>
  </si>
  <si>
    <t>5.2.1. Bantuan Usaha Ekonomi Kreatif bagi Korban Bencana Sosial</t>
  </si>
  <si>
    <t xml:space="preserve">DINAS TENAGA KERJA DAN TRANSMIGRASI </t>
  </si>
  <si>
    <t>6.1. Program Peningkatan Kualitas dan Produktivitas Tenaga Kerja</t>
  </si>
  <si>
    <t>6.1.1. Pembangunan dan Peningkatan Sarana dan Prasarana Pusat-Pusat Pelatihan Sumber Daya Manusia (SDM) Papua</t>
  </si>
  <si>
    <t>7.1. Program peningkatan peran serta dan kesetaraan gender dalam pembangunan</t>
  </si>
  <si>
    <t>7.1.1. Pembinaan Organisasi Perempuan</t>
  </si>
  <si>
    <t>DINAS TANAMAN PANGAN</t>
  </si>
  <si>
    <t>8.1. Program Peningkatan Kapasitas Sumber Daya Aparatur</t>
  </si>
  <si>
    <t>8.1.1. Pengembangan Layanan Publik</t>
  </si>
  <si>
    <t>DINAS LINGKUNGAN HIDUP DAN PERTANAHAN</t>
  </si>
  <si>
    <t>9.1. Program Peningkatan Sarana dan Prasarana Aparatur</t>
  </si>
  <si>
    <t>9.1.1. Pemeliharaan rutin/berkala gedung kantor</t>
  </si>
  <si>
    <t>10.1. Program Peningkatan Keberdayaan Masyarakat Lokal Papua</t>
  </si>
  <si>
    <t>10.1.1. Pelatihan dan Pendampingan pengadaan barang dan jasa bagi pengusaha OAP</t>
  </si>
  <si>
    <t>10.1.2. Pemberian Bantuan stimulan usaha kuliner bagi orang asli papua (OAP)</t>
  </si>
  <si>
    <t>10.1.3. Penyediaan Air Bersih dan Sanitasi</t>
  </si>
  <si>
    <t>10.1.4. Penyedia Bantuan Seni Budaya Orang Asli Papua</t>
  </si>
  <si>
    <t>10.1.5. Pembangunan dan Bantuan Perlengkapan Sanggar TTG Bagi Masyarakat di Kampung</t>
  </si>
  <si>
    <t>10.2. Program Pengembangan Ekonomi Kampung</t>
  </si>
  <si>
    <t>10.2.1. Bantuan mesin cetak batu bata dan batu tela</t>
  </si>
  <si>
    <t>11.1. Program Peningkatan Kualitas Kelembagaan Koperasi</t>
  </si>
  <si>
    <t>11.1.1. Penyebaran model-model pola pengembangan koperasi (Bimbingan Teknis Manajemen Koperasi bagi Gerakan Koperasi OAP)</t>
  </si>
  <si>
    <t>11.1.2.  Pelatihan Akuntansi Dasar Satgas Koperasi bagi OAP</t>
  </si>
  <si>
    <t>11.1.3. Sosialisasi Prinsip-prinsip pengembangan Koperasi (Pelatihan NIK bagi Aparatur dan Gerakan OAP)</t>
  </si>
  <si>
    <t>11.1.4. Sosialisasi Pemahaman Prinsip-prinsip Pemahaman Perkoperasian (Sosialisasi Peraturan Menteri Koperasi dan UKM Republik Indonesia No. 17 Tahun 2015 dan PP No. 62</t>
  </si>
  <si>
    <t>11.1.5. Peningkatan dan pengawasan jaringan kerjasama usaha koperasi (Bimbingan teknis pengawasan bagi pengurus dan pengawas koperasi OAP)</t>
  </si>
  <si>
    <t>12.1 Program pengembangan perikanan tangkap</t>
  </si>
  <si>
    <t>12.1.1. Pengadaan Sarana Perikanan Tangkap</t>
  </si>
  <si>
    <t>13.1. Program Peningkatan Kesejahteraan Petani</t>
  </si>
  <si>
    <t>13.1.1. Pendampingan Pengembangan Pangan Lokal Pada Petani OAP</t>
  </si>
  <si>
    <t>13.2. Program Peningkatan Produksi, Produktivitas dan mutu produk tanaman pangan</t>
  </si>
  <si>
    <t>13.2.1. Pengembangan Tanaman Pangan</t>
  </si>
  <si>
    <t>13.2.2. Pengembangan Sistem Perlindungan Tanaman Pangan</t>
  </si>
  <si>
    <t>13.3. Program Peningkatan Sarana dan Prasarana Pertanian</t>
  </si>
  <si>
    <t>13.3.1. Bantuan Pengadaan Alat Mesin Pertanian</t>
  </si>
  <si>
    <t>13.3.2. Perluasan Areal Tanam dan Optimalisasi Lahan</t>
  </si>
  <si>
    <t>13.3.3. Penyediaan Alat Panen Perkebunan</t>
  </si>
  <si>
    <t>14</t>
  </si>
  <si>
    <t>14.1. Program Peningkatan Kesejahteraan Petani</t>
  </si>
  <si>
    <t>14.1.1. Pengembangan dan Pendampingan Petani dan pelaku Agribisnis</t>
  </si>
  <si>
    <t>14.2. Program pencegahan dan penanggulangan penyakit ternak</t>
  </si>
  <si>
    <t>14.2.1. Penyedia Obat-obatan hewan dan hormon</t>
  </si>
  <si>
    <t>14.3. Program peningkatan produksi hasil peternakan</t>
  </si>
  <si>
    <t>14.3.1. Pengadaan dan Pendistribusian Bibit Ternak Kepada Masyarakat OAP</t>
  </si>
  <si>
    <t>14.4. Program Peningkatan Sarana Dan Prasarana Peternakan</t>
  </si>
  <si>
    <t>14.4.1. Peningkatan Pemanfaatan dan Produktifitas lahan tidur (OAP)</t>
  </si>
  <si>
    <t>DINAS ENERGI DAN SUMBER DAYA MINERAL</t>
  </si>
  <si>
    <t>15</t>
  </si>
  <si>
    <t>16</t>
  </si>
  <si>
    <t>16.1. Program peningkatan dan pengembangan ekspor dan Impor</t>
  </si>
  <si>
    <t>16.1.1. FGD Pelaku Usaha Perdagangan dalam Upaya Peningkatan Nilai Eksport Bersih</t>
  </si>
  <si>
    <t>16.1.2. Pengadaan Peralatan  Pengolahan Pala Bagi OAP</t>
  </si>
  <si>
    <t>16.2. Program peningkatan efisiensi perdagangan dalam negeri</t>
  </si>
  <si>
    <t>16.2.1. Pasar Murah Dalam Menyambut Hari-hari besar Keagamaan</t>
  </si>
  <si>
    <t>16.2.2. Bantuan Peralatan Usaha Pedagang Kaki Lima dan Asongan</t>
  </si>
  <si>
    <t>16.3. Program Peningkatan Pelayanan dan Pengawasan di Bidang Perdagangan</t>
  </si>
  <si>
    <t>16.3.1. Edukasi Konsumen Menuju Konsumen Cerdas (KONCER) Bagi Orang Asli Papua</t>
  </si>
  <si>
    <t>16.4. Program Perlindungan dan Pengamanan Perdagangan</t>
  </si>
  <si>
    <t>16.4.1. Pelaksanaan Puncak hari konsumen nasional (HAKORNAS) tahun 2019 dan Bulan Pengaduan konsumen</t>
  </si>
  <si>
    <t>17</t>
  </si>
  <si>
    <t>DINAS PERINDUSTRIAN DAN PERDAGANGAN (PERINDUSTRIAN)</t>
  </si>
  <si>
    <t>DINAS PERINDUSTRIAN DAN PERDAGANGAN (PERDAGANGAN)</t>
  </si>
  <si>
    <t>17.1. Program peningkatan  teknologi industri</t>
  </si>
  <si>
    <t>17.1.2. Bantuan Peralatan Pengolahan kopi</t>
  </si>
  <si>
    <t>17.1.3. Bantuan Peralatan Perbengkelan</t>
  </si>
  <si>
    <t>17.1.4. Bantuan Peralatan Pengolahan sagu</t>
  </si>
  <si>
    <t>17.2. Program pengembangan sentra-sentra industri potensial</t>
  </si>
  <si>
    <t>17.2.2. Bantuan peralatan teknologi industri besar</t>
  </si>
  <si>
    <t>DINAS TENAGA KERJA DAN TRANSMIGRASI</t>
  </si>
  <si>
    <t>18.1. Program Transmigrasi lokal</t>
  </si>
  <si>
    <t>18.1.1. Pembangunan Sarana Air Bersih Pipanisasi Tahap I UPT Aitrem Kab. Maybrat</t>
  </si>
  <si>
    <t>20</t>
  </si>
  <si>
    <t>19.1. Program Peningkatan Sarana dan Prasarana Aparatur</t>
  </si>
  <si>
    <t>19.1.1. Pengadaan Laptop</t>
  </si>
  <si>
    <t>19.2. Program Peningkatan Kapasitas Sumber Daya Aparatur</t>
  </si>
  <si>
    <t>19.2.1. Konsultasi dan Koordinasi Peraturan Perundang - Undangan</t>
  </si>
  <si>
    <t>19.3. Program Kerjasama Informasi Pembangunan Daerah</t>
  </si>
  <si>
    <t>19.3.1. Pembenahan Infrastruktur Papua Barat TV (PBTV)</t>
  </si>
  <si>
    <t>19.4. Program Peningkatan Sarana Prasarana Lembaga Sosial Keagamaan di Provinsi Papua Barat</t>
  </si>
  <si>
    <t>19.4.1. Pembangunan Gedung Kantor Sekretariat Majelis Ulama Indonesia Provinsi Papua Barat</t>
  </si>
  <si>
    <t>19.5. Program Kebijakan Affirmasi</t>
  </si>
  <si>
    <t>19.5.1. Peningkatan Koordinasi dan Kerjasama Pengembangan Sumber Daya Manusia Putra-Putri Asli Papua pada Pendidikan Kedinasan  pada Kementrian Lembaga Non Kementerian</t>
  </si>
  <si>
    <t>19.6. Program Peningkatan Kapasitas Perguruan Tinggi Lokal di Papua Barat</t>
  </si>
  <si>
    <t>19.6.1. Pengadaan Jaringan Internet pada Pergururan Tinggi Lokal di Provinsi Papua Barat</t>
  </si>
  <si>
    <t>19.6.2. Koordinasi dan Fasilitasi Akreditasi Perguruan Tinggi Swasta Se - Papua Barat</t>
  </si>
  <si>
    <t>19.7. Program Peningkatan Kualitas Kaimanan dan Ketaqwaan TYME</t>
  </si>
  <si>
    <t>19.7.1. Penyelenggaraan Kebaktian Rohani Budaya Bangsa Se Pulau dan Tanah Papua</t>
  </si>
  <si>
    <t>19.8. Program Peningkatan Sarana Prasarana Rumah Peribadan Lembaga Sosial Keagamaan</t>
  </si>
  <si>
    <t>19.8.1. Pembangunan Gedung Gereja Central GPKAI Surerei</t>
  </si>
  <si>
    <t>19.8.2. Pembangunan Lanjutan Tahap Ke II Gedung Gereja Jemaat Ruben Fait Majin GKI Klasis Maybrat</t>
  </si>
  <si>
    <t>19.8.3. Pembangunan Lanjutan Tahap Ke II Gedung Gereja Jemaat Imanuel Segor GKI Klasis Maybrat</t>
  </si>
  <si>
    <t>20.1. Belanja Hibah</t>
  </si>
  <si>
    <t>20.2. Belanja Bantuan Sosial</t>
  </si>
  <si>
    <t>20.2.1.  Belanja Bantuan Sosial untuk Masyarakat (Fungsi Pendidikan)</t>
  </si>
  <si>
    <t>1.1.3. Peningkatan Jalan Drs. Dominggus Mandacan (Kab. Pegunungan Arfak)</t>
  </si>
  <si>
    <t>1.1.13.Peningkatan Jalan Perkantoran Mapolda Papua Barat</t>
  </si>
  <si>
    <t>1.1.24.Peningkatan Jalan Kompleks Kantor Badan Diklat Proovinsi Papua Barat (HRS)</t>
  </si>
  <si>
    <t>1.1.25.Peningkatan Jalan Konja Seya (Maybrat) - Ases Fef (Tambrauw)</t>
  </si>
  <si>
    <t>1.1.28.Peningkatan Jalan dalam Kota di Kabupaten Manokwari Selatan</t>
  </si>
  <si>
    <t>1.2.10.Pembangunan Jalan Nuasalasi - Bomberay Tahap II</t>
  </si>
  <si>
    <t>1.2.11.Pembangunan Jalan Tembus Kaiamana Menuju Kampung Bitsyari Distrik Kaimana</t>
  </si>
  <si>
    <t>1.2.12.Pembangunan Jalan Kaimana - Kiruru</t>
  </si>
  <si>
    <t>1.2.13.Pembangunan Jalan Tembus Teluk Triton - Kaimana</t>
  </si>
  <si>
    <t>1.2.23.Pembangunan Jalan Sowi 4 - Perkantoran Gubernur</t>
  </si>
  <si>
    <t>1.2.27.Pembangunan Jalan Usaha Perikanan Darat Kampung Suwiyam Maybrat</t>
  </si>
  <si>
    <t>1.2.29.Pembangunan Jalan Kiruru - Kaimana</t>
  </si>
  <si>
    <t>1.4.1. Pemeliharaan Jalan Provinsi Kab. Pegunungan Arfak</t>
  </si>
  <si>
    <t>1.4.2. Pemeliharaan Jalan Provinsi Kab. Manokwari Selatan</t>
  </si>
  <si>
    <t>1.4.3. Pemeliharaan Jalan Provinsi Kab. Kaimana</t>
  </si>
  <si>
    <t>1.4.4. Pemeliharaan Jalan Provinsi Kab. Manokwari</t>
  </si>
  <si>
    <t>1.4.5. Pemeliharaan Jalan Provinsi Kab. Sorong dan Kota Sorong</t>
  </si>
  <si>
    <t>1.4.6. Pemeliharaan Jalan Provinsi Kab. Sorong Selatan</t>
  </si>
  <si>
    <t>1.4.7. Pemeliharaan Jalan Provinsi Kab. Raja Ampat</t>
  </si>
  <si>
    <t>1.4.8. Pemeliharaan Jalan Provinsi Kab. Fakfak</t>
  </si>
  <si>
    <t>1.4.9. Pemeliharaan Jalan Provinsi Kab. Teluk Wondama</t>
  </si>
  <si>
    <t>1.4.10.Pemeliharaan Jalan Provinsi Kab. Teluk Bintuni</t>
  </si>
  <si>
    <t>1.4.11.Pemeliharaan Jalan Provinsi Kab. Maybrat</t>
  </si>
  <si>
    <t>1.4.12.Pemeliharaan Jalan Provinsi Kab.Tambrauw</t>
  </si>
  <si>
    <t>1.6.  Program Pengembangan Kinerja Pengelolaan Air Minum dan Air Limbah</t>
  </si>
  <si>
    <t>1.6.1. Pembangunan SPAM Kabupaten Manokwari Selatan</t>
  </si>
  <si>
    <t>1.6.2. Pembangunan SPAM Kabupaten Pegunungan Arfak</t>
  </si>
  <si>
    <t>1.6.3. Pembangunan SPAM Kabupaten Tambrauw</t>
  </si>
  <si>
    <t>1.6.4. Pembangunan SPAM Kabupaten Fakfak</t>
  </si>
  <si>
    <t>1.6.5. Pembangunan SPAM Kabupaten Teluk Wondama</t>
  </si>
  <si>
    <t>1.6.6. Pembangunan SPAM Kabupaten Sorong Selatan</t>
  </si>
  <si>
    <t>1.6.7. Pembangunan SPAM Kabupaten Maybrat (Kmurkek)</t>
  </si>
  <si>
    <t>1.6.8. Pembangunan SPAM Kabupaten Sorong</t>
  </si>
  <si>
    <t>1.6.9. Pembangunan SPAM IKK Distrik Aifat Selatan (Kampung Sorry) Kabupaten Mabyrat</t>
  </si>
  <si>
    <t>1.6.10.Pembangunan SPAM SR Sowi Gunung Kab. Manokwari</t>
  </si>
  <si>
    <t>1.7. Program Pengendalian Banjir</t>
  </si>
  <si>
    <t>1.7.5. Normalisasi Sungai Isait Kampung Kokas Distrik Aifat Kabupaten Maybrat</t>
  </si>
  <si>
    <t>1.7.6. Normalisasi Kali Waimop Suapen Perkebunan Kelurahan Manokwari Barat Kab. Manokwari</t>
  </si>
  <si>
    <t>1.7.9. Normalisasi Sungai Komawlin (Sorong Selatan)</t>
  </si>
  <si>
    <t>1.8. Program Perencanaan dan Pengawasan Teknis Pengembangan dan Pengelolaan Jaringan Irigasi, Rawa dan Jaringan Pengairan lainnya</t>
  </si>
  <si>
    <t>1.8.1. perencanaan Tenik Bidang Pengairan</t>
  </si>
  <si>
    <t>1.9. Program Penataan Bangunan Gedung</t>
  </si>
  <si>
    <t>1.9.1. Pembangunan Gedung Darma Wanita Provinsi Papua Barat Tahap IV</t>
  </si>
  <si>
    <t xml:space="preserve"> 1.9.2. Pembangunan Tower BTS Rumah Jabatan Polda Papua Barat</t>
  </si>
  <si>
    <t>1.9.3.  Pembangunan Perumahan Sogun Permai Manokwari (Subsidi FLPP)</t>
  </si>
  <si>
    <t>1.10. Program Penyehatan Lingkungan Permukiman</t>
  </si>
  <si>
    <t>1.10.1. Pembangunan Jalan Lingkungan Kabupaten Manokwari</t>
  </si>
  <si>
    <t>1.10.2. Pembangunan Jalan Lingkungan Kabupaten Manokwari Selatan</t>
  </si>
  <si>
    <t>1.10.3. Pembangunan Jalan Lingkungan  Kabupaten Pegunungan Arfak</t>
  </si>
  <si>
    <t>1.10.4. Pembangunan Jalan Lingkungan  Kabupaten Raja Ampat</t>
  </si>
  <si>
    <t>1.10.5. Pembangunan Jalan Lingkungan  Kabupaten Tambrauw</t>
  </si>
  <si>
    <t>1.10.6. Pembangunan Jalan Lingkungan  Kabupaten Fakfak</t>
  </si>
  <si>
    <t>1.10.7. Pembangunan Jalan Lingkungan  Kabupaten Kaimana</t>
  </si>
  <si>
    <t>1.10.8. Pembangunan Jalan Lingkungan  Kabupaten Teluk Wondama</t>
  </si>
  <si>
    <t>1.10.9. Pembangunan Jalan Lingkungan  Kabupaten Teluk Bintuni</t>
  </si>
  <si>
    <t>1.10.10.Pembangunan Jalan Lingkungan  Kabupaten Sorong Selatan</t>
  </si>
  <si>
    <t>1.10.11.Pembangunan Jalan Lingkungan  Kabupaten Maybrat</t>
  </si>
  <si>
    <t>1.10.12.Pembangunan Jalan Lingkungan  Kabupaten Sorong</t>
  </si>
  <si>
    <t>1.10.13.Pembangunan Jalan Lingkungan  Kota Sorong</t>
  </si>
  <si>
    <t>1.10.14.Pembangunan Jalan Lingkungan  Marampa Manokwari</t>
  </si>
  <si>
    <t>1.10.15.Pembangunan Rumah Layak Huni Bagi Orang Asli Papua (OAP)</t>
  </si>
  <si>
    <t>1.10.19.Peningkatan Jalan Poros Desa Bariat - Konda Kab. Sorong Selatan</t>
  </si>
  <si>
    <t>1.10.20.Pembangunan Jalan Kampung Eles - Fsi Kab. Sorong Selatan</t>
  </si>
  <si>
    <t>1.10.21.Pembangunan Jalan Lingkungan Kampung Wersar Kab. Sorong Selatan</t>
  </si>
  <si>
    <t>1.10.22.Pembangunan Jalan Lingkungan Kampung Eles Kab. Sorong Selatan</t>
  </si>
  <si>
    <t>1.10.23.Normalisasi Saluran  Drainase Kelurahan Malengkedi Kota Sorong</t>
  </si>
  <si>
    <t>1.10.24.Pembangunan Drainase KM.10 Masuk Kampung Bugis Kelurahan Matamalagi Kota Sorong</t>
  </si>
  <si>
    <t>1.10.25.Pembangunan Jalan Poros Desa Suksiar - Seya</t>
  </si>
  <si>
    <t>1.11. Program Perencanaan dan Pengawasan Jalan</t>
  </si>
  <si>
    <t>1.11.1. Core Team Pengawasan</t>
  </si>
  <si>
    <t>1.11.2. Perencanaan Teknik Jalan dan Jembatan</t>
  </si>
  <si>
    <t>2.1.1. Pengadaan peralatan gedung kantor</t>
  </si>
  <si>
    <t>2.2. Program Peningkatan Pelayanan Angkutan Jalan</t>
  </si>
  <si>
    <t>2.3. Program Peningkatan Prasarana Perhubungan Laut (Pelayaran)</t>
  </si>
  <si>
    <t>2.3.2. Pengembangan Pelabuhan Oransbari</t>
  </si>
  <si>
    <t>2.3.3. Study Kepelabuhan Papua Barat</t>
  </si>
  <si>
    <t>2.3.5. Study Lingkungan Hidup Pelabuhan</t>
  </si>
  <si>
    <t>2.3.6. Pembangunan Prasarana Kantor TKBM Kab. Manokwari</t>
  </si>
  <si>
    <t>2.3.8. Pembangunan Pelabuhan Wisata Sorong-MarinaWaisai Raja Ampat</t>
  </si>
  <si>
    <t>2.3.10.Pembangunan Pelabuhan Kapadiri Tahap VI</t>
  </si>
  <si>
    <t>2.3.12.Pengadaan Speedboad</t>
  </si>
  <si>
    <t>2.4. Program Peningkatan  Keselamatan LLAJ</t>
  </si>
  <si>
    <t>2.4.1. Pembangunan Fasilitas Pengamanan Lalu Lintas Jalan</t>
  </si>
  <si>
    <t>2.4.2. Forum LLAJ</t>
  </si>
  <si>
    <t>2.4.6. Pemeliharaan Fasilitas Keselamatan Jalan</t>
  </si>
  <si>
    <t>2.4.7. Operasional Pegawalan Gubernur, Tamu VIP, Pengawasan dan Pengendalian Lalu Lintas Jalan</t>
  </si>
  <si>
    <t>2.4.8. Pengadaan Alat Uji Kendaraan</t>
  </si>
  <si>
    <t>2.4.10.Pengecetan Median Jalan Kompleks Kantor Gubernur Papua Barat</t>
  </si>
  <si>
    <t>2.4.11.Study Kebutuhan Fasilitas Lalu Lintas Jalan</t>
  </si>
  <si>
    <t>2.5. Program Perkeretaapian</t>
  </si>
  <si>
    <t>2.5.1. Study Amdal Lintas Sorong-Manokwari Tahap III</t>
  </si>
  <si>
    <t>2.5.2. Study LARAP Lintas Sorong-Manokwari Tahap III</t>
  </si>
  <si>
    <t>2.6. Program Pembangunan Sarana dan Prasarana Perhubungan Darat</t>
  </si>
  <si>
    <t>2.6.1. Pembangunan Terminal Type B Kota Sorong Tahap III</t>
  </si>
  <si>
    <t>2.6.2. Pembangunan Terminal Type B Wosi Tahap II</t>
  </si>
  <si>
    <t>2.6.3. Pembangunan Terminal Type B Bintuni</t>
  </si>
  <si>
    <t>2.6.4. Perencanaan  Pembangunan Terminal Type B Kab. Sorong Selatan Klamid</t>
  </si>
  <si>
    <t>2.6.5. Perencanaan  Pembangunan Terminal Type B Kab. Pegunungan Arfak</t>
  </si>
  <si>
    <t>2.6.6. Perencanaan  Pembangunan Terminal Type B Kab. Teluk Wondama</t>
  </si>
  <si>
    <t>1.1.8. Peningkatan Jalan Ayamaru-Sauf- Wehali - Batas Kab. Sorsel (Kab. Maybrat)</t>
  </si>
  <si>
    <t>1.1.10.Peningkatan Jalan Batas Kota Pegaf-Batas Kab. Mansel (Kab. Pegaf)</t>
  </si>
  <si>
    <t>1.1.11.Peningkatan Jalan Mega - Sausafor Kab. Tambrauw</t>
  </si>
  <si>
    <t>1.1.15.Peningkatan Jalan Batas Kab. Masel -Batas Kota Pegaf (Kab. Pegaf)</t>
  </si>
  <si>
    <t>1.1.19.Peningkatan Jalan Masni- Sibuni (Kab. Manokwari)</t>
  </si>
  <si>
    <t>1.1.18.Peningkatan Jalan SP5 - Sibuni (Kab. Manokwari)</t>
  </si>
  <si>
    <t>1.1.16.Peningkatan Jalan Maripi-SP1 (Kab. Manokwari)</t>
  </si>
  <si>
    <t>1.1.14.Peningkatan Jalan Batas Kabupaten Pegaf-Manyambouw (Kab. Pegaf)</t>
  </si>
  <si>
    <t>1.1.12.Peningkatan Jalan Sogun -  Soribo (Kab. Manokwari)</t>
  </si>
  <si>
    <t>1.1.9. Peningkatan Jalan Ruas Selewok - Baun (Kab. Tambrauw)</t>
  </si>
  <si>
    <t>1.1.7. Penigkatan Ruas Jalan Teluk Patipi - Sipatnanam (Kab. Fakfak)</t>
  </si>
  <si>
    <t>1.1.6. Peningkatan Jalan Weri - Sangram (Kab. Fakfak)</t>
  </si>
  <si>
    <t>1.1.5. Peningkatan Jalan Kayuni - Teluk  Patipi (Kab. Fakfak)</t>
  </si>
  <si>
    <t>1.1.4. Peningkatan Jalan SP2-SP1 - Tomage (Kab. Fakfak)</t>
  </si>
  <si>
    <t>1.1.2. Peningkatan Jalan Batas Kota Pegaf - Menyambouw (Kab. Pegaf)</t>
  </si>
  <si>
    <t>1.1.1. Peningkatan Jalan Arfai - Pami (Kab. Manokwari)</t>
  </si>
  <si>
    <t xml:space="preserve">1.1.17.Peningkatan Jalan Soribo Manokwari </t>
  </si>
  <si>
    <t>1.1.20.Peningkatan Jalan Batas Kota Manokwari - Sibuni (Kab. Manokwari)</t>
  </si>
  <si>
    <t>1.1.21.Peningkatan Jalan Yopenggar - Batas Kota Rasiei (Kab. Tel. Wondama)</t>
  </si>
  <si>
    <t xml:space="preserve">1.1.22.Peningkatan Jalan Baun - Selewok </t>
  </si>
  <si>
    <t>1.1.23.Peningkatan Jalan SP5 - Masni (Kab. Manokwari)</t>
  </si>
  <si>
    <t>1.1.26.Peningkatan Jalan Meyah - Feef (Kab. Tambrauw)</t>
  </si>
  <si>
    <t>1.1.27.Peningkatan Jalan Wasior - Rasiei (Kab. Tel. Wondama)</t>
  </si>
  <si>
    <t>1.1.29.Peningkatan Jalan Tofot - Haha (Kakas - Klabot) (Kab. Sorong Selatan)</t>
  </si>
  <si>
    <t>1.1.30.Peningkatan Jalan Kampung Andai (Kab. Manokwari)</t>
  </si>
  <si>
    <t>1.1.31.Peningkatan Jalan Kodam XVIII Kasuari (Kab. Manokwari)</t>
  </si>
  <si>
    <t>1.1.32.Peningkatan Jalan  Mogoy - Mardey (Kab. Tel. Bintuni)</t>
  </si>
  <si>
    <t>1.1.33.Peningkatan Jalan Irbos - Tomasera(Kab. Pegaf)</t>
  </si>
  <si>
    <t>1.1.34.Peningkatan Jalan Keyen - Boldon - Sesor (Sorong Selatan)</t>
  </si>
  <si>
    <t>1.1.35.Peningkatan Jalan Aimas - Klamalu (Kab.Sorong)</t>
  </si>
  <si>
    <t>1.1.36.Peningkatan Jalan Keyen - Boldon - Batas Kab. Sorong Selatan (Kab. Sorong Selatan)</t>
  </si>
  <si>
    <t>1.2.1. Pembangunan Jalan Dataran Bemes - Pegaf (Kab. Pegaf)</t>
  </si>
  <si>
    <t>1.2.2. Pembangunan Jalan Wombu -Undurara (Kab. Tel. Wondama)</t>
  </si>
  <si>
    <t>1.2.3. Pembangunan Jalan Waryori - Wasirawi distrik masni (Kab. Manokwari)</t>
  </si>
  <si>
    <t>1.2.4. Pembangunan Jalan Kampung Buk - Batu Panyung (Kab. Sorong)</t>
  </si>
  <si>
    <t>1.2.5. Pembangunan Jalan Katapop Pantai - Pelabuhan Seget (KEK) (Kota Sorong)</t>
  </si>
  <si>
    <t>1.2.6. Pembangunan Jalan Ayamaru - Fatigome (Kab. Maybrat)</t>
  </si>
  <si>
    <t>1.2.7. Pembangunan Jalan Windesi - Werianggi - Idor (Idor - Leunsy - Bintuni) (Kab. Tel. Wondama)</t>
  </si>
  <si>
    <t>1.2.8. Pembangunan Jalan Drs. Dominggus Mandacan (Sowi Gunung) (Kab. Manokwari)</t>
  </si>
  <si>
    <t>1.2.9. Pembangunan Jembatan Sumber Boga CS Distrik Masni (Kab. Manokwari)</t>
  </si>
  <si>
    <t>1.2.14.Pembangunan Jalan Umoisi-Batas Kabupaten Manokwari Selatan - Sururey (Kab. Mansel)</t>
  </si>
  <si>
    <t>1.2.15.Pembangunan Jalan Batas  Kabupaten Teluk Bintuni-Merdey (Kab. Tel. Bintuni)</t>
  </si>
  <si>
    <t>1.2.16.Pembangunan Jalan Isim - Tuhugesa - Neney(Kab. Mansel)</t>
  </si>
  <si>
    <t>1.2.17.Pembangunan Jalan Klasari - Seget (Kab. Sorong)</t>
  </si>
  <si>
    <t>1.2.18.Pembangunan Jembatan Pami Tahap  III (Kab. Tel. Wondama)</t>
  </si>
  <si>
    <t>1.2.19.Pembangunan Jembatan Sibuni Tahap II (Kab. Tambrauw)</t>
  </si>
  <si>
    <t>1.2.20.Pembangunan Jembatan Kali Sayam Tahap III (Kab. Sorong)</t>
  </si>
  <si>
    <t>1.2.21.Pembangunan Jalan Sayosa - Sailala  - Klaili (Kab. Sorong)</t>
  </si>
  <si>
    <t>1.2.22.Pembangunan Jembatan Iray Tahap 2 (Kab. Pegaf)</t>
  </si>
  <si>
    <t>1.2.24.Pembangunan Jembatan Pami 2 (Kab. Manokwari)</t>
  </si>
  <si>
    <t>1.2.25.Pembangunan Jembatan Pami 3 (Kab. Manokwari)</t>
  </si>
  <si>
    <t>1.2.26.Pembangunan Jembatan Kali Uriyem Kmp. Sogun (Kab. Manokwari)</t>
  </si>
  <si>
    <t>1.2.28.Pembangunan Jalan Lingkar Danau Uter Tahap I (Kab. Maybrat)</t>
  </si>
  <si>
    <t>1.2.30.Pembangunan Jembatan Yabi (Kab. Sorong Selatan)</t>
  </si>
  <si>
    <t>1.2.31.Pembangunan Jembatan Sibuni III (Kab. Manokwari)</t>
  </si>
  <si>
    <t>1.2.32.Pembangunan Jalan Taige - Pegaf - Gunung Botak (Kab. Pegaf)</t>
  </si>
  <si>
    <t>1.2.33.Pembangunan Jalan Testega - Moskona Timur (Kab. Tel. Bintuni)</t>
  </si>
  <si>
    <t>1.2.34.Pembangunan Jalan Testega - Assai - Meidodga(Kab. Pegaf)</t>
  </si>
  <si>
    <t>1.2.35.Pembangunan Jembatan Manuhama (Kab. Pegaf)</t>
  </si>
  <si>
    <t>1.2.36.Pembangunan Jalan Meyof - Testega (Kab. Pegaf)</t>
  </si>
  <si>
    <t>1.2.37.Pembangunan Jalan Pegaf - Dataran Bermes (Kab. Pegaf)</t>
  </si>
  <si>
    <t xml:space="preserve">1.3.1. Pengaman Abrasi Pantai Kolam Sisir, Kampung Marsi </t>
  </si>
  <si>
    <t>1.3.2. Pengaman Abrasi Pantai Tanjung Kasuari (Kota Sorong)</t>
  </si>
  <si>
    <t>1.3.4. Pembangunan Pengamanan Abrasi Pantai Werabuan Distrik Wartutin (Kab. Fakfak)</t>
  </si>
  <si>
    <t>1.3.5. Pembangunan Abrasi Pantai Oransbari (Kab. Mansel)</t>
  </si>
  <si>
    <t>1.3.6. Pembangunan Pengaman Abrasi Pantai Andair (Kab. Kaimana)</t>
  </si>
  <si>
    <t>1.3.7. Pembangunan Pengaman Abrasi Pantai Pasir Panjang (Kab. Kaimana)</t>
  </si>
  <si>
    <t>1.3.8. Pembangunan Pengaman Abrasi Pantai Kampung Namatota (Kab. Kaimana)</t>
  </si>
  <si>
    <t>1.5.1. Rehabilitasi Jaringan Irigasi D.I Prafi (Distrik Masni) (Kab. Manokwari)</t>
  </si>
  <si>
    <t>1.5.2. Rehabilitasi Jaringan Irigasi D.I Muturi (kab. Tel. Bintuni)</t>
  </si>
  <si>
    <t>1.5.3. Rehabilitasi Jaringan Irigasi D.I Moswaren (Kab. Sorsel)</t>
  </si>
  <si>
    <t>1.7.1. Normalisasi Sungai Macuan SP V Masni (Kab. Manokwari)</t>
  </si>
  <si>
    <t>1.7.2. Normalisasi Sungai Sinifagu (Kab. Sorong)</t>
  </si>
  <si>
    <t>1.7.3. Normalisasi Sungai Sakartemen (Kab.Fakfak)</t>
  </si>
  <si>
    <t>1.7.4. Normalisasi Kali Mati Ransiki (Kab. Mansel)</t>
  </si>
  <si>
    <t>1.7.7. Normalisasi Sungai Doros (Kab. Sorsel)</t>
  </si>
  <si>
    <t>1.7.8. Normalisasi Sungai Wemair (Kab.Maybrat)</t>
  </si>
  <si>
    <t>1.7.10.Normalisasi Sungai Andai Kampung Buton (Kab. Manokwari)</t>
  </si>
  <si>
    <t>1.7.11.Normalisasi Sungai Bomberai Tahap II (Kab. Fakfak)</t>
  </si>
  <si>
    <t>1.7.12.Normalisasi Sungai Wosi Tahap 6 (Kab. Manowari)</t>
  </si>
  <si>
    <t>1.7.13.Normalisasi Kali Marampa (Kab. Manokwari)</t>
  </si>
  <si>
    <t>1.9.4. Pembangunan Sumur Bor Moswaren (Kab. Manokwari)</t>
  </si>
  <si>
    <t>1.10.16.Pembangunan Drainase RT.02/RW.02 Kalurahan Amban (Kab. Manokwari)</t>
  </si>
  <si>
    <t>1.10.17.Pembangunan Drainase Reremi Puncak (Kab. Manokwari)</t>
  </si>
  <si>
    <t>1.10.18.Pembangunan Drainase Jalan Poros Teminabuan (Kab. Sorsel)</t>
  </si>
  <si>
    <t>2.2.1. Pembangunan Pool Bus Perintis (Kota Sorong)</t>
  </si>
  <si>
    <t>2.2.2. Pembangunan Pool Bus BRT Tahap IV (Kota Sorong)</t>
  </si>
  <si>
    <t>2.2.3. Pengadaan dan Pembangunan Shelter Bus BRT Portable (Kota Sorong)</t>
  </si>
  <si>
    <t>2.3.1. DED Pelabuhan (Kab. Tel. Bintuni, Kab. Raja Ampat)</t>
  </si>
  <si>
    <t>2.3.4. RIP Pelabuhan (Kab. Manokwari)</t>
  </si>
  <si>
    <t>2.3.7. Study FS Pelabuhan (Pelabuhan Moraid, Yende, Manokwari)</t>
  </si>
  <si>
    <t>2.3.9. Pembangunan Pelabuhan Roswar Tahap I (Kab. Tel. Wondama)</t>
  </si>
  <si>
    <t>2.3.11.Perencanaan Dermaga Apung Kampung Tanggaromi (Kab. Kaimana)</t>
  </si>
  <si>
    <t>2.4.3. Pengadaan Rambu-rambu Lalu Lintas Jalan (Kab. Sorong, Kota Sorong, Tel. Bintuni)</t>
  </si>
  <si>
    <t>2.4.4. Pengadaan Deliniator (Kab. Manokwari)</t>
  </si>
  <si>
    <t>2.4.5. Pengecatan Marka Jalan (Kota Sorong, Kab. Manokwari)</t>
  </si>
  <si>
    <t>2.4.12.Pembangunan Sarana Penguji Kendaraan Bermotor (Kota Sorong)</t>
  </si>
  <si>
    <t>2.4.9. Pengadaan Lampu Peringatan (Warning Light) (Kota Sorong, Kab. Sorong)</t>
  </si>
  <si>
    <t>1.3.3. Pengadaan Meubelair SMP Yapis</t>
  </si>
  <si>
    <t>1.3.4. Pembangunan SD Aisyah 01 Waisai</t>
  </si>
  <si>
    <t xml:space="preserve">1.3.5. Pembangunan 2 RKB SMP Yapis </t>
  </si>
  <si>
    <t xml:space="preserve">1.3.6. Peyiapan Lahan SMP Yapis </t>
  </si>
  <si>
    <t xml:space="preserve">3.1.11.Pengadaan Mesin cuci Infeksius </t>
  </si>
  <si>
    <t xml:space="preserve">3.1.12.Rehap Sarana dan Prasarana Rumah Sakit </t>
  </si>
  <si>
    <t>4.1.2. Pembangunan Jembatan Perumahan Dokter RSUD</t>
  </si>
  <si>
    <t>4.2. Program Pembangunan Saluran Drainase Jalan dan Gorong-gorong</t>
  </si>
  <si>
    <t xml:space="preserve">4.2.1. Pembangunan Drainase Lingkungan Dalam Kota Waisai  </t>
  </si>
  <si>
    <t xml:space="preserve">4.2.2. Pembangunan Gorong-gorong Polres Raja Ampat </t>
  </si>
  <si>
    <t xml:space="preserve">4.2.3. Pembangunan Gorong - Gorong Jalan Ruas Jalan Saporkren - Waiwo </t>
  </si>
  <si>
    <t xml:space="preserve">4.2.4. Pembangunan Gorong - Gorong Masjid 200  </t>
  </si>
  <si>
    <t>4.3. Program Rehabilitasi/Pemeliharaan Jalan dan Jembatan</t>
  </si>
  <si>
    <t>4.3.1. Penataan Jalan Dusun Yalapate Segmen1</t>
  </si>
  <si>
    <t>4.3.2. Penataan Jalan Dusun Yalapate Segmen2</t>
  </si>
  <si>
    <t>4.3.3. Penataan Jalan Dusun Yalapate Segmen3</t>
  </si>
  <si>
    <t>4.3.4. Penataan Jalan Dusun Yalapate Segmen4</t>
  </si>
  <si>
    <t>4.3.5. Semenisasi Jalan Polres Raja Ampat</t>
  </si>
  <si>
    <t>4.4. Program Pembangunan Turap/Talud/Bronjong</t>
  </si>
  <si>
    <t>4.4.1. Pembangunan Talud Kali Waigama (lanjutan)</t>
  </si>
  <si>
    <t xml:space="preserve">4.6.7. Pembangunan Gereja Atkari (Lanjutan) </t>
  </si>
  <si>
    <t xml:space="preserve">4.6.8. Pembangunan Gereja Talitakumi (Lanjutan) </t>
  </si>
  <si>
    <t xml:space="preserve">4.6.9. Pembangunan Gereja Biga (Lanjutan) </t>
  </si>
  <si>
    <t xml:space="preserve">4.6.10.Pembangunan Gereja Silo (Lanjutan) </t>
  </si>
  <si>
    <t xml:space="preserve">4.6.11.Pembangunan Gereja Marthen Luther  </t>
  </si>
  <si>
    <t xml:space="preserve">4.6.12.Pembangunan Gereja Sion Warsambin  </t>
  </si>
  <si>
    <t xml:space="preserve">4.6.13.Pembangunan Gereja Sion Getsemani (Lanjutan)  </t>
  </si>
  <si>
    <t xml:space="preserve">4.6.14.Pembangunan Gereja Saleo </t>
  </si>
  <si>
    <t xml:space="preserve">4.6.15.Pembangunan Masjid Gag (Lanjutan)  </t>
  </si>
  <si>
    <t xml:space="preserve">4.6.16.Pembangunan Tempat Wudhu dan Penataan Halaman Musholah Nurul Bahri </t>
  </si>
  <si>
    <t xml:space="preserve">4.6.17.Penyiapan Lahan Masjid Kompleks Perumahan 100 </t>
  </si>
  <si>
    <t xml:space="preserve">4.6.18.Pembangunan Gedung Gereja Klavari Betlehem Perumahan 300 (Lanjutan) </t>
  </si>
  <si>
    <t xml:space="preserve">4.6.19.Pembangunan Pos Pelayanan Gereja Polres  </t>
  </si>
  <si>
    <t xml:space="preserve">4.6.20.Pembangunan Gereja Kampung Audam </t>
  </si>
  <si>
    <t xml:space="preserve">4.6.21.Pembangunan Gereja Kampung Deer  </t>
  </si>
  <si>
    <t xml:space="preserve">4.6.22.Pembangunan Gereja Kampung Wawiyai  </t>
  </si>
  <si>
    <t xml:space="preserve">4.6.23.Pembangunan Masjid Kampung Bianci </t>
  </si>
  <si>
    <t xml:space="preserve">4.6.24.Pembangunan Gereja Kampung Selpele  </t>
  </si>
  <si>
    <t xml:space="preserve">4.6.25.Pembangunan Gereja Kampung Kapadiri  </t>
  </si>
  <si>
    <t xml:space="preserve">4.6.26.Pematangan Tanah di Kapadiri  </t>
  </si>
  <si>
    <t xml:space="preserve">4.6.27.Rehabilitasi Masjid di Manyaifun  </t>
  </si>
  <si>
    <t xml:space="preserve">4.6.28.Rehabilitasi Gereja di Manyaifun  </t>
  </si>
  <si>
    <t xml:space="preserve">4.6.29.Pembangunan Pagar Kantor Klasis Raja Ampat Tengah  </t>
  </si>
  <si>
    <t xml:space="preserve">4.6.30.Pembangunan Gereja Waringkris (Lanjutan) </t>
  </si>
  <si>
    <t xml:space="preserve">4.6.31.Pembangunan Rumah Imam Masjid Perumahan 300 </t>
  </si>
  <si>
    <t xml:space="preserve">4.6.32.Pembangunan Masjid Kampung Atkari (Lanjutan) </t>
  </si>
  <si>
    <t xml:space="preserve">4.6.33.Pembangunan Pagar Gereja Evata Wejim  </t>
  </si>
  <si>
    <t xml:space="preserve">4.6.34.Pembangunan Gedung PMI  </t>
  </si>
  <si>
    <t xml:space="preserve">4.6.35.Pembangunan Rumah Imam di Saonek  </t>
  </si>
  <si>
    <t xml:space="preserve">4.6.36.Pembangunan Gedung Terpadu (MUI, PHBI, LPTQ) </t>
  </si>
  <si>
    <t xml:space="preserve">4.6.37.Pembangunan Tugu Lonceng Gereja di Kampung Yenbekwan  </t>
  </si>
  <si>
    <t xml:space="preserve">4.6.38.Pengadaan Meubelair Gereja di Kampung Yenbekwan  </t>
  </si>
  <si>
    <t xml:space="preserve">4.6.40.Pembangunan Pagar Masjid Araway  </t>
  </si>
  <si>
    <t xml:space="preserve">4.6.41.Rehabilitasi Perumahan Klasis Raja Ampat Utara di Waigeo Utara </t>
  </si>
  <si>
    <t xml:space="preserve">4.6.42.Pengadaan Meubelair Gereja Waipele  </t>
  </si>
  <si>
    <t xml:space="preserve">4.6.43.Pembangunan Gereja Galilea  </t>
  </si>
  <si>
    <t xml:space="preserve">4.6.44.Pembangunan Masjid di Napriboy  </t>
  </si>
  <si>
    <t xml:space="preserve">4.6.45.Pematangan Lahan  Masjid di Warbariam  </t>
  </si>
  <si>
    <t xml:space="preserve">4.6.46.Perencanaan SMART CITY Kab. Raja Ampat  </t>
  </si>
  <si>
    <t xml:space="preserve">1.2.1. Pembangunan Gedung Sekolah Persiapan Napirboi  </t>
  </si>
  <si>
    <t xml:space="preserve">1.2.2. Pembangunan Rumah Guru SMP Persiapan Wayom </t>
  </si>
  <si>
    <t xml:space="preserve">1.2.3. Pembangunan Rumah Guru SD YPK BETHEL Deer (Kopel)  </t>
  </si>
  <si>
    <t xml:space="preserve">1.2.4. Pembangunan Rumah Guru SD Persiapan Warisapo  </t>
  </si>
  <si>
    <t xml:space="preserve">1.2.5. Rehabilitasi Asrama Mahasiswa di Manokwari  </t>
  </si>
  <si>
    <t xml:space="preserve">1.2.6. Rehabilitasi 4 Kopel Rumah Guru SMP Negeri 8 Raja Ampat </t>
  </si>
  <si>
    <t xml:space="preserve">1.2.7. Pembangunan Laboratorium IPA SMP Negeri 4 Raja Ampa </t>
  </si>
  <si>
    <t xml:space="preserve">1.2.8. Rehabilitasi Gedung Sekolah SD Inpres 24 Folley </t>
  </si>
  <si>
    <t xml:space="preserve">1.2.9. Pembangunan Rumah Guru SMP Negeri 19 Gag  </t>
  </si>
  <si>
    <t xml:space="preserve">1.2.10.Pembangunan Rumah Guru SD Negeri 18 Gamta  </t>
  </si>
  <si>
    <t xml:space="preserve">1.2.14.Rehabilitasi Gedung Laboratorium Kalobo </t>
  </si>
  <si>
    <t xml:space="preserve">1.2.11.Pembangunan Rumah Guru SMP Negeri 2 Raja Ampat  </t>
  </si>
  <si>
    <t xml:space="preserve">1.2.12.Pembangunan Rumah Guru SD YPK Betfage Kabare  </t>
  </si>
  <si>
    <t xml:space="preserve">1.2.13.Pengadaan Meubelair SMP Negeri 2 Raja Ampat  </t>
  </si>
  <si>
    <t xml:space="preserve">1.2.15.Pembangunan RKB SMP YPK Limalas  </t>
  </si>
  <si>
    <t xml:space="preserve">1.2.16.Pengadaan Meubelair SMP YPK Limalas  </t>
  </si>
  <si>
    <t xml:space="preserve">1.2.17.Pembangunan RKB MTs Darusalam Lilinta  </t>
  </si>
  <si>
    <t xml:space="preserve">1.2.18.Penataan Halaman SMP Negeri 14 Raja Ampat </t>
  </si>
  <si>
    <t xml:space="preserve">1.2.19.Pembangunan 3 Ruang dan Meubelair Kelas SD Negeri 1 Kurano  </t>
  </si>
  <si>
    <t xml:space="preserve">1.2.20.Pembangunan Lanjutan 2 RKB SD Perum 100  </t>
  </si>
  <si>
    <t xml:space="preserve">1.2.21.Rehabilitasi Gedung Kantor Dinas Pendidikan dan Kebudayaan  </t>
  </si>
  <si>
    <t xml:space="preserve">1.2.22.Pembangunan Rumah Guru di Atkari  </t>
  </si>
  <si>
    <t>1.3. Program peningkatan dan pengembangan pengelolaan keuangan daerah</t>
  </si>
  <si>
    <t xml:space="preserve">1.3.1. Bimtek Penyusunan LAKIP, RENJA dan RENSTRA </t>
  </si>
  <si>
    <t xml:space="preserve">1.3.2. Bimtek Penyusunan dan Pertanggungjawaban Laporan Keuangan  </t>
  </si>
  <si>
    <t xml:space="preserve">1.3.3. Penyusunan Profil Dinas Pendidikan </t>
  </si>
  <si>
    <t xml:space="preserve">1.3.4. Monitoring dan Pendataan Serta Evaluasi Hasil Kegiatan Fisik dan Non Fisik  </t>
  </si>
  <si>
    <t>1.4. Program peningkatan dan pengembangan pengelolaan keuangan daerah</t>
  </si>
  <si>
    <t xml:space="preserve">1.4.1. Penyelenggaraan Pendidikan Anak Usia Dini  </t>
  </si>
  <si>
    <t xml:space="preserve">1.4.2. Diklat Mahir Tutor PAUD  </t>
  </si>
  <si>
    <t xml:space="preserve">1.4.3. Peningkatan PKBM  </t>
  </si>
  <si>
    <t xml:space="preserve">1.4.4. Gebyar PAUD/TK  </t>
  </si>
  <si>
    <t xml:space="preserve">1.4.5. Pengadaan Seragam Peserta Didik PAUD dan TK </t>
  </si>
  <si>
    <t xml:space="preserve">1.4.6. Monitoring PAUD, TK dan PKBM Tingkat Distrik  </t>
  </si>
  <si>
    <t xml:space="preserve">1.4.7. Pemetaan Mutu dan Akreditasi PAUD dan TK  </t>
  </si>
  <si>
    <t xml:space="preserve">1.4.8. Pematangan Lokasi PAUD (Lanjutan)  </t>
  </si>
  <si>
    <t xml:space="preserve">1.4.9. Renovasi Gedung Paud  </t>
  </si>
  <si>
    <t>1.5. Program wajib belajar pendidikan 9 tahun</t>
  </si>
  <si>
    <t xml:space="preserve">1.5.1. Penyelenggaraan UAS/UAN SD/MI  </t>
  </si>
  <si>
    <t xml:space="preserve">1.5.2. Penyelenggaraan UAS/UAN SMP/MTs </t>
  </si>
  <si>
    <t xml:space="preserve">1.5.3. Penyelenggaraan Paket A dan B  </t>
  </si>
  <si>
    <t xml:space="preserve">1.5.4. Penyelenggaraan Paket C  </t>
  </si>
  <si>
    <t xml:space="preserve">1.5.5. Ujian Nasional Berbasis Komputer (UNBK Online) di SMPN 14, SMPN 21, SMPN 5, SMP YPK Alfa Omega dan MTs  </t>
  </si>
  <si>
    <t xml:space="preserve">1.5.6. Lomba Olimpiade Sains Tingkat SD dan SMP  </t>
  </si>
  <si>
    <t xml:space="preserve">1.5.7. Perlombaan Menyongsong HARDIKNAS </t>
  </si>
  <si>
    <t xml:space="preserve">1.5.8. Pembangunan SD Persiapan Napriboy  </t>
  </si>
  <si>
    <t xml:space="preserve">1.6.1. Kejar Paket A, B dan C  </t>
  </si>
  <si>
    <t xml:space="preserve">1.6.2. Diklat Berjenjang Tingkat Mahir  </t>
  </si>
  <si>
    <t>1.7. Program Manajemen Pelayanan Pendidikan</t>
  </si>
  <si>
    <t xml:space="preserve">1.7.1. Peningkatan Pengawas SD dan SMP  </t>
  </si>
  <si>
    <t xml:space="preserve">1.7.2. Sistem Pengawasan Pendidikan di Daerah 3T  </t>
  </si>
  <si>
    <t xml:space="preserve">1.7.3. Pembayaran Sewa Asrama Mahasiswa Raja Ampat  </t>
  </si>
  <si>
    <t xml:space="preserve">1.7.4. Pembangunan Asrama Mahasiswa di Jayapura  </t>
  </si>
  <si>
    <t xml:space="preserve">1.7.5. Pembangunan Asrama Mahasiswa di Sorong </t>
  </si>
  <si>
    <t xml:space="preserve">1.7.6. Pelaksanaan Affirmasi ADEM dan ANDIK </t>
  </si>
  <si>
    <t xml:space="preserve">1.7.8. Diklat Pengawas SD dan SMP  </t>
  </si>
  <si>
    <t xml:space="preserve">1.7.9. Diklat Kepala Sekolah SD  </t>
  </si>
  <si>
    <t xml:space="preserve">1.7.10.Diklat Kepala Sekolah SMP </t>
  </si>
  <si>
    <t xml:space="preserve">1.7.11.Penataan Kearsipan Tenaga Pendidik  </t>
  </si>
  <si>
    <t xml:space="preserve">1.8.1. Pencetakan Buku Warisan Seni Budaya dan Sejarah Kepurbakalan  </t>
  </si>
  <si>
    <t xml:space="preserve">1.8.3. Pembinaan Lembaga Kesenian/Sanggar Seni </t>
  </si>
  <si>
    <t>1.8.4. Pengenalan Seni Budaya Raja Ampat Dalam Negeri dan Luar Negeri</t>
  </si>
  <si>
    <t xml:space="preserve">1.8.5. Pemberian Bantuan Penunjang Alat Kesenian Tradisional  </t>
  </si>
  <si>
    <t>1.8.6. Seminar Budaya Lokal Raja Ampat</t>
  </si>
  <si>
    <t>1.8.7. Monitoring Ke Tempat Bersejarah di Raja Ampat</t>
  </si>
  <si>
    <t>1.8.8. Pengadaan Alat Kesenian dan Budaya</t>
  </si>
  <si>
    <t>1.9. Program Peningkatan Disiplin Aparatur</t>
  </si>
  <si>
    <t xml:space="preserve">1.9.1. Pengadaan Pakaian Dinas Guru Honorer </t>
  </si>
  <si>
    <t>1.10. Program Peningkatan Kapasitas Sumber Daya Aparatur</t>
  </si>
  <si>
    <t xml:space="preserve">1.10.1. Kegiatan MGMP (Musyawarah Guru Mata Pelajaran) SMP </t>
  </si>
  <si>
    <t xml:space="preserve">1.10.2. Kegiatan KKG (Kelompok Kerja Guru) SD  </t>
  </si>
  <si>
    <t xml:space="preserve">1.10.3. Pelatihan Kurikulum 13 Tingkat SD  </t>
  </si>
  <si>
    <t xml:space="preserve">1.10.4. Pelatihan Kurikulum 13 Tingkat SMP </t>
  </si>
  <si>
    <t xml:space="preserve">1.10.5. Pelaksanaan Akreditasi Sekolah </t>
  </si>
  <si>
    <t xml:space="preserve">1.10.6. Kompetisi Gala Siswa Indonesia  </t>
  </si>
  <si>
    <t xml:space="preserve">1.10.7. Diklat Penyusunan SKP dan PAK Bagi Kepala Sekolah SD dan SMP  </t>
  </si>
  <si>
    <t xml:space="preserve">1.10.8. Konfrensi PGRI  </t>
  </si>
  <si>
    <t xml:space="preserve">1.10.9. Pengembangan Dharma Wanita Persatuan  </t>
  </si>
  <si>
    <t>2.1. Program Peningkatan Kapasitas Sumberdaya Aparatur</t>
  </si>
  <si>
    <t xml:space="preserve">2.1.1. Pelatihan ATCLS  </t>
  </si>
  <si>
    <t xml:space="preserve">2.1.2. Workshop Petugas Puskesmas tentang Tatalaksana Bayi/Balita Pneumonia  </t>
  </si>
  <si>
    <t xml:space="preserve">2.1.3. Pelatihan dan Magang Bagi Pengelola VCT HIV/AIDS Puskesmas  </t>
  </si>
  <si>
    <t xml:space="preserve">2.1.4. Honor kader posyandu dan dukun bersalin </t>
  </si>
  <si>
    <t xml:space="preserve">2.1.5. Sertifikasi dan kopetensi tenaga kesehatan  </t>
  </si>
  <si>
    <t xml:space="preserve">2.1.6. Pendidikan D-IV kebidanan </t>
  </si>
  <si>
    <t xml:space="preserve">2.1.7. Workshop Pengelolaan Program Kusta dan Malaria  </t>
  </si>
  <si>
    <t xml:space="preserve">2.1.8. Pelatihan managemen puskesmas terpadu  </t>
  </si>
  <si>
    <t>2.1.  Program Obat Pembekalan Masyarakat</t>
  </si>
  <si>
    <t xml:space="preserve">2.1.1. Pengawasan Obat, Makanan dan Minuman  </t>
  </si>
  <si>
    <t xml:space="preserve">2.1.2. Pengadaan Susu Ibu Hamil dan Menyusui  </t>
  </si>
  <si>
    <t xml:space="preserve">2.1.3. Pengawasan dan Pemeriksaan Air Isi Ulang Depot  </t>
  </si>
  <si>
    <t xml:space="preserve">2.1.4. Biaya Distribusi Obat  </t>
  </si>
  <si>
    <t>2.2. Program Peningkatan Pengembangan Sistem Pelaporan capaian Kinerja dan Keuangan</t>
  </si>
  <si>
    <t xml:space="preserve">2.2.1. Penyusunan Renja dan Lakip  </t>
  </si>
  <si>
    <t xml:space="preserve">2.2.2. Dukungan Operasional Tim Nusantara Sehat Kemenkes  </t>
  </si>
  <si>
    <t xml:space="preserve">2.2.3. Pembuatan Website Dinas Kesehatan </t>
  </si>
  <si>
    <t xml:space="preserve">2.2.4. Penyusunan Profil Kesehatan Tahunan </t>
  </si>
  <si>
    <t>2.3. Program Pengadaan Peningkatan dan Perbaikan sarana dan Prasarana beserta jaringannya</t>
  </si>
  <si>
    <t xml:space="preserve">2.3.1. Rehabilitasi Puskesmas di Distrik Wawarbomi  </t>
  </si>
  <si>
    <t xml:space="preserve">2.3.2. Rehabilitasi Puskesmas di Distrik Waibar Daratan  </t>
  </si>
  <si>
    <t xml:space="preserve">2.3.3. Rehabilitasi Puskesmas di Distrik Waigeo Utara </t>
  </si>
  <si>
    <t xml:space="preserve">2.3.4. Rehabilitasi Puskesmas di Distrik Teluk Manyalibit  </t>
  </si>
  <si>
    <t xml:space="preserve">2.3.5. Rehabilitasi Pustu di Mutus  </t>
  </si>
  <si>
    <t xml:space="preserve">2.3.6. Rehabilitasi Pustu di Yenbeser  </t>
  </si>
  <si>
    <t xml:space="preserve">2.3.7. Rehabilitasi Pustu di Beo  </t>
  </si>
  <si>
    <t xml:space="preserve">2.3.8. Rehabilitasi Pustu di Mnier  </t>
  </si>
  <si>
    <t xml:space="preserve">2.3.9. Rehabilitasi Pustu di Aduwei  </t>
  </si>
  <si>
    <t xml:space="preserve">2.3.10.Pembangunan Polindes di Wauyai  </t>
  </si>
  <si>
    <t xml:space="preserve">2.3.11.Pembangunan Polindes di Kabilol  </t>
  </si>
  <si>
    <t xml:space="preserve">2.3.12.Pembangunan Puskesmas di Go  </t>
  </si>
  <si>
    <t xml:space="preserve">2.3.13.Pembangunan Perumahan Tenaga Medis di Go </t>
  </si>
  <si>
    <t xml:space="preserve">2.3.14.Pembangunan Puskesmas di Yensawai  </t>
  </si>
  <si>
    <t xml:space="preserve">2.3.15.Pembangunan Perumahan Tenaga Medis di Yensawai  </t>
  </si>
  <si>
    <t xml:space="preserve">2.3.16.Pengadaan Meubelair Puskesmas  </t>
  </si>
  <si>
    <t xml:space="preserve">2.3.17.Pematangan Rumah Dokter  </t>
  </si>
  <si>
    <t xml:space="preserve">2.3.18.Pengadaan Solar Cell (RSUD)  </t>
  </si>
  <si>
    <t xml:space="preserve">2.3.19.Pembangunan Gedung Serba Guna (AULA)  </t>
  </si>
  <si>
    <t xml:space="preserve">2.3.20.Pengadaan Sarana Media KIE  </t>
  </si>
  <si>
    <t xml:space="preserve">2.3.21.Pengadaan Alat Penghancur Jarum Suntik (WELDER)  </t>
  </si>
  <si>
    <t xml:space="preserve">2.3.22.Riagent Ripitest One Step HIV 1/2 Tes Bio Line SDHIV - 1/2 3.0 (Multi)  </t>
  </si>
  <si>
    <t xml:space="preserve">2.3.23.Pembangunan Polindes  </t>
  </si>
  <si>
    <t xml:space="preserve">2.3.24.Pembangunan Rumah Tenaga Kesehatan (RSUD)  </t>
  </si>
  <si>
    <t xml:space="preserve">2.3.25.Rehabilitasi Puskesmas di Distrik Supnin  </t>
  </si>
  <si>
    <t xml:space="preserve">2.3.26.Pembangunan Polindes Saporkren  </t>
  </si>
  <si>
    <t xml:space="preserve">2.3.27.Rehabilitasi pustu di meosbekwan  </t>
  </si>
  <si>
    <t xml:space="preserve">2.3.28.Optimalisasi Sarana dan Prasarana Puskesmas Persiapan Akreditasi  </t>
  </si>
  <si>
    <t>2.4. Program Peningkatan Pelayanan Kesehatan Anak Balita</t>
  </si>
  <si>
    <t xml:space="preserve">2.4.1. Pengadaan Susu Formula Bayi dan Lanjutan  </t>
  </si>
  <si>
    <t xml:space="preserve">2.4.2. Pengadaan Makanan Pengganti ASI Bagi Bayi dan Balita  </t>
  </si>
  <si>
    <t xml:space="preserve">2.4.3. Pengadaan Makanan Tambahan Balita Kurus dan Bumil KEK </t>
  </si>
  <si>
    <t xml:space="preserve">2.4.4. Pendampingan Bayi/ balita Bermasalah Gizi dan bumil KEK  </t>
  </si>
  <si>
    <t>2.5. Program Pencegahan dan Penanggulangan Penyakit (Menular)</t>
  </si>
  <si>
    <t xml:space="preserve">2.5.1. Pemeliharaan rantai dingin vaksin dan operasional gudang vaksin Dinkes  </t>
  </si>
  <si>
    <t xml:space="preserve">2.5.2. Pelaksanaan Bulan Imunisasi Anak Sekolah (BIAS)  </t>
  </si>
  <si>
    <t xml:space="preserve">2.5.3. Skrinning Maternal Neonatal Tetanus Eliminasi (MNTE)  </t>
  </si>
  <si>
    <t xml:space="preserve">2.5.4. Pelacakan Penderita, Pengambilan dan pengiriman Sampel AFP </t>
  </si>
  <si>
    <t xml:space="preserve">2.5.5. Pelaksanaan Kampanye Germas tentang perilaku hidup bersih dan sehat (PHBS)  </t>
  </si>
  <si>
    <t xml:space="preserve">2.5.6. Wrkshop Koordinator Imunisasi (Korim) Dalam Pencapaian Desa UCI  </t>
  </si>
  <si>
    <t xml:space="preserve">2.5.7. Pelaksanaan DOFU (Drop Up Follow Up) atau ORI (Out Break Response) Dalam Menangani Kejadian Luar Biasa  </t>
  </si>
  <si>
    <t xml:space="preserve">2.5.8. Skrining HIV dengan Pendekatan Sindrome </t>
  </si>
  <si>
    <t xml:space="preserve">2.5.9. Sosialisasi dan pelatihan ASPAK tenaga puskesmas  </t>
  </si>
  <si>
    <t xml:space="preserve">2.5.10.Penyemprotan Rumah Penduduk </t>
  </si>
  <si>
    <t>3.1. Program Upaya Kesehatan Masyarakat</t>
  </si>
  <si>
    <t xml:space="preserve">3.1.1. Pelayanan Pemberian Makan dan Minum Pasien Rawat Inap  </t>
  </si>
  <si>
    <t>3.2. Progaram Peningkatan Disiplin Aparatur</t>
  </si>
  <si>
    <t xml:space="preserve">3.2.1. Akreditasi RumahSakit </t>
  </si>
  <si>
    <t>3.3. Program Kemitraan Peningkatan Layanan Kesehatan</t>
  </si>
  <si>
    <t xml:space="preserve">3.3.1. Kerjasama Penugasan Dokter Spesialis Tetap  </t>
  </si>
  <si>
    <t xml:space="preserve">3.3.2. Peningkatan Pelayanan Tenaga Ahli Mitra Dokter Spesialis (Penata Anastesi)  </t>
  </si>
  <si>
    <t xml:space="preserve">3.3.3. Peningkatan Pelayanan Dokter Jaga UGD  </t>
  </si>
  <si>
    <t xml:space="preserve">3.3.4. Kerjasama Penugasan Dokter Gigi RS  </t>
  </si>
  <si>
    <t xml:space="preserve">3.3.5. Peningkatan Pelayanan Tenaga Dokter Umum/ Insentif  </t>
  </si>
  <si>
    <t>3.4. Program Peningkatan Kapasitas Sumber Daya Aparatur</t>
  </si>
  <si>
    <t xml:space="preserve">3.4.1. Pendidikan dan Pelatihan SDM Dokter  </t>
  </si>
  <si>
    <t>4.1. Program Pemeliharaan dan Pengadaan Sarana dan Prasarana Umum</t>
  </si>
  <si>
    <t xml:space="preserve">4.2.1. Semenisasi Jalan di dalam cotage Folley  </t>
  </si>
  <si>
    <t>4.3. Program Pematangan Jaringan Air Bersih</t>
  </si>
  <si>
    <t xml:space="preserve">4.3.1. Pembangunan JP Sumur Bor di Waidin  </t>
  </si>
  <si>
    <t xml:space="preserve">4.3.2. Pembangunan JP Sumur Bor di Sakabu  </t>
  </si>
  <si>
    <t xml:space="preserve">4.3.3. Pembangunan JP Sumur Bor di Kalobo  </t>
  </si>
  <si>
    <t xml:space="preserve">4.4.1. Pemetaan dan Inventarisasi Potensi Sumberdaya Air  </t>
  </si>
  <si>
    <t>4.5. Program Pembangunan Sarana dan Prasarana Pemerintahan</t>
  </si>
  <si>
    <t xml:space="preserve">4.5.1. Pembangunan Kantor Klasis Raja Ampat Utara  </t>
  </si>
  <si>
    <t xml:space="preserve">4.5.2. Pembangunan Gedung Gereja Tabernekel </t>
  </si>
  <si>
    <t xml:space="preserve">4.5.3. Pembangunan Gedung Gereja Saporkren (lanjutan)  </t>
  </si>
  <si>
    <t xml:space="preserve">4.5.4. Pembangunan Masjid Al-Mujib Kelurahan sapordanko (lanjutan)  </t>
  </si>
  <si>
    <t xml:space="preserve">4.5.5. Rehabilitasi Masjid di Jefman  </t>
  </si>
  <si>
    <t xml:space="preserve">4.5.6. Rehabilitasi Masjid di Waibu dan Pagar  </t>
  </si>
  <si>
    <t xml:space="preserve">4.5.7. Pembangunan Mesjid di perumahan 100  </t>
  </si>
  <si>
    <t xml:space="preserve">5.1.1. Pengadaan Truk Sampah/Ambrol dan Mobil Khusus pengawasan sampah daerah wisata (skala prioritas)  </t>
  </si>
  <si>
    <t xml:space="preserve">5.1.2. Akses menuju TPS (Permanen)  </t>
  </si>
  <si>
    <t xml:space="preserve">5.1.3. Pengadaan Rangka Pengaman Tempat Sampah  </t>
  </si>
  <si>
    <t>5.2. Program Pengelolaan Ruang Terbuka Hijau (RTH)</t>
  </si>
  <si>
    <t>5.2.1. Pembangunan Taman Pintar Kofarkor (Lanjutan)</t>
  </si>
  <si>
    <t xml:space="preserve">5.3.1. Kebersihan Taman dan Lingkungan Kota  </t>
  </si>
  <si>
    <t xml:space="preserve">5.3.2. Pengangkutan Sampah dari Rumah-TPS-TPA  </t>
  </si>
  <si>
    <t>5.4. Program Peningkatan Cakupan Pelayanan Kebersihan dan Peningkatan sarana prasarana pengelolaan Sampah</t>
  </si>
  <si>
    <t xml:space="preserve">5.4.1. Lanjutan Penataan Taman Kota  </t>
  </si>
  <si>
    <t xml:space="preserve">5.4.2. Pengadaan Peralatan Pendukung Kebersihan dan Pertamanan  </t>
  </si>
  <si>
    <t xml:space="preserve">5.4.3. Pembelian Obatan dan Pupuk  </t>
  </si>
  <si>
    <t xml:space="preserve">5.4.4. Pengecetan Pot dan Median Jalan  </t>
  </si>
  <si>
    <t xml:space="preserve">5.4.5. Pengadaan Polybag dan Pot Bunga </t>
  </si>
  <si>
    <t>5.5. Program Peningkatan Fasilitas Penerangan Jalan Umum</t>
  </si>
  <si>
    <t xml:space="preserve">5.5.1. Pemeliharaan dan Operasional Penerangan jalan umum  </t>
  </si>
  <si>
    <t>5.6. Program Peningkatan Kualitas, Kuantitas dan Ketersediaan Sarana Prasarana TPU</t>
  </si>
  <si>
    <t xml:space="preserve">5.6.1. Penataan TPU Kota Waisai  </t>
  </si>
  <si>
    <t xml:space="preserve">7.1.1. Penataan Halaman Kantor Dinas Sosial (lanjutan)  </t>
  </si>
  <si>
    <t xml:space="preserve">7.1.2. Penataan halaman masjid polres Raja Ampat  </t>
  </si>
  <si>
    <t xml:space="preserve">7.1.3. Pengadaan Teralis Kantor Dinas Sosial  </t>
  </si>
  <si>
    <t>7.2. Program Pemberdayaan Penyandang Masalah Kesejahteraan Sosial (PMKS) dan Potensi Sumber Daya Kesejahteraan Sosial (PSKS)</t>
  </si>
  <si>
    <t xml:space="preserve">7.2.1. Operasional TKSK  </t>
  </si>
  <si>
    <t xml:space="preserve">7.2.2. Operasional Pendampingan PKH  </t>
  </si>
  <si>
    <t xml:space="preserve">7.2.3. Kegiatan Wisata Rohani Keagamaan (Yerusalem dan Mekkah)  </t>
  </si>
  <si>
    <t>7.3. Program Informasi Sistem Kesejahteraan Sosial</t>
  </si>
  <si>
    <t xml:space="preserve">7.3.1. Penyusunan Renja, RKA, SIRUP, dan Lakip Dinas Sosial  </t>
  </si>
  <si>
    <t xml:space="preserve">7.3.2. Monitoring dan evaluasi kegiatan </t>
  </si>
  <si>
    <t>8. DINAS TENAGA KERJA DAN TRANSMIGRASI</t>
  </si>
  <si>
    <t>6. DINAS PERUMAHAN, KAWASAN PEMUKIMAN, TATA RUANG DAN PERTANAHAN</t>
  </si>
  <si>
    <t>6.1. Program Pengembangan dan Pembangunan Perumahan</t>
  </si>
  <si>
    <t xml:space="preserve">6.1.1. Pembangunan Homestay di Yenbeser </t>
  </si>
  <si>
    <t xml:space="preserve">6.1.2. Pembangunan Homestay Raja Ampat  </t>
  </si>
  <si>
    <t xml:space="preserve">6.1.3. Pembangunan Homestay di Pantai Saleo Distrik Waigeo Selatan </t>
  </si>
  <si>
    <t>6.2. Program Pengembangan dan Pembangunan Infrastruktur Kawasan Permukiman</t>
  </si>
  <si>
    <t xml:space="preserve">6.2.1. Peningkatan Jalan Lingkungan di Kampung Folley  </t>
  </si>
  <si>
    <t>6.3. Program Pembangunan Saranan dan Prasrana Umum</t>
  </si>
  <si>
    <t xml:space="preserve">6.3.1. Pembangunan Mesjid Raya Waisai  </t>
  </si>
  <si>
    <t>14. DINAS PENANAMAN MODAL DAN PELAYANAN TERPADU SATU PINTU</t>
  </si>
  <si>
    <t>16.1. Program Peningkatan Sarana dan Prasarana Aparatur</t>
  </si>
  <si>
    <t>19. SEKRETARIAT DAERAH</t>
  </si>
  <si>
    <t>21. BADAN PENGELOLA KEUANGAN DAN ASET DAERAH</t>
  </si>
  <si>
    <t>21.1. Belanja Bantuan Keuangan Fungsi Pendidikan</t>
  </si>
  <si>
    <t xml:space="preserve">21.1.1. Belanja Bantuan Operasional Sekolah Daerah (BOSDA)  </t>
  </si>
  <si>
    <t>21.1.2. Bantuan Perkuliahan Mahasiswa Perikanan,Kelautan dan Pariwisata UNIPA-Raja Ampat  (DINAS P&amp;P)</t>
  </si>
  <si>
    <t xml:space="preserve">21.1.3. Bantuan Perkuliahan Mahasiswa PGSD - STKIP (Dinas Pendidikan)  </t>
  </si>
  <si>
    <t xml:space="preserve">21.1.4. Belanja Bantuan Study Akhir Mahasiswa (Dinas Pendidikan)  </t>
  </si>
  <si>
    <t xml:space="preserve">21.1.5. Belanja Biaya Study S1 STPMD  (Dinas Pendidikan)  </t>
  </si>
  <si>
    <t xml:space="preserve">21.1.6. Belanja Biaya Study S1 Universitas De La Salle Manado  (Dinas Pendidikan) </t>
  </si>
  <si>
    <t xml:space="preserve">21.1.7. Belanja Bantuan Study Mahasiswa (Dinas Pendidikan)  </t>
  </si>
  <si>
    <t>21.1.8. Belanja Bantuan Studi Lanjutan S1 Bagi Guru Yang Berijazah D2, D3, D4  (Dinas Pendidikan)</t>
  </si>
  <si>
    <t>21.2.1. Belanja Bantuan Jaminan Persalinan (JAMPERSAL)  (Dinas Kesehatan)</t>
  </si>
  <si>
    <t>SDH INPUT</t>
  </si>
  <si>
    <t>1.2. Program Manajemen Pelayanan Pendidikan</t>
  </si>
  <si>
    <t>1.1.1. Penyelenggaraan Paket A Setara SD</t>
  </si>
  <si>
    <t>1.1.2. Penyelenggaraan Paket B Setara SMP</t>
  </si>
  <si>
    <t>1.1.3. Penyelenggaraan Paket C Setara SMA</t>
  </si>
  <si>
    <t>1.1.4. Penyelenggaraan Ujian Sekolah dan Ujian Nasional Jenjang SD/SMP</t>
  </si>
  <si>
    <t>1.1.5. Pembangunan / Peningkatan Sarana dan Prasarana Pendidikan SD.</t>
  </si>
  <si>
    <t xml:space="preserve">1.2.1. Monitoring dan Evaluasi SDM di Sekolah </t>
  </si>
  <si>
    <t>1.3. Program Pengembangan Potensi Belajar</t>
  </si>
  <si>
    <t>1.3.1. Fasilitas Pengiriman Peserta  O2SN, FLSN, LKS</t>
  </si>
  <si>
    <t>1.3.2. Penyelenggaraan Lomba Cerdas Cermat SD Tingkat Kota</t>
  </si>
  <si>
    <t>1.4. Program Peningkatan Sarana, Prasarana an Mutu Pendidikan</t>
  </si>
  <si>
    <t>1.4.1. Pengadaan Pakaian Seragam dan Peralatan Sekolah Siswa/I Asli Papua</t>
  </si>
  <si>
    <t>1.4.2. Peningkatan Sarana dan Prasarana dan Mutu Pendidikan TK, SD/MI, SMP/MTs</t>
  </si>
  <si>
    <t>1.5. Program Pengembangan Nilai Budaya</t>
  </si>
  <si>
    <t xml:space="preserve"> 1.5.1. Pelestarian Adat Budaya Daerah</t>
  </si>
  <si>
    <t>1.5.2. Pengembangan Sarana Kebudayaan</t>
  </si>
  <si>
    <t>1.6. Program Pengelolaan Kekayaan Budaya</t>
  </si>
  <si>
    <t>1.6.1. Pengelolaan, Pengembangan dan Pelestarian Peninggalan Sejarah</t>
  </si>
  <si>
    <t>1.7. Program Pengelolaan Keragaman Budaya</t>
  </si>
  <si>
    <t>1.7.1. Pengembangan Kesenian dan Budaya Daerah</t>
  </si>
  <si>
    <t>2.1.2. Tambahan Penghasilan Berdasarkan Kelangkaan Profesi</t>
  </si>
  <si>
    <t>2.2.1. Peningkatan Kapasitas Kader Pos Yandu</t>
  </si>
  <si>
    <t>2.2.2. Rapat Kerja Kesehatan Daerah Kota Sorong</t>
  </si>
  <si>
    <t>2.3.1. Peningkatan Penangggulangan Gizi Masyarakat</t>
  </si>
  <si>
    <t>2.4.1. Peningkatan Pelayanan Program IMS-HIV/AIDS</t>
  </si>
  <si>
    <t>2.4.2. Pengobatan Masal Filarisais</t>
  </si>
  <si>
    <t>2.5. Program Standarisasi Pelayanan Kesehatan</t>
  </si>
  <si>
    <t>2.5.1. Kalibrasi Alat Kesehatan Puskesmas</t>
  </si>
  <si>
    <t>2.6. Program Pengadaan, Peningkatan dan Perbaikan Sarana dan Prasarana Puskesmas/Pustu dan Jaringannya</t>
  </si>
  <si>
    <t>2.6.1. Pembangunan Gudang Farmasi Kota Sorong</t>
  </si>
  <si>
    <t>2.6.2. Pembangunan Instalasi IPAL Puskesmas</t>
  </si>
  <si>
    <t>2.6.3. Pembangunan Puskesmas Dom (Lanjutan Tahap 3)</t>
  </si>
  <si>
    <t xml:space="preserve">2.5.4. Pengadaan Alat Kesehatan </t>
  </si>
  <si>
    <t>2.7. Program Pemeliharaan Sarana dan Prasarana Rumah Sakit/Rumah Sakit Jiwa/Rumah</t>
  </si>
  <si>
    <t>2.8. Program Kemitraan Peningkatan Pelayanan Keseahatan</t>
  </si>
  <si>
    <t>2.8.1. Jaminan Kesehatan Bagi Orang Asli Papua</t>
  </si>
  <si>
    <t>2.9. Program Peningkatan Sumber Daya Kesehatan</t>
  </si>
  <si>
    <t>2.9.1. Peningkatan Kapasitas Tenaga Kesehatan Puskesmas dan Pustu</t>
  </si>
  <si>
    <t>2.9.2. Pelatihan Aplikasi Sarana Prasarana dan Alat Kesehatan (ASPAK) dan Sistem Informasi kesehatan Puskesmas</t>
  </si>
  <si>
    <t>3.1.1. Pembangunan Gedung Perinatologi</t>
  </si>
  <si>
    <t>3.1.2. Pengadaan Peralatan Kantor</t>
  </si>
  <si>
    <t>3.1.3. Pengadaan Perlengkapan Kantor</t>
  </si>
  <si>
    <t>3.1.4. Pembangunan Lanjutan Tahapan V Gedung Poli Rawat Jalan dan Kantor Administrasi</t>
  </si>
  <si>
    <t>3.1.5. Pembangunan Lanjutan Poli Rawat Jalan Khusus</t>
  </si>
  <si>
    <t>3.1.6. Pengadaan Obat-obatan Rumah Sakit</t>
  </si>
  <si>
    <t>4.1.1. Peningkatan Jalan Dalam Kota Sorong Dengan Rigid</t>
  </si>
  <si>
    <t>4.1.2. Pembangunan Jalan Dalam Kota Sorong</t>
  </si>
  <si>
    <t>4.3. Program Pembangunan Infrastruktur Pedesaan</t>
  </si>
  <si>
    <t>4.3.1. Pembuatan Kanopi dan Rolling Door</t>
  </si>
  <si>
    <t>4.2.1. Pembangunan Drainase Lingkungan</t>
  </si>
  <si>
    <t>4.2.2. Pembangunan Saluran Drainase/Gorong-gorong</t>
  </si>
  <si>
    <t xml:space="preserve">4.4. Program Penyiapan Potensi Sumber Daya, Sarana dan Prasarana Daerah </t>
  </si>
  <si>
    <t xml:space="preserve">4.4.1. Pembangunan Gedung VIP Kantor Walikota </t>
  </si>
  <si>
    <t>4.4.2. Pembangunan Lansekep Pasar Modern Rufei dan Terminal Tipe C</t>
  </si>
  <si>
    <t>4.5. Program Peningkatan Sarana dan Prasarana Pemerintahan</t>
  </si>
  <si>
    <t>4.5.1. Pembangunan Kantor Dinas DPUPR Kota Sorong</t>
  </si>
  <si>
    <t>4.6. Program Pembangunan Prasarana dan Fasilitas</t>
  </si>
  <si>
    <t>4.6.1. Pembangunan Gedung VIP Bandara DEO Sorong</t>
  </si>
  <si>
    <t>51.1. Pembangunan Sarana dan Prasarana Rumah Sederhana Sehat</t>
  </si>
  <si>
    <t>5.1.2. Pembangunan Lanjutan Rumah Layak Huni</t>
  </si>
  <si>
    <t>6.1. Program Kemitraan  Pengembangan Wawasan Kebangsaan</t>
  </si>
  <si>
    <t>6.1.1. Pemberdayaan Forum Lintas Suku Asli Papua (FLSAPR)</t>
  </si>
  <si>
    <t>7.1. Program Pelayanan dan Rehabilitasi Kesejahteraan Sosial</t>
  </si>
  <si>
    <t>7.1.1. Rehabilitasi Panti</t>
  </si>
  <si>
    <t>8. BADAN PENANGGULANGAN BENCANA</t>
  </si>
  <si>
    <t>8.1. Program Pencegahan Dini dan Penanggulangan Bencana</t>
  </si>
  <si>
    <t>8.1.1. Pemberdayaan Ekonomi Masyarakat Terdampak Bencana</t>
  </si>
  <si>
    <t>9. DINAS TENAGA KERJA</t>
  </si>
  <si>
    <t>9.1.1. Peningkatan Keterampilan Kerja Melalui Pelatihan Perbekalan</t>
  </si>
  <si>
    <t>9.1.2. Penyusunan Data Base Tenaga Kerja</t>
  </si>
  <si>
    <t xml:space="preserve">9.2. Program Perlindungan dan Pengembangan Lembaga Ketenagakerjaan </t>
  </si>
  <si>
    <t>9.2.1. Fasilitasi Penyelesaian Prosedur dan Penyelesaian Perselisihan Hubungan Industrial</t>
  </si>
  <si>
    <t>9.3. Program Peningkatan Kesempatan Tenaga Kerja</t>
  </si>
  <si>
    <t xml:space="preserve">9.3.1. Perluasan Kesempatan Kerja dan Pengurangan Pengangguran </t>
  </si>
  <si>
    <r>
      <t>10. DINAS PEMBERDAYAAN PEREMPUAN DAN PERLINDUNGAN ANAK</t>
    </r>
    <r>
      <rPr>
        <b/>
        <sz val="11"/>
        <color rgb="FFFF0000"/>
        <rFont val="Calibri"/>
        <family val="2"/>
        <scheme val="minor"/>
      </rPr>
      <t xml:space="preserve">  </t>
    </r>
  </si>
  <si>
    <t xml:space="preserve">10.1. Program Keserasian Kebijakan Peningkatan Kualitas Anak dan Perempuan </t>
  </si>
  <si>
    <t>10.1.1. Pemetaan Potensi Organisasi dan Lembaga Masyarakat yang Berperan dalam Pemberdayaan Perempuan dan Anak</t>
  </si>
  <si>
    <t>10.2. Program Peningkatan Kualitas Hidup dan Perlindungan Perempuan</t>
  </si>
  <si>
    <t>10.2.1. Pelatihan Bagi Pelatih (TOT) SDM Pelayanan dan Pendampingan Korban KDRT</t>
  </si>
  <si>
    <t>10.2.2. Penyusunan Sistem Perlindungan Bagi Perempuan</t>
  </si>
  <si>
    <t>10.2.3. Pernikahan Massal</t>
  </si>
  <si>
    <t>10.3. Program Peningkatan Peran Serta dan Kesetaraan Gender Dalam Pembangunan</t>
  </si>
  <si>
    <t>10.3.1. Pelaksanaan Sosialisasi yang Terkait dengan Kesetaraan Gender</t>
  </si>
  <si>
    <t>10.4. Program Perlindungan Anak dan Korban Kekerasan</t>
  </si>
  <si>
    <t>10.4.1. Pengembangan Sistem Informasi Gender dan TPP</t>
  </si>
  <si>
    <t>10.4.2. Kampanye Bersama-sama Lindungi Anak</t>
  </si>
  <si>
    <t>10.5. Program Pengembangan Kewirausahaan dan Keunggulan Kompetitif Usaha Kecil Menengah</t>
  </si>
  <si>
    <t>10.5.1. Bimbingan Manajemen Usaha Bagi Perempuan Dalam Mengelola Usaha</t>
  </si>
  <si>
    <t>10.5.1. Pengadaan Meubelair Kantor Baru Dinas Pemberdayaan Perempuan dan Perlindungan Anak</t>
  </si>
  <si>
    <t>11. DINAS PERLINDUNGAN DAN PENGELOLAAN LINGKUNGAN HIDUP</t>
  </si>
  <si>
    <t xml:space="preserve"> </t>
  </si>
  <si>
    <t>11.1. Program Pengendalian Pencemaran dan Perusakan Lingkungan Hidup</t>
  </si>
  <si>
    <t>11.1.1. Pengawasan Pelaksanaan Kebijakan Bidang Lingkungan Hidup</t>
  </si>
  <si>
    <t>11.1.2. Pengelolaan B3 dan Limbah B3</t>
  </si>
  <si>
    <t>11.1.3. Peningkatan Peringkat Kinerja Perusahaan  (Proper)</t>
  </si>
  <si>
    <t>11.1.4. Pendataan Perusahaan Wajib AMDAL, UKL, IPL, SPPL</t>
  </si>
  <si>
    <t>11.1.5. Penilaian Lingkungan Hidup Sekolah</t>
  </si>
  <si>
    <t>11.1.6. Pengendalian Kerusakan Hutan dan Lahan</t>
  </si>
  <si>
    <t>11.2. Program Perlindungan dan Konservasi Sumber Daya Alam</t>
  </si>
  <si>
    <t>11.2.1. Konservasi Sumber Daya Air dan Pengendalian Kerusakan Sumber-sumber Air</t>
  </si>
  <si>
    <t>11.2.2. Penanaman Mogrove dan Tanaman Hias</t>
  </si>
  <si>
    <t>11.3. Program Pengelolaan Ruang Terbuka Hijau</t>
  </si>
  <si>
    <t>1.3.1. Pemeliharaan RTH</t>
  </si>
  <si>
    <t>12.  DINAS PEMBERDAYAAN MASYARAKAT</t>
  </si>
  <si>
    <t xml:space="preserve">12.1. Program Peningkatan Partisipasi Masyarakat Dalam Membangun Desa </t>
  </si>
  <si>
    <t>12.1.1. Pemberdayaan Masyarakat</t>
  </si>
  <si>
    <t>12.1.2. Pelatihan Keterampilan Bagi Mama-Mama Papua</t>
  </si>
  <si>
    <t>12.1.3. Bintek Penyusunan Profil Kampung dan Kelurahan</t>
  </si>
  <si>
    <t>13. DINAS PERHUBUNGAN</t>
  </si>
  <si>
    <t>13.1. Program Pembangunan Sarana dan Prasarana Perhubungan</t>
  </si>
  <si>
    <t>13.1.1. Pengecatan Marka Jalan</t>
  </si>
  <si>
    <t>14.1. Program Pengembangan Kewirausahaan dan Keunggulan Kompetitif Usaha Kecil Menengah</t>
  </si>
  <si>
    <t>14.1.1. Pelatihan Manajemen Pengelolaan Koperasi/UMKM</t>
  </si>
  <si>
    <t>14.1.2. Sosialisasi Peraturan Perundang-undangan Koperasi</t>
  </si>
  <si>
    <t xml:space="preserve">14.1.3. Monitoring Evaluasi dan Pelaporan </t>
  </si>
  <si>
    <t>14.1.4. Penilaian Kesehatan Koperasi</t>
  </si>
  <si>
    <t>14.1.5. Pendampingan Rapat Anggota Tahunan Koperasi</t>
  </si>
  <si>
    <t>14.1.6. Bimbingan Teknis Komputer dan Akuntansi bagi UMKM</t>
  </si>
  <si>
    <t xml:space="preserve">14.2. Program Pembinaan Pedagang Kaki Lima dan Asongan </t>
  </si>
  <si>
    <t>14.2.1. Bantuan Modal Usaha Bagi Pengusaha OAP Mikro, Kecil dan Menengah</t>
  </si>
  <si>
    <t>14. DINAS KOPERASI, USAHA MIKRO, KECIL DAN MENENGAH</t>
  </si>
  <si>
    <t>15. DINAS PERIKANAN</t>
  </si>
  <si>
    <t>15.1. Program Pemberdayaan Ekonomi Masyarakat Pesisir</t>
  </si>
  <si>
    <t>15.1.1. Pengadaan Sarana dan Prasarana Alat Penangkapan Ikan</t>
  </si>
  <si>
    <t>15.2. Program Optimalisasi Pengelolaan dan Pemasaran Produksi Hasil Perikanan</t>
  </si>
  <si>
    <t>15.2.1. Sekolah Lapang Nelayan Pelatihan Pembuatan Rumpun dan Pelatihan Kewirausahaan</t>
  </si>
  <si>
    <t>16. DINAS PARIWISATA</t>
  </si>
  <si>
    <t>16.1. Program Pengembangan Destinasi Pariwisata</t>
  </si>
  <si>
    <t>16.1.1. Pembangunan Fasilitas Pendukung Pariwisata</t>
  </si>
  <si>
    <t>16.1.2. Penataan Kawasan Hutan Manggrov Klawalu Sorong KM.12</t>
  </si>
  <si>
    <t>16.1.3. Pelatihan dan Bantuan Sanggar Seni</t>
  </si>
  <si>
    <t>17. DINAS PERTANIAN</t>
  </si>
  <si>
    <t>17.1. Program Peningkatan Produksi Pertanian / Perkebunan</t>
  </si>
  <si>
    <t>17.1.1. Pengembangan Bibit Unggul Pertanian / Perkebunan</t>
  </si>
  <si>
    <t>18. DINAS PERDAGANGAN</t>
  </si>
  <si>
    <t>18.1. Program Peningkatan Efisiensi Perdagangan Dalam Negeri</t>
  </si>
  <si>
    <t>18.1.1. Penyelenggaraan Pasar Murah</t>
  </si>
  <si>
    <t>18.1.2. Pengawasan Pada Distributor/Sub Distributor Bahan Pokok dan Barang</t>
  </si>
  <si>
    <t xml:space="preserve">18.2. Program Pembinaan Pedagang Kaki Lima dan Asongan </t>
  </si>
  <si>
    <t>18.2.1. Bantuan Modal Usaha Bagi Usaha Masyarakat Papua</t>
  </si>
  <si>
    <t>18.2.2. Bantuan Modal Usaha Bagi Usaha Kecil</t>
  </si>
  <si>
    <t>18.2.3. Pembinaan Organisasi Pedagang Kaki Lima dan Asongan</t>
  </si>
  <si>
    <t>19. DINAS PERINDUSTRIAN</t>
  </si>
  <si>
    <t>19.1. Program Pengembangan Industri Kecil dan Menengah</t>
  </si>
  <si>
    <t>19.1.1. Pembinaan IKM Dalam Memperkuat Jaringan Klaster Industri</t>
  </si>
  <si>
    <t>19.1.2. Magang Pengrajin Asli Papua</t>
  </si>
  <si>
    <t>19.1.3. Pelatihan Ukiran dan Cinderamata Khas Papua</t>
  </si>
  <si>
    <t>19.1.4. Pameran Produksi Industri Nasional</t>
  </si>
  <si>
    <t>20. DISTRIK SORONG TIMUR</t>
  </si>
  <si>
    <t>21. DISTRIK SORONG BARAT</t>
  </si>
  <si>
    <t>22. DISTRIK SORONG KEPULAUAN</t>
  </si>
  <si>
    <t>23. DISTRIK SORONG</t>
  </si>
  <si>
    <t>24. DISRIK SORONG UTARA</t>
  </si>
  <si>
    <t>24.1. Program Pemberdayaan Masyarakat Kota Sorong</t>
  </si>
  <si>
    <t>24.1.1. Pemberdayaan Masyarakat Lingkungan Distrik dan Kelurahan</t>
  </si>
  <si>
    <t>25. DISTRIK MANOI</t>
  </si>
  <si>
    <t>25.1. Program Peningkatan Partisipasi Masyarakat dalam Membangun Desa</t>
  </si>
  <si>
    <t>25.1.1. Pemberdayaan Masyarakat Lingkungan Distrik dan Kelurahan</t>
  </si>
  <si>
    <t>26. DISTRIK MALADOM MES</t>
  </si>
  <si>
    <t>26.1. Program Peningkatan Partisipasi Masyarakat dalam Membangun Desa</t>
  </si>
  <si>
    <t>26.1.1.  Pemberdayaan Masyarakat Lingkungan Distrik dan Kelurahan</t>
  </si>
  <si>
    <t>27. DISTRIK SORONG KOTA</t>
  </si>
  <si>
    <t>27.1. Program Peningkatan Partisipasi Masyarakat dalam Membangun Desa</t>
  </si>
  <si>
    <t>27.1.1. Pemberdayaan Masyarakat Lingkungan Distrik dan Kelurahan</t>
  </si>
  <si>
    <t>28. DISTRIK KLAURUNG</t>
  </si>
  <si>
    <t>28.1. Program Peningkatan Partisipasi Masyarakat dalam Membangun Desa</t>
  </si>
  <si>
    <t>28.1.1. Pemberdayaan Masyarakat Lingkungan Distrik dan Kelurahan</t>
  </si>
  <si>
    <t>29. DISTRIK MALAIMSIMSA</t>
  </si>
  <si>
    <t>29.1. Program Peningkatan Partisipasi Masyarakat dalam Membangun Desa</t>
  </si>
  <si>
    <t>29.1.1. Pemberdayaan Masyarakat Lingkungan Distrik dan Kelurahan</t>
  </si>
  <si>
    <t>30. INSPEKTORAT DAERAH</t>
  </si>
  <si>
    <t>30.1. Program Peningkatan Profesionalisme Tenaga Pemeriksa dan Aparatur Pengawasan</t>
  </si>
  <si>
    <t>30.1.1. Pelatihan Pengembangan Tenaga Pemeriksa dan Aparatur Pengawasan</t>
  </si>
  <si>
    <t>31. BADAN PERENCANAAN DAN PEMBANGUNAN DAERAH</t>
  </si>
  <si>
    <t>31.1. Program Perencanaan Pembangunan Daerah</t>
  </si>
  <si>
    <t>31.1.1. Monitoring, Evaluasi, Pengendalian dan Pelaporan Pelaksanaan Rencana  Pembangunan Daerah</t>
  </si>
  <si>
    <t>31.1.2. Pameran Otsus Kota Sorong</t>
  </si>
  <si>
    <t>31.1.3. Penyusunan URD/RD Otsus Kota Sorong</t>
  </si>
  <si>
    <t>31.2. Program Perencanaan Pembangunan Ekonomi</t>
  </si>
  <si>
    <t>31.2.1. Penyusunan Dokumen Perencanaan Bidang Ekonomi</t>
  </si>
  <si>
    <t>31.3. Program Pengendalian Pemanfaatan Ruang</t>
  </si>
  <si>
    <t>31.3.1. Penyusunan Dokumen Rencana Detail Tata Ruang (RDTR) Kota Sorong</t>
  </si>
  <si>
    <t>31.3.2. Penyusunan Dokumen KLHS Kota Sorong</t>
  </si>
  <si>
    <t>31.3.3. Review Dokumen RT/RW Kota Sorong</t>
  </si>
  <si>
    <t>31.3.4. Koordinasi Perencanaan, Pemanfaatan, Pengendalian dan Pengawasan Tata Ruang di Kota Sorong (Pojok BKPRD)</t>
  </si>
  <si>
    <t>32. BADAN PENGELOLA KEUANGAN DAN ASET DAERAH  (PPKD)</t>
  </si>
  <si>
    <t>32.1. Belanja Hibah kepada Badan/Lembaga/Organisasi</t>
  </si>
  <si>
    <t>32.2. Belanja Bantuan Sosial Organisasi Kemasyarakatan</t>
  </si>
  <si>
    <t xml:space="preserve">32.3. Belanja Bantuan Sosial kepada Anggota Masyarakat Perorangan </t>
  </si>
  <si>
    <t>32.4. Belanja Bantuan Pendidikan</t>
  </si>
  <si>
    <t>2.7.1. Pembangunan Gedung Public Safety Center (PCS)</t>
  </si>
  <si>
    <t>11.1.7. Peningkatan Peran Serta Masyarakat dalam Pengendalian Lahan dan Konservasi SDA</t>
  </si>
  <si>
    <t xml:space="preserve">1.8.2. Festival Suling Tambur </t>
  </si>
  <si>
    <t>21.2. Belanja Bantuan Keuangan</t>
  </si>
  <si>
    <t>Tabel A.3</t>
  </si>
  <si>
    <t>sdh diinput</t>
  </si>
  <si>
    <t>24. BADAN KEPEGAWAIAN DAERAH</t>
  </si>
  <si>
    <t>25. BADAN PENGELOLA KEUANGAN DAN ASET DAERAH (PPKD)</t>
  </si>
  <si>
    <t>SDH DIINPUT</t>
  </si>
  <si>
    <t>25. BADAN PENGELOLA  KEUANGAN DAN ASET DAERAH  (PPKD)</t>
  </si>
  <si>
    <t>25.2.  Belanja Bantuan Pendiidkan</t>
  </si>
  <si>
    <t>1.1.10.Matrikulasi MIPA siswa SD Inpres Bofuwer</t>
  </si>
  <si>
    <t>1.1.11.Matrikulasi MIPA siswa SD Inpres Tanusan</t>
  </si>
  <si>
    <t>1.1.12.Matrikulasi MIPA siswa SMPN 2 Tl Arguni di Tanusan</t>
  </si>
  <si>
    <t>1.1.13.Matrikulasi MIPA siswa SMPN 1 TL Arguni di Bofuwer</t>
  </si>
  <si>
    <t>1.3.4. Cerdas cermat umum tingkat SD ( khusus ) sekolah Kampung</t>
  </si>
  <si>
    <t>1.3.5. Cerdas Cermat Umum Tingkat SMP ( khusus ) Kampung</t>
  </si>
  <si>
    <t>1.3.6. Martikulasi MIPA dan Bhs Inggris khusus siswa Papua tingkat SLTP dalam kota</t>
  </si>
  <si>
    <t>1.3.7. Martikulasi MIPA tingkat SD khusus siswa asli papua dalam kota</t>
  </si>
  <si>
    <t>1.3.8. Biaya Pendidikan Mahasiswa Senidan Bahasa Kerjasama Pemda dan UNJ</t>
  </si>
  <si>
    <t>3.1.3. Rehabilitasi sedang/berat gedung kantor</t>
  </si>
  <si>
    <t>13.3.1. Penyusunan Indikator Kemiskinan Manusia</t>
  </si>
  <si>
    <t>sdh input</t>
  </si>
  <si>
    <t>1.1.1. Penyelenggaraan Pendidikan Anak Usia Dini</t>
  </si>
  <si>
    <t>1.1.2. Diklat Berjenjang Pendidik PAUD/TK Tingkat Lanjutan</t>
  </si>
  <si>
    <t>1.1.3. Penyetaraan Bidang Ilmu Pendidik TK dari PGSD ke PGPAUD</t>
  </si>
  <si>
    <t>1.2.1. Pembangunan gedung sekolah</t>
  </si>
  <si>
    <t>1.2.2. Pengadaan mebeluer sekolah</t>
  </si>
  <si>
    <t>1.2.3. Pengadaan perlengkapan sekolah</t>
  </si>
  <si>
    <t>1.2.4. Pengadaan sarana mobilitas sekolah</t>
  </si>
  <si>
    <t>1.2.5. Cerdas Cermat MIPA Siswa Matrikulasi Tk. SD</t>
  </si>
  <si>
    <t>1.2.6. Cerdas Cermat MIPA Siswa Matrikulasi Tk. SMP</t>
  </si>
  <si>
    <t>1.2.7. Pelaksanan UASBN SD</t>
  </si>
  <si>
    <t>1.2.8. Bantuan Operasional Sekolah Daerah (BOSDA)</t>
  </si>
  <si>
    <t>1.2.9. Operasional Penampungan Siswa Tingkat SMP di 7 Distrik</t>
  </si>
  <si>
    <t>1.2.10.Matrikulasi Matematika Siswa SD di Wilayah Teluk Arguni Atas</t>
  </si>
  <si>
    <t>1.2.11.Matrikulasi Matematika Siswa SD di Wilayah Mairasi</t>
  </si>
  <si>
    <t>1.2.12.Matrikulasi MIPA SMPN 4 Kaimana dan SMPN 1 Teluk Etna</t>
  </si>
  <si>
    <t>1.2.13.Matrikulasi MIPA SMPN 3 Teluk Arguni dan SMPN 1 Kambrauw</t>
  </si>
  <si>
    <t>1.3. Program Pendidikan Non Formal dan Informal</t>
  </si>
  <si>
    <t>1.3.1. Akreditasi Lembaga PKBM/PAUD/TK/TPA</t>
  </si>
  <si>
    <t>1.3.2. Konfrensi Nasional IGTK</t>
  </si>
  <si>
    <t>1.3.3. Sosialisasi Ujian Paket A, B, C</t>
  </si>
  <si>
    <t>1.4. Program Peningkatan Mutu Pendidik dan Tenaga Kependidikan</t>
  </si>
  <si>
    <t>1.4.1. Pendidikan lanjutan bagi pendidik untuk memenuhi standar kualifikasi</t>
  </si>
  <si>
    <t>1.4.2. Pelatihan Penyusunan Rencana Pembelajaran Bagi Guru SD di Kampung</t>
  </si>
  <si>
    <t>1.5.1. Biaya Pendidikan Mahasiswa Seni dan Bahasa Kerjasama Pemda Kaimana dengan UNJ</t>
  </si>
  <si>
    <t>1.5.2. Revitalisasi Manajemen Asrama Sekolah</t>
  </si>
  <si>
    <t>1.5.3. Afirmasi Pendidikan Menengah (ADEM) Bagi Putra/i Asli Papua</t>
  </si>
  <si>
    <t>1.5.4. Afirmasi Pendidikan Tinggi (ADIK) bagi Putra/putri Asli Papua</t>
  </si>
  <si>
    <t>1.5.5. Biaya Pendidikan Mahasiswa Guru Penjas Kerjasama PEMDA Kaimana dengan UNJ</t>
  </si>
  <si>
    <t>1.5.6. Fasilitasi dan Operasional UPTD Distrik Teluk Arguni</t>
  </si>
  <si>
    <t>1.5.7. Fasilitasi dan Operasional UPTD Distrik Arguni Bawah</t>
  </si>
  <si>
    <t>1.5.8. Fasilitasi dan Operasional UPTD Distrik Kambrau</t>
  </si>
  <si>
    <t>1.5.9. Fasilitasi dan Operasional UPTD Distrik Buruway</t>
  </si>
  <si>
    <t>1.5.10.Fasilitasi dan Operasional UPTD Distrik Teluk Etna</t>
  </si>
  <si>
    <t>1.5.11.Fasilitasi dan Operasional UPTD Distrik Yamor</t>
  </si>
  <si>
    <t>1.6. Program peningkatan sarana dan Prasarana Olah Raga</t>
  </si>
  <si>
    <t>1.6.1. Pembangunan Sarana Olah Raga</t>
  </si>
  <si>
    <t>2.2.1. Pembangunan gedung Dinas</t>
  </si>
  <si>
    <t>2.2.2. Pembangunan gedung kantor</t>
  </si>
  <si>
    <t>2.2.3. Pengadaan Kendaraan dinas/operasional</t>
  </si>
  <si>
    <t>2.2.4. Pengadaan perlengkapan gedung kantor</t>
  </si>
  <si>
    <t>2.2.5. Pengadaan peralatan gedung kantor</t>
  </si>
  <si>
    <t>2.2.6. Pengadaan mebeleur</t>
  </si>
  <si>
    <t>2.2.7. Pengadaan Motor Tempel</t>
  </si>
  <si>
    <t>2.2.8. Rehabilitasi sedang/berat rumah dinas</t>
  </si>
  <si>
    <t>2.2.9. Rehabilitasi sedang/berat gedung kantor</t>
  </si>
  <si>
    <t>2.6.2. Pemberian obat cacing pada anak SD kelas 1 s.d 6 tahap I</t>
  </si>
  <si>
    <t xml:space="preserve">2.6.3. Pengobatan Massal Filariasis </t>
  </si>
  <si>
    <t>2.6.5. Kawasan Tanpa Rokok ( KTR )</t>
  </si>
  <si>
    <t>2.6.6. Penanggulangan Wabah dan Bencana</t>
  </si>
  <si>
    <t>2.6.7. Revitalisasi Juru Pemantau Jentik (JUMANTIK)</t>
  </si>
  <si>
    <t>2.7.1. Penyuluhan Kesehatan Terpadu NAPZA/HIV-AIDS dan Remaja Reproduktif</t>
  </si>
  <si>
    <t>2.8.1. Audit Maternal Perinatal (AMP)</t>
  </si>
  <si>
    <t>2.8.2. Pelaksanaan kelas ibu Hamil</t>
  </si>
  <si>
    <t>2.9.1. Sosialisasi dan Pendampingan Perencanaan Tingkat Puskesmas (PTP) Terpadu</t>
  </si>
  <si>
    <t>2.11.2. Penunjang Kegiatan Puskesmas</t>
  </si>
  <si>
    <t>2.11.3. Penyediaan biaya rujukan pasien gawat darurat (dari PKM ke RSUD)</t>
  </si>
  <si>
    <t>2.11.4. Puskesmas Jalan Kaki (Pusjaki)</t>
  </si>
  <si>
    <t>2.11.5. Pelayanan THT</t>
  </si>
  <si>
    <t>2.11.6. Pendataan dan Sosialisasi BATRA</t>
  </si>
  <si>
    <t>2.11.7. Jaminan Kesehatan Bagi Orang Asli Papua  (BPJS Kesehatan)</t>
  </si>
  <si>
    <t>2.11.8. Pelayanan Kesehatan Kulit</t>
  </si>
  <si>
    <t>3.1.1. Rehabilitasi sedang/berat gedung kantor</t>
  </si>
  <si>
    <t>4.1. Program pembangunan turap/talud/bronjong</t>
  </si>
  <si>
    <t>4.1.1. Pembangunan turap/talud/bronjong</t>
  </si>
  <si>
    <t>5.1.1. Bantuan Perumahan Swadaya</t>
  </si>
  <si>
    <t>6.3.1. Pengadaan pagar pengaman jalan</t>
  </si>
  <si>
    <t>6.3.2. Pengadaan Prasarana Lalu Lintas</t>
  </si>
  <si>
    <t>7.1.2. Lomba Cipta Menu Beragam, Bergizi, Seimbang dan Aman (B2SA) Berbasis Pangan Lokal Tingkat Provinsi</t>
  </si>
  <si>
    <t>7.1.3. Pemanfaatan Pekarangan</t>
  </si>
  <si>
    <t>8.1.1. Pembangunan gedung kantor</t>
  </si>
  <si>
    <t>8.2. Pemberdayaan Penyuluh Pertanian Lapangan (PPL)</t>
  </si>
  <si>
    <t>8.2.1. Penunjang Bagi Kantor Balai Penyuluhan Pertanian</t>
  </si>
  <si>
    <t>8.3. Program peningkatan  produksi pertanian/ perkebunan</t>
  </si>
  <si>
    <t>8.3.1. Mobilisasi Peralatan Pertanian</t>
  </si>
  <si>
    <t xml:space="preserve">8.3.2. Penyediaan Bibit tanaman Buah-Buahan bagi Masyarakat Tani  </t>
  </si>
  <si>
    <t xml:space="preserve">8.3.3. Pengadaan Bibit/benih Sayuran Untuk Petani di 7 Distrik  </t>
  </si>
  <si>
    <t xml:space="preserve">8.3.4. Pengadaan Obat-Obatan dan Peralatan Pertanian </t>
  </si>
  <si>
    <t>8.3.5. Penanaman Sejuta Pala</t>
  </si>
  <si>
    <t>8.3.6. Pengembangan Tanaman Pisang</t>
  </si>
  <si>
    <t>8.3.7. Pengembangan Tanaman Keladi</t>
  </si>
  <si>
    <t>8.4. Program pencegahan dan penanggulangan penyakit ternak</t>
  </si>
  <si>
    <t>8.4.1. Pemeliharaan kesehatan dan pencegahan penyakit menular ternak</t>
  </si>
  <si>
    <t>8.4.2. Pengadaan Alat dan Obat-Obatan Keswan</t>
  </si>
  <si>
    <t>8.4.3. Pengambilan Sampel Darah Unggas di Distrik Kaimana dan Pemeriksaan Sampel Darah di BBV Maros Makassar</t>
  </si>
  <si>
    <t>8.5. Program peningkatan produksi peternakan</t>
  </si>
  <si>
    <t>8.5.1. Pengembangan Ternak Sapi</t>
  </si>
  <si>
    <t>8.5.2. Pengembangan Ayam Buras 800 ekor di Dist. Arguni Bawah (Kamp.Seraran, Waromi, Mandiwa)</t>
  </si>
  <si>
    <t>8.6. Program Produksi Perkebunan</t>
  </si>
  <si>
    <t>8.6.1. Budidaya Tanaman Perkebunan</t>
  </si>
  <si>
    <t>9.1. Program Peningkatan Kapasitas Sumber Daya Aparatur</t>
  </si>
  <si>
    <t>9.1.1. Lomba cipta menu serbah Ikan</t>
  </si>
  <si>
    <t>9.1.2. Validasi Data Nelayan Bagi Operator Sistem Kartu Kusuka dan Asuransi Nelayan</t>
  </si>
  <si>
    <t>9.1.3. Pendampingan dan Pembinaan Budidaya Perikanan dan Paska Panen</t>
  </si>
  <si>
    <t>9.2. Program pengembangan budidaya perikanan</t>
  </si>
  <si>
    <t>9.2.1. Pelatihan Penangkaran kepiting Bakau</t>
  </si>
  <si>
    <t>9.2.2. Tempat penjemuran rumput laut</t>
  </si>
  <si>
    <t>9.2.3. Kebun Produksi Rumput Laut</t>
  </si>
  <si>
    <t>9.2.4. Sarana Prasarana budidaya Perikanan</t>
  </si>
  <si>
    <t>9.2.5. Pembuatan Penangkaran Kepiting Bakau</t>
  </si>
  <si>
    <t>9.3. Program pengembangan perikanan tangkap</t>
  </si>
  <si>
    <t>9.3.1. Demonstrasi cara Pembuatan dan Perawatan Alat Tangkap Gilnet dan Tramel net</t>
  </si>
  <si>
    <t>9.3.2. Demonstrasi cara Pembuatan Sero Tancap</t>
  </si>
  <si>
    <t>9.3.3. Penyediaan peralatan Perikanan Tangkap</t>
  </si>
  <si>
    <t>9.3.4. forum KUB Perikanan Tangkap</t>
  </si>
  <si>
    <t>9.3.5. Operasional Petugas Pendamping Pemberdayaan Usaha Skala Masyarakat KP</t>
  </si>
  <si>
    <t>9.4. Program Pengembangan Simpul Pemasaran Dan Pengembangan Usaha</t>
  </si>
  <si>
    <t>9.4.1. Pelatihan Pengolahan Hasil tangkapan untuk meningkatkan Nilai Jual</t>
  </si>
  <si>
    <t>9.4.2. Peningkatan Pelayanan Usaha dan Inventarisasi kapal Perikanan</t>
  </si>
  <si>
    <t>10.1.1. Pendampingan Koperasi Aktif dan UKM</t>
  </si>
  <si>
    <t>10.1.2. Assasment Kondisi Koperasi</t>
  </si>
  <si>
    <t>10.2.1. Fasilitasi Pemasaran dan Promosi Produk</t>
  </si>
  <si>
    <t>10.2.2. Pameran Hasil Produk IKM dan UKM di Kabupaten Kaimana</t>
  </si>
  <si>
    <t>10.3.1. Pelayanan Tera atau Tera Ulang UTTP</t>
  </si>
  <si>
    <t>10.3.2. Kalibrasi Alat Laboraturium UTTP</t>
  </si>
  <si>
    <t>10.3.3. Pemeriksaan Terhadap Ukuran Takaran Timbangan dan Perlengkapannya (UTTP)</t>
  </si>
  <si>
    <t>10.3.4. Pemantauan dan Monitorin Barang Kadaluarsa dan Berstandar SNI</t>
  </si>
  <si>
    <t>10.4. Program Pengembangan Sarana dan Prasarana Perdagangan</t>
  </si>
  <si>
    <t>10.4.1. Pengadaan Tenda dan Meja Jualan Bagi Pedagang Orang Asli Papua</t>
  </si>
  <si>
    <t>11.1.1. Pembinaan dan Fasilitasi Pembangungan Kawasan Pedesaan</t>
  </si>
  <si>
    <t>11.2. Program peningkatan partisipasi masyarakat dalam membangun desa</t>
  </si>
  <si>
    <t>11.2.1. Kegiatan Lomba Kampung Tingkat Kabupaten Tahun 2019</t>
  </si>
  <si>
    <t>11.3. Program Pemberdayaan Masyarakat Pedesaan</t>
  </si>
  <si>
    <t>11.3.1. Pembinaan dan Fasilitasi Pengelolaan Keuangan dan Pembinaan Kampung</t>
  </si>
  <si>
    <t>11.4. Program Peningkatan Kapasitas Aparat Pemberdayaan Masyarakat dan Pemerintahan Kampung</t>
  </si>
  <si>
    <t>11.4.1. Pelatihan Penguatan Kapasitas Aparat Bina Pemerintahan, Pemberdayaan, Pembangunan dan Keuangan Kampung</t>
  </si>
  <si>
    <t>11.4.2. Pembinaan penyelenggaraan pemerintahan kampung</t>
  </si>
  <si>
    <t>11.4.3. fasilitasi pemilihan dan pelantikan kepala kampung</t>
  </si>
  <si>
    <t>12.1. Program pelayanan dan rehabilitasi kesejhateraan sosial</t>
  </si>
  <si>
    <t>13. Dinas Kependudukan dan Pencatatan Sipil</t>
  </si>
  <si>
    <t>Program Penataan Administrasi Kependudukan</t>
  </si>
  <si>
    <t>Pelayanan Perekaman Mobile e-KTP Bagi Masyarakt 7 Distrik</t>
  </si>
  <si>
    <t>14. Dinas Pemberdayaan Perempuan dan Perlindungan Anak</t>
  </si>
  <si>
    <t>14.1. Program Peningkatan Kualitas Hidup dan Perlindungan Perempuan</t>
  </si>
  <si>
    <t>14.1.1. Fasilitasi Perlindungan Perempuan dan Anak Korban kekerasan Melalui P2TP24</t>
  </si>
  <si>
    <t>14.2. Program Peningkatan Kesejahteraan Perlindungan Anak</t>
  </si>
  <si>
    <t>14.2.1. Pelatihan Bagi Pelatih (TOT) Perlindungan Anak Berbasis Masyarakat (PABM)</t>
  </si>
  <si>
    <t>14.2.2. Sosialisasi Konvensi Hak Anak (KHA) dan UU No 35 Tahun 2014 tentang Perlindungan anak bagi guru, siswa dan orang tua</t>
  </si>
  <si>
    <t>15. Dinas Kebudayaan dan Pariwisata</t>
  </si>
  <si>
    <t>15.1. Program Pengembangan, Pelestarian Nilai Budaya Dan Etika</t>
  </si>
  <si>
    <t>15.1.1. Pesta Seni Nggama</t>
  </si>
  <si>
    <t>15.1.2. Fasilitasi Pembentukan Dewan Kesenian Kaimana</t>
  </si>
  <si>
    <t>15.2. Program pengembangan pemasaran pariwisata</t>
  </si>
  <si>
    <t>15.2.1. Pemutakhiran Data Pariwisata Kaimana</t>
  </si>
  <si>
    <t>16. Bappeda, Penelitian dan Pengembangan</t>
  </si>
  <si>
    <t>16.1. Program perencanaan pembangunan daerah</t>
  </si>
  <si>
    <t>16.1.1. Monitoring, evaluasi dan pelaporan</t>
  </si>
  <si>
    <t>16.1.2. Fasilitasi TKPKD Kabupaten Kaimana</t>
  </si>
  <si>
    <t>16.1.3. Pameran Otsus dan Promosi Potensi Daerah</t>
  </si>
  <si>
    <t>16.2. Program perencanaan sosial dan budaya</t>
  </si>
  <si>
    <t>16.2.1. Pendataan dan Penyusunan Data Base Penduduk Miskin dan OAP Kabupaten Kaimana</t>
  </si>
  <si>
    <t>16.3. Program Data dan Informasi</t>
  </si>
  <si>
    <t>16.3.1. Penyusunan Database Perikanan</t>
  </si>
  <si>
    <t>17. Badan Pengelola Keuangan dan Aset Daerah</t>
  </si>
  <si>
    <t>17.1. Belanja Hibah</t>
  </si>
  <si>
    <t>17.2. Belanja Hibah Dana BOSDA ke TK, SD dan SMP</t>
  </si>
  <si>
    <t>17.3. Bantuan sosial Organisasi Keagamaan</t>
  </si>
  <si>
    <t>17.4. Bantuan Sosial Sorganisasi Seni, budaya, dan Olahraga</t>
  </si>
  <si>
    <t xml:space="preserve">17.5. Bantuan yang tidak dapat direncanakan </t>
  </si>
  <si>
    <t>17.6. Bantuan Masyarakat</t>
  </si>
  <si>
    <t>17.7. Bantuan untuk Pendidikan</t>
  </si>
  <si>
    <t>4.2. Program rehabilitasi/pemeliharaan jalan dan jembatan</t>
  </si>
  <si>
    <t>4.2.1. Rehabilitasi / pemeliharaan jalan</t>
  </si>
  <si>
    <t>4.3.2. Pembangunan Sarana Perdesaan</t>
  </si>
  <si>
    <t>4.4. Penyediaan dan Pengelolaan Air Bersih</t>
  </si>
  <si>
    <t>4.4.1. Penyediaan Sarana dan Prasarana Ketersediaan air bersih</t>
  </si>
  <si>
    <t>4.5. Program Pengembangan, Pemeliharaan Jaringan Listrik dan Telpon</t>
  </si>
  <si>
    <t>4.5.1. Pengembangan pemeliharaan jaringan Listrik dan telepon</t>
  </si>
  <si>
    <t xml:space="preserve">1.2.5. Pengadaan lat KIT IPA SD </t>
  </si>
  <si>
    <t xml:space="preserve">1.2.6. Pematanga Halaman SD YPK II Markus Teminabuan </t>
  </si>
  <si>
    <t xml:space="preserve">1.2.7. Rehabilitasi Sedang 3 RKB SD YPK Bethel Inanwatan  </t>
  </si>
  <si>
    <t xml:space="preserve">1.2.8. Rehabilitasi Sedang 3 RKB SD YPK Elles  </t>
  </si>
  <si>
    <t xml:space="preserve">1.2.9. Penataan Halaman SD YPK Maranatha Udagaga </t>
  </si>
  <si>
    <t xml:space="preserve">1.2.10. Pembangunan Kopel Guru SD Persiapan Korewetara  </t>
  </si>
  <si>
    <t xml:space="preserve">1.2.11. Pembangunan Lanjutan Kopel Guru SMP YPK Inanwatan  </t>
  </si>
  <si>
    <t xml:space="preserve">1.2.12. Pengadaan Meubelair SD Persiapan Den Bolbalek </t>
  </si>
  <si>
    <t xml:space="preserve">1.2.13. Pengadaan Meubelair SMP Satap SAGA </t>
  </si>
  <si>
    <t xml:space="preserve">1.2.14. Pengadaan Meubelair SMP Persiapan Mugim </t>
  </si>
  <si>
    <t xml:space="preserve">1.2.15. Pengadaan Meubelair SD Impres 91 Isogo </t>
  </si>
  <si>
    <t xml:space="preserve">1.2.16. Pengadaan Meubelair SD YPK Benawa II </t>
  </si>
  <si>
    <t xml:space="preserve">1.2.17. Pengadaan Meubelair SD Persiapan Adona </t>
  </si>
  <si>
    <t xml:space="preserve">1.2.18. Pembangunan MCK SD YPK Maranatha Udagaga </t>
  </si>
  <si>
    <t xml:space="preserve">1.2.19. Pembangunan MCK SD YPK Bethania Nebes </t>
  </si>
  <si>
    <t xml:space="preserve">1.2.20. Pembangunan MCK SD Persiapan Kamundan II </t>
  </si>
  <si>
    <t xml:space="preserve">1.2.21. Pembangunan MCK SD YPK Bukit Saitun Atori </t>
  </si>
  <si>
    <t xml:space="preserve">1.2.22. Pengadaan Meubelair kopel guru SD  </t>
  </si>
  <si>
    <t xml:space="preserve">1.2.23. Pembangunan Pagar SD YPK Wehali Distrik Teminabuan </t>
  </si>
  <si>
    <t xml:space="preserve">1.2.24. Pembangunan Rumah Guru Kepala Sekolah TK Anugerah Teminabuan </t>
  </si>
  <si>
    <t>1.2.25. Pembangunan 3 RKB SMP Anur Teminabuan</t>
  </si>
  <si>
    <t>1.2.26. Rehabilitasi Berat Ruang Kelas SMP Negeri Inanwatan   (LANJUTAN 2015)</t>
  </si>
  <si>
    <t xml:space="preserve">1.4.2. Operasional UPTD IMEKO </t>
  </si>
  <si>
    <t xml:space="preserve">1.4.1. Honor Guru Kontrak TK. PAUD. SD dan SMP  </t>
  </si>
  <si>
    <t xml:space="preserve">1.4.3. Pelatihan Angka Kredit Poin (aturan ASN SKP)  </t>
  </si>
  <si>
    <t xml:space="preserve">1.4.4. Seleksi Olimpiade SAINS IPA SD Tingkat Kabupaten dan Propinsi </t>
  </si>
  <si>
    <t xml:space="preserve">1.4.5. Seleksi Olimpiade SAINS IPA SMP Tingkat Kabupaten dan Propinsi  </t>
  </si>
  <si>
    <t xml:space="preserve">1.5.1 Pengadaan Buku Cerita Budaya Bangsa Tingkat SD dan SMP  </t>
  </si>
  <si>
    <t>1.6. Program Peningkatan Pengembangan Minat dan Bakat Siswa</t>
  </si>
  <si>
    <t xml:space="preserve">1.6.1. Penunjang Afirmasi Kedokteran  </t>
  </si>
  <si>
    <t xml:space="preserve">1.6.4. Rekrutmen Siswa Baru Kedokteran Kerja Sama UNSRAT Manado  </t>
  </si>
  <si>
    <t xml:space="preserve">1.6.5. Fasilitasi Program Afirmasi Pendidikan Menengah </t>
  </si>
  <si>
    <t xml:space="preserve">1.6.7. Biaya Operasional Pengawasan ( BOP Pengawas )  </t>
  </si>
  <si>
    <t xml:space="preserve">1.6.8. Opersional Mahasiswa PPL Surya Institut  </t>
  </si>
  <si>
    <t xml:space="preserve">1.6.10. Pendidikan Lanjutan Guru Mipa Kerjasama Surya Institute </t>
  </si>
  <si>
    <t>1.6.11. Sosialisasi Piloting Calon Kepala Sekolah</t>
  </si>
  <si>
    <t>1.6.12. Diklat Pengembangan Keprofesian Berkelanjutan Tingkat SMP (OTSUS)</t>
  </si>
  <si>
    <t>1.6.14. Pelatihan Penelitian Tindakan Kelas Bagi Guru SD dan SMP</t>
  </si>
  <si>
    <t xml:space="preserve">1.2.1. Penyediaan Dana BOP SD dan SMP  </t>
  </si>
  <si>
    <t xml:space="preserve">1.2.2. Penyelenggaraan UAN/UAS  </t>
  </si>
  <si>
    <t xml:space="preserve">1.2.3. Monitoring UAN/UAS Tingkat SD/SMP </t>
  </si>
  <si>
    <t xml:space="preserve">1.2.4. Monitoring Evsluasi dan Pelaporan Paud SD dan SMP </t>
  </si>
  <si>
    <t>3.1. Program Peningkatan Pelayanan Kesehatan Masyarakat</t>
  </si>
  <si>
    <t xml:space="preserve">3.1.1. Peningkatan Pelayanan Kesehatan Rujukan (Gaji, Insentif, Tunjangan Resiko, Tunjangan Lainnya) </t>
  </si>
  <si>
    <t>3.2. Program Pengadaan Sarana dan Prasarana Kesehatan</t>
  </si>
  <si>
    <t xml:space="preserve">3.2.1. Pengadaan Komputer </t>
  </si>
  <si>
    <t xml:space="preserve">3.2.2. Pengadaan Alat Logistik/bahan Pembersih dan Alat Pembersih  </t>
  </si>
  <si>
    <t>4.2.1. Peningkatan Jalan Lingkungan Kampung Namro</t>
  </si>
  <si>
    <t>4.2.2. Pembangunan Jalan Lingkungan Kampung Keyen Samping Rumah sakit</t>
  </si>
  <si>
    <t>4.2.3. Pembangunan Draenase Kampung Seribau</t>
  </si>
  <si>
    <t>4.2.4. Pembangunan Jalan Lingkungan Kampung Kikiso</t>
  </si>
  <si>
    <t>4.2.5. Pembangunan Draenase Kampung B</t>
  </si>
  <si>
    <t>4.2.6. Pembangunan Jalan Cor Samping Gedung Putih</t>
  </si>
  <si>
    <t>4.2.7. Pembangunan Jalan Lingkungan Kampung Wersar</t>
  </si>
  <si>
    <t>4.2.9. Pembangunan Drainase Kampung B</t>
  </si>
  <si>
    <t>4.2.10. Pembangunan Drainase Kampung Manelek</t>
  </si>
  <si>
    <t>4.2.11. Pembangunan Jalan Lingkungan</t>
  </si>
  <si>
    <t>4.2.12. Pembangunan MCK</t>
  </si>
  <si>
    <t>4.2.13. Pembangunan Gorong - gorong</t>
  </si>
  <si>
    <t>4.2.14. Normalisasi Sungai HEH</t>
  </si>
  <si>
    <t>4.2.15. Pembangunan Drainase Kampung Bumi Ajo</t>
  </si>
  <si>
    <t>4.2.16. Pembangunan Jalan Lingkungan</t>
  </si>
  <si>
    <t>4.2.17. Pembangunan Jalan Lingkungan</t>
  </si>
  <si>
    <t>4.2.18. Pembangunan Jalan Lingkungan</t>
  </si>
  <si>
    <t>4.2.19. Pembangunan Draenase Kampung Sayolo</t>
  </si>
  <si>
    <t>4.2.21. Pembangunan Draenase Kampung Wernas</t>
  </si>
  <si>
    <t>4.2.22. Pembangunan Draenase Kampung Keyen/ RSUD Scholo</t>
  </si>
  <si>
    <t>4.2.23. Pembangunan Draenase Kampung Aspol</t>
  </si>
  <si>
    <t>4.2.20. Pembangunan Draenase Kampung Wermith</t>
  </si>
  <si>
    <t>4.2.24. Pembangunan Draenase Kampung Magis</t>
  </si>
  <si>
    <t>4.2.25. Pembangunan Draenase Kampung Dwikora</t>
  </si>
  <si>
    <t>4.2.26. Pembangunan Jalan Lingkungan</t>
  </si>
  <si>
    <t>4.2.27. Pembangunan MCK Kikiso/ RT 06 Birolo</t>
  </si>
  <si>
    <t>4.2.28. Pembangunan MCK Kampung Sidadik</t>
  </si>
  <si>
    <t>4.2.29. Pembangunan Sumur Bor</t>
  </si>
  <si>
    <t>4.2.30. Pembangunan MCK Kampung Siribau</t>
  </si>
  <si>
    <t>4.2.31. Pembangunan MCK Kampung Aspol</t>
  </si>
  <si>
    <t>4.2.32. Pembangunan Drainase Gereja Tua konda</t>
  </si>
  <si>
    <t>4.2.33. Pembangunan Drainase Kampung konda</t>
  </si>
  <si>
    <t>4.2.34. Pembangunan Jalan Lingkungan</t>
  </si>
  <si>
    <t>4.2.35. Pembangunan Jalan Lingkungan Antar Kampung Wamargege dan Kindisfle</t>
  </si>
  <si>
    <t xml:space="preserve">4.2.36. Pembangunan Jalan Lingkungan Kampung Manelek ( Lanjutan )  </t>
  </si>
  <si>
    <t>4.2.37. Pembangunan Jalan Lingkungan Kampung Bariat</t>
  </si>
  <si>
    <t>4.2.39. Pembangunan Drainase Kampung</t>
  </si>
  <si>
    <t>4.2.38. Pembangunan Drainase Kampung</t>
  </si>
  <si>
    <t>4.2.40. Pembangunan MCK Kampung Wersar</t>
  </si>
  <si>
    <t>4.2.41. Pembangunan Jalan Lingkungan</t>
  </si>
  <si>
    <t>4.2.42. Pembangunan Draenase Dwikora</t>
  </si>
  <si>
    <t>4.2.43. Pembangunan Jalan Lingkungan Lemekolo</t>
  </si>
  <si>
    <t>4.2.44. Pembangunan Jalan Lingkungan Kampung Atori</t>
  </si>
  <si>
    <t>4.2.45. Pembangunan Jalan Lingkungan Kampung Benawa</t>
  </si>
  <si>
    <t>4.2.46. Pembangunan Jalan Lingkungan Kelurahan Kaibus</t>
  </si>
  <si>
    <t>4.2.47. Pembangunan MCK KAmpung Wermith</t>
  </si>
  <si>
    <t>4.2.48 .Pembangunan Talut jalan gunung Horeb Kompleks SMA</t>
  </si>
  <si>
    <t>4.2.49. Pembangunan MCK Kampung Wersar</t>
  </si>
  <si>
    <t>4.2.50. Pembangunan MCK Kampung Gorolo</t>
  </si>
  <si>
    <t>4.2.51. Pembangunan Jalan Lingkungan Kampung Pasir Putih</t>
  </si>
  <si>
    <t>4.2.52. Pembangunan MCK Kampung Aibobor</t>
  </si>
  <si>
    <t>4.2.53. Pembangunan Jalan Lingkungan Pasar Kajase</t>
  </si>
  <si>
    <t>4.2.54. Pembangunan Jalan Lingkungan Kampung Tegirolo</t>
  </si>
  <si>
    <t>4.2.55. Pembangunan MCK KAmpung Wermith</t>
  </si>
  <si>
    <t>4.2.56. Pembangunan Jalan Lingkungan Kampung Tolak</t>
  </si>
  <si>
    <t>4.2.57. Pemabangunan Gorong - gorong Kelurahan Kohoin Alsyes</t>
  </si>
  <si>
    <t>4.2.58. Pembangunan Drainase</t>
  </si>
  <si>
    <t>4.2.59. Pembangunan Jalan Lingkungan Kampung Kamisabe</t>
  </si>
  <si>
    <t>4.2.60. Penataan Halaman Sekolah</t>
  </si>
  <si>
    <t>4.2.61. Pembangunan Jalan Lingkungan Kampung Nakna</t>
  </si>
  <si>
    <t>4.2.62. Pembangunan Jalan Lingkungan Kampung Wen</t>
  </si>
  <si>
    <t>4.2.63. Peningkatan Ruas Jalan Baru Belakang Kampus Keyen</t>
  </si>
  <si>
    <t>4.2.64. Pembangunan Jalan Lingkungan Kompleks Kaliat</t>
  </si>
  <si>
    <t>4.2.65. Pembangunan Jalan Lingkungan Kampung Keyen</t>
  </si>
  <si>
    <t>4.2.66. Pembangunan Jalan Lingkungan Kompleks Perumahan RSUD Sholo</t>
  </si>
  <si>
    <t>4.2.67. Pembangunan Jembatan Penyeberangan Kompleks Seyolo II</t>
  </si>
  <si>
    <t>4.2.68. Pembangunan Jembatan Penyeberangan Kampung Wersar</t>
  </si>
  <si>
    <t>4.2.69. Pembangunan Talud kampung Wersar</t>
  </si>
  <si>
    <t>4.2.70. Pembangunan Talud Kaliat Pertigaan KPU Menuju kompleks Kais</t>
  </si>
  <si>
    <t>4.2.71. Pembangunan Drainase Kompleks YPK Sasior</t>
  </si>
  <si>
    <t>4.2.72. Pembangunan Drainase Kompleks YPK Belakang Mambor</t>
  </si>
  <si>
    <t>4.2.73. Pembangunan Drainase Kampung Tegirolo</t>
  </si>
  <si>
    <t>4.2.75. Pembangunan jalan Berbentuk Jembatan Kampung Kamundan I</t>
  </si>
  <si>
    <t>4.2.74. Pembangunan Drainase Kali Ware Kawer KOmpleks Kikiso</t>
  </si>
  <si>
    <t>4.2.76. Pembangunan Jalan Baru dari Kampung Balolo - Sodrofoyo</t>
  </si>
  <si>
    <t>11.2.1. Pembangunan Rumah Layak Huni Kampung Tegirolo Tipe 42</t>
  </si>
  <si>
    <t xml:space="preserve">11.2.2. Bedah Rumah  </t>
  </si>
  <si>
    <t xml:space="preserve">11.2.3. Pengadaan Barang Stimulan </t>
  </si>
  <si>
    <t xml:space="preserve">11.2.4. Bedah Rumah  </t>
  </si>
  <si>
    <t xml:space="preserve">11.2.5. Pembangunan Rumah Layak Huni  </t>
  </si>
  <si>
    <t xml:space="preserve">11.2.6. Pembangunan Rumah Layak Huni  </t>
  </si>
  <si>
    <t xml:space="preserve">11.2.7. Pengadaan Bahan Stimulan  </t>
  </si>
  <si>
    <t xml:space="preserve">11.2.8. Pengadaan Bahan Stimulan  </t>
  </si>
  <si>
    <t xml:space="preserve">11.2.9. Pembangunan Rumah Layak Huni Kampung Nambro </t>
  </si>
  <si>
    <t xml:space="preserve">11.2.10. Pembangunan Rumah Layak Huni </t>
  </si>
  <si>
    <t xml:space="preserve">11.2.11. Pembangunan Rumah Layak Huni Kampung Gorolo </t>
  </si>
  <si>
    <t xml:space="preserve">11.2.12. Bedah Rumah Kampung Gorolo  </t>
  </si>
  <si>
    <t xml:space="preserve">11.2.13. Pengadaan Bahan Stimulan  </t>
  </si>
  <si>
    <t xml:space="preserve">11.2.14 .Bedah Rumah Kampung Moswaren  </t>
  </si>
  <si>
    <t xml:space="preserve">11.2.15. Pembangunan Rumah Layak Huni  </t>
  </si>
  <si>
    <t xml:space="preserve">11.2.16. Pembangunan Rumah Layak Huni Kampung Tegirolo </t>
  </si>
  <si>
    <t xml:space="preserve">11.2.17. Pembangunan Rumah Layak Huni Kampung We </t>
  </si>
  <si>
    <t xml:space="preserve">11.2.18. Bedah  Rumah Kampung Werisar  </t>
  </si>
  <si>
    <t xml:space="preserve">11.2.20. Pembangunan Rumah Layak Huni  Di belakang Kampung Bumi Ajo  </t>
  </si>
  <si>
    <t xml:space="preserve">11.2.19. Bedah Rumah Aibobor  </t>
  </si>
  <si>
    <t xml:space="preserve">11.2.21. Pembangunan Rumah Singgah Masyarakat  </t>
  </si>
  <si>
    <t xml:space="preserve">11.2.22. Pengadaan Bahan Stimulan </t>
  </si>
  <si>
    <t>11.5. Program peningkatan pengembangan sistem pelaporan capaian kinerja dan keuangan</t>
  </si>
  <si>
    <t>11.5.1 Pelaporan dan Evaluasi Dana Desa</t>
  </si>
  <si>
    <t>14.3. Program Peningkatan Produksi dan Produktifitas Serta Agribisnis Peternakan Rakyat</t>
  </si>
  <si>
    <t xml:space="preserve">1.7. Program Pengembangan Nilai budaya </t>
  </si>
  <si>
    <t xml:space="preserve">1.7.2.  Olimpiade Matematika Tingkat SMP  Kabupaten dan Provinsi  </t>
  </si>
  <si>
    <t xml:space="preserve">1.7.3.  Olimpiade IPS Tingkat SMP Kabupaten dan Provinsi  </t>
  </si>
  <si>
    <t xml:space="preserve">1.7.4.  Festival dan Lomba Seni Siswa Nasional Tingkat SD, SMP Tingkat Kabupaten dan Provinsi  </t>
  </si>
  <si>
    <t>1.8.  Program Kebudayaan</t>
  </si>
  <si>
    <t xml:space="preserve">1.8.1 Pendataan Potensi Budaya dan Sanggar seni Budaya  </t>
  </si>
  <si>
    <t xml:space="preserve">1.8.2 Pelaksanaan Even Daerah, Provinsi dan Nasional  </t>
  </si>
  <si>
    <t xml:space="preserve">1.8.3 Dana Penunjang Rekaman Lagu Bahasa Daerah </t>
  </si>
  <si>
    <t xml:space="preserve">1.6.13. Diklat Pengembangan Keprofesian Berkelanjutan Tingkat SD  </t>
  </si>
  <si>
    <t xml:space="preserve">1.7.1. Olimpiade Matematika Tingkat SD Kabupaten dan Provinsi </t>
  </si>
  <si>
    <t xml:space="preserve">1.7.1. Olimpiade Matematika Tingkat SD Kabupaten dan Provinsi  </t>
  </si>
  <si>
    <t xml:space="preserve">1.6.12. Diklat Pengembangan Keprofesian Berkelanjutan Tingkat SMP  </t>
  </si>
  <si>
    <t>1.1.1. Pembangunan Gedung Paud Arabae Inanwatan</t>
  </si>
  <si>
    <t>1.1.2. Pembangunan Gedung Paud ISSA Kampung Kais</t>
  </si>
  <si>
    <t>1.1.3. Pembangunan Gedung Paud Sayal</t>
  </si>
  <si>
    <t>1.1.4. Pengadaan Meubelair  TK/PAUD  Kowe  Wernas</t>
  </si>
  <si>
    <t>1.2.1. Pengadaan Buku Bacaan dan Perangkat Pembelajaran Guru SD</t>
  </si>
  <si>
    <t>1.2.2. Pengadaan Buku Bacaan dan Perangkat Pembelajaran Guru SMP</t>
  </si>
  <si>
    <t>1.2.3. Sosialisasi dan Pendampingan BOP, BOS, PIP dan Ujian Nasional</t>
  </si>
  <si>
    <t>1.2.4. Akreditasi Sekolah Dasar Sembilan Tahun</t>
  </si>
  <si>
    <t>1.2.5. Pelatihan Peningkatan Kapasitas Pengawas TK/PAUD, SD dan SMP</t>
  </si>
  <si>
    <t>1.2.6. Penyelenggaraan UAN / UAS SD dan SMP</t>
  </si>
  <si>
    <t>1.2.7. Monitoring UAN / UAS SD dan SMP</t>
  </si>
  <si>
    <t>1.2.8. Penyediaan Dana BOP SD dan SMP</t>
  </si>
  <si>
    <t>1.2.9. Biaya Operasional Pengawas SD dan SMP</t>
  </si>
  <si>
    <t>1.2.10. Operasional UPTD Imekko</t>
  </si>
  <si>
    <t>1.2.11. Pendidikan Lanjutan Guru MIPA Kerjasama Surya Institut</t>
  </si>
  <si>
    <t>1.2.12. Pembiayaan Honor Guru Kontrak</t>
  </si>
  <si>
    <t>1.2.13. Pendidikan Provesi Guru (PPG)</t>
  </si>
  <si>
    <t>1.2.14. Fasilitasi Program Afirmasi Pendidikan Tinggi</t>
  </si>
  <si>
    <t>1.2.15. Fasilitasi Program Afirmasi Pendidikan Menengah</t>
  </si>
  <si>
    <t>1.2.16. Biaya Pendidikan Mahasiswa Kedokteran yang tersebar</t>
  </si>
  <si>
    <t>1.2.17. Pembangunan 3 RKB SM Negeri Mukamat Kais Darat</t>
  </si>
  <si>
    <t>1.2.18. Pembangunan 3 RKB SD YPK Mogibi</t>
  </si>
  <si>
    <t>1.2.19. Pembangunan UPTD IMEKKO</t>
  </si>
  <si>
    <t>1.2.20. Pembangunan 3 RKB SD Persiapan Gamaro</t>
  </si>
  <si>
    <t>1.2.21. Pembangunan Lanjutan 3 RKB SMP Negeri Kais (2016)</t>
  </si>
  <si>
    <t>1.2.22 Pembangunan Lanjutan Laboratorium Komputer SMA YPK Teminabuan (2016)</t>
  </si>
  <si>
    <t>1.2.23. Pembangunan Lanjutan 3 RKB SMP Negeri Haha (2016)</t>
  </si>
  <si>
    <t>1.2.24 Pembangunan Kopel Guru SD Donbol Balek beserta kelengkapannya</t>
  </si>
  <si>
    <t>1.2.25 Pembangunan Kopel Guru SD Persiapan Mugim beserta kelengkapannya</t>
  </si>
  <si>
    <t>1.2.26. Pembangunan Pagar SMP Negeri 2 Teminabuan</t>
  </si>
  <si>
    <t>1.2.27. Pengadaan mubelair 3 RKB SMP Negeri 2 Teminabuan</t>
  </si>
  <si>
    <t>1.2.28. Pengadaan teralis Gudang Arsip Dinas Pendidikan</t>
  </si>
  <si>
    <t>1.2.29. Pembangunan MCK SD YPK Sion Sungguer</t>
  </si>
  <si>
    <t>1.2.30. Pembangunan MCK SMP Negeri Pasir Putih</t>
  </si>
  <si>
    <t>1.2.31. Pematangan halaman SD Persiapan Kampung Ani</t>
  </si>
  <si>
    <t>1.2.32. Penataan Halaman SMP Negeri Sawiat</t>
  </si>
  <si>
    <t>1.2.33. Penataan Halaman SMP Negeri Moswaren</t>
  </si>
  <si>
    <t>1.2.34. Penataan Halaman SD YPK Srer</t>
  </si>
  <si>
    <t>1.2.35 Pengadaan Mubelair 3 RKB SMP AN-NUR</t>
  </si>
  <si>
    <t>1.2.36. Pengadaan Mubelair SD Kampung Ani</t>
  </si>
  <si>
    <t>1.2.37. Pengadaan Mubelair Kantor SMP Negeri Haha</t>
  </si>
  <si>
    <t>1.2.38. Rehabilitasi 3 RKB SD YPK Laharoi Sasnek</t>
  </si>
  <si>
    <t>1. 1. Program Pendidikan Anak Usia Dini</t>
  </si>
  <si>
    <t>1.3.1. Ujian Paket A,B dan C</t>
  </si>
  <si>
    <t>1.3.2. Pelatihan Tutor Paket A, B , C</t>
  </si>
  <si>
    <t>1.3.3. Pendataan buta aksara dan anak berkebutuhan khusus</t>
  </si>
  <si>
    <t>1.3.4. Diklat Dasar berjenjang Guru PAUD dan DIKMAS</t>
  </si>
  <si>
    <t>1.4.1. Pelatihan Angka Kredit Poin (aturan ASN SKP)</t>
  </si>
  <si>
    <t>1.4.2. Pelatihan Penguatan Kurikulum K. 13 SD Semua Mata Pelajaran</t>
  </si>
  <si>
    <t>1.4.3. Pelatihan Penguatan Kurikulum K. 13. SMP Semua Mata Pelajaran</t>
  </si>
  <si>
    <t>1.4.4. Piloting Calon Kepala - Kepala Sekolah SD, SMP</t>
  </si>
  <si>
    <t>1.4.5. Seleksi dan Diklat Pengawas Sekolah</t>
  </si>
  <si>
    <t>1.4.6. Pendampingan Kelompok Kerja Guru SD (KKG)</t>
  </si>
  <si>
    <t>1.4.7. Pelatihan Kompetensi Tenaga Pendidik SD dan SMP</t>
  </si>
  <si>
    <t>1.4.8. Pelatihan Literasi bagi Guru dan Kepala Sekolah</t>
  </si>
  <si>
    <t>1.4.9. Diklat pengembangan Keprofesian Berkelanjutan (PKB Guru SD)</t>
  </si>
  <si>
    <t>1.4.10. Diklat pengembangan Keprofesian Berkelanjutan (PKB Guru SMP)</t>
  </si>
  <si>
    <t>1.4.11. Diklat Pengembangan Pembelajaran Berbasis ICT</t>
  </si>
  <si>
    <t>1.4.12. Workshop Pengembangan Soal USBN</t>
  </si>
  <si>
    <t>1.4.13. Diklat Penguatan Kapasitas Tenaga Kependidikan</t>
  </si>
  <si>
    <t>1.4.14. Pembinaan Musyawarah Guru Mata Pelajaran (MGMP) SMP</t>
  </si>
  <si>
    <t>1.4.15. Workshop Kurikulum K.13 TK/PAUD dan DIKMAS</t>
  </si>
  <si>
    <t>1.4.16. Diklat Pengembangan Keprofesian Guru SD Tahap 2</t>
  </si>
  <si>
    <t>1.5.1. Penetapan Angka Kredit dan Kenaikan Pangkat</t>
  </si>
  <si>
    <t>1.5.2. Pelatihan Kurikulum Muatan Lokal</t>
  </si>
  <si>
    <t>1.5.3. Penyetaraan kwalifikasi Guru D2 ke S1 PGSD</t>
  </si>
  <si>
    <t>1.6.1. Lomba Cerdas Cermat  SD Tingkat Kabupaten dan Provinsi</t>
  </si>
  <si>
    <t>1.6.2. Lomba Cerdas Cermat  SMP  Tingkat Kabupaten dan Provinsi</t>
  </si>
  <si>
    <t>1.6.3. Olimpiade Matematika Tingkat SD Kabupaten dan Provinsi</t>
  </si>
  <si>
    <t>1.6.4. Olimpiade Matematika Tingkat SMP  Kabupaten dan Provinsi</t>
  </si>
  <si>
    <t>1.6.5. Olimpiade SAINS IPA Tingkat SD dan SMP Kabupaten dan Provinsi</t>
  </si>
  <si>
    <t>1.6.6. Festival dan Lomba Seni Siswa Nasional Tingkat SD, SMP Tingkat Kabupaten dan Provinsi</t>
  </si>
  <si>
    <t>1.6.7. Bimbingan Belajar Metode Gasing</t>
  </si>
  <si>
    <t>1.6.8. AKPOL kerja sama Pemda Sorong Selatan dan SMTN</t>
  </si>
  <si>
    <t>1.6.9. Operasional Mahasiswa PPL Surya Institut</t>
  </si>
  <si>
    <t>1.6.10. Olimpiade IPS SMP Tingkat Kabupaten dan Provinsi</t>
  </si>
  <si>
    <t>1.7.1. Penyediaan Dana Penunjang Rekaman Lagu  Daerah</t>
  </si>
  <si>
    <t>1.7.2. Pelatihan Tim Juri Kesenian Daerah</t>
  </si>
  <si>
    <t>1.7.3. Festifal Seni Budaya Tingkat Kabupaten, Provinsi dan Pusat</t>
  </si>
  <si>
    <t>1.7.4. Lomba Cipta lagu-lagu Sorong Selatan</t>
  </si>
  <si>
    <t>1.7.5. Diklat Pengelolaan Sanggar Budaya</t>
  </si>
  <si>
    <t>1.7.6. Operasional Sanggar Budaya</t>
  </si>
  <si>
    <t>2.1. Program Upaya Kesehatan Masyarakat</t>
  </si>
  <si>
    <t>2.1.1. Penyediaan Biaya Operasional Puskesmas Pembantu/poskesdes/polindes</t>
  </si>
  <si>
    <t>2.1.2. Penyediaan jasa Pegawai Non PNS (Perewat, Dokter, Bidan, Dll)</t>
  </si>
  <si>
    <t>2.1.3. Pengobatan dan Sunatan Massal</t>
  </si>
  <si>
    <t>2.1.4. Penilaian Akreditasi Puskesmas Kais darat dan Seremuk</t>
  </si>
  <si>
    <t>2.2. Program Pengawasan Obat dan Makanan</t>
  </si>
  <si>
    <t>2.2.1. Peningkatan pengawasan keamanan pangan dan bahan berbahaya</t>
  </si>
  <si>
    <t xml:space="preserve"> 2.3. Program Promosi Kesehatan dan Pemberdayaan Masyarakat</t>
  </si>
  <si>
    <t>2.3.1. Usaha Kesehatan Sekolah (UKS) dan Usaha Kesehatan Gigi Sekolah (UKGS)</t>
  </si>
  <si>
    <t>2.5. Program Pengembangan Lingkungan Sehat</t>
  </si>
  <si>
    <t>2.5.1. Pengawasan dan Pemeriksaan Kualitas air bersih dan air minum</t>
  </si>
  <si>
    <t>2.5.2. Replika Desa Open Denicationm Free (ODF)</t>
  </si>
  <si>
    <t>2.6.1. Peningkatan Kapasitas Pengelolaan ISPA dan Diare</t>
  </si>
  <si>
    <t>2.6.2. Survey Kusta dan Frambusia</t>
  </si>
  <si>
    <t>2.6.3. Peningkatan imunisasi</t>
  </si>
  <si>
    <t>2.6.4 Pelayanan Pencegahan dan Penanggulangan Penyakit Menular (HIV AIDS)</t>
  </si>
  <si>
    <t>2.6.5 Pengendalian Penyakit dan Pemberi Obat Pencegahan Massal (POPM) Filariasi Tahap 5</t>
  </si>
  <si>
    <t>2.6.6 Pencegahan Penularan Penyakit Endemik / Epidemik Tuberclosis (TB)</t>
  </si>
  <si>
    <t>2.6.7 Eliminasi Penyakit Malaria</t>
  </si>
  <si>
    <t>2.7.1. Pemeliharaan dan Kalibrasi Alat Kesehatan</t>
  </si>
  <si>
    <t>2.8. Program Pengadaan, Peningkatan dan Perbaikan sarana dan Prasarana puskesmas Puskesmas pembantu dan Jaringannya</t>
  </si>
  <si>
    <t>2.8.1. Lanjutan Pembangunan Pustu Bolbalek</t>
  </si>
  <si>
    <t xml:space="preserve"> 2.8.2. Pembangunan Puskesmas Pembantu (Pustu) Kminslolo</t>
  </si>
  <si>
    <t>2.8.3. Pembangunan Puskesmas Pembantu (Pustu) Tapas</t>
  </si>
  <si>
    <t>2.8.4. Rehabilitasi Sedang Puskesmas Pembantu (Pustu) Sisir</t>
  </si>
  <si>
    <t>2.8.5. Rehabilitasi Sedang Puskesmas Pembantu (Pustu) Kakas</t>
  </si>
  <si>
    <t>2.8.6. Pengadaan Meubelair Pustu Konda</t>
  </si>
  <si>
    <t>2.8.7. Penataan Halaman Pustu Moswaren</t>
  </si>
  <si>
    <t>2.8.8. Penunjang Lanjutan Pembangunan Pustu Bolbalek</t>
  </si>
  <si>
    <t>2.8.9. Penunjang Pembangunan Pustu Kminslolo</t>
  </si>
  <si>
    <t>2.8.10. Penunjang Pembangunan Pustu Tapas</t>
  </si>
  <si>
    <t>2.8.11. Penunjang Rehabilitasi Sedang Pustu Sisir</t>
  </si>
  <si>
    <t>2.8.12. Penunjang Rehabilitasi Sedang Pustu Kakas</t>
  </si>
  <si>
    <t>2.9. Program kemitraan peningkatan pelayanan kesehatan</t>
  </si>
  <si>
    <t>2.9.1. Monitoring dan Evaluasi Tenaga Kesehatan</t>
  </si>
  <si>
    <t>2.9.2. Rapat Kerja Kesehatan Tk.Propinsi</t>
  </si>
  <si>
    <t>2.10. Program peningkatan pelayanan kesehatan anak balita</t>
  </si>
  <si>
    <t>2.10.1. Penyediaan Dana Insentif Kader Posyandu</t>
  </si>
  <si>
    <t>2.11. Program peningkatan keselamatan ibu melahirkan dan anak</t>
  </si>
  <si>
    <t>2.11.1. Pelatihan Kelas Ibu Hamil</t>
  </si>
  <si>
    <t>2.11.2. Survey Bumil Resiko Tinggi</t>
  </si>
  <si>
    <t>2.13.3. Pelatihan ANC Integrasi</t>
  </si>
  <si>
    <t xml:space="preserve"> 2.14.4. Rujukan Komlikasi Orang Asli Papua</t>
  </si>
  <si>
    <t>2.12. Program Peningkatan Sumber Daya Kesehatan</t>
  </si>
  <si>
    <t>2.12.1. Penyediaan Biaya Operasional Puskesmas Pembantu/poskesdes/polindes</t>
  </si>
  <si>
    <t>2.12.2. Bimtek Penyusunan Lakip dan Profil Puskesmas</t>
  </si>
  <si>
    <t>2.13. Program Peningkatan Obat Asli Indonesia</t>
  </si>
  <si>
    <t>2.13.1 Penyediaan Biaya Operasional Puskesmas Pembantu/poskesdes/polindes</t>
  </si>
  <si>
    <t>3.1.1 Penyediaan Biaya Operasional Puskesmas Pembantu/poskesdes/polindes</t>
  </si>
  <si>
    <t xml:space="preserve">4.2.1. Peningkatan jalan Tokas - Kasar </t>
  </si>
  <si>
    <t xml:space="preserve">4.2.2. Peningkatan Jalan Elles  </t>
  </si>
  <si>
    <t xml:space="preserve">4.2.3. Peningkatan Jalan Kampung Aibobor </t>
  </si>
  <si>
    <t xml:space="preserve">4.2.4. Peningkatan Jalan Kampung Kaliat - Mande  </t>
  </si>
  <si>
    <t xml:space="preserve">4.2.5. Pembangunan Jalan Kampung Sucari  </t>
  </si>
  <si>
    <t xml:space="preserve">4.2.6. Peningkatan Jalan Sengget - Wermit </t>
  </si>
  <si>
    <t xml:space="preserve">4.2.7. Peningkatan Jalan Kamisabe  </t>
  </si>
  <si>
    <t xml:space="preserve">4.2.9. Peningkatan Jalan Kampung Jawa di Distrik Teminabuan  </t>
  </si>
  <si>
    <t xml:space="preserve">4.2.8. Peningkatan Jalan Kampung Kali Koa  </t>
  </si>
  <si>
    <t xml:space="preserve">4.3.1. Rekonstruksi Jalan Haimaran - Komara  </t>
  </si>
  <si>
    <t xml:space="preserve">4.3.2.  Pembangunan Jalan Kampung Persiapan Foldolo  </t>
  </si>
  <si>
    <t xml:space="preserve">4.3.3. Pembangunan Box Culver Hasik Jaya  </t>
  </si>
  <si>
    <t xml:space="preserve">4.3.4. Pembangunan Box Culver Jalur 1 - 7   </t>
  </si>
  <si>
    <t xml:space="preserve">4.3.5. Pembangunan Plat Decker Seribau  </t>
  </si>
  <si>
    <t xml:space="preserve">4.3.6. Pembangunan Plat Decker Kampung Kasar </t>
  </si>
  <si>
    <t xml:space="preserve">4.3.7. Pembangunan Jalan Siwen Ogin Distrik Teminabuan  </t>
  </si>
  <si>
    <t xml:space="preserve">4.3.8. Pembangunan Jalan Berbentuk Jembatan Kampung Kayubiro  </t>
  </si>
  <si>
    <t xml:space="preserve">4.3.9. Pembangunan Jembatan Lemekolo Tahap II  </t>
  </si>
  <si>
    <t xml:space="preserve">4.3.10. Pembangunan Jalan Kampung Haha  </t>
  </si>
  <si>
    <t>4.4. Program pembangunan saluran drainase/gorong-gorong</t>
  </si>
  <si>
    <t xml:space="preserve">4.4.1.  Pembangunan Talud Tersebar  </t>
  </si>
  <si>
    <t xml:space="preserve">4.4.2.  Pembangunan Talud Gereja AGAPE Waigo </t>
  </si>
  <si>
    <t xml:space="preserve">4.4.3.  Pembangunan Bronjong/pengaman jalan </t>
  </si>
  <si>
    <t xml:space="preserve">4.4.4.  Pembangunan Drainase Kampung Wen   </t>
  </si>
  <si>
    <t xml:space="preserve">4.4.5.  Pembangunan Drainase Kampung A  </t>
  </si>
  <si>
    <t>4.5. Program peningkatan sarana dan prasarana kebinamargaan</t>
  </si>
  <si>
    <t>4.5.1.  Pengadaan Lampu Jalan Tenaga Surya (Solar Cell) Distrik Teminabuan (Tersebar)</t>
  </si>
  <si>
    <t xml:space="preserve">4.5.2.  Pengadaan Lampu Solar Cell Kampung Saga  </t>
  </si>
  <si>
    <t>4.6. Program Pengembangan dan Pengelolaan Jaringan Irigasi, Rawa dan Jaringan Pengairan lainnya</t>
  </si>
  <si>
    <t xml:space="preserve">4.6.1.  Rehabilitasi jaringan irigasi primer  </t>
  </si>
  <si>
    <t xml:space="preserve">4.6.2.  Normalisasi Kali Tarof - Nebes  </t>
  </si>
  <si>
    <t xml:space="preserve">4.6.3.  Normalisasi Kali Migori-Korewatara - Kasueri Tahap II  </t>
  </si>
  <si>
    <t xml:space="preserve">4.6.4.  Pembuatan Sumur Bor Kampung Aibobor  </t>
  </si>
  <si>
    <t xml:space="preserve">4.6.5.  Normalisasi Sungai Heh Distrik Moswaren ( Lanjutan )  </t>
  </si>
  <si>
    <t xml:space="preserve">4.6.6.  Pembuatan Sumur Bor Hasik Jaya dan Bumi Ajo </t>
  </si>
  <si>
    <t>4.7. Program Pengembangan Kinerja Pengelolaan Air Minum dan Air Limbah</t>
  </si>
  <si>
    <t xml:space="preserve">4.7.1.  Pembangunan MCK Kompleks Komolin  </t>
  </si>
  <si>
    <t xml:space="preserve">4.7.2.  Pembangunan MCK Kampung Aibobor </t>
  </si>
  <si>
    <t xml:space="preserve">4.7.3  Pembangunan MCK Kampung Tegirolo  </t>
  </si>
  <si>
    <t>4.8. Program Pembangunan Jalan Lingkungan</t>
  </si>
  <si>
    <t xml:space="preserve">4.8.1. Pembangunan Jalan Lingkungan Kampung Wayer </t>
  </si>
  <si>
    <t xml:space="preserve">4.8.3. Pembangunan Jalan Lingkungan Kampung Dusun Hasu </t>
  </si>
  <si>
    <t xml:space="preserve">4.8.2. Pembangunan Jalan Lingkungan Dusun Rabinte </t>
  </si>
  <si>
    <t xml:space="preserve">4.8.4 Pembangunan Jalan Lingkungan Kampung Sayolo </t>
  </si>
  <si>
    <t xml:space="preserve">4.8.5. Pembangunan Jalan Lingkungan kamisabe </t>
  </si>
  <si>
    <t xml:space="preserve">4.8.6. Pembangunan Jalan Lingkungan Kampung Sira  </t>
  </si>
  <si>
    <t xml:space="preserve">4.8.7. Pembangunan Jalan Lingkungan Kampung Sungguer Jati  </t>
  </si>
  <si>
    <t xml:space="preserve">4.8.8. Pembangunan Jalan Lingkungan Kampung Sefotamin  </t>
  </si>
  <si>
    <t xml:space="preserve">4.8.9. Pembangunan Jalan Lingkungan Kediaman Wakil bupati  </t>
  </si>
  <si>
    <t xml:space="preserve">4.8.10. Pembangunan Jalan Lingkungan Tersebar  </t>
  </si>
  <si>
    <t xml:space="preserve">4.8.11. Pembangunan Drainase Tersebar  </t>
  </si>
  <si>
    <t xml:space="preserve">4.8.12. Pembangunan Jalan Lingkungan Kompleks Minahasa Belakan RSUD Schoolo Keyen  </t>
  </si>
  <si>
    <t xml:space="preserve">4.8.13. Peningkatan Jalan Kompleks Satin Kel. Kohoin Distrik Teminabuan  </t>
  </si>
  <si>
    <t xml:space="preserve">4.8.14 Pembangunan Jalan Lingkungan Tersebar Di Distrik Teminabuan   </t>
  </si>
  <si>
    <t xml:space="preserve"> 5.1 Program Pemberdayaan Fakir Miskin, Komunitas Adat Terpencil (KAT) dan Penyandang Masalah       Kesejahteraan Sosial (PMKS) Lainnya</t>
  </si>
  <si>
    <t xml:space="preserve">5.1.1. Pendataan Mahasiswa Study Akhir   </t>
  </si>
  <si>
    <t xml:space="preserve">5.1.2. Pembangunan Rumah Layak Huni KAT Kampung Sfakyo 1  </t>
  </si>
  <si>
    <t xml:space="preserve">5.1.22. Bedah Rumah Kompeks Ban </t>
  </si>
  <si>
    <t xml:space="preserve">5.1.21. Pengadaan Bahan Stimulan Kampung Mugim dan Nusa  </t>
  </si>
  <si>
    <t>5.1.19. Bantuan Stimulan Distrik Kokoda</t>
  </si>
  <si>
    <t xml:space="preserve">5.1.20. Pengadaan Bahan Stimulan Kampung Yahadian  </t>
  </si>
  <si>
    <t>5.1.17. Pembangunan Rumah Layak Huni Kampung Tegirolo (Tahap 2)</t>
  </si>
  <si>
    <t>5.1.18. Pembangunan Rumah Layak Huni Kampung Wermith</t>
  </si>
  <si>
    <t>5.1.16. Pembangunan Rumah Layak Huni Kampung Yahadian</t>
  </si>
  <si>
    <t>5.1.15. Pengadaan Bahan Stimulan Distrik Inanwatan</t>
  </si>
  <si>
    <t>5.1.14. Pembangunan Rumah Layak Huni Kampung Tegirolo</t>
  </si>
  <si>
    <t>5.1.13. Bantuan Rumah Layak Huni KAT Kampng Kayubiro</t>
  </si>
  <si>
    <t>5.1.12. Pengadaan Bahan Stimulan Kampung Namro</t>
  </si>
  <si>
    <t>5.1.11. Pengadaan Bahan Stimulan Kampung Tegirolo</t>
  </si>
  <si>
    <t>5.1.10. Bedah Rumah Dusun Persiapan Slik</t>
  </si>
  <si>
    <t>5.1.9 Pengadaan Bahan Stimulan (Bahan Bangunan) Distrik Teminabuan (Tersebar)</t>
  </si>
  <si>
    <t>5.1.8. Pembangunan Pagar Gedung Gereja Maranatha Teminabuan</t>
  </si>
  <si>
    <t xml:space="preserve">5.1.6. Pembangunan Rumah Layak Huni KAT Kampung Srer 2  </t>
  </si>
  <si>
    <t xml:space="preserve">5.1.7. Pelatihan Ketrampilan berusaha bagi Keluarga  miskin  </t>
  </si>
  <si>
    <t xml:space="preserve">5.1.5 Pembangunan Rumah Layak Huni KAT Kampung Srer 1  </t>
  </si>
  <si>
    <t xml:space="preserve">5.1.4. Pembangunan Rumah Layak Huni KAT Kampung Sfakyo 3 </t>
  </si>
  <si>
    <t xml:space="preserve">5.1.3 Pembangunan Rumah Layak Huni KAT Kampung Sfakyo 2  </t>
  </si>
  <si>
    <t>6.1 Program keserasian Kebijakan Peningkatan Kualitas Anak dan Perempuan</t>
  </si>
  <si>
    <t>6.1.1. Penyusunan Profil Anak Sorong Selatan Tahun 2019</t>
  </si>
  <si>
    <t>6.1.2. Penguatan Pendidikan Karakter dan Penumbuhan Budi Pekerti Anak</t>
  </si>
  <si>
    <t>6.1.3. Penyusunan KIE untuk Pemenuhan Akta Kelahiran Anak</t>
  </si>
  <si>
    <t>6.1.4. Pelatihan Membatik Bagi Perempuan Papua</t>
  </si>
  <si>
    <t>6.1.5. Pelatihan Perilaku Hidup Bersih dan Sehat ( PHBS )</t>
  </si>
  <si>
    <t>6.1.6. Sosialisasi Pola Asuh Anak dan Remaja dalam Keluarga</t>
  </si>
  <si>
    <t>6.1.7. Pelatihan Manajemen Keuangan bagi Pedagang Perempuan</t>
  </si>
  <si>
    <t>6.1.8. Pelatihan PPRG (Perencanaan dan Penganggaran yang Responsif Gender)</t>
  </si>
  <si>
    <t>6.1.9. Pelatihan Pembuatan Kue dari Bahan Lokal</t>
  </si>
  <si>
    <t>6.2.1. Sosialisasi Undang -Undang KDRT</t>
  </si>
  <si>
    <t>6.2.2. Bimtek Aparatur Bidang PP dan PA</t>
  </si>
  <si>
    <t>6.2.3. Seminar Peningkatan Metalitas Anak Melalui Pembinaan Rohani</t>
  </si>
  <si>
    <t>6.2.4. Sosialisasi UU  Perlindungan Anak</t>
  </si>
  <si>
    <t>6.2.5. Bimtek Tentang Kota Layak Anak (KLA)</t>
  </si>
  <si>
    <t>6.3.1 Pendataan Terkait Data Sumber Daya Perempuan dan Anak</t>
  </si>
  <si>
    <t>6.3.2 Rehab Gedung P2TP2A</t>
  </si>
  <si>
    <t>6.3.3 Pematangan Halaman Gedung P2TP2A</t>
  </si>
  <si>
    <t>6.3.4 Pengadaan Meubelair Lembaga P2TP2A</t>
  </si>
  <si>
    <t>6.3. Program peningkatan peran serta dan kesetaraan jender dalam pembangunan</t>
  </si>
  <si>
    <t>6.4. Program penguatan kelembagaan pengarusutamaan gender dan anak</t>
  </si>
  <si>
    <t>6.4.1. Pengembangan Forum Anak Daerah (FAD)</t>
  </si>
  <si>
    <t>6.4.2. Sosialisasi Undang- Undang Kota Layak Anak (KLA)</t>
  </si>
  <si>
    <t>6.4.3. Perumusan Perda tentang Perlindungan Perempuan dan Anak</t>
  </si>
  <si>
    <t>6.4.4. Fasilitasi korban KDRT</t>
  </si>
  <si>
    <t>6.4.5. Operasional Pengurus P2TP2A</t>
  </si>
  <si>
    <t>6.4.6. Kursus "Speak English" bagi Anak TK dan SD</t>
  </si>
  <si>
    <t xml:space="preserve">7.1.1. Pembuatan demplot pertanian  </t>
  </si>
  <si>
    <t xml:space="preserve">7.1.2. pengembangan desa mandiri pangan   </t>
  </si>
  <si>
    <t xml:space="preserve">7.2.1. Pengembangan Model Distribusi Pangan yang Efisien  </t>
  </si>
  <si>
    <t>7.2. Program Peningkatan Distribusi dan Cadangan Pangan</t>
  </si>
  <si>
    <t xml:space="preserve">7.2.2. Panel Harga Pangan Pokok  </t>
  </si>
  <si>
    <t xml:space="preserve">7.2.3. Pengembangan Cadangan Pangan Pemerintah Daerah </t>
  </si>
  <si>
    <t xml:space="preserve">7.2.4. Penyaluran Bantuan Stimulan Kepada Kelompok Masyarakat Berakses Pangan rendah  </t>
  </si>
  <si>
    <t xml:space="preserve">7.2.5 Publikasi Buku Panel Harga Pangan Kabupaten Sorong selatan </t>
  </si>
  <si>
    <t xml:space="preserve">7.3.2. Demplot budidaya ikan air tawar dalam kerambah  </t>
  </si>
  <si>
    <t xml:space="preserve">7.3.3. pengembangan tanaman pangan dan gizi lahan pekarangan  </t>
  </si>
  <si>
    <t xml:space="preserve">7.3.4. Hari pangan se dunia  </t>
  </si>
  <si>
    <t xml:space="preserve">7.3.5. Lomba cipta menu  </t>
  </si>
  <si>
    <t xml:space="preserve">7.3.1. Dempot budidaya jamur merang ( media limbah sagu )  </t>
  </si>
  <si>
    <t>7.4. Program penguatan kelembagaan pengarusutamaan gender dan anak</t>
  </si>
  <si>
    <t xml:space="preserve">7.4.1. Pekan daerah kontak tani, Se papua barat </t>
  </si>
  <si>
    <t xml:space="preserve">7.4.2. Pelatihan penyuluh pertanian  </t>
  </si>
  <si>
    <t xml:space="preserve">7.4.3. Rekrutmen penyuluh pertanian  </t>
  </si>
  <si>
    <t xml:space="preserve">7.4.4. Rembuk tani bagi petani dan nelayan  </t>
  </si>
  <si>
    <t xml:space="preserve">7.4.5. Operasional penyuluh   </t>
  </si>
  <si>
    <t>8. DINAS KEPENDUDUKAN DAN PENCATATAN SIPIL</t>
  </si>
  <si>
    <t>9. BADAN PEMBERDAYAAN MASYARAKAT DAN KAMPUNG</t>
  </si>
  <si>
    <t>9.1. Program Peningkatan Ketersediaan dan Kerawanan Pangan</t>
  </si>
  <si>
    <t xml:space="preserve">9.1.1. Pembangunan Rumah Layak Huni Kampung Migirito  </t>
  </si>
  <si>
    <t xml:space="preserve">9.1.2. Pengadaan Motor Tempel 15 PK  </t>
  </si>
  <si>
    <t xml:space="preserve">9.1.3. Pembangunan Rumah Layak Huni Kampung Bersama Distrik Sawiat </t>
  </si>
  <si>
    <t>9.2. Program Peningkatan Distribusi dan Cadangan Pangan</t>
  </si>
  <si>
    <t xml:space="preserve">9.2.1.  Lomba Kampung  </t>
  </si>
  <si>
    <t>9.3 Program Peningkatan Penganekaragaman Konsumsi dan Keamanan Pangan</t>
  </si>
  <si>
    <t xml:space="preserve">9.3.1. Magang Tenun Kain di Kabupaten Wajo  </t>
  </si>
  <si>
    <t xml:space="preserve">9.3.2. Operasional bagi kelompok tenun kain  </t>
  </si>
  <si>
    <t>10. DINAS PERIKANAN DAN KELAUTAN</t>
  </si>
  <si>
    <t>10.1. Program Peningkatan Ketersediaan dan Kerawanan Pangan</t>
  </si>
  <si>
    <t xml:space="preserve">10.1.1. Bantuan Modal Usaha Nelayan OAP </t>
  </si>
  <si>
    <t xml:space="preserve">10.1.2. Bantuan Modal Usaha Pemasaran Hasil Perikana OAP  </t>
  </si>
  <si>
    <t xml:space="preserve">10.1.3. Studi Banding Pengelola Koperasi Perikanan  </t>
  </si>
  <si>
    <t>10.2. Program Peningkatan Ketersediaan dan Kerawanan Pangan</t>
  </si>
  <si>
    <t xml:space="preserve">10.2.1. Operasional BBI Sawiat  </t>
  </si>
  <si>
    <t xml:space="preserve">10.2.2. Pengadaan Benih Ikan Mas, Nila,Lele  </t>
  </si>
  <si>
    <t xml:space="preserve">10.2.3. Pengadaan Peralatan Pembuatan Pakan Ikan   </t>
  </si>
  <si>
    <t xml:space="preserve">10.2.4. Distribusi Leaflet dan Buku Budi Daya untuk Pembudidaya </t>
  </si>
  <si>
    <t xml:space="preserve">10.2.5. Pengadaan Keramba Kepiting  </t>
  </si>
  <si>
    <t xml:space="preserve">10.2.6. Pelatihan Budidaya Sistem Keramba Kepiting  </t>
  </si>
  <si>
    <t>10.3. Program Peningkatan Ketersediaan dan Kerawanan Pangan</t>
  </si>
  <si>
    <t xml:space="preserve">10.3.1. Pelatihan Pengolahan dan Perbaikan Mesin Alat Tangkap  Hasil Perikanan  </t>
  </si>
  <si>
    <t xml:space="preserve">10.3.2. Pelatihan Manajemen Hasil Perikanan  </t>
  </si>
  <si>
    <t xml:space="preserve">10.3.3. Pameran Produk Perikanan Kabupaten Sorong Selatan   </t>
  </si>
  <si>
    <t xml:space="preserve">10.3.4. Pengadaan Mesin Motor Tempel 15 PK Distrik Saifi  </t>
  </si>
  <si>
    <t xml:space="preserve">10.3.5. Pengadaan Jaring Trammel Net Distrik Metemani </t>
  </si>
  <si>
    <t xml:space="preserve">10.3.6. Pengadaan Jaring Trammel Net Distrik Saifi  </t>
  </si>
  <si>
    <t xml:space="preserve">10.3.7. Pengadaan Jaring Trammel Net Distrik Kokoda  </t>
  </si>
  <si>
    <t xml:space="preserve">10.3.8. Pengadaan Jaring Trammel Net Distrik Kais </t>
  </si>
  <si>
    <t xml:space="preserve">10.3.9. Pengadaan Jaring Trammel Net Distrik Konda  </t>
  </si>
  <si>
    <t xml:space="preserve">10.3.10 .Pengadaan Casco Motor Tempel 15 PK Untuk Penampung Orang Asli Papua </t>
  </si>
  <si>
    <t xml:space="preserve">10.3.11. Pengadaan Mesin Ketinting  </t>
  </si>
  <si>
    <t xml:space="preserve">10.3.12. Pengadaan Alat Penangkap Kepiting  </t>
  </si>
  <si>
    <t xml:space="preserve">10.3.13 Registrasi Kapal dan Alat Penangkap Ikan Nelayan OAP  </t>
  </si>
  <si>
    <t xml:space="preserve">10.3.14 Pembangunan Tambatan Perahu Kampung Nelayan Demen  </t>
  </si>
  <si>
    <t>10.3.16. Pengadaan Jaring Tramel Net</t>
  </si>
  <si>
    <t>10.3.15. Pengadaan Mesin Ketinting Distrik Teminabuan ( Tersebar )</t>
  </si>
  <si>
    <t>10.3.17 Pengadaan Pakan Ikan</t>
  </si>
  <si>
    <t>10.3.18. Pengadaan Mesin Tempel (Jhonson) 15 PK + Body</t>
  </si>
  <si>
    <t xml:space="preserve">11. DINAS PERINDUSTRIAN, PERDAGANGAN, KOPERASI DAN UKM </t>
  </si>
  <si>
    <t>11.1. Program Peningkatan Kualitas Kelembagaan Koperasi dan UKM</t>
  </si>
  <si>
    <t xml:space="preserve">11.1.1. Pelatihan Manajemen Usaha Bagi Kelompok UMKM Bagi Orang Asli Papua  </t>
  </si>
  <si>
    <t xml:space="preserve">11.1.2. Pelatihan Penyusunan Anggaran Dasar (AD) Anggaran Rumah Tangga (ART) dan Rapat Anggota Tahunan Bagi Koperasi Khusus Orang Asli Papua  (OAP) </t>
  </si>
  <si>
    <t xml:space="preserve">11.1.3. Pelatihan Penyusunan Laporan Keuangan bagi Pengurus Koperasi Khusus Orang Asli Papua  </t>
  </si>
  <si>
    <t xml:space="preserve">11.1.4 Pembangunan Tempat Pelayanan Koperasi (TKP)  </t>
  </si>
  <si>
    <t xml:space="preserve">11.1.5. Pendampingan RAT Koperasi Bagi Orang Asli Papua </t>
  </si>
  <si>
    <t xml:space="preserve">11.1.6. Sosialisasi gerakan masyarakat koperasi </t>
  </si>
  <si>
    <t xml:space="preserve">11.1.7. Diklat pengawas koperasi  </t>
  </si>
  <si>
    <t>11.2. Program Perlindungan Konsumen dan Pengamanan Perdagangan</t>
  </si>
  <si>
    <t xml:space="preserve">11.2.1. Pengawasan Tera Ulang </t>
  </si>
  <si>
    <t>11.2.2. Pengawasan Distribusi Bahan Bakar Minyak</t>
  </si>
  <si>
    <t>11.2.3. Pengawasan Barang Kadalwarsa</t>
  </si>
  <si>
    <t>11.2.4. Pengawasan Bahan Pokok</t>
  </si>
  <si>
    <t xml:space="preserve">11.3.1. Pembangunan pasar obor kampung Ani Sesna </t>
  </si>
  <si>
    <t>11.3. Program Peningkatan Efisiensi Perdagangan Dalam Negeri</t>
  </si>
  <si>
    <t xml:space="preserve">11.3.2. Pembangunan pasar obor kampung Serkos, Mogibi dan Odeari </t>
  </si>
  <si>
    <t xml:space="preserve">1.3.3. Pembangunan pasar obor kampung Tapiri  </t>
  </si>
  <si>
    <t xml:space="preserve">11.3.4. Pembangunan pasar obor kampung siwatori/totona </t>
  </si>
  <si>
    <t xml:space="preserve">11.3.5. Pembangunan rumah dapur tempat bakaran di kampung Klamit </t>
  </si>
  <si>
    <t xml:space="preserve">11.3.6. Pengadaan Timbangan pegas  </t>
  </si>
  <si>
    <t xml:space="preserve">11.3.7. Pembangunan Los Pasar Kajase Tahap II  </t>
  </si>
  <si>
    <t>11.4 Program Pengembangan Kewirausahaan dan Keunggulan Kompetitif Usaha Kecil Menengah</t>
  </si>
  <si>
    <t xml:space="preserve">11.4.1. Pelatihan Pembuatan Tepung Sagu dan Berbahan Dasar Sagu </t>
  </si>
  <si>
    <t xml:space="preserve">11.4.2. Pelatihan pembuatan pakan ternak berbahan dasar limbah sagu  </t>
  </si>
  <si>
    <t xml:space="preserve">11.4.3. Pelatihan Pembuatan Keripik Keladi dan Pisang  </t>
  </si>
  <si>
    <t xml:space="preserve">11.4.5. Pelatihan pembuatan ikan asin  </t>
  </si>
  <si>
    <t xml:space="preserve">11.4.4. Pelatihan anyam-anyaman bagi pelaku IKM khusus OAP berbahan dasar kulit kayu  </t>
  </si>
  <si>
    <t xml:space="preserve">11.4.6. Bantuan Modal Usaha (IKM, UKM, UMKM)  </t>
  </si>
  <si>
    <t>11.5. Program Peningkatan Kapasitas Iptek Produksi</t>
  </si>
  <si>
    <t xml:space="preserve">11.5.1. Pengadaan alat pembuatan keripik keladi </t>
  </si>
  <si>
    <t xml:space="preserve">11.5.2. Pengadaan peralatan pembuatan kue sagu </t>
  </si>
  <si>
    <t xml:space="preserve">11.5.3. Pengadaan peralatan terasi dan kerupuk udang  </t>
  </si>
  <si>
    <t xml:space="preserve">11.5.4. Pengadaan pelatan mesin press / pengahalus  </t>
  </si>
  <si>
    <t xml:space="preserve">11.5.5. Pelatihan dan pengadaan alat pengolahan sampah rumah tangga  </t>
  </si>
  <si>
    <t xml:space="preserve">11.5.6. Pembangunan MCK 2 Unit sentra IKM </t>
  </si>
  <si>
    <t xml:space="preserve">11.5.7. Pembangunan instalasi listrik dan pengadaan genset  </t>
  </si>
  <si>
    <t>11.6 Program Pembinaan Pedagang Kaki Lima dan Asongan</t>
  </si>
  <si>
    <t>8.1. Program Peningkatan Ketersediaan dan Kerawanan Pangan</t>
  </si>
  <si>
    <t xml:space="preserve">8.1.2. Pendataan Penduduk Non Permanen </t>
  </si>
  <si>
    <t xml:space="preserve">8.1.1. Pelayanan Pencatatan Sipil Massal  </t>
  </si>
  <si>
    <t xml:space="preserve">8.1.3. Pengadaan Perangkat KTP el Mobile  </t>
  </si>
  <si>
    <t xml:space="preserve">8.1.4. Pemutakhiran Data Keluarga Tahap II  </t>
  </si>
  <si>
    <t xml:space="preserve">8.1.5. Pemutakhiran OAP Tahap II  </t>
  </si>
  <si>
    <t xml:space="preserve">8.1.6. Penerbitan Kartu Identitas Anak bagi anak-anak papua  </t>
  </si>
  <si>
    <t>12. BADAN PENGELOLA KEUANGAN DAN ASET DAERAH</t>
  </si>
  <si>
    <t>12.1. Belanja Hibah kepada Badan/Lembaga/Organisasi</t>
  </si>
  <si>
    <t xml:space="preserve">11.6.1. Pengadaan payung dan tempat jualan bagu mama-mama papua           </t>
  </si>
  <si>
    <t>2.13.1. Penyediaan Biaya Operasional Puskesmas Pembantu/poskesdes/polindes</t>
  </si>
  <si>
    <t>2.5.2. Replika Desa Open Denicationm Free  (ODF)</t>
  </si>
  <si>
    <t>2.1.2. Penyediaan jasa Pegawai Non PNS  (Perewat, Dokter, Bidan, Dll)</t>
  </si>
  <si>
    <t>4.1. Program Peningkatan Sarana dan Prasarana Aparatur</t>
  </si>
  <si>
    <t>4.1.1 Pengadaan Drone</t>
  </si>
  <si>
    <t>4.2. Program Peningkatan Jalan dan Jembatan</t>
  </si>
  <si>
    <t>4.3. Program Pembangunan Jalan dan Jembatan</t>
  </si>
  <si>
    <t xml:space="preserve"> - Bantuan Sarana dan Prasarana Keagamaan</t>
  </si>
  <si>
    <t xml:space="preserve"> - Bantuan Sosial Organisasi Keagamaan (Insentif Hamba Tuhan)</t>
  </si>
  <si>
    <t xml:space="preserve"> - Bantuan Sosial Organisasi Kemasyarakatan</t>
  </si>
  <si>
    <t>12.2. Belanja Bantuan Sosial kepada organisasi kemasyarakatan</t>
  </si>
  <si>
    <t>12.3. Belanja Bantuan Sosial Kepada Kelompok Masyarakat</t>
  </si>
  <si>
    <t xml:space="preserve"> - Jamkesda</t>
  </si>
  <si>
    <t>12.4. Belanja Bantuan Sosial Kepada Anggota Masyarakat</t>
  </si>
  <si>
    <t xml:space="preserve"> - Bantuan Sosial Pendidikan</t>
  </si>
  <si>
    <t xml:space="preserve"> - Bantuan Pemondokan/Asrama</t>
  </si>
  <si>
    <t>4.1.2 Peningkatan Jalan Siranggo - Mogatemi</t>
  </si>
  <si>
    <t>4.1.3 Peningkatan Jalan Sengguer - Ratembebg</t>
  </si>
  <si>
    <t>4.1.4 Peningkatan Jalan Mlabolo - Kofalit</t>
  </si>
  <si>
    <t>4.1.5 Peningkatan Jalan Wardik</t>
  </si>
  <si>
    <t>4.1.6 Peningkatan Jalan Tofot - Kakas</t>
  </si>
  <si>
    <t>4.1.7 Peningkatan Jalan Jalur 1 - 7</t>
  </si>
  <si>
    <t>4.1.8 Peningkatan Jalan Fan Ottow</t>
  </si>
  <si>
    <t>4.1.9 Peningkatan Jalan Boldon - Wehali</t>
  </si>
  <si>
    <t>4.1.10 Peningkatan Jalan Dalam Ibu Kota Distrik Inanwatan</t>
  </si>
  <si>
    <t xml:space="preserve">15.1. Bantuan Sosial Organisasi / Kegiatan Keagamaan  </t>
  </si>
  <si>
    <t>15.1.1.Kegiatan Gerejawi PESPARAWI</t>
  </si>
  <si>
    <t>15.1.2.KKR</t>
  </si>
  <si>
    <t>15.1.3. LPTQ/MTQ</t>
  </si>
  <si>
    <t>15.1.4. PHBI</t>
  </si>
  <si>
    <t>15.1.5. BAZNAS</t>
  </si>
  <si>
    <t>15.1.6.Kegiatan Manasik Haji</t>
  </si>
  <si>
    <t>15.1.7.MUI Sorong Selatan</t>
  </si>
  <si>
    <t>15.1.8.Pekabaran Injil (Oikumene) Masuk di Tanah Papua dan Tanah Tehit</t>
  </si>
  <si>
    <t xml:space="preserve">15.2. Bantuan Sarana dan Prasarana Keagamaan </t>
  </si>
  <si>
    <t>15.2.1. Pembangunan Gereja  GKI Ottow Gesler Tokas Moswaren</t>
  </si>
  <si>
    <t>15.2.2. Pembangunan Pagar  Kantor BPW GBI  Teminabuan &amp; Jemaat GBI  EL  ROI</t>
  </si>
  <si>
    <t>15.2.3.Pembangunan Pastori GKI Syalom Moswaren</t>
  </si>
  <si>
    <t>15.2.4.Pembangunan Pastori GKI Imanuel Kamisabe</t>
  </si>
  <si>
    <t>15.2.5.Pembangunan Rumah Ketua Klasis Teminabuan</t>
  </si>
  <si>
    <t>15.2.6.Pembangunan Gereja Kalvari Skendi</t>
  </si>
  <si>
    <t>15.2.7.Pembangunan Mesjid Anur Tarof</t>
  </si>
  <si>
    <t>15.2.8.Pembangunan Mesjid Darul Ulun Keyen</t>
  </si>
  <si>
    <t>15.2.9.Pembangunan Pagar Gedung Gereja Nubarak Sodrofoyo</t>
  </si>
  <si>
    <t>15.2.10.Pembangunan Kantor Klasis IMEKO</t>
  </si>
  <si>
    <t>15.2.11.Pembangunan Gereja Elim Eles</t>
  </si>
  <si>
    <t>15.2.12.Pembangunan Gereja GKI Jemaat Korius Konda</t>
  </si>
  <si>
    <t>15.2.13.Pembangunan Pagar Gereja GKI Rehobot Maswat</t>
  </si>
  <si>
    <t>15.2.14. Rehab Gedung Gereja GKI Meriba Srer</t>
  </si>
  <si>
    <t>15.2.15.Pembangunan Gereja GKI Jemaat Pergamus Kmislolo</t>
  </si>
  <si>
    <t>15.2.16.Pembangunan Pastori Efrata Klamit</t>
  </si>
  <si>
    <t>15.2.17.Pembangunan Gereja GKI Jemaat Sion Salkma</t>
  </si>
  <si>
    <t>15.2.18.Meubelair Gereja Getsemani</t>
  </si>
  <si>
    <t>15.2.19.Rehabilitasi Gedung Gereja GKI Jemaat Elim Yahadian</t>
  </si>
  <si>
    <t>15.3. Bantuan Sosial Organisasi Keagamaan (Insentif Hamba Tuhan)</t>
  </si>
  <si>
    <t>15.3.1. GKI</t>
  </si>
  <si>
    <t>15.3.2. Gereja Katolik</t>
  </si>
  <si>
    <t>15.3.4. GBI</t>
  </si>
  <si>
    <t>15.3.3. GPDI</t>
  </si>
  <si>
    <t>15.3.5. GPI Jalan Suci</t>
  </si>
  <si>
    <t>15.3.6. Gereja Advent</t>
  </si>
  <si>
    <t>15.3.7. GPDP</t>
  </si>
  <si>
    <t>15.3.8. Gereja Baptis Anugerah</t>
  </si>
  <si>
    <t>15.3.9. GSJA</t>
  </si>
  <si>
    <t>15.3.10. Tabernakel/Kristus Raja</t>
  </si>
  <si>
    <t>15.3.11. Muhammadiah</t>
  </si>
  <si>
    <t>15.3.12. Nahdatul Ulama</t>
  </si>
  <si>
    <t>15.4. Bantuan Sosial Kegiatan Keagamaan</t>
  </si>
  <si>
    <t>5.4.1.Wisata Rohani ke Yerusalem</t>
  </si>
  <si>
    <t>5.4.2. Ibadah Haji ke Mekkah dan Madinah</t>
  </si>
  <si>
    <t xml:space="preserve">15.5. Belanja Bantuan Sosial Kepada Anggota Masyarakat </t>
  </si>
  <si>
    <t>15.51.2. Mahasiswa Pendidikan Umum</t>
  </si>
  <si>
    <t>15.6. Bantuan Sosial Pemondokan/Asrama Mahasiswa</t>
  </si>
  <si>
    <t>15.6.1. Asrama Putra Jayapura</t>
  </si>
  <si>
    <t>15.6.2. Asrama Putri Jayapura</t>
  </si>
  <si>
    <t>15.6.3. Asrama Putra Manokwari</t>
  </si>
  <si>
    <t>15.6.4. Asrama Putri Manokwari</t>
  </si>
  <si>
    <t>15.6.5. Asrama Putra Manado</t>
  </si>
  <si>
    <t>15.6.6. Asrama Putri Manado</t>
  </si>
  <si>
    <t>15.6.7. Asrama Putra Surabaya</t>
  </si>
  <si>
    <t>15.6.8. Asrama Putra Jogjakarta</t>
  </si>
  <si>
    <t xml:space="preserve">1.1.1  Pengadaan  Pakaian Seragam TK/PAUD  </t>
  </si>
  <si>
    <t xml:space="preserve">3.1.  Program Pembangunan Jalan </t>
  </si>
  <si>
    <t>3.1.1. Pembangunan Jalan</t>
  </si>
  <si>
    <t>3.2.  Program Pembangunan Rumah</t>
  </si>
  <si>
    <t>3.2.1. Pembangunan rumah untuk masyarakat</t>
  </si>
  <si>
    <t>1.1 Program Peningkatan Kapasitas Sumber Daya Apratur</t>
  </si>
  <si>
    <t>1.1.1. Kontribusi Pelatihan/Sosialisasi/Bimbingan Teknis</t>
  </si>
  <si>
    <t>1.2.   Program Peningkatan Pengembangan Sistem Pelaporan Capaian Kinerja dan Keuangan</t>
  </si>
  <si>
    <t>1.2.1. Penyusunan Laporan Capaian Kinerja dan Ikhtisar Realisasi Kinerja SKPD</t>
  </si>
  <si>
    <t>1.2.2. Penyusunan Laporan Keuangan Akhir Tahun</t>
  </si>
  <si>
    <t>1.3.    Program Pendidikan Anak Usia Dini</t>
  </si>
  <si>
    <t>1.3.1. Pengadaan Guru Kontrak PAUD</t>
  </si>
  <si>
    <t>1.3.2. Studi Banding Bunda-Bunda PAUD</t>
  </si>
  <si>
    <t>1.3.3. Pembangunan PAUD PKK Maybrat</t>
  </si>
  <si>
    <t>1.4.  Program Wajib Belajar Pendidikan Dasar Sembilan Tahun</t>
  </si>
  <si>
    <t>1.5.  Program Pendidikan Menengah</t>
  </si>
  <si>
    <t>1.6.1. Pelaksanaan uji kompetensi pendidik dan tenaga Kependidikan</t>
  </si>
  <si>
    <t>1.6.5. Sosialisasi Uji Penpentensi Guru KG</t>
  </si>
  <si>
    <t>1.6.6. Biaya Pembebasan Lahan Bangunan Asrama Mahasiswa</t>
  </si>
  <si>
    <t>1.6.7. Monitoring Asrama Mahasiswa</t>
  </si>
  <si>
    <t>1.7.1. Peningkatan Sarana dan Prasarana Olah Raga</t>
  </si>
  <si>
    <t>2.1.12 Studi Banding Manajemen Pengolahan Data Kesehatan Ke Dinas Kesehatan Surabaya</t>
  </si>
  <si>
    <t>2.3.  Program Promosi Kesehatan dan Pemberdayaan Masyarakat</t>
  </si>
  <si>
    <t>2.3.3 Monev Masyarakat Pengguna JAMKESMAS</t>
  </si>
  <si>
    <t>2.4.  Program Perbaikan Gizi Masyarakat</t>
  </si>
  <si>
    <t>2.5.  Program Pencegahan dan Penanggulangan  Penyakit Menular</t>
  </si>
  <si>
    <t>2.6.  Program Pengadaan, Peningkatan dan Perbaikan Sarana dan Prasarana Puskesmas/Puskesmas Pembantu dan Jaringannya</t>
  </si>
  <si>
    <t>2.7.  Program Peningkatan Pelayanan Puskesmas</t>
  </si>
  <si>
    <t xml:space="preserve">2.6.4. Pembangunan Pagar Puskesmas Ayamaru Selatan (Persiapan Akreditasi)  </t>
  </si>
  <si>
    <t xml:space="preserve">2.1.1. Rapat Kerja Kesehatan  </t>
  </si>
  <si>
    <t>2.1.2. Pengadaan Tenaga Medis dan Paramedis</t>
  </si>
  <si>
    <t xml:space="preserve">2.1.3. Bimtek Penyusunan Profil Kesehatan  </t>
  </si>
  <si>
    <t xml:space="preserve">2.1.4. Pelatihan Administrasi Kesehatan  </t>
  </si>
  <si>
    <t xml:space="preserve">2.1.5. Bimtek dan Validasi Data ASPAK Puskesmas  </t>
  </si>
  <si>
    <t xml:space="preserve">2.1.7. Pendataan Ulang Data Nominatif Pegawai Dinas Kesehatan </t>
  </si>
  <si>
    <t xml:space="preserve">2.7.11. Operasional Incenerator Puskesmas Ayamaru  </t>
  </si>
  <si>
    <t xml:space="preserve">2.7.10. Operasional Rujukan Pasien Kurang Mampu  </t>
  </si>
  <si>
    <t xml:space="preserve">2.7.9. Pelayanan Dokter Mobile  </t>
  </si>
  <si>
    <t xml:space="preserve">2.7.8. Operasional IGD Puskesmas Aitinyo </t>
  </si>
  <si>
    <t>3.1.2. Pengadaan Prasaran Pemerintahan/Umum</t>
  </si>
  <si>
    <t>3.2.  Program Pembangunan Jalan dan Jembatan</t>
  </si>
  <si>
    <t>3.3.  Program Pembangunan Saluran Drainase/Gorong-gorong</t>
  </si>
  <si>
    <t>3.4.  Program Pengembangan Kinerja Pengelolaan Air Minum dan Air Limbah</t>
  </si>
  <si>
    <t>3.4.1. Penyediaan Air Minum dan Sanitasi Berbasis Masyarakat (PAMSIMAS)</t>
  </si>
  <si>
    <t>3.5.  Program Pembangunan Infrastruktur Perdesaan</t>
  </si>
  <si>
    <t>3.5.1. Pembangunan Jalan dan Jembatan Perdesaan</t>
  </si>
  <si>
    <t xml:space="preserve">3.1.1. Pembangunan Gedung Kantor  </t>
  </si>
  <si>
    <t xml:space="preserve">3.2.1. Pembangunan Jalan  </t>
  </si>
  <si>
    <t xml:space="preserve">3.3.1. Pembangunan Saluran Drainase/Gorong-gorong  </t>
  </si>
  <si>
    <t>4. DINAS PEMBERDAYAAN PEREMPUAN DAN PERLINDUNGAN ANAK</t>
  </si>
  <si>
    <t>4.1. Program Peningkatan Kualitas Hidup Perempuan Sebagai Pelaku Ekonomi Keluarga</t>
  </si>
  <si>
    <t xml:space="preserve">4.1.3. Pelatihan Pembuatan Tas, Topi, Noken dan Piring Rotan dan Bahan Lokal </t>
  </si>
  <si>
    <t>6. INSPEKTORAT</t>
  </si>
  <si>
    <t>6.1. Program Peningkatan Kapasitas Sumber Daya Aparatur</t>
  </si>
  <si>
    <t>6.1.1. Pelatihan di Kantor Sendiri (PKS)</t>
  </si>
  <si>
    <t>6.2. Program Peningkatan Sistem Pengawasan Internal dan Pengendalian Pelaksanaan Kebijakan KDH</t>
  </si>
  <si>
    <t xml:space="preserve">6.2.1. Reviu Laporan Keuangan Pemerintah Daerah </t>
  </si>
  <si>
    <t>6.2.2. Penguatan dan Penanganan Saber Pungli Kabupaen Maybrat</t>
  </si>
  <si>
    <t>6.2.3. Monitoring dan Evaluasi Kegiatan yang Bersumber Dana OTSUS</t>
  </si>
  <si>
    <t>7. BADAN PERENCANAAN PEMBANGUNAN DAERAH</t>
  </si>
  <si>
    <t>7.1. Program Pengembangan Data/Informasi</t>
  </si>
  <si>
    <t>7.1.1. Pengadaan Buku Publikasi Maybrat (IPM, MDA, PDRB)</t>
  </si>
  <si>
    <t>7.2. Program Perencanaan Pembangunan Daerah</t>
  </si>
  <si>
    <t>7.2.1. Musyawarah Rencana pembangunan Daerah Tahun 2018 (MUSRENBANG)</t>
  </si>
  <si>
    <t>7.2.2. Penyusunan Basic Price Kabupaten Maybrat</t>
  </si>
  <si>
    <t>7.3. Program Perencanaan Sosial dan Budaya</t>
  </si>
  <si>
    <t>7.3.1. Perencanaan Strategis Bidang Pendidikan</t>
  </si>
  <si>
    <t>7.3.2. Perencanaan Strategis Bidang Kesehatan</t>
  </si>
  <si>
    <t>8. BADAN PENGELOLA KEUANGAN DAN ASET DAERAH SELAKU PPKD</t>
  </si>
  <si>
    <t>8.1.1. Bantuan Bidang Pendidikan</t>
  </si>
  <si>
    <t>8.1.2. Bantuan Bidang Kesehatan</t>
  </si>
  <si>
    <t>8.1.4. Bantuan Sosial Kemasyarakatan/Perorangan</t>
  </si>
  <si>
    <t>8.1.6. Bantuan Pelatihan Pemuda Penggerak Pembangunan Maybrat</t>
  </si>
  <si>
    <t xml:space="preserve">2.1.6. Bimtek Perencanaan Bidang Kesehatan  </t>
  </si>
  <si>
    <t xml:space="preserve">2.1.8. Pelatihan Tenaga Para Medis Bagi PPDG ON  </t>
  </si>
  <si>
    <t xml:space="preserve">2.1.9. Pelatihan Kader Posyandu  </t>
  </si>
  <si>
    <t xml:space="preserve">2.1.10 Pelatihan Penanganan Kasus THT  </t>
  </si>
  <si>
    <t xml:space="preserve">2.1.11 Studi Banding Puskesmas Akreditasi  </t>
  </si>
  <si>
    <t xml:space="preserve">2.1.13 Pelatihan PPDG/BTCLS Para Medis  </t>
  </si>
  <si>
    <t xml:space="preserve">2.1.14 Pelatihan Trauma ATCLS dan ACLS (Tenaga Medis)  </t>
  </si>
  <si>
    <t xml:space="preserve">2.1.15 Workshop Pelaksanaan Audit Internal dan Tinjauan Manajemen  </t>
  </si>
  <si>
    <t xml:space="preserve">1.6.3. Sosialisasi Pelatihan dan Penilaian Kinerja Guru  </t>
  </si>
  <si>
    <t xml:space="preserve">1.6.4. Biaya Pendidikan Penyelenggaraan Jarak Jauh (PJSS S1-PGSJ) </t>
  </si>
  <si>
    <t xml:space="preserve">1.5.1. Pendidikan Siswa Berbakat  </t>
  </si>
  <si>
    <t xml:space="preserve">1.4.12. Evaluasi dan Monitoring Program  </t>
  </si>
  <si>
    <t xml:space="preserve">1.4.11. Pembayaran Guru Kontrak SMP  </t>
  </si>
  <si>
    <t xml:space="preserve">1.4.10. Pembayaran Guru Kontrak SD </t>
  </si>
  <si>
    <t xml:space="preserve">1.4.9. Ujian Nasional SMP  </t>
  </si>
  <si>
    <t xml:space="preserve">1.4.8. Ujian Nasional SD  </t>
  </si>
  <si>
    <t xml:space="preserve">1.4.7. Biaya Operasional Pengawas PSW YPK dan YPPK  </t>
  </si>
  <si>
    <t xml:space="preserve">1.4.6. Biaya Operasional Pengawas TK, SD, SMP  </t>
  </si>
  <si>
    <t xml:space="preserve">1.4.5. Biaya Operasional Siswa Kabupaten (BOSKAP) SD, SMP  </t>
  </si>
  <si>
    <t xml:space="preserve">1.4.4. Perencanaan dan Pengawasan Teknis  </t>
  </si>
  <si>
    <t xml:space="preserve">1.4.3. Rehabilitasi Sarana dan Prasarana Pendidikan Dasar  </t>
  </si>
  <si>
    <t xml:space="preserve">1.4.2. Pengadaan Peralatan dan Perlengkapan Sekolah  </t>
  </si>
  <si>
    <t xml:space="preserve">1.4.1. Pembangunan Sarana dan Prasarana Pendidikan Dasar  </t>
  </si>
  <si>
    <t xml:space="preserve">2.2.1. Pengadaaan Obat dan Perbekalan Kesehatan  </t>
  </si>
  <si>
    <t xml:space="preserve">2.2.3. Distribusi Obat Ke Instansi Farmasi/Puskesmas/Pustu  </t>
  </si>
  <si>
    <t xml:space="preserve">2.2.4. Pelatihan Manajemen Obat </t>
  </si>
  <si>
    <t xml:space="preserve">2.3.1. Pelatihan Manajemen Puskesmas  </t>
  </si>
  <si>
    <t xml:space="preserve">2.3.2 Sosialisasi JKN/BPJS  </t>
  </si>
  <si>
    <t xml:space="preserve">2.4.1. Monitoring, Evaluasi dan Pelaporan KIA  </t>
  </si>
  <si>
    <t xml:space="preserve">2.4.2. Pemantauan Status Gizi Balita  </t>
  </si>
  <si>
    <t xml:space="preserve">2.4.3. Insentif Kader Posyandu  </t>
  </si>
  <si>
    <t xml:space="preserve">2.4.4. Penyuluhan Masyarakat Ber-PHS  </t>
  </si>
  <si>
    <t xml:space="preserve">2.4.5. Study Banding Kader Posyandu  </t>
  </si>
  <si>
    <t xml:space="preserve">2.5.5. Imunisasi Anak Sekolah (BIAS)  </t>
  </si>
  <si>
    <t xml:space="preserve">2.5.4. Pendataan dan Pengawasan Rumah-Rumah Makan  </t>
  </si>
  <si>
    <t xml:space="preserve">2.5.3. Pengadaan RDT (Malaria)  </t>
  </si>
  <si>
    <t xml:space="preserve">2.5.2. Distribusi dan Pelayanan Imunisasi Rutin ke Puskesmas dan Kampung  </t>
  </si>
  <si>
    <t xml:space="preserve">2.5.1. Survelans Penyakit Menular  </t>
  </si>
  <si>
    <t xml:space="preserve">2.6.1. Pengadaan Pemasangan Teralis Besi Kantor Dinas Kesehatan  </t>
  </si>
  <si>
    <t xml:space="preserve">2.6.2. Pembangunan Puskesmas Aifat Utara  </t>
  </si>
  <si>
    <t xml:space="preserve">2.6.3. Pematangan Lahan Puskesmas  </t>
  </si>
  <si>
    <t xml:space="preserve">2.6.5. Pengadaan Meubelair Puskesmas  </t>
  </si>
  <si>
    <t xml:space="preserve">2.6.6. Pengadaan Pakaian Kader Posyandu  </t>
  </si>
  <si>
    <t xml:space="preserve">2.6.7. Perencanaan Teknis Kegiatan  </t>
  </si>
  <si>
    <t xml:space="preserve">2.6.8. Pengawasan Teknis Kegiatan  </t>
  </si>
  <si>
    <t xml:space="preserve">2.6.9. Administrasi Proyek  </t>
  </si>
  <si>
    <t xml:space="preserve">2.7.1. Sewa Rumah Tunggu Kelahiran (RTK)  </t>
  </si>
  <si>
    <t xml:space="preserve">2.7.2. Akreditasi Puskesmas  </t>
  </si>
  <si>
    <t xml:space="preserve">2.7.3. Operasional Puskesmas </t>
  </si>
  <si>
    <t xml:space="preserve">2.7.4. Operasional Puskesmas Pembantu  </t>
  </si>
  <si>
    <t xml:space="preserve">2.7.5. Operasional IGD Puskesmas Ayamaru  </t>
  </si>
  <si>
    <t xml:space="preserve">2.7.6. Operasional IGD Puskesmas Ayamaru Timur  </t>
  </si>
  <si>
    <t xml:space="preserve">2.7.7. Operasional IGD Puskesmas Aifat  </t>
  </si>
  <si>
    <t>4.2.8. Pembangunan Drainase kompleks</t>
  </si>
  <si>
    <t>9.  DINAS PERIKANAN</t>
  </si>
  <si>
    <t>9.1 Program pengembangan budidaya perikanan</t>
  </si>
  <si>
    <t>9.1.1 Pembinaan dan pengembangan perikanan</t>
  </si>
  <si>
    <t>9.1.2 Pengembangan Perikanan Budidaya Air Laut</t>
  </si>
  <si>
    <t>9.2 Program pengembangan perikanan tangkap</t>
  </si>
  <si>
    <t>9.2.1 Pembangunan tempat pelelangan ikan</t>
  </si>
  <si>
    <t>10. DINAS PARIWISATA DAN KEBUDAYAAN</t>
  </si>
  <si>
    <t>10.2 Program Pengembangan Sanggar Seni</t>
  </si>
  <si>
    <t>10.2.1 Pembinaan Sanggar Seni</t>
  </si>
  <si>
    <t>11. DINAS KETAHANAN PANGAN DAN PERTANIAN</t>
  </si>
  <si>
    <t>11.1 Program peningkatan produksi pertanian/perkebunan</t>
  </si>
  <si>
    <t>11.1.1 Pengembangan bibit unggul pertanian/perkebunan</t>
  </si>
  <si>
    <t>11.1.2 Pengembangan Kebun Kakao (I)</t>
  </si>
  <si>
    <t>11.1.3 Pengembangan Kebun Kakao (II)</t>
  </si>
  <si>
    <t>11.1.4 Sanitasi Kebun Kakao</t>
  </si>
  <si>
    <t>11.2.5  Penyediaan sarana produksi pertanian/perkebunan</t>
  </si>
  <si>
    <t>11.1.6 Pengembangan Kebun Cengkeh</t>
  </si>
  <si>
    <t>11.2 Program peningkatan produksi hasil peternakan</t>
  </si>
  <si>
    <t xml:space="preserve">11.2.1 Pendistribusian bibit ternak  kepada masyarakat </t>
  </si>
  <si>
    <t>11.2.2 Pengembangan agribisnis peternakan</t>
  </si>
  <si>
    <t>11.3 Program peningkatan penerapan teknologi pertanian/perkebunan</t>
  </si>
  <si>
    <t>11.3.1 Pelatihan dan bimbingan pengoperasian teknologi pertanian/perkebunan tepat guna</t>
  </si>
  <si>
    <t>11.4 Program pemberdayaan penyuluh pertanian/perkebunan lapangan</t>
  </si>
  <si>
    <t>11.4.1 Operasional Balai Penyuluhan Pertanian</t>
  </si>
  <si>
    <t>11. 5 Program Percepatan Penganekaragaman Konsumsi Pangan</t>
  </si>
  <si>
    <t xml:space="preserve">11.5.1 Lomba Cipta Menu,Beragam,Bergizi dan Seimbang </t>
  </si>
  <si>
    <t>12. DINAS PERINDUSTRIAN, PERDAGANGAN DAN KOPERASI, USAHA KECIL DAN MENENGAH</t>
  </si>
  <si>
    <t>12.1 Program peningkatan efisiensi perdagangan dalam negeri</t>
  </si>
  <si>
    <t>12.1.1 Pengembangan pasar dan distribusi barang/produk</t>
  </si>
  <si>
    <t>13.1  Program penataan penguasaan, pemilikan, penggunaan dan pemanfaatan tanah</t>
  </si>
  <si>
    <t>13.1.1 Penataan penguasaan, pemilikan, penggunaan dan pemanfaatan tanah</t>
  </si>
  <si>
    <t xml:space="preserve">13. 2 Program Peningkatan Sarana dan Prasarana Aparatur </t>
  </si>
  <si>
    <t>13.2.1 Pembangunan gedung kantor</t>
  </si>
  <si>
    <t>14.1 Fasilitasi Bantuan Lembaga Keagamaan</t>
  </si>
  <si>
    <t>14.1.1 Fasilitasi Ibadah Keagamaan Tokoh Agama</t>
  </si>
  <si>
    <t>15. DISTRIK RANSIKI</t>
  </si>
  <si>
    <t>15.1 Program peningkatan partisipasi masyarakat membangun kampung</t>
  </si>
  <si>
    <t>15.1.1 Pembinaan Kelompok Masyarakat Pembangunan Desa</t>
  </si>
  <si>
    <t>15.2 Program Pengembangan Lembaga Ekonomi Pedesaan</t>
  </si>
  <si>
    <t>15.2.1 Fasilitasi Kemintraan Swasta dan Usaha Mikcro Kecil dan Menegah Perdesan</t>
  </si>
  <si>
    <t>15.3 Program Peningkatan Peran Perempuan di Perdesaan</t>
  </si>
  <si>
    <t>15.3.1 Pelatihan Perempuan di Perdesaan dalam Bidang Usaha Ekonomi Produktif</t>
  </si>
  <si>
    <t>16. DISTRIK MOMIWAREN</t>
  </si>
  <si>
    <t>16.1 Program Perberdayaan Kelembagaan Kesejahteraan Sosial</t>
  </si>
  <si>
    <t xml:space="preserve">16.1.1 Fasilitasi Bantuan Sosial Lembaga Keagamaan  </t>
  </si>
  <si>
    <t>16.2 Program Pembinaan dan Pemasyarakatan Olah Raga</t>
  </si>
  <si>
    <t>16 2.1 Pembinaan Olah Raga yang Berkembang di masyarakat</t>
  </si>
  <si>
    <t>17.1.  Program Pemberdayaan Kelembagaan Kesejahteraan Sosial</t>
  </si>
  <si>
    <t xml:space="preserve">17.1.1 Bantuan Sosial Lembaga Keagamaan  </t>
  </si>
  <si>
    <t>17.2.  Program Pengembangan Lembaga Ekonomi Pedesaan</t>
  </si>
  <si>
    <t>17.2.1 Fasilitasi Kemintraan Swasta dan Usaha Mikcro Kecil dan Menegah Perdesan</t>
  </si>
  <si>
    <t>18. DISTRIK TAHOTA</t>
  </si>
  <si>
    <t>18.1.  Program peningkatan partisipasi masyarakat membangun kampung</t>
  </si>
  <si>
    <t xml:space="preserve">18.1.1. Pemberian Stimulan Pembangunan Desa  </t>
  </si>
  <si>
    <t>18.2.1.  Fasilitasi Kemintraan Swasta dan Usaha Mikcro Kecil dan Menegah Perdesaan</t>
  </si>
  <si>
    <t>19.2.  Program Peningkatan Peran sarta dan Kesetaraan Gender dalm Pembangunan</t>
  </si>
  <si>
    <t>19.2.1.  Kegiatan Pembinaan Organisasi Perempuan</t>
  </si>
  <si>
    <t>19.3.  Program Peningkatan Kesehatan Anak Balita</t>
  </si>
  <si>
    <t xml:space="preserve">19.3.1.  Rekruitment Tenaga Pelayanan Kesehatan Anak dan Balita </t>
  </si>
  <si>
    <t>19.4.  Fasilitasi Bantuan Lembaga Keagamaan</t>
  </si>
  <si>
    <t>19.4.1.  Fasilitas Bantuan Sosial Lembaga Keagamaan</t>
  </si>
  <si>
    <t>20.1.1.  Non Kegiatan (Hibah)</t>
  </si>
  <si>
    <t>20.1.1.1. Hibah Kepada Badan/Lembaga/Organisasi Swasta</t>
  </si>
  <si>
    <t>20.1.1.3. Hibah Kepada Kelompok Masyarakat/Perorangan</t>
  </si>
  <si>
    <t>20.1.1.4. Hibah Keagamaan</t>
  </si>
  <si>
    <t>20.2.1.  Non Kegiatan (Bantuan Sosial)</t>
  </si>
  <si>
    <t>20.2.1.1. Bantuan Sosial Bidang Pendidikan</t>
  </si>
  <si>
    <t>20.2.1.2. Bantuan Sosial Bidang Sosial</t>
  </si>
  <si>
    <t>20.2.1.3 Belanja Bantuan Keuangan Kepada Desa</t>
  </si>
  <si>
    <t>2.6 Program Kemitraan Peningkatan Pelayanan Kesehatan</t>
  </si>
  <si>
    <t xml:space="preserve">2.6.1 Kemitraan pengobatan lanjutan bagi pasien rujukan </t>
  </si>
  <si>
    <t>1.2.2 Pemberian Bantuan Operasional TK dan PAUD</t>
  </si>
  <si>
    <t>1.2.3 Pembangunan gedung sekolah TK</t>
  </si>
  <si>
    <t>1.3 Program Wajib Belajar Pendidikan Dasar Sembilan Tahun</t>
  </si>
  <si>
    <t>1.3.1 Pengadaan pakaian seragam sekolah SMP</t>
  </si>
  <si>
    <t>1.3.2 Pengadaan pakaian olahraga SMP</t>
  </si>
  <si>
    <t>1.3.3 Penyediaan beasiswa SD</t>
  </si>
  <si>
    <t>1.3.4 Penyediaan beasiswa SMP</t>
  </si>
  <si>
    <t>1.3.5 Penyediaan biaya registrasi siswa SD</t>
  </si>
  <si>
    <t>1.3.6 Manado International School</t>
  </si>
  <si>
    <t xml:space="preserve">1.3.7 Beasiswa SMP Program Yayasan Pendidikan Lokon </t>
  </si>
  <si>
    <t>1.3.8 Beasiswa SMA Program Yayasan Pendidikan Lokon</t>
  </si>
  <si>
    <t>1.3.10 Pengadaan pakaian olahraga SD</t>
  </si>
  <si>
    <t>1.3.12 Monitoring, evaluasi dan pelaporan</t>
  </si>
  <si>
    <t>1.3.13 Penyediaan Biaya MOS Siswa SMP</t>
  </si>
  <si>
    <t>1.3.18 Pembangunan Gedung Sekolah SD</t>
  </si>
  <si>
    <t xml:space="preserve">1.3.9 Pengadaan pakaian seragam sekolah SD  </t>
  </si>
  <si>
    <t xml:space="preserve">1.3.11 Pengadaan meubelair sekolah  </t>
  </si>
  <si>
    <t xml:space="preserve">1.3.14 Pengadaan Buku Raport SD </t>
  </si>
  <si>
    <t xml:space="preserve">1.3.15 Pengadaan Buku Raport SMP  </t>
  </si>
  <si>
    <t xml:space="preserve">1.3.16 Penyelenggaraan Ujian Nasional SD/MI  </t>
  </si>
  <si>
    <t xml:space="preserve">1.3.17 Penyelenggaraan Ujian Nasional SMP/MTs  </t>
  </si>
  <si>
    <t>1.4.1 Pemberian Bantuan MGMP. MKKS dan Kegiatan Hari Besar</t>
  </si>
  <si>
    <t xml:space="preserve">2.2.1 Pengadaaan Obat dan Perbekalan Kesehatan  </t>
  </si>
  <si>
    <t>2.3.2 Pelningkatan Pelayanan dan Penanggulangan Masalah Kesehatan</t>
  </si>
  <si>
    <t>2.4 Program Promosi Kesehatan Dan Pemberdayaan Masyarakat</t>
  </si>
  <si>
    <t>2.4.1 Penyuluhan masyarakat pola hidup sehat</t>
  </si>
  <si>
    <t>2.5.1 Pencegahan Penangulangan Penyakit TIDAK Menular</t>
  </si>
  <si>
    <t>2.7 Program Peningkatan Pelayanan Kesehatan Anak Balita</t>
  </si>
  <si>
    <t>2.7.1 Immunisasi bagi anak balita</t>
  </si>
  <si>
    <t>2.7.2 Pemberian Makanan Tambahan Bayi Balita</t>
  </si>
  <si>
    <t>2.8 Program Peningkatan Keselamatan Ibu Melahirkan Dan Anak</t>
  </si>
  <si>
    <t>2.8.1 Penyuluhan kesehatan bagi ibu hamil dari keluarga kurang mampu</t>
  </si>
  <si>
    <t>2.9 PIS - DPK ( Program Indonesia Sehat Dengan Pendekatan Keluarga)</t>
  </si>
  <si>
    <t>2.9.1 Kunjungan Rumah Ke Rumah Penduduk, Mendata, Mengkaji Masalah Kesehatan Setiap Warga Masyarakat dan Menentukan Indeks Keluarga Sehat (IKS)</t>
  </si>
  <si>
    <t>3.1 Program Lingkungan Sehat Perumahan</t>
  </si>
  <si>
    <t>3.1.1 Penyediaan sarana air bersih dan sanitasi dasar terutama bagi masyarakat miskin</t>
  </si>
  <si>
    <t>3.2 Program Pengembangan Kinerja Pengelolaan Air Minum dan Air Limbah</t>
  </si>
  <si>
    <t>3.2.1 Penyediaan prasarana dan sarana air minum bagi masyarakat berpenghasilan rendah</t>
  </si>
  <si>
    <t>3.4 Program pembangunan infrastruktur perdesaan</t>
  </si>
  <si>
    <t>3.4.1 Pembangunan Drainase Kawasan Pedesaan</t>
  </si>
  <si>
    <t>3.4.2 Pembangunan jalan dan Jembatan Pedesaan</t>
  </si>
  <si>
    <t>3.5 Program Pengembangan Perumahan</t>
  </si>
  <si>
    <t>3.5.1 Pembangunan Sarana dan Prasarana Rumah Sederhana Sehat</t>
  </si>
  <si>
    <t>4.2.1 Pelayanan Kaum Disabilitas Dan Penanganan Masalah Kesejahteraan Sosial (PMKS)</t>
  </si>
  <si>
    <t>5. BADAN PENANGGULANGAN BENCANA DAERAH</t>
  </si>
  <si>
    <t>5.1 Program Pencegahan Dini dan Penanggulangan Korban Bencana Alam</t>
  </si>
  <si>
    <t>5.1.1 Rehabilitasi dan Rekonstruksi Rumah dan Bronjong</t>
  </si>
  <si>
    <t>6. DINAS PEMBERDAYAAN MASYARAKAT PEREMPUAN DAN PERLINDUNGAN ANAK</t>
  </si>
  <si>
    <t>6.1 Program peningkatan peran serta dan kesetaraan jender dalam pembangunan</t>
  </si>
  <si>
    <t>6.1.1 Kegiatan bimbingan manajemen usah abagi perempuan dalam mengelola usaha</t>
  </si>
  <si>
    <t>7.1.1 Pengadaan Saranan dan Prasarana Ketenagalistrikan</t>
  </si>
  <si>
    <t>7.1.2 Pengadaan Jaringan Ketenagalistrikan Pasar</t>
  </si>
  <si>
    <t>8.1 Program Penataan Administrasi Kependudukan</t>
  </si>
  <si>
    <t>9. DINAS PERIKANAN</t>
  </si>
  <si>
    <t>9.1.1 Pengembangan bibit ikan unggul</t>
  </si>
  <si>
    <t>9.1.2 Pembinaan dan pengembangan perikanan</t>
  </si>
  <si>
    <t>9.1.3  Pengembangan UPR Muari</t>
  </si>
  <si>
    <t>9.2.1 Pengadaan Sarana dan Prasarana Pemberdayaan Usaha Skala Kecil Masyarakat KP</t>
  </si>
  <si>
    <t xml:space="preserve">9.2.2 Pendampingan pada kelompok nelayan perikanan tangkap  </t>
  </si>
  <si>
    <t>10. DINAS KETAHANAN PANGAN DAN PERTANIAN</t>
  </si>
  <si>
    <t>10.1 Program peningkatan penerapan teknologi pertanian/perkebunan</t>
  </si>
  <si>
    <t>10.1.1 Pengadaan sarana dan prasarana teknologi pertanian/perkebunan tepat guna</t>
  </si>
  <si>
    <t>10.1.2 Pelatihan dan bimbingan pengoperasian teknologi pertanian/perkebunan tepat guna</t>
  </si>
  <si>
    <t>10.2 Program peningkatan produksi pertanian/perkebunan</t>
  </si>
  <si>
    <t>10.2.1 Pengembangan Kebun Kakao</t>
  </si>
  <si>
    <t xml:space="preserve">10.2.2 Pemeliharaan Kebun Kakao </t>
  </si>
  <si>
    <t>10.2.3 Pembuatan Kebun Entres Kakao</t>
  </si>
  <si>
    <t>10.2.5 Pengembangan bibit unggul pertanian/perkebunan</t>
  </si>
  <si>
    <t>10.3 Program pencegahan dan penanggulangan penyakit ternak</t>
  </si>
  <si>
    <t>10.3.1 Pemeliharaan kesehatan dan pencegahan penyakit menular ternak</t>
  </si>
  <si>
    <t>10.4 Program peningkatan produksi hasil peternakan</t>
  </si>
  <si>
    <t>10.4.1 Penyediaan Sarana Rumah Potong Hewan</t>
  </si>
  <si>
    <t>10.5 Program Peningkatan/Pembinaan Mutu dan Pemasaran Hasil Prosuksi Perkebunan</t>
  </si>
  <si>
    <t>10.5.1 Pelatihan Peningkatan Mutu Hasil Produksi Perkebunan</t>
  </si>
  <si>
    <t xml:space="preserve">10.2.4 Pengembangan bibit unggul pertanian/perkebunan </t>
  </si>
  <si>
    <t xml:space="preserve">10.4.2 Pendistribusian bibit ternak  kepada masyarakat </t>
  </si>
  <si>
    <t>11. DINAS PERINDUSTRIAN, PERDAGANGAN DAN KOPERASI, USAHA KECIL DAN MENENGAH</t>
  </si>
  <si>
    <t>11.1 Program perlindungan konsumen dan pengamanan perdagangan</t>
  </si>
  <si>
    <t>11.1.1 Operasi Pasar Sembako Dalam Rangka Hari Raya Keagamaan</t>
  </si>
  <si>
    <t>12. DISTRIK ORANSBARI</t>
  </si>
  <si>
    <t>12.1 Program Peningkatan Partisipasi Masyarakat</t>
  </si>
  <si>
    <t>12.1.1 Fasilitasi Kegiatan Keagamaan &amp; Pokmas</t>
  </si>
  <si>
    <t>12.2 Program Pencarian Data dan Informasi</t>
  </si>
  <si>
    <t>12.2.1 Pengadaan Profile - Sejarah Pemerintahan Distrik Oransbari</t>
  </si>
  <si>
    <t>12.3 Program Layanan Pendidikan Dasar (KBM) "Maxima"</t>
  </si>
  <si>
    <t>12.3.1 Pengadaan Sarana Komputer</t>
  </si>
  <si>
    <t>12.4 Program Monitoring &amp; Evaluasi Otsus</t>
  </si>
  <si>
    <t>12.4.1 Monitoring dan Evaluasi Program Otsus</t>
  </si>
  <si>
    <t>13. DISTRIK RANSIKI</t>
  </si>
  <si>
    <t>13.1 Program Pemberdayaan Kelembagaan Kesejahteraan Sosial</t>
  </si>
  <si>
    <t>13.2 Program peningkatan partisipasi masyarakat membangun kampung</t>
  </si>
  <si>
    <t xml:space="preserve">13.1.1 Bantuan Sosial Lembaga Keagamaan  </t>
  </si>
  <si>
    <t xml:space="preserve">13.2.1 Pemberian Stimulan Pembangunan Desa </t>
  </si>
  <si>
    <t>14. DISTRIK MOMIWAREN</t>
  </si>
  <si>
    <t>14.1 Program Pemberdayaan Kelembagaan Kesejahteraan Sosial</t>
  </si>
  <si>
    <t>14.2 Program peningkatan partisipasi masyarakat membangun kampung</t>
  </si>
  <si>
    <t>14.2.1 Pengadaan Wi-fi</t>
  </si>
  <si>
    <t>14.3 Program Pembinaan dan Pemasyarakatan Olah Raga</t>
  </si>
  <si>
    <t>14.3.1 Menyongsong HUT RI</t>
  </si>
  <si>
    <t xml:space="preserve">14.1.1 Bantuan Sosial Lembaga Keagamaan </t>
  </si>
  <si>
    <t>15. DISTRIK NENEY</t>
  </si>
  <si>
    <t>15.1 Program Pemberdayaan Kelembagaan Kesejahteraan Sosial</t>
  </si>
  <si>
    <t>15.2 Program peningkatan partisipasi masyarakat membangun kampung</t>
  </si>
  <si>
    <t>15.2.1 Pembinaan Kelompok Masyarakat Pembangunan Desa</t>
  </si>
  <si>
    <t>15.2.3 Pelaksanaan Musyawara Rencana Pembangunan Kampung</t>
  </si>
  <si>
    <t>16. DISTRIK TAHOTA</t>
  </si>
  <si>
    <t>16.1 Program Pemberdayaan Kelembagaan Kesejahteraan Sosial</t>
  </si>
  <si>
    <t>16.2 Program peningkatan partisipasi masyarakat membangun kampung</t>
  </si>
  <si>
    <t xml:space="preserve">16.1.1 Bantuan Sosial Lembaga Keagamaan  </t>
  </si>
  <si>
    <t>17. DISTRIK ISIM</t>
  </si>
  <si>
    <t>17.1 Program Peningkatan Peran sarta dan Kesetaraan Gender dalm Pembangunan</t>
  </si>
  <si>
    <t>17.1.1 Kegiatan Pembinaan Organisasi Perempuan</t>
  </si>
  <si>
    <t>17.2 Fasilitasi Bantuan Lembaga Keagamaan</t>
  </si>
  <si>
    <t>17.2.1 Fasilitas Bantuan Sosial Lembaga Keagamaan</t>
  </si>
  <si>
    <t>17.3 Program Pelaksanaan Bantuan Pedesaan</t>
  </si>
  <si>
    <t>17.3.1 Distribusi Rastra</t>
  </si>
  <si>
    <t>17.4 Program Air Bersih kepada Masyarakat</t>
  </si>
  <si>
    <t>17.4.1 Pengadaan Air Bersih pada Masyakarat</t>
  </si>
  <si>
    <t>18. SEKRETARIAT DAERAH</t>
  </si>
  <si>
    <t>18.1 Program penataan penguasaan, pemilikan, penggunaan dan pemanfaatan tanah</t>
  </si>
  <si>
    <t>18.1.1 Penataan penguasaan, pemilikan, penggunaan dan pemanfaatan tanah</t>
  </si>
  <si>
    <t>18.1.2 Operasional Mahasiswa Asal Manokwari Selatan</t>
  </si>
  <si>
    <t>18.2 Fasilitasi Bantuan Lembaga Keagamaan</t>
  </si>
  <si>
    <t>18.2.1 Fasilitasi Ibadah Keagamaan Tokoh Agama</t>
  </si>
  <si>
    <t>19.1 Non Program</t>
  </si>
  <si>
    <t>19.1.1 Non Kegiatan (Hibah)</t>
  </si>
  <si>
    <t>19.1.3 Badan/Lembaga/Organisasi Swasta ..... (Dana OTSUS Pendidikan)</t>
  </si>
  <si>
    <t>19.1.4 Hibah Kepada Kelompok Masyarakat/Perorangan</t>
  </si>
  <si>
    <t>20.1 Non Program</t>
  </si>
  <si>
    <t>20.1.1 Non Kegiatan (Bantuan)</t>
  </si>
  <si>
    <t>20.2 Program Peningkatan dan Pengembangan Pengelolaan Keuangan Daerah</t>
  </si>
  <si>
    <t>20.2.1 Monitoring, Evaluasi dan Pelaporan Penyerapan Anggaran Dana Otonomi Khusus</t>
  </si>
  <si>
    <t xml:space="preserve">20.1.3 Belanja Bantuan Pendidikan </t>
  </si>
  <si>
    <t xml:space="preserve">20.1.2 Belanja Bantuan Sosial Kepada ...... </t>
  </si>
  <si>
    <t xml:space="preserve">20.1.4 Belanja Bantuan Keuangan Kepada Desa ......  </t>
  </si>
  <si>
    <t xml:space="preserve">19.1.2 Badan/Lembaga/Organisasi Swasta .....  </t>
  </si>
  <si>
    <t xml:space="preserve">19.1.5 Belanja Hibah Keagamaan  </t>
  </si>
  <si>
    <t xml:space="preserve">15.1.1 Bantuan Sosial Lembaga Keagamaan  </t>
  </si>
  <si>
    <t xml:space="preserve">1.2.1 Pemberian Bantuan Tenaga Pendidik PAUD </t>
  </si>
  <si>
    <t xml:space="preserve">15.2.2 Pemberian Stimulan Pembangunan Desa </t>
  </si>
  <si>
    <t xml:space="preserve">16.2.1 Pemberian Stimulan Pembangunan Desa  </t>
  </si>
  <si>
    <t>2.3.2 Peningkatan Pelayanan dan Penanggulangan Masalah Kesehatan</t>
  </si>
  <si>
    <t>1.1.1 Pembangunan gedung sekolah</t>
  </si>
  <si>
    <t>1.1.2 Pengadaan alat rumah tangga sekolah</t>
  </si>
  <si>
    <t>1.1.3 Rehabilitasi sedang/berat taman, lapangan upacara dan fasilitas parkir</t>
  </si>
  <si>
    <t>1.1.4 Pelatihan kompetensi tenaga pendidik</t>
  </si>
  <si>
    <t>1.1.5 Pengembangan kurikulum, bahan ajar dan model pembelajaran Pendidikan Anak Usia Dini</t>
  </si>
  <si>
    <t>1.1.6 Publikasi dan sosialisasi Pendidikan Anak Usia Dini</t>
  </si>
  <si>
    <t xml:space="preserve">1.1.7 Penyelenggaraan Pendidikan Anak Usia Dini  </t>
  </si>
  <si>
    <t>1.2.1 Pembangunan gedung sekolah</t>
  </si>
  <si>
    <t>1.2.2 Pembangunan taman, lapangan upacara dan fasilitas parkir</t>
  </si>
  <si>
    <t>1.2.3 Pemeliharaan rutin/berkala perlengkapan sekolah</t>
  </si>
  <si>
    <t>1.2.4 Pelatihan Penyusunan kurikulum</t>
  </si>
  <si>
    <t>1.2.5 Penyediaan dana pengembangansekolah Untuk SD/MI/SDLB dan SMP/MTS</t>
  </si>
  <si>
    <t>1.2.6 Pembinaaan minat, bakat, dan kreativitas siswa</t>
  </si>
  <si>
    <t>1.2.7 Pengembangan Comprehensive Teaching And Learning (CTL)</t>
  </si>
  <si>
    <t>1.2.8 Pelaksanaan Seleksi Lomba Olimpiade Sains Nasional Tingkat SD</t>
  </si>
  <si>
    <t>1.2.9 Pelatihan Kurikulum PKHS Tingkat SD</t>
  </si>
  <si>
    <t>1.2.10 Pelaksanaan Ujian Nasional SD/MI dan SMP/MTs</t>
  </si>
  <si>
    <t>1.2.11 Penyediaan Bantuan Operasional Sekolah Daerah (BOSDA) Jenjang SMP dan Paket B</t>
  </si>
  <si>
    <t>1.2.12 Pelatihan Kurikulum PKHS Tingkat SMP</t>
  </si>
  <si>
    <t>1.3.1 Pemberian bantuan operasional pendidikan non formal</t>
  </si>
  <si>
    <t>1.3.2 Pembinaan pendidikan kursus dan kelembagaan</t>
  </si>
  <si>
    <t>1.3.3 Pengembangan pendidikan keaksaraan</t>
  </si>
  <si>
    <t>1.3.4 Pengembangan pendidikan kecakapan hidup</t>
  </si>
  <si>
    <t>1.4.1 pelatihan bagi pendidik untuk memenuhi standar kompetensi</t>
  </si>
  <si>
    <t>1.4.2 Monitoring, evaluasi dan pelaporan</t>
  </si>
  <si>
    <t>1.4.3 Pelatihan Penguatan Kapasitas Tim Penilai Angka Kredit Guru dan Tenaga Kependidikan</t>
  </si>
  <si>
    <t>1.5.1 Pelaksanaan Evaluasi Hasil Kinerja Bidang Pendidikan</t>
  </si>
  <si>
    <t>1.5.2 Pelaksanaan Kerja Sama Secara Kelembagaan di Bidang Pendidikan</t>
  </si>
  <si>
    <t>1.5.3 Sosialisasi dan Advokasi Berbagai Peraturan Pemerintah di Bidang Pendidikan</t>
  </si>
  <si>
    <t>1.5.4 Penerapan Sistem dan Informasi Manajemen Pendidikan</t>
  </si>
  <si>
    <t>1.5.5 Monitoring, Evaluasi dan Pelaporan</t>
  </si>
  <si>
    <t>1.5.7 Penyelenggaraan Pelatihan, Seminar dan Lokakarya, serta Diskusi Ilmiah tentang Berbagai Isu Pendidikan (Tim Tehnis)</t>
  </si>
  <si>
    <t xml:space="preserve">1.5.6 Penyediaan Bantuan Hari-Hari Besar  </t>
  </si>
  <si>
    <t>1.6.1 Penyusunan sistem informasi database bidang kebudayaan</t>
  </si>
  <si>
    <t>1.7.1 Membangun kemitraanpengelolaan kebudayaan anatar daerah</t>
  </si>
  <si>
    <t>1.7.2 Monitoring, evaluasi dan pelaporan</t>
  </si>
  <si>
    <t>2.1.1. Peningkatan pemerataan obat dan perbekalan kesehatan</t>
  </si>
  <si>
    <t>2.2.1.Penyelenggaraan penyehatan lingkungan</t>
  </si>
  <si>
    <t xml:space="preserve">2.2.2.Peningkatan Pelayanan dan Penanggulangan Masalah Kesehatan Bagi PNS  </t>
  </si>
  <si>
    <t>2.2.3.Penyediaaan Biaya Operasional Rumah Sakit</t>
  </si>
  <si>
    <t>2.2.4.Akreditasi Puskesmas Amban, Wosi, Warmare, Prafi, Masni dan Mowbja</t>
  </si>
  <si>
    <t>2.2.5.Perencanaan Terpadu Kesehatan Ibu dan Anak</t>
  </si>
  <si>
    <t>2.3.1.Pemberian tambahan makanan dan vitamin</t>
  </si>
  <si>
    <t>2.3.2.Penanggulangan Kurang Energi Protein (KEP), Anemia Gizi Besi, Gangguan Akibat kurang Yodium (GAKY), Kurang Vitamin A, dan Kekurangan Zat Gizi Mikro Lainnya</t>
  </si>
  <si>
    <t>2.3.3.Monitoring, evaluasi dan pelaporan</t>
  </si>
  <si>
    <t>2.4.1.Pelayanan pencegahan dan penanggulangan penyakit menular</t>
  </si>
  <si>
    <t>2.4.2.Peningkatan survellance Epidemiologi dan penanggulangan wabah</t>
  </si>
  <si>
    <t>2.4.3.Pencegahan Penyakit Tidak Menular (PTM)</t>
  </si>
  <si>
    <t>2.5. Program pengadaan, peningkatan dan perbaikan sarana dan prasarana puskesmas/ puskemas pembantu dan jaringannya</t>
  </si>
  <si>
    <t xml:space="preserve">2.5.1.Pengadaan sarana dan prasarana puskesmas </t>
  </si>
  <si>
    <t xml:space="preserve">3.1.1. Pengadaaan Obat dan Perbekalan Kesehatan </t>
  </si>
  <si>
    <t xml:space="preserve">4. DINAS PERUMAHAN RAKYAT DAN KAWASAN PEMUKIMAN </t>
  </si>
  <si>
    <t>4.1.1.Fasilitasi dan stimulasi pembangunan perumahan masyarakat kurang mampu</t>
  </si>
  <si>
    <t>4.1.2.Penataan Kawasan Permukiman</t>
  </si>
  <si>
    <t xml:space="preserve">4.1.3.Fasilitasi dan stimulasi pembangunan perumahan masyarakat kurang mampu </t>
  </si>
  <si>
    <t>4.1.4.Operasional Penyediaan Perumahan</t>
  </si>
  <si>
    <t>4.2. Program Pengembangan Infrastruktur permukiman</t>
  </si>
  <si>
    <t xml:space="preserve">4.2.1. Pembangunan Jalan lingkungan </t>
  </si>
  <si>
    <t xml:space="preserve">5.1.  Program Pengembangan Wawasan Kebangasaan </t>
  </si>
  <si>
    <t xml:space="preserve">5.1.1.Peningkatan toleransi dan kerukunan dalam kehidupan beragama </t>
  </si>
  <si>
    <t xml:space="preserve">5.1.2.Peningkatan rasa solidaritas dan ikatan sosial dikalangan masyarakat  </t>
  </si>
  <si>
    <t>6. DINAS SOSIAL</t>
  </si>
  <si>
    <t>6.1. Program Pelayanan dan Rehabilitasi Kesejahteraan Sosial</t>
  </si>
  <si>
    <t>6.1.1.Pelatihan keterampilan dan praktek belajar kerja bagi anak terlantar termasuk anak jalanan, anak cacat, dan anak nakal</t>
  </si>
  <si>
    <t>6.2. Program Pemberdayaan Kelembagaan Kesejahteraan Sosial</t>
  </si>
  <si>
    <t>6.2.1.Peningkatan kualitas SDM kesejahteraan sosial masyarakat</t>
  </si>
  <si>
    <t>6.3. Program Pemberdayaan Sosial dan Penangulangan Kemiskinan</t>
  </si>
  <si>
    <t>6.3.1.Penunjang Kegiatan Karang Taruna</t>
  </si>
  <si>
    <t xml:space="preserve">7. BADAN PENANGGULANGAN BENCANA DAERAH </t>
  </si>
  <si>
    <t>7.1. Progam Pembangunan Prasarana Kebencanaan</t>
  </si>
  <si>
    <t xml:space="preserve">7.1.1. Pembangunan Rumah Pasca Bencana  </t>
  </si>
  <si>
    <t>8.1. Program Peningkatan Kualitas dan Produktivitas Tenaga Kerja</t>
  </si>
  <si>
    <t>8.1.1.Pendidikan dan pelatihan ketrampilan bagi pencari kerja</t>
  </si>
  <si>
    <t>8.2. Program Peningkatan Kesempatan Kerja</t>
  </si>
  <si>
    <t>8.2.1.Pengembangan kelembagaan produktivitas dan pelatihan kewirausahaan</t>
  </si>
  <si>
    <t>8.3. Program pengembangan wilayah transmigrasi</t>
  </si>
  <si>
    <t>8.3.1.Penyediaan dan pengelolaan prasarana dan sarana sosial dan ekonomi di kawasan transmigrasi</t>
  </si>
  <si>
    <t>8.4. Program Transmigrasi lokal</t>
  </si>
  <si>
    <t>8.4.1.Penyuluhan transmigrasi lokal</t>
  </si>
  <si>
    <t>9. DINAS PEMBERDAYAAN PEREMPUAN, PERLINDUNGAN ANAK DAN KELUARGA BERENCANA</t>
  </si>
  <si>
    <t>9.1.1.Pembangunan gedung kantor</t>
  </si>
  <si>
    <t>9.2. Program Penguatan Kelembagaan Pengarusutamaan Gender dan Anak</t>
  </si>
  <si>
    <t>9.2.1.Peningkatan kapasitas dan jaringan kelembagaan pemberdayaan perempuan dan anak</t>
  </si>
  <si>
    <t>9.2.2.Pengembangan Sistem Informasi Gender dan Anak</t>
  </si>
  <si>
    <t xml:space="preserve">9.2.3.Pemenuhan Hak Sipil Anak  </t>
  </si>
  <si>
    <t xml:space="preserve">9.2.4.Perlindungan Khusus Anak (Penyedia layanan PATBM) </t>
  </si>
  <si>
    <t>9.3. Program Peningkatan Kualitas Hidup dan Perlindungan Perempuan</t>
  </si>
  <si>
    <t>9.3.1.Fasilitasi upaya perlindungan perempuan terhadap tindak kekerasan</t>
  </si>
  <si>
    <t>9.3.2.Sosialisasi Undang-undang PKDRT dan Perlindungan Anak</t>
  </si>
  <si>
    <t>9.4. Program peningkatan peran serta dan kesetaraan jender dalam pembangunan</t>
  </si>
  <si>
    <t>9.4.1.Kegiatan bimbingan manajemen usah abagi perempuan dalam mengelola usaha</t>
  </si>
  <si>
    <t>10.1. Program Penataan Administrasi Kependudukan</t>
  </si>
  <si>
    <t>10.1.1.Pengolahan dalam penyusunan laporan informasi kependudukan</t>
  </si>
  <si>
    <t xml:space="preserve">10.1.2.Pelayanan Perkawinan Massal  </t>
  </si>
  <si>
    <t>11.1.1.Pemberdayaan Lembaga dan Organisasi Masyarakat Perdesaan</t>
  </si>
  <si>
    <t>11.1.2.Penyelenggaraan Lomba Kampung</t>
  </si>
  <si>
    <t>11.1.3.Survey Kajian &amp; Evaluasi Pemekaran Kampung</t>
  </si>
  <si>
    <t>11.2.1.Pelatihan ketrampilan usaha industri kerajinan</t>
  </si>
  <si>
    <t>11.2.2.Fasilitasi permodalan bagi usaha mikro kecil dan menengah di perdesaan</t>
  </si>
  <si>
    <t>11.2.3.Fasilitasi kemitraan swasta dan usaha mikro kecil dan menengah di perdesaan</t>
  </si>
  <si>
    <t>11.3.1.Pembinaan kelompok masyarakat pembangunan desa</t>
  </si>
  <si>
    <t>11.3.2.Monitoring, evaluasi dan pelaporan</t>
  </si>
  <si>
    <t>12. DINAS PERHUBUNGAN, KELAUTAN DAN PERIKANAN</t>
  </si>
  <si>
    <t>12.1. Program pengembangan perikanan tangkap</t>
  </si>
  <si>
    <t xml:space="preserve">12.1.1.Pengembangan Sarana dan Prasarana Perikanan Tangkap dan Budidaya </t>
  </si>
  <si>
    <t>13. DINAS KEARSIPAN DAN PERPUSTAKAAN</t>
  </si>
  <si>
    <t>13.1. Program Peningkatan Budaya Membaca</t>
  </si>
  <si>
    <t xml:space="preserve">13.1.1.Pembangunan Taman Baca  </t>
  </si>
  <si>
    <t>13.1.2.Lomba Cerita Tingkat Sekolah Dasar</t>
  </si>
  <si>
    <t>14. DINAS PARIWISATA, KEPEMUDAAN DAN OLAHRAGA</t>
  </si>
  <si>
    <t>14.1. Program peningkatan peran serta kepemudaan</t>
  </si>
  <si>
    <t>14.1.1.Monitoring, evaluasi dan pelaporan</t>
  </si>
  <si>
    <t xml:space="preserve">14.1.2.Penyuluhhan Narkoba dan HIV-AIDS bagi Pemuda Luar Sekolah  </t>
  </si>
  <si>
    <t>14.2. Program peningkatan upaya penumbuhan kewirausahaan dan kecakapan hidup pemuda</t>
  </si>
  <si>
    <t>14.2.1.Pelatihan kewirausahaan bagi pemuda</t>
  </si>
  <si>
    <t>14.3. Program Pembinaan dan Pemasyarakatan Olah Raga</t>
  </si>
  <si>
    <t>14.3.1.Pembinaan Bakat dan Pengembangan Olahraga Unggulan(Sepak Bola)</t>
  </si>
  <si>
    <t>14.4. Program pengembangan pemasaran pariwisata</t>
  </si>
  <si>
    <t>14.4.1. Pelaksanaan promosi pariwisata nusantara di dalam dan di luar negeri</t>
  </si>
  <si>
    <t>14.5. Program pengembangan destinasi pariwisata</t>
  </si>
  <si>
    <t>14.5.1. Pelatihan Manajemen Kelompok Sadar Wisata Sebagai Aparat Pengelola Retribusi</t>
  </si>
  <si>
    <t>14.6. Program pengembangan Kemitraan</t>
  </si>
  <si>
    <t>14.6.1.Peningkatan peran serta masyarakat dalam pengembangan kemitraan pariwisata</t>
  </si>
  <si>
    <t>14.6.2.Pendataan Kelompok Industri dan Seni dan Budaya dalam Pengembangan Kemitraan Pariwisata</t>
  </si>
  <si>
    <t>15. DINAS PERTANIAN DAN KETAHANAN PANGAN</t>
  </si>
  <si>
    <t>15.1. Program pencegahan dan penanggulangan penyakit ternak</t>
  </si>
  <si>
    <t xml:space="preserve">15.1.1.Pencegahan dan penanggulangan Penyakit Ternak </t>
  </si>
  <si>
    <t>15.1.2.Pencegahan Produk Pangan Asal Hewan</t>
  </si>
  <si>
    <t>15.2. Program peningkatan produksi hasil peternakan</t>
  </si>
  <si>
    <t xml:space="preserve">15.2.1.Pengadaan Ternak Sapi  </t>
  </si>
  <si>
    <t xml:space="preserve">15.2.2.Pengadaan Ternak Babi </t>
  </si>
  <si>
    <t>15.3. Program Pengembangan Agribisnis</t>
  </si>
  <si>
    <t xml:space="preserve">15.3.1.Pengembangan Budi Daya Tanaman Kacang tanah </t>
  </si>
  <si>
    <t>15.4. Program Pengembangan Tanaman Buah-Buahan</t>
  </si>
  <si>
    <t xml:space="preserve">15.4.1.Pengembangan Budi Daya Tanaman Rambutan Okulasi  </t>
  </si>
  <si>
    <t>16. DINAS PERINDUSTRIAN, PERDAGANGAN, KOPERASI, USAHA KECIL DAN MENENGAH</t>
  </si>
  <si>
    <t>16.1. Program Pengembangan Kewirausahaan dan Keunggulan Kompetitif Usaha Kecil Menengah</t>
  </si>
  <si>
    <t>16.1.1.Pelatihan Manajemen Usaha dan Pendidikan Keuangan Keluarga</t>
  </si>
  <si>
    <t>16.2. Program peningkatan kemampuan teknologi industri</t>
  </si>
  <si>
    <t>16.2.1.Pelatihan Pembuatan Batako</t>
  </si>
  <si>
    <t>16.2.2.Pelatihan Keterampilan Salon dan Bantuan Peralatan Bagi Putra-Putri Papua</t>
  </si>
  <si>
    <t>16.2.3.Pelatihan Perbaikan/Service Alat Pendingin (AC, Kulkas, Freaser) dan Bantuan Peserta Bagi Putra Putri  Papua.</t>
  </si>
  <si>
    <t>16.2.4.Pelatihan Keterampilan Bengkel Las dan Bantuan Peralatan Bagi Putra Putri Papua.</t>
  </si>
  <si>
    <t>16.3. Program Peningkatan Kualitas dan Kuantitas Produk Unggulan UKMK</t>
  </si>
  <si>
    <t>16.3.1.Pelatihan Manajemen Usaha Mikro</t>
  </si>
  <si>
    <t>17. BAGIAN KESEJAHTERAAN RAKYAT</t>
  </si>
  <si>
    <t>17.1. Program mengintensifkan penanganan pengaduan masyarakat</t>
  </si>
  <si>
    <t>17.1.1.Pembentukan unit khusus penanganan pengaduan masyarakat</t>
  </si>
  <si>
    <t>18. DISTRIK MANOKWARI BARAT</t>
  </si>
  <si>
    <t>18.1. Program Pemberdayaan Kelembagaan Kesejahteraan Sosial</t>
  </si>
  <si>
    <t xml:space="preserve">18.1.1.Fasilitasi Bantuan Sosial Lembaga Keagamaan  </t>
  </si>
  <si>
    <t>18.2. Program peningkatan peran serta dan kesetaraan jender dalam pembangunan</t>
  </si>
  <si>
    <t>18.2.1.Kegiatan pembinaan organisasi perempuan</t>
  </si>
  <si>
    <t>18.3. Program pengembangan lembaga ekonomi pedesaan</t>
  </si>
  <si>
    <t>18.3.1.Monitoring, evaluasi dan pelaporan</t>
  </si>
  <si>
    <t>18.4. Program peningkatan partisipasi masyarakat dalam membangun desa</t>
  </si>
  <si>
    <t>18.4.1.Pembinaan kelompok masyarakat pembangunan desa</t>
  </si>
  <si>
    <t>18.5. Program peningkatan kapasitas aparatur pemerintah desa</t>
  </si>
  <si>
    <t xml:space="preserve">18.5.1.Pelatihan Aparatur Pemerintah Desa Dalam Bidang Manajemen Pemerintahan Desa </t>
  </si>
  <si>
    <t>18.6. Program peningkatan peran serta kepemudaan</t>
  </si>
  <si>
    <t xml:space="preserve">18.6.1.Fasilitasi Karang Taruna </t>
  </si>
  <si>
    <t>18.7. Program perencanaan pembangunan daerah</t>
  </si>
  <si>
    <t>18.7.1.Penyelenggaraan musrenbang RKPD</t>
  </si>
  <si>
    <t>19. DISTRIK MANOKWARI TIMUR</t>
  </si>
  <si>
    <t>19.1. Program Pendidikan Anak Usia Dini</t>
  </si>
  <si>
    <t>19.1.1.Penyelenggaraan Pendidikan Anak Usia Dini</t>
  </si>
  <si>
    <t>19.2. Program Pemberdayaan Kelembagaan Kesejahteraan Sosial</t>
  </si>
  <si>
    <t>19.3. Program peningkatan peran serta dan kesetaraan jender dalam pembangunan</t>
  </si>
  <si>
    <t>19.3.1.Kegiatan pembinaan organisasi perempuan</t>
  </si>
  <si>
    <t>19.4. Program Peningkatan Keberdayaan Masyarakat Perdesaan</t>
  </si>
  <si>
    <t>19.4.1.Pemberdayaan Lembaga dan Organisasi Masyarakat Perdesaan</t>
  </si>
  <si>
    <t>19.5. Program pengembangan lembaga ekonomi pedesaan</t>
  </si>
  <si>
    <t>19.5.1.Fasilitasi permodalan bagi usaha mikro kecil dan menengah di perdesaan</t>
  </si>
  <si>
    <t>19.6. Program peningkatan kapasitas aparatur pemerintah desa</t>
  </si>
  <si>
    <t xml:space="preserve">19.6.1.Monitoring, Evaluasi dan Pelaporan  </t>
  </si>
  <si>
    <t>19.6.2.Pelaksanaan Musyawarah Pembangunan Desa (Musrembang Distrik)</t>
  </si>
  <si>
    <t>20. DISTRIK MANOKWARI UTARA</t>
  </si>
  <si>
    <t>20.1. Program Pendidikan Anak Usia Dini</t>
  </si>
  <si>
    <t>20.1.1.Penyelenggaraan Pendidikan Anak Usia Dini</t>
  </si>
  <si>
    <t>20.2. Program Pemberdayaan Kelembagaan Kesejahteraan Sosial</t>
  </si>
  <si>
    <t xml:space="preserve">20.2.1.Fasilitasi Bantuan Sosial Lembaga Keagamaan  </t>
  </si>
  <si>
    <t>20.3. Program Peningkatan Keberdayaan Masyarakat Perdesaan</t>
  </si>
  <si>
    <t>20.3.1.Pemberdayaan Lembaga dan Organisasi Masyarakat Perdesaan</t>
  </si>
  <si>
    <t>20.4. Program pengembangan lembaga ekonomi pedesaan</t>
  </si>
  <si>
    <t xml:space="preserve">20.4.1.Fasilitasi Permodalan Bagi Kelompok Petani Sayuran </t>
  </si>
  <si>
    <t>20.5. Program peningkatan partisipasi masyarakat dalam membangun desa</t>
  </si>
  <si>
    <t>20.5.1.Pembinaan kelompok masyarakat pembangunan desa</t>
  </si>
  <si>
    <t>20.6. Program peningkatan kapasitas aparatur pemerintah desa</t>
  </si>
  <si>
    <t>20.6.1.Pelatihan aparatur pemerintah desa dalam bidang manajemen pemerintahan desa</t>
  </si>
  <si>
    <t>20.7. Program perencanaan pembangunan daerah</t>
  </si>
  <si>
    <t>20.7.1.Penyelenggaraan musrenbang RKPD</t>
  </si>
  <si>
    <t>21. DISTRIK MANOKWARI SELATAN</t>
  </si>
  <si>
    <t>21.1. Program Pendidikan Anak Usia Dini</t>
  </si>
  <si>
    <t>21.1.1. Penyelenggaraan Pendidikan Anak Usia Dini</t>
  </si>
  <si>
    <t>21.2. Program Pemberdayaan Kelembagaan Kesejahteraan Sosial</t>
  </si>
  <si>
    <t xml:space="preserve">21.2.1. Fasilitasi Bantuan Sosial Lembaga Keagamaan  </t>
  </si>
  <si>
    <t>21.3. Program peningkatan peran serta dan kesetaraan jender dalam pembangunan</t>
  </si>
  <si>
    <t>21.3.1. Kegiatan pembinaan organisasi perempuan</t>
  </si>
  <si>
    <t>21.4. Program peningkatan kapasitas aparatur pemerintah desa</t>
  </si>
  <si>
    <t>21.4.1.Monitoring, evaluasi dan pelaporan</t>
  </si>
  <si>
    <t xml:space="preserve">21.4.2.Pelatihan Aparatur Pemerintah Desa Dalam Bidang Manajemen Pemerintahan Desa </t>
  </si>
  <si>
    <t>21.5. Program peningkatan peran serta kepemudaan</t>
  </si>
  <si>
    <t xml:space="preserve">21.5.1.Fasilitasi Karang Taruna  </t>
  </si>
  <si>
    <t>22. DISTRIK PRAFI</t>
  </si>
  <si>
    <t>22.2. Program peningkatan peran serta dan kesetaraan jender dalam pembangunan</t>
  </si>
  <si>
    <t>22.2.1. Kegiatan pembinaan organisasi perempuan</t>
  </si>
  <si>
    <t>22.3. Program pengembangan lembaga ekonomi pedesaan</t>
  </si>
  <si>
    <t>23.3.1.Monitoring, evaluasi dan pelaporan</t>
  </si>
  <si>
    <t>22.4. Program peningkatan partisipasi masyarakat dalam membangun desa</t>
  </si>
  <si>
    <t>22.4.1.Pemberian stimulan pembangunan desa</t>
  </si>
  <si>
    <t>22.5. Program perencanaan pembangunan daerah</t>
  </si>
  <si>
    <t>22.5.1. Penyelenggaraan musrenbang RKPD</t>
  </si>
  <si>
    <t>23. DISTRIK TANAH RUBUH</t>
  </si>
  <si>
    <t>23.4.1.Pemberdayaan Lembaga dan Organisasi Masyarakat Perdesaan</t>
  </si>
  <si>
    <t>23.6.1.Pembinaan Kelompok Masyarakat Pembangunan Desa</t>
  </si>
  <si>
    <t xml:space="preserve">23.5.1.Fasilitasi Permodalan Bagi Kelompok Petani Sayuran </t>
  </si>
  <si>
    <t xml:space="preserve">23.7.1.Pelatihan Aparatur Pemerintah Desa Dalam Bidang Manajemen Pemerintahan Desa </t>
  </si>
  <si>
    <t>23.8.1.Penyelenggaraan musrenbang RKPD</t>
  </si>
  <si>
    <t>24. DISTRIK WARMARE</t>
  </si>
  <si>
    <t>24.1.1. Perencanaan dan penyusunan program Pendidikan Anak Usia Dini</t>
  </si>
  <si>
    <t>24.4. Program Peningkatan Keberdayaan Masyarakat Perdesaan</t>
  </si>
  <si>
    <t>24.5. Program peningkatan partisipasi masyarakat dalam membangun desa</t>
  </si>
  <si>
    <t>24.5.1.Pembinaan kelompok masyarakat pembangunan desa</t>
  </si>
  <si>
    <t>24.6. Program peningkatan kapasitas aparatur pemerintah desa</t>
  </si>
  <si>
    <t>24.6.1.Pelatihan aparatur pemerintah desa dalam bidang manajemen pemerintahan desa</t>
  </si>
  <si>
    <t>24.6.2.Monitoring, evaluasi dan pelaporan</t>
  </si>
  <si>
    <t>24.7. Program perencanaan pembangunan daerah</t>
  </si>
  <si>
    <t>24.7.1. Penyelenggaraan musrenbang RKPD</t>
  </si>
  <si>
    <t>25. BADAN PENDAPATAN PENGELOLA KEUANGAN DAN ASET DAERAH</t>
  </si>
  <si>
    <t>25.1. Non Program</t>
  </si>
  <si>
    <t>25.1.1.Belanja Bantuan Sosial Pendidikan Kepada Anggota Masyarakat</t>
  </si>
  <si>
    <t>25.1.2.Belanja Hibah kepada Badan/Lembaga/Organisasi Keagamaan</t>
  </si>
  <si>
    <t>26. BADAN KEPEGAWAIAN, PENDIDIKAN DAN PELATIHAN</t>
  </si>
  <si>
    <t>26.1. Program Peningkatan Kapasitas Sumber Daya Aparatur</t>
  </si>
  <si>
    <t>26.1.1.Pendidikan dan pelatihan formal</t>
  </si>
  <si>
    <t>26.2. Program Pembinaan dan Pengembangan Aparatur</t>
  </si>
  <si>
    <t>26.2.1.Pemberian Bantuan Penyelenggaraan Penerimaan Praja IPDN</t>
  </si>
  <si>
    <t>26.2.2.Penyediaan Beasiswa Dokter Spesialis</t>
  </si>
  <si>
    <t xml:space="preserve">19.2.1.Fasilitasi Bantuan Sosial Lembaga Keagamaan </t>
  </si>
  <si>
    <t xml:space="preserve">1.2.6. Pembangunan RKB SD Inpres 8 Kab Sorong di Sailala </t>
  </si>
  <si>
    <t xml:space="preserve">1.2.8. Pembangunan RKB SD Inpres 11 Kab Sorong di Luwelala </t>
  </si>
  <si>
    <t xml:space="preserve">1.2.9. Pembangunan RKB SD YPK Silo Kab Sorong di Mega </t>
  </si>
  <si>
    <t xml:space="preserve">1.2.10.Pembangunan RKB SD INp. 57 Kab Sorong di Wainlabat </t>
  </si>
  <si>
    <t xml:space="preserve">1.2.11.Pembangunan RKB SD Inp. 10 Kab Sorong di Indiwi </t>
  </si>
  <si>
    <t xml:space="preserve">1.2.12.Pembangunan RKB SD YPK Yeflio Kab Sorong </t>
  </si>
  <si>
    <t xml:space="preserve">1.2.13.Pembangunan Rumah Guru SD di Beraur Tahun 2018 </t>
  </si>
  <si>
    <t xml:space="preserve">1.2.1.4.Pembangunan Gdg. Perpustakaan &amp; Lab. SMP YPPK Petrus Vandiepen </t>
  </si>
  <si>
    <t xml:space="preserve">1.2.15.Pengadaan Meubelair SMPN 30 Kab Sorong di Maudus </t>
  </si>
  <si>
    <t>1.2.16.Pengadaan Meubelair SMPN 7 Kab Sorong di Mega</t>
  </si>
  <si>
    <t xml:space="preserve">1.2.17.Pengadaan Meubelair SMPN 6 Kab Sorong di Klamono </t>
  </si>
  <si>
    <t>1.2.18.Pengadaan Pakaian Seragam Siswa Baru SMP/MTs</t>
  </si>
  <si>
    <t>1.2.19.Penjaringan Bakat dan Prestasi Siswa Tingkat SMP Tahun 2018</t>
  </si>
  <si>
    <t xml:space="preserve">1.2.20.Afirmasi Pendidikan 2018 </t>
  </si>
  <si>
    <t xml:space="preserve">1.2.21.Pengadaan Pakaian Seragam Siswa Baru SD/MI Tahun 2018 </t>
  </si>
  <si>
    <t>1.2.22.Peny. Juknis &amp; Sosialisasi Prog.Pengad. Pakaian Seragam Siswa Baru SD/MI Tahun 2018</t>
  </si>
  <si>
    <t xml:space="preserve">1.2.23.Penyusunan Juknis, Sosialisasi dan Monitoring BOSDA SD/MI </t>
  </si>
  <si>
    <t xml:space="preserve">1.2.24.Pelatihan Penyusunan dan Pelaporan BOS Pusat Pusat dan BOSDA </t>
  </si>
  <si>
    <t>1.2.25.Olimpiade Kesiswaan Sekolah Dasar Tahun 2018 (Otsus)</t>
  </si>
  <si>
    <t xml:space="preserve">1.2.26.Penguatan Baca Tulis (Literasi) Kelas Awal Sekolah Dasar Tahun 2018 </t>
  </si>
  <si>
    <t>1.2.27.Pendampingan Pelaksanaan Kurikulum 2013 SD</t>
  </si>
  <si>
    <t xml:space="preserve">1.2.28.Rapat Koordinasi Lintas Sektoral Program Gizi Anak Sekolah Dasar </t>
  </si>
  <si>
    <t xml:space="preserve">1.2.29.Pendampingan Pelaksanaan Kurikulum 2013 SMP </t>
  </si>
  <si>
    <t xml:space="preserve">1.2.30.Pelatihan Penyusunan dan Pelaporan BOS Pusat Tingkat SMP </t>
  </si>
  <si>
    <t xml:space="preserve">1.2.31.Pengadaan Peralatan Pendukung Ujian Nasional Berbasis Komputer </t>
  </si>
  <si>
    <t>1.2.32.Pengadaan Meubelair SD YPK Silo Segun</t>
  </si>
  <si>
    <t xml:space="preserve">1.2.33.Pengadaan Bus Sekolah </t>
  </si>
  <si>
    <t xml:space="preserve">1.2.34.Pengadaan Bus Sekolah </t>
  </si>
  <si>
    <t>4.1.3. Pelebaran Jalan Masuk Kampung Malaumkarta</t>
  </si>
  <si>
    <t>4.3. Program Rehabilitasi/Pemeliharaan Jalan Dan Jembatan</t>
  </si>
  <si>
    <t>4.3.1. Perbaikan Jalan Ruas Aimas - Klaili (Malasaum)</t>
  </si>
  <si>
    <t>4.3.2. Perbaikan Jalan Dan Jembatan Jalan Poros Klaso</t>
  </si>
  <si>
    <t>4.4. Program Pembangunan Saluran Drainase/Gorong-gorong</t>
  </si>
  <si>
    <t>4.4.2. Pembangunan Drainase Jalan Sorong - Klamono (Km. 19)</t>
  </si>
  <si>
    <t>4.4.1. Pembangunan Drainase Jalan Cempoedak</t>
  </si>
  <si>
    <t>0</t>
  </si>
  <si>
    <t>4.5. Program Pendidikan Tinggi</t>
  </si>
  <si>
    <t xml:space="preserve">4.5.1. Rehabiltasi/Pemb.  Prasarana Gedung Fakultas Kedokteran UNIPA </t>
  </si>
  <si>
    <t>4.6. Program Pengadaan, Peningkatan Sarana Dan Prasarana RSUD Rujukan</t>
  </si>
  <si>
    <t>4.6.1. Rehab Ruang UGD dan Operasi RSUD Kab Sorong</t>
  </si>
  <si>
    <t>4.6.2. Rehab Ruang Poli Dan Pengadaan Meubelair &amp; Peralatan RSU Rujukan</t>
  </si>
  <si>
    <t>9.1.1. Pengawasan Pencemaran Lingkungan</t>
  </si>
  <si>
    <t xml:space="preserve">9.3.2. Pemetaan Kawasan Dan Pengendalian Hutan Mangrove </t>
  </si>
  <si>
    <t>10.6. Program Peningkatan Database Organisasi Perangkat Daerah</t>
  </si>
  <si>
    <t>10.6.1. Penyusunan Peta Kawasan Pertanian</t>
  </si>
  <si>
    <t>12.2.2. Pemasangan Jaringan TV Kabel, Kampung Kasih</t>
  </si>
  <si>
    <t xml:space="preserve">12.2.3. Perencanaan dan Design Pengembangan Kampung Budaya </t>
  </si>
  <si>
    <t>12.2.5. Rapat Kerja (RAKER) Dan Pameran OTSUS</t>
  </si>
  <si>
    <t xml:space="preserve">12.2.4. Pendampingan Program Pamsimas  </t>
  </si>
  <si>
    <t>14.3. Program Pengembangan Perumahan</t>
  </si>
  <si>
    <t>14.3.1. Bantuan Stimulan Perumahan Swadaya</t>
  </si>
  <si>
    <t>18.4. Program Pembangunan Jalan Dan Jembatan</t>
  </si>
  <si>
    <t>18.4.1. Plat Dekker  Kampung Mare ( Jl. Kafuk)</t>
  </si>
  <si>
    <t xml:space="preserve">18.5. Program Peningkatan Jalan </t>
  </si>
  <si>
    <t xml:space="preserve">18.5.1. Peningkatan Jalan Masuk Kampung Mare (Jalan Kafuk)  </t>
  </si>
  <si>
    <t>19. DINAS KEPENDUDUKAN DAN PENCATATAN SIPIL</t>
  </si>
  <si>
    <t>19.1. Program Data dan Informasi</t>
  </si>
  <si>
    <t xml:space="preserve">19.1.1. Pendataan Orang Asli Papua ( OAP ) </t>
  </si>
  <si>
    <t>19.1.2. Pengadaan Perangkat SIAK</t>
  </si>
  <si>
    <t>20. DINAS PERHUBUNGAN</t>
  </si>
  <si>
    <t xml:space="preserve">20.1. Program Pembangunan </t>
  </si>
  <si>
    <t>20.1.1. Pembangunan Tambatan Perahu di Kali Kladuk ( Kamp. Sulia)</t>
  </si>
  <si>
    <t xml:space="preserve">21.1. Belanja Hibah </t>
  </si>
  <si>
    <t>21.1.1. Belanja Hibah kepada Kelompok/ Anggota Masyarakat</t>
  </si>
  <si>
    <t xml:space="preserve">21.1.2. Belanja Hibah Bantuan Beasiswa Ke Luar Negeri  </t>
  </si>
  <si>
    <t>21.1.3. Belanja Hibah Biaya Perbaikan &amp; Pembangunan Sarana Peribadatan</t>
  </si>
  <si>
    <t>3.2. Program Pengadaan, Peningkatan Sarana Dan Prasarana RSUD Rujukan</t>
  </si>
  <si>
    <t xml:space="preserve">3.2.1. Pengadaan Alat Insenerator </t>
  </si>
  <si>
    <t>1.1.3. Pengadaan Alat Nermain dan Kelengkapan Main</t>
  </si>
  <si>
    <t>1.1.4. Pembangunan Gedung TK Pembina Kab.Sorong</t>
  </si>
  <si>
    <t>1.1.5. Pengadaan Meubaleir dan Alat Bermain TK Pembina Kab.Sorong</t>
  </si>
  <si>
    <t xml:space="preserve">1.1.6. Rehabilitasi Gedung dan Alat Permainan TK YPK Syalom Klamalu </t>
  </si>
  <si>
    <t>1.1.7. Bantuan Dana BOSDA Untuk PAUD</t>
  </si>
  <si>
    <t xml:space="preserve">1.2.1. Pembangunan Rumah Dinas Guru SD </t>
  </si>
  <si>
    <t xml:space="preserve">1.2.2. Bantuan Opersional Sekolah Daerah (BOSDA) SD/MI Tahun 2019 </t>
  </si>
  <si>
    <t xml:space="preserve">1.2.3. Bantuan Opersional Sekolah Daerah (BOSDA) SMP/MTs </t>
  </si>
  <si>
    <t xml:space="preserve">1.2.4. Pengadaan Seragam SMP/MTs </t>
  </si>
  <si>
    <t xml:space="preserve">1.2.5. Pembangunan Asrama SMP Malagubtuk </t>
  </si>
  <si>
    <t>1.2.6. Pembangunan Rumah Dinas Guru dan kepala Sekolah SMP Maudus</t>
  </si>
  <si>
    <t xml:space="preserve">1.2.7. Pembangunan RKB dan Kantor SMP N.21 Klawak </t>
  </si>
  <si>
    <t>1.2.8. Penyediaan Sarana Belajar (Komputer) SMP N 25 Kab.Sorong</t>
  </si>
  <si>
    <t xml:space="preserve">1.2.9. Pembangunan RKB SMP Klaso </t>
  </si>
  <si>
    <t xml:space="preserve">1.2.10. Pembangunan Pagar SMP N 3 Kab.Sorong </t>
  </si>
  <si>
    <t xml:space="preserve">1.2.11. Pengadaan Meubelair Asrama SMP Malagubtuk </t>
  </si>
  <si>
    <t xml:space="preserve">1.2.12. Pembangunan Asrama dan Pengadaan Meubelair SMP Klaso </t>
  </si>
  <si>
    <t xml:space="preserve">1.2.13. Rehabilitasi Gedung SD YPPK St.Petrus (Jl.Belibis Kel.Klamalu) </t>
  </si>
  <si>
    <t xml:space="preserve">1.2.14. Pengadaan Mini Bus Sekolah 3 Unit </t>
  </si>
  <si>
    <t xml:space="preserve">1.2.15. Operasional Bus Sekolah 28 unit </t>
  </si>
  <si>
    <t xml:space="preserve">1.2.16. Pengadaan Komputer untuk UNBK SMP </t>
  </si>
  <si>
    <t xml:space="preserve">1.2.17. Pengadaan Pakaian Seragam Siswa Baru SD/MI Tahun 2019 </t>
  </si>
  <si>
    <t xml:space="preserve">1.2.18. Penjaringan Bakat dan Prestasi Siswa Tingkat SMP Tahun 2019 </t>
  </si>
  <si>
    <t>1.3.1. Pengadaan Pakian Seragam SMA</t>
  </si>
  <si>
    <t>1.3.2. Pengadaan Pakian Seragam SMK</t>
  </si>
  <si>
    <t>1.4.1.UAN dan UAS Paket A setara SD</t>
  </si>
  <si>
    <t>1.4.2. UAN dan UAS Paket B setara SMP</t>
  </si>
  <si>
    <t>1.4.3. UAN dan UAS Paket C setara SMA</t>
  </si>
  <si>
    <t>1.4.4. Olimpiade Kesiswaan Sekolah Dasar Tahun 2018</t>
  </si>
  <si>
    <t>1.4.5. Penguatan Baca Tulis (literasi) Kelas Awal Sekolah Dasar</t>
  </si>
  <si>
    <t>1.4.6. Kurikulum PAUD Kesetaraan</t>
  </si>
  <si>
    <t>1.5. Program Pendidikan Luar Biasa</t>
  </si>
  <si>
    <t>1.5.1. Pengadaan Meubelair SLB</t>
  </si>
  <si>
    <t>1.5.2. Pengadaan Kelengkapan Gedung SLB</t>
  </si>
  <si>
    <t>1.6. Program Peningkatan Mutu Pendidik &amp; Tenaga Kependidikan</t>
  </si>
  <si>
    <t>1.6.1. Pengembangan Keprofesian Berkelanjutan (PKB)</t>
  </si>
  <si>
    <t>1.6.2. Pendidik Profesi Guru (PPG) Tahun 2019</t>
  </si>
  <si>
    <t>1.7. Program Pendidikan dan Pelatihan</t>
  </si>
  <si>
    <t>1.7.1. Pendidik ADIK dan ADEM</t>
  </si>
  <si>
    <t>1.8. Program Pengembangan Adat dan Budaya</t>
  </si>
  <si>
    <t>1.8.1. Festival Seni Budaya Malamoi II Tahun 2019</t>
  </si>
  <si>
    <t>1.8.2. Dialog Budaya Nasional Tahun 2019</t>
  </si>
  <si>
    <t>1.8.3. Seleksi Guru Bahasa Nusantara Tahun 2019</t>
  </si>
  <si>
    <t xml:space="preserve">2.1. Program Obat &amp; Perbekalan Kesehatan </t>
  </si>
  <si>
    <t>2.1.1. Pengadaaan Obat-obatan Puskesmas</t>
  </si>
  <si>
    <t>2.1.2. Pengadaan Alat -Alat Kesehatan &amp; Bahan Medis Habis Pakai Esensial Kebidanan</t>
  </si>
  <si>
    <t>2.2. Program Perbaikan Gizi Masyarakat</t>
  </si>
  <si>
    <t xml:space="preserve">2.2.1. Penguatan Rumah Pemulihan Gizi (TFC) </t>
  </si>
  <si>
    <t>2.2.2. Singkronisasi Data Status Gizi, Buruk, Kurus Dan Stunting</t>
  </si>
  <si>
    <t xml:space="preserve">2.2.3. Penguatan Proses Asuhan Gizi Puskesmas </t>
  </si>
  <si>
    <t xml:space="preserve">2.2.4. Sosialisasi Program Rama Lansia </t>
  </si>
  <si>
    <t xml:space="preserve">2.2.5. Pemberian Tablet Tambah Darah Bagi Remaja Putri </t>
  </si>
  <si>
    <t xml:space="preserve">2.2.6.Penyuluhan Gizi Lansia Di Posbindu </t>
  </si>
  <si>
    <t xml:space="preserve">2.2.7. Pemantauan Balita Kurus Yang Mendapat PMT Di Posbindu </t>
  </si>
  <si>
    <t xml:space="preserve">2.2.8. Evaluasi Aplikasi Elektronik Pencatatan Dan Pelaporan Gizi Berbasis Masyarakat </t>
  </si>
  <si>
    <t xml:space="preserve">2.2.9.Penjaringan Dan Perawatan Balita Gizi Buruk Di Posyandu </t>
  </si>
  <si>
    <t xml:space="preserve">2.2.10. Pemantauan Ibu Hamil Kekurangan Energi Kronis Kek </t>
  </si>
  <si>
    <t xml:space="preserve">2.2.11. Pelayanan Gizi Buruk </t>
  </si>
  <si>
    <t xml:space="preserve">2.2.12. Pemantauan Distribusi Makanan Tambahan Di Posyandu </t>
  </si>
  <si>
    <t>2.2.13. Pembinaan Kader Posyandu</t>
  </si>
  <si>
    <t>2.3. Program Pengembangan Lingkungan Sehat</t>
  </si>
  <si>
    <t xml:space="preserve">2.3.1. Penguatan Kapasitas Pengelola Depot Air Minum Isi Ulang </t>
  </si>
  <si>
    <t xml:space="preserve">2.3.2. Kursus Hygiene Sanitasi Penjamah Makanan Tempat Pengolahan Makanan </t>
  </si>
  <si>
    <t xml:space="preserve">2.3.3. Pengambilan Dan Pemeriksaan Sampel Air Damiu </t>
  </si>
  <si>
    <t xml:space="preserve">2.4.1. Pencegahan Dan Pengedalian Penyakit Malaria </t>
  </si>
  <si>
    <t xml:space="preserve">2.4.2. Pencegahan Dan Pengedalian Penyakit Filariasis </t>
  </si>
  <si>
    <t xml:space="preserve">2.4.3. Pencegahan Dan Pengedalian Penyakit TB Paru </t>
  </si>
  <si>
    <t xml:space="preserve">2.4.4. Pencegahan Dan Pengedalian Penyakit HIV/AIDS </t>
  </si>
  <si>
    <t xml:space="preserve">2.4.5. Pencegahan Dan Pengedalian Penyakit Kusta </t>
  </si>
  <si>
    <t xml:space="preserve">2.4.6. Pencegahan Dan Pengedalian Penyakit Frambusia </t>
  </si>
  <si>
    <t xml:space="preserve">2.4.7. Pencegahan Dan Pengedalian Penyakit Diare </t>
  </si>
  <si>
    <t>2.4.8. Pencegahan Dan Pengedalian Penyakit ISPA</t>
  </si>
  <si>
    <t>2.4.9. Pencegahan Dan Pengedalian Penyakit Tidak Menular</t>
  </si>
  <si>
    <t>2.5. Program Pelayanan Kesehatan Dasar</t>
  </si>
  <si>
    <t xml:space="preserve">2.5.1. Peningkatan Sarana Dan Prasarana Pustu Malaumkarta </t>
  </si>
  <si>
    <t xml:space="preserve">2.5.2. Pembangunan Baru Puskesmas Klalinmos </t>
  </si>
  <si>
    <t xml:space="preserve">2.5.3. Pembangunan Rumah Dinas Petugas Kesehatan Di Pustu Klalinmos </t>
  </si>
  <si>
    <t xml:space="preserve">2.5.4. Peningkatan Sarana Dan Prasarana Pustu Malaukarta </t>
  </si>
  <si>
    <t xml:space="preserve">2.5.5. Pembangunan Rumah Dinas Petugas Kesehatan Di Pustu Malaumkarta </t>
  </si>
  <si>
    <t xml:space="preserve">2.5.6. Pelayanan Kesehatan Bergerak Daerah Terpencil </t>
  </si>
  <si>
    <t>2.6. Program Kesehatan Ibu dan Anak</t>
  </si>
  <si>
    <t xml:space="preserve">2.6.1. Pertemuan Manajemen Terpadu Balita Sakit </t>
  </si>
  <si>
    <t xml:space="preserve">2.6.2.Penjaringan Ibu Hamil Resiko Tinggi </t>
  </si>
  <si>
    <t xml:space="preserve">2.6.3. Monev Audit Maternal Perinatal </t>
  </si>
  <si>
    <t xml:space="preserve">2.6.4. Pertemuan Evaluasi Audit Maternal Perinatal </t>
  </si>
  <si>
    <t xml:space="preserve">2.6.5. Deseminasi Hasil Program Kesehatan Ibu Dan Anak </t>
  </si>
  <si>
    <t xml:space="preserve">2.6.6. Penguatan Tenaga Bidan Program Asuhan Persalinan Normal </t>
  </si>
  <si>
    <t xml:space="preserve">2.6.7. Magang Bidan Di RSUD Sorong </t>
  </si>
  <si>
    <t xml:space="preserve">2.6.10. Advokasi Dan Sosialisasi Imunisasi Bagi Masyarakat Tingkat Distrik </t>
  </si>
  <si>
    <t xml:space="preserve">2.6.11. Pengadaan Kelambu Berinsektisida Bagi Ibu Hamil </t>
  </si>
  <si>
    <t xml:space="preserve">2.6.12. Penemuan Dini Kasus Malaria HIV IMS Dan Hepatitis Pada Ibu Hamil </t>
  </si>
  <si>
    <t xml:space="preserve">2.6.13. Evaluasi Program Desa Siaga </t>
  </si>
  <si>
    <t xml:space="preserve">2.6.14. Pelatihan Program Gerakan Masyarakat Hidup Sehat (GERMAS) </t>
  </si>
  <si>
    <t xml:space="preserve">2.6.15. Monitoring Dan Evaluasi Audit Maternal Perinatal </t>
  </si>
  <si>
    <t xml:space="preserve">2.6.16. Pemantauan Stiker P4K </t>
  </si>
  <si>
    <t xml:space="preserve">2.6.17. Pelayanan Ibu Hamil K1 Dan K4 </t>
  </si>
  <si>
    <t xml:space="preserve">2.6.18. Pelayanan Ibu Hamil Resiko Tinggi </t>
  </si>
  <si>
    <t>2.6.8. Peningkatan Kapasitas Bidan Pelaksana Program Pencegahan Penularan IMS HIV/AIDS dari Ibu ke Anak</t>
  </si>
  <si>
    <t>2.6.9. Advokasi Dan Sosialisasi Imunisasi Anak Sekolah Bagi Guru Dan Orang Tua Murid</t>
  </si>
  <si>
    <t>3. RUMAH SAKIT UMUM DAERAH KABUPATEN SORONG SEBAGAI SKPD</t>
  </si>
  <si>
    <t>3.1.1. Workshop Kompetensi Pegawai RSUD</t>
  </si>
  <si>
    <t xml:space="preserve">3.2. Program Obat dan Pembekalan Kesehatan </t>
  </si>
  <si>
    <t>3.2.1. Pengadaan Bahan Medis Habis Pakai</t>
  </si>
  <si>
    <t>3.2.2. Pengadaan Obat-Obatan</t>
  </si>
  <si>
    <t>4.1. Program Pendidikan Tinggi</t>
  </si>
  <si>
    <t>4.1.1. Lanjutan Pembangunan Gedung Perkuliahan Fakultas Kedokteran UNIPA</t>
  </si>
  <si>
    <t>4.2. Program Pengembangan Wilayah Strategis dan Cepat Tumbuh</t>
  </si>
  <si>
    <t>4.2.1. Pembanguna Kantor Dewan Adat Malamoi</t>
  </si>
  <si>
    <t>5.1. Program Keserasian Kebijakan Peningkatan Kualitas Anak dan Perempuan</t>
  </si>
  <si>
    <t>5.1.1. Sosialisasi Tentang Kekerasan Terhadap Anak</t>
  </si>
  <si>
    <t>5.1.2. Pemberian Makanan Bergizi dan Pemeriksaan Kesehatan Bagi Balita</t>
  </si>
  <si>
    <t>5.1.3. Loka Karya Mini Tentang Tumbuh Kembang Anak Bagi Kader-Kader Posyandu</t>
  </si>
  <si>
    <t>5.2. Program Peningkatan Kualitas Hidp dan Perlindungan Perempuan</t>
  </si>
  <si>
    <t>5.2.1. Pelatihan Pengolahan Sagu Menjadi Tepung Sagu Dan Aneka Kue Sagu  Serta Kue Modern</t>
  </si>
  <si>
    <t xml:space="preserve">5.2.2. Pembangunan Rumah Aman Bagi Korban KDRT Dan Meubelair </t>
  </si>
  <si>
    <t xml:space="preserve">5.2.3. Pelatihan Tata Boga, Tata Rias Dan Pembuatan Aksesoris </t>
  </si>
  <si>
    <t xml:space="preserve">5.2.4. Pelatihan Tenun Ikat </t>
  </si>
  <si>
    <t>5.3. Program Analisis Gender</t>
  </si>
  <si>
    <t>5.3.1. Penyusunan dan Pembuatan Analisis Gender</t>
  </si>
  <si>
    <t>6.1. Program Peningkatan Kualitas dan Produkfitas Tenaga Kerja</t>
  </si>
  <si>
    <t xml:space="preserve">6.1.1. Pelatihan Keterampilan Alat Berat Orang Asli Papua </t>
  </si>
  <si>
    <t xml:space="preserve">6.1.2. Pelatihan Welding Inspector / Pengawas Las </t>
  </si>
  <si>
    <t>7.1. Program Peningkatan Ketahanan Pangan (Pertanian/Peternakan)</t>
  </si>
  <si>
    <t xml:space="preserve">7.1.1. Pengembangan Pemanfaatan Lahan Pekarangan </t>
  </si>
  <si>
    <t xml:space="preserve">7.1.2. Lomba Cipta Menu </t>
  </si>
  <si>
    <t xml:space="preserve">7.1.3. Pengembangan Pangan Lokal </t>
  </si>
  <si>
    <t>7.2. Program Pengembangan Kelembangaan Distribusi dan Cadangan Pangan</t>
  </si>
  <si>
    <t>7.2.1. Peningkatan Fungsi Lumbung Pangan</t>
  </si>
  <si>
    <t>7.2.2. Pasar Murah OTSUS</t>
  </si>
  <si>
    <t>7.3. Program Pengawasan Keamanan Pangan dan Rawan Pangan</t>
  </si>
  <si>
    <t>7.3.1. Pengawasan Keamanan Pangan Segar</t>
  </si>
  <si>
    <t>7.3.2. Pembuatan Peta Karawanan Pangan</t>
  </si>
  <si>
    <t>7.4. Program Pengembangan Usaha Pangan Masyarakat</t>
  </si>
  <si>
    <t>7.4.1. Survey Pola Konsumsi</t>
  </si>
  <si>
    <t>7.4.2. Promosi Pangan Segar</t>
  </si>
  <si>
    <t>7.5. Program Pengembangan Kawasan Mandiri Pangan</t>
  </si>
  <si>
    <t xml:space="preserve">7.5.1. Pembangunan dan Pembinaan Desa Mandiri Pangan </t>
  </si>
  <si>
    <t>8. KOPERASI DAN UKM</t>
  </si>
  <si>
    <t>8.1. Program Pengembangan Kewirausahaan &amp; Unggulan  Kompetitif UKM</t>
  </si>
  <si>
    <t xml:space="preserve">8.1.1. Sosialisasi Dan Pembentukan Koperasi Bagi Orang Asli Papua </t>
  </si>
  <si>
    <t>9.1. Program Peningkatan Produksi, Produktivitas dan Mutu Tanaman Pertanian/Perkebunan</t>
  </si>
  <si>
    <t xml:space="preserve">9.1.1. Pengembangan Tanaman Kakao </t>
  </si>
  <si>
    <t xml:space="preserve">9.1.2. Rehabilitasi Tanaman Kakao </t>
  </si>
  <si>
    <t>9.1.3. Rehabilitasi Tanaman Kelapa Dalam</t>
  </si>
  <si>
    <t xml:space="preserve">9.1.4. Penataan Tanaman Sagu </t>
  </si>
  <si>
    <t xml:space="preserve">9.1.5. Pengembangan Tanaman Lada </t>
  </si>
  <si>
    <t>9.1.6. Pengembangan Kawasan Jagung</t>
  </si>
  <si>
    <t xml:space="preserve">9.1.7. Pengembangan Dan Peningkatan Produksi Ubi Jalar </t>
  </si>
  <si>
    <t xml:space="preserve">9.1.8. Pengembangan UPTD Balai Produksi Benih </t>
  </si>
  <si>
    <t xml:space="preserve">9.1.9. Penyediaan Sarana Pendukung UPTD Balai Produksi Benih </t>
  </si>
  <si>
    <t>9.2. Program Peningkatan Produksi, Produktivitas dan Mutu Tanaman Holtikultura</t>
  </si>
  <si>
    <t xml:space="preserve">9.2.1. Pengembangan Kawasan Buah Lainnya </t>
  </si>
  <si>
    <t xml:space="preserve">9.2.2. Pengembangan Tanaman Hortikultura </t>
  </si>
  <si>
    <t>9.3. Program Sarana Dan Prasarana Balai Penyuluhan Pertanian</t>
  </si>
  <si>
    <t xml:space="preserve">9.3.1. Lanjutan Pembangunan Balai Penyuluh Pertanian </t>
  </si>
  <si>
    <t>10.1. Program Peningkatan Produksi Perikanan</t>
  </si>
  <si>
    <t xml:space="preserve">10.1.1. Pengadaan Sarana Prasarana Produksi Penangkapan Ikan </t>
  </si>
  <si>
    <t>10.2. Pengembangan Kapasitas Usaha Perikanan Masyarakat Pesisir</t>
  </si>
  <si>
    <t xml:space="preserve">10.2.1. Bimbingan Teknis Pengolahan Hasil Perikanan Bagi Masyarakat Pesisir </t>
  </si>
  <si>
    <t xml:space="preserve">10.2.2. Pelatihan Teknis ANKAPIN dan ATKAPIN </t>
  </si>
  <si>
    <t xml:space="preserve">10.2.3. Magang Budidaya Ikan Air Tawar Bagi Pembudidaya Orang Asli Papua </t>
  </si>
  <si>
    <t>11. BADAN PERENCANAAN PEMBANGUNAN DAERAH</t>
  </si>
  <si>
    <t>11.1. Program Pengembangan Data/Informasi</t>
  </si>
  <si>
    <t xml:space="preserve">11.1.1. Kajian Dan Pemetaan Hak Ulayat Suku Moi </t>
  </si>
  <si>
    <t xml:space="preserve">11.1.2. Rencana Detail Pemanfaatan Gedung Rumah Sakit Rujukan Km. 23 Aimas </t>
  </si>
  <si>
    <t xml:space="preserve">11.1.3. Penyusunan Master Plan Kawasan Wisata Muara Canal (Mariat Pantai) </t>
  </si>
  <si>
    <t xml:space="preserve">11.1.4. Pendataan Pengusaha Kecil Asli Papua Kabupaten Sorong </t>
  </si>
  <si>
    <t>11.1.5. Penyusunan Rencana Aksi Daerah (RAD) Air Minum Dan Penyehatan Lingkungan (AMPL)</t>
  </si>
  <si>
    <t xml:space="preserve">11.1.6. Bimtek E-Planing Dan Simda Perencanaan </t>
  </si>
  <si>
    <t>11.2. Program Perencanaan Pembangunan Daerah</t>
  </si>
  <si>
    <t xml:space="preserve">11.2.1. Perencanaan Dan Pengembangan Kurikulum Muatan Lokal </t>
  </si>
  <si>
    <t xml:space="preserve">11.2.2. Penguatan Kapasitas Perencanaan Pembangunan Bagi Aparat Kampung </t>
  </si>
  <si>
    <t xml:space="preserve">11.2.3. Perencanaan Desain Kampung Wisata Malagufuk </t>
  </si>
  <si>
    <t>11.2.4. Penyusunan RDTR (Distrik Mayamuk, Salawati, Dan Makbon) Kabupaten Sorong</t>
  </si>
  <si>
    <t xml:space="preserve">11.2.5. Fasilitasi Pokja Percepatan Pembangunan Nasional Sanitasi Pemukiman (PPSP) </t>
  </si>
  <si>
    <t>11.3. Program Monitoring Evaluasi Pembangunan</t>
  </si>
  <si>
    <t xml:space="preserve">11.3.1. Raker Dan Pameran Otsus 2019 </t>
  </si>
  <si>
    <t xml:space="preserve">11.3.2. Pendamping Pamsimas </t>
  </si>
  <si>
    <t xml:space="preserve">11.3.3. Pendamping KOMPAK </t>
  </si>
  <si>
    <t xml:space="preserve">11.3.4. Monitoring Dan Evaluasi Kegiatan Pembangunan </t>
  </si>
  <si>
    <t>12. DINAS PEMBERDAYAAN MASYARAKAT DAN KAMPUNG</t>
  </si>
  <si>
    <t>12.1. Program Peningkatan Keberdayaan Masyarakat Perdesaan</t>
  </si>
  <si>
    <t xml:space="preserve">12.1.1. Pemberian Bantuan Pengolahan Minyak Lawang Di Kampung Dasri Distrik Sunook </t>
  </si>
  <si>
    <t xml:space="preserve">12.2. Program Peningkatan Peran Perempuan Di Perdesaan </t>
  </si>
  <si>
    <t xml:space="preserve">12.1.1. Pembinaan Dan Pemberdayaan Kelompok PKK </t>
  </si>
  <si>
    <t>13. DINAS SOSIAL</t>
  </si>
  <si>
    <t>13.1. Program Peningkatan Kapasitas Sumber Daya Aparatur</t>
  </si>
  <si>
    <t xml:space="preserve">13.1.1. Pendataan Dan Pelatihan Kesejahteraan Sosial (SIKS-NG) </t>
  </si>
  <si>
    <t>13.2. Program Pembinaan Panti Asuhan/ Panti Jompo</t>
  </si>
  <si>
    <t>13.2.1. Pengadaan Bahan Makanan Untuk Anak anak dalam Panti Asuhan</t>
  </si>
  <si>
    <t>14. INSPEKTORAT</t>
  </si>
  <si>
    <t>14.1. Program Sistem Pengendalian Internal Pemerintah (SPIP)</t>
  </si>
  <si>
    <t xml:space="preserve">14.1.1. Monitoring Dan Pengawasan Kegiatan Yang Bersumber Dari Dana Otsus </t>
  </si>
  <si>
    <t>15. DINAS PERUMAHAN DAN KAWASAN PEMUKIMAN</t>
  </si>
  <si>
    <t>15.1. Program Penyediaan Rumah Layak Huni</t>
  </si>
  <si>
    <t xml:space="preserve">15.1.1. Pembangunan Rumah Penduduk di Distrik Botain </t>
  </si>
  <si>
    <t xml:space="preserve">15.1.2. Pembangunan Rumah Penduduk di Distrik Salawati Selatan </t>
  </si>
  <si>
    <t xml:space="preserve">15.1.3. Pembangunan Rumah Penduduk di Distrik Salawati Tengah </t>
  </si>
  <si>
    <t xml:space="preserve">15.1.4. Pembangunan Rumah Penduduk di Distrik Mega </t>
  </si>
  <si>
    <t xml:space="preserve">15.1.5. Pembangunan Rumah Penduduk dI Distrik Selemkay </t>
  </si>
  <si>
    <t xml:space="preserve">15.1.6. Pembangunan Rumah Penduduk di Km. 28 Pesantren </t>
  </si>
  <si>
    <t>15.2. Program Pembangunan Sarana Dan Prasana Air Bersih Permukiman</t>
  </si>
  <si>
    <t xml:space="preserve">15.2.1. Lanjutan Pembangunan Sarana  Prasarana Air Bersih di Kelurahan Makbon </t>
  </si>
  <si>
    <t xml:space="preserve">15.2.2. Pembangunan Sarana Prasarana Air Bersih di Kampung Malaumkarta </t>
  </si>
  <si>
    <t xml:space="preserve">15.2.3. Lanjutan Pembangunan Sarana  Prasarana Air Bersih di Klalin Mos </t>
  </si>
  <si>
    <t xml:space="preserve">15.2.4. Pembangunan Sarana  Prasarana Air Bersih Kampung Kamlin </t>
  </si>
  <si>
    <t xml:space="preserve">15.2.5. Pembangunan Sarana Prasarana Air Bersih Kampung Kwari </t>
  </si>
  <si>
    <t xml:space="preserve">15.2.6. Pembangunan Sarana Prasarana Air Bersih Kampung Mariat Gunung </t>
  </si>
  <si>
    <t xml:space="preserve">15.2.7. Pembangunan Sarana MCK di Kampung Malaumkarta </t>
  </si>
  <si>
    <t xml:space="preserve">15.2.8. Studi Potensi Sumber Air Minum Dan Layanan di Permukiman Aimas </t>
  </si>
  <si>
    <t xml:space="preserve">15.2.9. Pembangunan Sarana Prasarana Air Bersih Kampung Warbo Distrik Moudus </t>
  </si>
  <si>
    <t>15.3. Program Pengelolaan Persampahan</t>
  </si>
  <si>
    <t xml:space="preserve">15.3.1. Operasional Persampahan </t>
  </si>
  <si>
    <t xml:space="preserve">15.3.2. Pengadaan Kontainer sampah </t>
  </si>
  <si>
    <t xml:space="preserve">15.3.3. Pengadaan Penyangga Tempat Sampah Rumah Tangga </t>
  </si>
  <si>
    <t xml:space="preserve">15.3.4. Pengadaan Tempat Sampah Rumah Tangga </t>
  </si>
  <si>
    <t>15.4. Program Pengelolaan Air Limbah Permukiman</t>
  </si>
  <si>
    <t xml:space="preserve">15.4.1. Studi EHRA dan Penyusunan SSK Sanitasi </t>
  </si>
  <si>
    <t>15.5. Program Pengelolaan Lampu Jalan Permukiman</t>
  </si>
  <si>
    <t xml:space="preserve">15.5.1. Pembangunan Penerang Lampu Jalan di Distrik Sayosa </t>
  </si>
  <si>
    <t xml:space="preserve">15.5.2. Pembangunan Penerang Lampu Jalan di Distrik Moisegen </t>
  </si>
  <si>
    <t>15.5.3. Pembangunan Penerang Lampu Jalan di Distrik Salawati Selatan</t>
  </si>
  <si>
    <t xml:space="preserve">15.5.4. Pembangunan Penerang Lampu Jalan di Distrik Seget </t>
  </si>
  <si>
    <t>15.5.5. Pembangunan Penerang Lampu Jalan di Distrik Mega</t>
  </si>
  <si>
    <t xml:space="preserve">15.5.6. Pembangunan Penerang Lanpu Jalan di Distrik Makbon </t>
  </si>
  <si>
    <t xml:space="preserve">15.5.7. Pemasangan Lampu PJU di Jalan Aimas Klamono </t>
  </si>
  <si>
    <t xml:space="preserve">15.5.8. Pemasangan Lampu PJU di Jalan Osok </t>
  </si>
  <si>
    <t>16. DINAS PETERNAKAN</t>
  </si>
  <si>
    <t>16.1. Program Pemberdayaan Ekonomi Rakyat</t>
  </si>
  <si>
    <t xml:space="preserve">16.1.1. Pemberdayaan Masyarakat Peternak Papua </t>
  </si>
  <si>
    <t>16.1.2. Penyediaan Bahan dan Peralatan Pengobatan Ternak OAP</t>
  </si>
  <si>
    <t xml:space="preserve">16.1.3. Penanaman Hijauan Makanan Ternak </t>
  </si>
  <si>
    <t xml:space="preserve">16.1.4. Pembangunan UPTD Balai Kesehatan Hewan dan Kesehatan Masyarakat </t>
  </si>
  <si>
    <t xml:space="preserve">16.1.5. Penyediaan Sarana UPTD Balai Kesehatan Hewan </t>
  </si>
  <si>
    <t xml:space="preserve">16.1.6. Pembibitan Ternak Berpola Ranch </t>
  </si>
  <si>
    <t>17. BADAN PENGELOLA KEUANGAN DAN ASET DAERAH</t>
  </si>
  <si>
    <t>17.1. Program Peningkatan Dan Pengembangan Pengelolaan Keuangan Daerah</t>
  </si>
  <si>
    <t xml:space="preserve">17.1.1. Penyusunan Laporan Realisasi Dana Otonomi Khusus </t>
  </si>
  <si>
    <t>17.2. Belanja Hibah kepada Badan/Lembaga/Organisasi</t>
  </si>
  <si>
    <t xml:space="preserve">17.2.1. Belanja Hibah Jaminan Kesehatan Daerah Bagi Penduduk OAP </t>
  </si>
  <si>
    <t>17.3. Belanja Hibah kepada Kelompok/Anggota Masyarakat</t>
  </si>
  <si>
    <t>17.3.1. Belanja Hibah Dana Beasiswa Kepada Putra Dan Putri Papua</t>
  </si>
  <si>
    <t xml:space="preserve">17.3.2. Belanja Hibah Pemberian Modal Usaha Bagi OAP </t>
  </si>
  <si>
    <t xml:space="preserve">17.3.3. Belanja Hibah Biaya Perbaikan Dan Pembangunan Sarana Peribadatan </t>
  </si>
  <si>
    <t>1.3.1. Pengadaan Pakaian Seragam SMA</t>
  </si>
  <si>
    <t>1.3.2. Pengadaan Pakaian Seragam SMK</t>
  </si>
  <si>
    <t>1.1.5. Pengadaan Meubelair dan Alat Bermain TK Pembina Kab.Sorong</t>
  </si>
  <si>
    <t>1.1 Program Pendidikan Anak Usia Dini</t>
  </si>
  <si>
    <t>1.1.1 Pembangunan Gedung Sekolah</t>
  </si>
  <si>
    <t>1.1.2 Pembangunan sarana air bersih dan sanitary</t>
  </si>
  <si>
    <t>1.1.3 Pengadaan alat praktik dan peraga siswa</t>
  </si>
  <si>
    <t>1.1.5 Pengembangan Pendidikan Anak Usia Dini</t>
  </si>
  <si>
    <t>1.1.6 Pengembangan kurikulum, bahan ajar dan model pembelajaran Pendidikan Anak Usia Dini</t>
  </si>
  <si>
    <t>1.1.7 Peningkatan kesejahteraan tenaga pendidik honorer TK/PAUD</t>
  </si>
  <si>
    <t>1.1.8 Rapat Koordinasi Gugus PAUD</t>
  </si>
  <si>
    <t>1.1.9 Penyediaan Bantuan Operasional Sekolah (BOSDA)</t>
  </si>
  <si>
    <t>1.1.10 Pembangunan Gedung PAUD Pelita Dunia Karumatiri Kampung Maniwak</t>
  </si>
  <si>
    <t>1.2.1 Pembangunan Gedung Sekolah</t>
  </si>
  <si>
    <t>1.2.2 Pengadaan alat praktik dan peraga siswa</t>
  </si>
  <si>
    <t>1.2.3 Pelatihan kompetensi siswa berprestasi</t>
  </si>
  <si>
    <t>1.2.4 Peningkatan kesejahteraan tenaga pendidik honorer SD dan SMP</t>
  </si>
  <si>
    <t>1.2.5 Penyusunan master soal SD dan SMP</t>
  </si>
  <si>
    <t>1.2.6 Pengadaan Meubelair gedung SD (OTSUS)</t>
  </si>
  <si>
    <t>1.2.7 Penyediaan Bantuan Operasional Sekolah (BOSDA)</t>
  </si>
  <si>
    <t>1.2.8 Pembangunan Pagar SD Manggurai Pemda</t>
  </si>
  <si>
    <t>1.2.9 Pembangunan Pagar SD YPK Rasiei Tahap III</t>
  </si>
  <si>
    <t>1.2.10 Pembangunan RKB SD Inpres Tandia</t>
  </si>
  <si>
    <t>1.2.11 Pembangunan Pagar SD YPPK Santa Laurensia Wasior</t>
  </si>
  <si>
    <t>1.2.12 Pembangunan Rumah Kopel Guru SD YPPK SANTA LAURENCIA WASIOR</t>
  </si>
  <si>
    <t>1.2.13 Pembangunan Gedung Sekolah SD Negeri Niap Tahap II</t>
  </si>
  <si>
    <t>1.5.1 Pelaksanaan Sertifikasi pendidik</t>
  </si>
  <si>
    <t>1.5.2 Pembinaan Kelompok Kerja Guru (KKG)</t>
  </si>
  <si>
    <t>1.5.3 Pelaksanaan Evaluasi Hasil Kinerja Bidang Pendidik</t>
  </si>
  <si>
    <t>1.5.4 Kelompok Kerja Kepala Sekolah (KKKS)</t>
  </si>
  <si>
    <t>1.7.1 Penyelenggaraan Kompetisi Olahraga Se- Kabupaten Teluk Wondama</t>
  </si>
  <si>
    <t>1.7.2 Penyelenggaraan Kompetisi Olahraga Liga Pelajar Indonesia (LPI)</t>
  </si>
  <si>
    <t>1.7.3 Penyelenggaraan Lomba O2SN</t>
  </si>
  <si>
    <t>1.7.4 Kejuaraan Pelajar</t>
  </si>
  <si>
    <t>1.7.5 Pra PON/PON Pelajar</t>
  </si>
  <si>
    <t>1.7.6 Pekan PPLP</t>
  </si>
  <si>
    <t>1.7.7 Peralatan Pencak Silat</t>
  </si>
  <si>
    <t>1.7.8 Pembinaan Atlit</t>
  </si>
  <si>
    <t>1.7.9 Kejuaraan Popwil Tingkat Pelajar</t>
  </si>
  <si>
    <t>1.7.10 Peralatan dan Perlengkapan Karate</t>
  </si>
  <si>
    <t>1.8.1 Lomba Kreasi dan Karya Tulis di Kalangan Pemuda</t>
  </si>
  <si>
    <t>1.8.2 Seleksi dan Pemilihan Paskibra</t>
  </si>
  <si>
    <t>1.8.3 Seleksi dan Pemilihan Pemuda/Pelopor Jambore Nasional</t>
  </si>
  <si>
    <t>2.1.1. Pengadaan Meubelair</t>
  </si>
  <si>
    <t>2.2 Program Upaya Kesehatan Masyarakat</t>
  </si>
  <si>
    <t>2.2.1 Sistem Informasi Kesehatan (SIK)</t>
  </si>
  <si>
    <t>2.2.2 Sistem Pencatatan, Pelaporan Terpadu Puskesmas (ST2TP)</t>
  </si>
  <si>
    <t>2.2.3 Pelayanan Kesehatan Masyarakat Daerah Terpencil</t>
  </si>
  <si>
    <t>2.3. Program Pengawasan Obat dan Makanan</t>
  </si>
  <si>
    <t>2.3.1. Peningkatan Pemberdayaan Konsumen/Masyarakat di Bidang Obat dan Makanan</t>
  </si>
  <si>
    <t>2.4 Program Promosi Kesehatan dan Pemberdayaan Masyarakat</t>
  </si>
  <si>
    <t>2.4.1 Pengembangan media promosi dan informasi sadar hidup sehat</t>
  </si>
  <si>
    <t>2.4.2 Penyuluhan masyarakat pola hidup sehat</t>
  </si>
  <si>
    <t>2.4.3 Peningkatan pemanfaatan sarana kesehatan</t>
  </si>
  <si>
    <t>2.5 Program Perbaikan Gizi Masyarakat</t>
  </si>
  <si>
    <t>2.5.1 Pemberian tambahan makanan dan vitamin</t>
  </si>
  <si>
    <t>2.5.2 Penanggulangan Kurang Energi Protein (KEP), Anemia Gizi Besi, Gangguan Akibat kurang Yodium (GAKY), Kurang Vitamin A, dan Kekurangan Zat Gizi Mikro Lainnya</t>
  </si>
  <si>
    <t>2.5.3 Pemberdayaan masyarakat untuk pencapaian keluarga sadar gizi</t>
  </si>
  <si>
    <t>2.6 Program Peningkatan Pelayanan Kesehatan Lansia</t>
  </si>
  <si>
    <t>2.6.1 Penyuluhan Pemeliharaan Kesehatan Lansia</t>
  </si>
  <si>
    <t>2.7 Program Peningkatan Keselamatan Ibu Melahirkan Dan Anak</t>
  </si>
  <si>
    <t>2.7.1 Penyuluhan Kesehatan Bagi Ibu Hamil Dari Keluarga Kurang Mampu</t>
  </si>
  <si>
    <t>2.7.2 Pemeriksaan IFA</t>
  </si>
  <si>
    <t>2.8 Program Pengembangan Lingkungan Sehat</t>
  </si>
  <si>
    <t>2.8.1 Kesehatan Olahraga</t>
  </si>
  <si>
    <t>2.9 Program Pencegahan dan Penanggulangan Penyakit Menular</t>
  </si>
  <si>
    <t>2.9.1 Penyemprotan/fogging sarang nyamuk</t>
  </si>
  <si>
    <t>2.9.2 Pelayanan vaksinasi bagi balita dan anak sekolah</t>
  </si>
  <si>
    <t>2.9.3 Peningkatan imuniasasi</t>
  </si>
  <si>
    <t>2.9.4 Peningkatan survellance Epidemiologi dan penanggulangan wabah</t>
  </si>
  <si>
    <t>2.9.5 Pemberantasan penyakit kusta</t>
  </si>
  <si>
    <t>2.9.6 Pemberantasan Penyakit TBC</t>
  </si>
  <si>
    <t>2.9.7 Pemberantasan Malaria</t>
  </si>
  <si>
    <t>2.9.8 Surveilans Terpadu</t>
  </si>
  <si>
    <t>2.9.9 Pencegahan Penyakit Tidak Menular</t>
  </si>
  <si>
    <t>2.9.10 Penanggulangan Krisis Kesehatan</t>
  </si>
  <si>
    <t>2.9.11 Kesehatan Jiwa</t>
  </si>
  <si>
    <t>4.1 Program Upaya Kesehatan Masyarakat</t>
  </si>
  <si>
    <t>4.1.1 Penyediaan biaya operasional dan pemeliharaan</t>
  </si>
  <si>
    <t>5.1 Program Upaya Kesehatan Masyarakat</t>
  </si>
  <si>
    <t>5.1.1 Penyediaan biaya operasional dan pemeliharaan</t>
  </si>
  <si>
    <t>6.1 Program Upaya Kesehatan Masyarakat</t>
  </si>
  <si>
    <t>6.1.1 Penyediaan biaya operasional dan pemeliharaan</t>
  </si>
  <si>
    <t>7.1 Program Upaya Kesehatan Masyarakat</t>
  </si>
  <si>
    <t>7.1.1 Penyediaan biaya operasional dan pemeliharaan</t>
  </si>
  <si>
    <t>8.1 Program Upaya Kesehatan Masyarakat</t>
  </si>
  <si>
    <t>8.1.1 Penyediaan biaya operasional dan pemeliharaan</t>
  </si>
  <si>
    <t>9.1 Program Upaya Kesehatan Masyarakat</t>
  </si>
  <si>
    <t>9.1.1 Penyediaan biaya operasional dan pemeliharaan</t>
  </si>
  <si>
    <t>10.1 Program Upaya Kesehatan Masyarakat</t>
  </si>
  <si>
    <t>10.1.1 Penyediaan biaya operasional dan pemeliharaan</t>
  </si>
  <si>
    <t>11.1 Program Upaya Kesehatan Masyarakat</t>
  </si>
  <si>
    <t>11.1.1 Penyediaan biaya operasional dan pemeliharaan</t>
  </si>
  <si>
    <t>12.1 Program Upaya Kesehatan Masyarakat</t>
  </si>
  <si>
    <t>12.1.1 Penyediaan biaya operasional dan pemeliharaan</t>
  </si>
  <si>
    <t>4. PUSKESMAS YEMBEKIRI</t>
  </si>
  <si>
    <t>5. PUSKESMAS AISANDAMI</t>
  </si>
  <si>
    <t>6. PUSKESMAS WONDIBOI</t>
  </si>
  <si>
    <t>7. PUSKESMAS SABUBAR</t>
  </si>
  <si>
    <t>8. PUSKESMAS WINDESI</t>
  </si>
  <si>
    <t>9. PUSKESMAS WASIOR</t>
  </si>
  <si>
    <t>10. PUSKESMAS WERABUR</t>
  </si>
  <si>
    <t>11. PUSKESMAS NAIKERE</t>
  </si>
  <si>
    <t>12. PUSKESMAS SOBEY</t>
  </si>
  <si>
    <t>13. PUSKESMAS ROSWAR</t>
  </si>
  <si>
    <t>13.1 Program Upaya Kesehatan Masyarakat</t>
  </si>
  <si>
    <t>13.1.1 Penyediaan biaya operasional dan pemeliharaan</t>
  </si>
  <si>
    <t>14. DINAS PEKERJAAN UMUM PENATAAN RUANG PERUMAHAN RAKYAT DAN KAWASAN PERMUKIMAN</t>
  </si>
  <si>
    <t>14.1 Program Peningkatan Sarana dan Prasarana Aparatur</t>
  </si>
  <si>
    <t>14.1.1 Pembangunan Talud Pengaman Dinas PU Tahap II</t>
  </si>
  <si>
    <t>14.1.2 Pembangunan Pagar Perkantoran Tahap II</t>
  </si>
  <si>
    <t>14.1.3 Rehab Kantor Klasis</t>
  </si>
  <si>
    <t>14.2 Program Peningkatan Jalan &amp; Jembatan</t>
  </si>
  <si>
    <t>14.2.1 Peningkatan Jalan Masuk Kantor Klasis Wondama</t>
  </si>
  <si>
    <t>14.3.2 Pembangunan Median Jalan Ruas Jalan Wasior - Tandia</t>
  </si>
  <si>
    <t>14.3.1 Pembangunan Median Ruas Jalan Wasior-Tandia</t>
  </si>
  <si>
    <t>14.3 Program pembangunan jalan dan jembatan</t>
  </si>
  <si>
    <t>14.4 Program pembangunan saluran drainase/gorong-gorong</t>
  </si>
  <si>
    <t>14.4.1  Pembangunan Saluran Drainase Lingkungan Depan Koramil Wasior</t>
  </si>
  <si>
    <t>14.4.2 Pembangunan Saluran Drainase Lingkungan Kompleks Huntap PEMDA III Tahap I</t>
  </si>
  <si>
    <t>14.4.3 Pemeliharaan Rutin Drainase</t>
  </si>
  <si>
    <t>14.4.4 Pembangunan Bocx Culvert 2x2 Ruas Jalan Wasior-Yopanggar</t>
  </si>
  <si>
    <t>14.5 Program pembangunan turap/talud/bronjong</t>
  </si>
  <si>
    <t>14.5.1 Pembangunan Talud Pengaman Saluran Pembuang Huntap Iriati III Tahap 2</t>
  </si>
  <si>
    <t>14.5.2 Pembangunan Talud Kali Huntap Iriati 3 Tahap V</t>
  </si>
  <si>
    <t>14.5.3 Pembangunan Talud Pengaman Kali Uriemi II Tahap 2</t>
  </si>
  <si>
    <t>14.5.4 Pembangunan Talud Kali Mariapapiri Tahap I</t>
  </si>
  <si>
    <t>14.5.5 Pembangunan Pasangan Talud Kali BRI Lama Tahap II</t>
  </si>
  <si>
    <t>14.5.6 Pembangunan Talud Pengaman Pantai Dusner</t>
  </si>
  <si>
    <t>14.5.7 Pembangunan Talud Pengaman Pantai Pasar Iriati</t>
  </si>
  <si>
    <t>14.5.8 Pembangunan Cek Dam/Sabo Dam Iriati 3 Tahap I</t>
  </si>
  <si>
    <t>14.5.9 Pembangunan Cek Dam Pengendali Sedimen Belakang Kantor BKD Iriati</t>
  </si>
  <si>
    <t>14.6 Program rehabilitasi/pemeliharaan jalan dan jembatan</t>
  </si>
  <si>
    <t>14.6.1Rehabilitasi/pemeliharaan Rutin Berkala jalan dan Jembatan (Bina Marga) Normalisasi</t>
  </si>
  <si>
    <t>14.7 Program Pengembangan dan Pengelolaan Jaringan Irigasi, Rawa dan Jaringan Pengairan lainnya</t>
  </si>
  <si>
    <t>14.7.1 Perencanaan Pembangunan Jaringan Air Bersih/Air Minum diKampung yarapate Distrik Wamesa</t>
  </si>
  <si>
    <t>14.7.2 Rehab Pembangunan Jaringan Air Bersih/Air Minum dikampung sabubar distrik wamesa</t>
  </si>
  <si>
    <t>14.8 Program Pengembangan Kinerja Pengelolaan Air Minum dan Air Limbah</t>
  </si>
  <si>
    <t>14.8.1 Pembangunan Jaringan Air Bersih/ Air Minum Kampung Uriemi</t>
  </si>
  <si>
    <t>14.8.2 Rehabilitasi dan Pemasangan Jaringan Air Bersih/ Air Minum Rumah Sakit</t>
  </si>
  <si>
    <t>14.8.3 Rehabilitasi Sarana Air Bersih/ Air Minum Kamp. Rasiei dan Isuy</t>
  </si>
  <si>
    <t>14.8.4 Optmalisasi Sarana Air Bersih Kampung Nanimori Distrik Kuri Wamesa</t>
  </si>
  <si>
    <t>14.8.5 Pembangunan Toilet Umum Pelabuhan Windesi</t>
  </si>
  <si>
    <t>14.8.6 Pembangunan Toilet Umum Taman Kota Wasior</t>
  </si>
  <si>
    <t>14.8.7 Peningkatan Jaringan Pipa Kampung Sanduai</t>
  </si>
  <si>
    <t>14.8.8 Pembangunan Jembatan Pipa Kampung Mariapapiri</t>
  </si>
  <si>
    <t>14.9 Program Pengendalian Banjir</t>
  </si>
  <si>
    <t>14.9.1 Normaliasi dan Pembuatan Tanggul Tanah Sungai Wanayo</t>
  </si>
  <si>
    <t>14.10 Program pembangunan infrastruktur perdesaan</t>
  </si>
  <si>
    <t>14.10.1 Penyusunan RP3KP</t>
  </si>
  <si>
    <t>14.10.2 Pembangunan Jalan Masuk Kompleks Makam Kampung Isey</t>
  </si>
  <si>
    <t>14.10.3 Pembangunan Jalan Lingkungan Tanah Polres Iriati</t>
  </si>
  <si>
    <t>14.10.4 Peningkatan Jalan Lingkungan (Rabat Beton) SMP YPK Aitumieri</t>
  </si>
  <si>
    <t>14.10.5 Pembangunan Jalan Masuk Pasar Iriati</t>
  </si>
  <si>
    <t>14.10.6 Pembangunan Jalan Masuk Kamar Jenasah RS Manggurai (Rabat Beton)</t>
  </si>
  <si>
    <t>14.11 Program Pengembangan Perumahan</t>
  </si>
  <si>
    <t>14.11.1 Pembangunan Taman Kota Alun-Alun Wasior</t>
  </si>
  <si>
    <t>14.11.2 Peningkatan Kualitas Untuk Rumah Rusak Ringan, Sedang dan Berat (Sharing)</t>
  </si>
  <si>
    <t>14.11.3 Pembangunan Rumah Sehat Sederhana</t>
  </si>
  <si>
    <t>15. DINAS SOSIAL</t>
  </si>
  <si>
    <t>15.1 Program Pemberdayaan Fakir Miskin, Komunitas Adat Terpencil (KAT) dan Penyandang Masalah Kesejahteraan Sosial (PMKS) Lainnya</t>
  </si>
  <si>
    <t>15.1.1 Penjajakan Awal Lokasi Pemberdayaan Komunitas Adat Terpencil</t>
  </si>
  <si>
    <t>15.1.2 Pelatihan ketrampilan bagi Perempuan Rawan Sosioal Ekonomi (PRSE)</t>
  </si>
  <si>
    <t>15.2 Program Pelayanan dan Rehabilitasi Kesejahteraan Sosial</t>
  </si>
  <si>
    <t>15.2.1 Pemberian Makanan tambahan bagi Lanjut Usia</t>
  </si>
  <si>
    <t>15.2.2 Perekrutan, pelatihan dan pemantapan taruna siaga bencana (TAGANA)</t>
  </si>
  <si>
    <t>15.2.3 Bantuan Bahan Bangunan Rumah untuk masyarakat kurang mampu</t>
  </si>
  <si>
    <t>15.2.4 Pemberian Sembako Bagi Masyarakat Tidak Mampu</t>
  </si>
  <si>
    <t>15.2.5 Buffer Stock/Bahan Pangan Penyangga/Cadangan</t>
  </si>
  <si>
    <t>15.3 Program pembinaan para penyandang cacat dan trauma</t>
  </si>
  <si>
    <t>15.3.1 Pendidikan dan Pelatihan bagi Orang dengan kecacatan (ODK)</t>
  </si>
  <si>
    <t>15.3.2 Pengadaan peralatan penunjang usaha bagi disabilitas</t>
  </si>
  <si>
    <t>15.4 Program Pemberdayaan Kelembagaan Kesejahteraan Sosial</t>
  </si>
  <si>
    <t>15.4.1 Penilaian pilar-pilar sosial berprestasi Tk.Kabupaten</t>
  </si>
  <si>
    <t>15.5 Program Pembinaan dan Pemberdayaan Kegiatan Keagamaan</t>
  </si>
  <si>
    <t>15.5.2 Pengadaan Sound Sistem Kegereja - gereja Distrik Rumberpon dan Soug Wepu</t>
  </si>
  <si>
    <t>15.5.3 Pembangunan Gereja Syalom Wasior Tahap I</t>
  </si>
  <si>
    <t>15.5.4 Pembangunan Pagar Gereja Elim Yopanggar</t>
  </si>
  <si>
    <t>15.5.5 Pengadaan Sound System Gereja Bethesda Manggurai</t>
  </si>
  <si>
    <t>15.5.6 Pengadaan Sound System Gereja Jalan Suci</t>
  </si>
  <si>
    <t>15.5.7 Pembangunan Konsistori Gereja Bethesda Manggurai</t>
  </si>
  <si>
    <t>15.5.8 Pembangunan Gereja GBI Bukit Sion Manggurai</t>
  </si>
  <si>
    <t>15.5.9 Pengadaan Sound System dan Mebelair Gereja Maranata Iriati</t>
  </si>
  <si>
    <t>15.5.10 Pengadaan sound sistem</t>
  </si>
  <si>
    <t>15.5.11 Pemberian Sembako bagi gereja-gereja di Kab. Teluk Wondama</t>
  </si>
  <si>
    <t xml:space="preserve">15.5.1 Pembangunan Sarana Rumah Ibadah  </t>
  </si>
  <si>
    <t>15.6 Program Perlindungan dan Jaminan Sosial</t>
  </si>
  <si>
    <t>15.6.1 Sharing Penerima Bantuan Program Keluarga Harapan (PKH)</t>
  </si>
  <si>
    <t>15.7 Program Pembinaan Nilai - Nilai Kepahlawanan, Keperintisan dan Kesetiakawanan Sosial</t>
  </si>
  <si>
    <t>15.7.1 Pemberian bantuan bagi pejuang veteran</t>
  </si>
  <si>
    <t>15.8 Program Pengembangan Perumahan</t>
  </si>
  <si>
    <t>15.8.1 Pembangunan Rumah Bagi Janda/Duda/Lansia/Jompo/fakir miskin dan anak terlantar</t>
  </si>
  <si>
    <t>15.8.2 Pembangunan Rumah Tokoh Masyarakat</t>
  </si>
  <si>
    <t>16. DINAS PEMBERDAYAAN PEREMPUAN PERLINDUNGAN ANAK PENGENDALIAN PENDUDUK DAN KELUARGA BERENCANA</t>
  </si>
  <si>
    <t>16.1 Program Peningkatan Kualitas Hidup dan Perlindungan Perempuan</t>
  </si>
  <si>
    <t>16.1.1 Kegiatan jahit - menjahit dan pembinaan menjahit</t>
  </si>
  <si>
    <t>16.1.2 Pelatihan Pembuatan Aneka Makanan Berbasis SDA Lokal (PKK)</t>
  </si>
  <si>
    <t>16.2 Program peningkatan peran serta dan kesetaraan jender dalam pembangunan</t>
  </si>
  <si>
    <t>16.2.1 Bimbingan Manajemen Bagi Perempuan dalam mengelola usaha</t>
  </si>
  <si>
    <t>16.2.2 Pelatihan Pembuatan Aneka Makanan Lokal</t>
  </si>
  <si>
    <t>16.2.3 Sosialisasi kesetaraan gender &amp; pemberdayaan perempuan</t>
  </si>
  <si>
    <t>16.2.4 Pendataan anak putus sekolah</t>
  </si>
  <si>
    <t>16.2.5 Fasilitasi upaya perlindungan perempuan terhadap tindak kekerasan</t>
  </si>
  <si>
    <t>16.3 Program penguatan kelembagaan pengarusutamaan gender dan anak</t>
  </si>
  <si>
    <t>16.3.1 Workshop peningkatan peran perempuan dalam pengambilan keputusan</t>
  </si>
  <si>
    <t>16.3.2 Fasilitasi Forum Anak Daerah</t>
  </si>
  <si>
    <t>16.3.3 Parade Anak Nusantara</t>
  </si>
  <si>
    <t>16.4 Program Keluarga Berencana</t>
  </si>
  <si>
    <t>16.4.1 Monitoring Kampung KB</t>
  </si>
  <si>
    <t>16.4.2 Pelatihan Kelompok Bina Keluarga</t>
  </si>
  <si>
    <t>16.5 Program pengembangan model operasional BKB posyandu padu</t>
  </si>
  <si>
    <t>16.5.1 Penyuluhan dan pendampingan kader posyandu dengan sistem 5 (lima) meja</t>
  </si>
  <si>
    <t>17. DINAS LINGKUNGAN HIDUP</t>
  </si>
  <si>
    <t>17.1 Program Pengembangan Kinerja Pengelolaan Persampahan</t>
  </si>
  <si>
    <t>17.1.1 Penyediaan prasarana dan sarana pengelolaaan persampahan</t>
  </si>
  <si>
    <t>17.2 Program Pengendalian Pencemaran dan Perusakan Lingkungan Hidup</t>
  </si>
  <si>
    <t>17.2.1 Peningkatan peran serta masyarakat dalam pengendalian lingkungan hidup</t>
  </si>
  <si>
    <t>17.2.2 Pelaksanaan Diklat/Kursus AMDAL/UKL-UPL/Audit</t>
  </si>
  <si>
    <t>17.3 Program Perlindungan dan Konservasi Sumber Daya Alam</t>
  </si>
  <si>
    <t>17.3.1 Perlindungan Konservasi Keanekaragaman Hayati Flora dan Fauna</t>
  </si>
  <si>
    <t>17.4 Program pengelolaan dan rehabilitasi ekosistem pesisir dan laut</t>
  </si>
  <si>
    <t>17.4.1 Rehabilitasi Hutan dan Lahan/Penanaman Mangrove</t>
  </si>
  <si>
    <t>17.4.2 Sosialisasi Peran dan Fungsi Ekosistem Pesisir</t>
  </si>
  <si>
    <t>17.5 Program Pengembangan Kemitraan dan Pemberdayaan Masyarakat</t>
  </si>
  <si>
    <t>17.5.1 Pengembangan Sumber daya Manusia Pengelola Lingkungan Hidup</t>
  </si>
  <si>
    <t>17.5.2 Pengembangan Desa Sadar Lingkungan</t>
  </si>
  <si>
    <t>18. DINAS KEPENDUDUKAN DAN CATATAN SIPIL</t>
  </si>
  <si>
    <t>18.1 Program Penataan Administrasi Kependudukan</t>
  </si>
  <si>
    <t>18.1.1 Pelaksanaan Nikah Massal</t>
  </si>
  <si>
    <t>18.1.2 Sosialisasi Undang Undang Administrasi Kependudukan</t>
  </si>
  <si>
    <t>19. DINAS PEMBERDAYAAN MASYARAKAT DAN KAMPUNG</t>
  </si>
  <si>
    <t>19.1 Program Peningkatan Keberdayaan Masyarakat Perdesaan</t>
  </si>
  <si>
    <t>19.1.1 Rapat Koordinasi Teknis Kepala Kampung se-Kabupaten Teluk Wondama Tahun 2018</t>
  </si>
  <si>
    <t>19.1.2 Lomba Kampung Tingkat Propinsi Papua Barat Tahun 2018</t>
  </si>
  <si>
    <t>19.1.3 Lomba Kampung Tingkat Distrik se-Kabupaten Teluk Wondama Tahun 2018</t>
  </si>
  <si>
    <t>19.1.4 Persiapan Pembentukan/Pemekaran Kampung Baru</t>
  </si>
  <si>
    <t>19.2 Program pengembangan lembaga ekonomi pedesaan</t>
  </si>
  <si>
    <t>19.2.1 Pembentukan, Pendampingan dan Peningkatan Kapasitas Manejemen  Badan Usaha Kampung (BUMDES)</t>
  </si>
  <si>
    <t>19.3 Program Peningkatan Kapasitas Aparatur Pemerintahan Desa</t>
  </si>
  <si>
    <t>19.3.1 Penyuluhan dan Bimbingan Teknis Kepada Kaur Keuangan dan Bendahara Kampung Tentang Penyusunan Laporan Pertanggungjawaban Keuangan Kampung</t>
  </si>
  <si>
    <t>19.3.2 Penyuluhan dan Bimbingan Teknis Kepada Badan Permusyawaratan Kampung (BAPERKAM) Tentang Penyusunan Peraturan Kampung</t>
  </si>
  <si>
    <t>19.3.3 Penyuluhan dan Bimbingan Teknis Kepada Kepala Kampung Tentang Laporan Pertanggungjawaban Kepala Kampung</t>
  </si>
  <si>
    <t>19.4 Program peningkatan peran perempuan di perdesaan</t>
  </si>
  <si>
    <t>19.4.1 Penguatan Kelompok Usaha Masyarakat Kampung</t>
  </si>
  <si>
    <t>19.5 Program peningkatan kemampuan teknologi industri</t>
  </si>
  <si>
    <t>19.5.1 Pembinaan Kemampuan Teknologi Industri Kecil di Kampung</t>
  </si>
  <si>
    <t>19.6 Program Pengembangan Perumahan</t>
  </si>
  <si>
    <t xml:space="preserve">19.6.1 Bedah Kampung  </t>
  </si>
  <si>
    <t>20.1 Pogram peningkatan pelayanan angkutan</t>
  </si>
  <si>
    <t>20.1.1 Pengadaan Perahu Viber dan Motor Tempel</t>
  </si>
  <si>
    <t>20.1.2 Pengadaan BUS Sekolah</t>
  </si>
  <si>
    <t>20.2 Program Pembangunan Sarana dan Prasarana Perhubungan</t>
  </si>
  <si>
    <t>20.2.7 Perencanaan Pembangunan Tambatan Perahu Kampung Syabes</t>
  </si>
  <si>
    <t>20.2.8 Pembangunan Kamar Mekanik Poolbus</t>
  </si>
  <si>
    <t xml:space="preserve">20.2.1 FS Pelabuhan, DED, Rab Pelabuhan Semi Beton Nanimori  </t>
  </si>
  <si>
    <t xml:space="preserve">20.2.2 FS Pelabuhan, DED, Rab Pelabuhan Semi Beton Yembekiri  </t>
  </si>
  <si>
    <t xml:space="preserve">20.2.3 Pengawasan Pembangunan Tambatan Perahu Karuan Tahap III dan Iseren Tahap III  </t>
  </si>
  <si>
    <t xml:space="preserve">20.2.4 Pembangunan Terminal Tipe C tahap II </t>
  </si>
  <si>
    <t xml:space="preserve">20.2.10 Pengadaan Perahu Viber dan Motor Tempel 4 Unit  </t>
  </si>
  <si>
    <t xml:space="preserve">20.2.9 FS Pelabuhan, DED, RAB Dermaga Rakyat Iriati  </t>
  </si>
  <si>
    <t xml:space="preserve">20.2.6 Pembangunan Tambatan Perahu  </t>
  </si>
  <si>
    <t xml:space="preserve">20.2.5 Rehab T pada Tambatan Perahu Windesi  </t>
  </si>
  <si>
    <t>21. DINAS KOMUNIKASI INFORMATIKA DAN PERSANDIAN</t>
  </si>
  <si>
    <t>21.1 Program Teknologi dan Infrastruktur</t>
  </si>
  <si>
    <t>21.1.1 Pembangunan Data Center</t>
  </si>
  <si>
    <t>22. DINAS PENANAMAN MODAL DAN PELAYANAN TERPADU SATU PINTU</t>
  </si>
  <si>
    <t>22.1 Program Peningkatan Sarana dan Prasarana Aparatur</t>
  </si>
  <si>
    <t>22.1.1 Pengadaan perlengkapan gedung kantor</t>
  </si>
  <si>
    <t>22.1.2 Pengadaan peralatan gedung kantor</t>
  </si>
  <si>
    <t>23. DINAS PARIWISATA DAN KEBUDAYAAN</t>
  </si>
  <si>
    <t>23.1 Program Pengelolaan Kekayaan Budaya</t>
  </si>
  <si>
    <t>23.1.1 Pembangunan Sanggar Budaya</t>
  </si>
  <si>
    <t>23.1.2 Pembentukan Dewan Kesenian Daerah dan Dewan Kerajinan Nasional Daerah (Dekranasda)</t>
  </si>
  <si>
    <t>23.1.3 Pengembangan kekayaan tradisional perekaman musik dan lagu</t>
  </si>
  <si>
    <t>24. DINAS PERPUSTAKAAN</t>
  </si>
  <si>
    <t>24.1 Program Pengembangan Budaya Baca dan Pembinaan Perpustakaan</t>
  </si>
  <si>
    <t>24.1.1 Penyediaan bahan pustaka perputakaan umum daerah</t>
  </si>
  <si>
    <t>24.1.3 Pembinaan dan Stimulasi Taman Bacaan</t>
  </si>
  <si>
    <t>25. DINAS PERIKANAN</t>
  </si>
  <si>
    <t>25.1 Program pengembangan budidaya perikanan</t>
  </si>
  <si>
    <t>25.1.1 Pengadaan Pakan Ikan Masyarakat Nelayan Pembudidaya Ikan</t>
  </si>
  <si>
    <t>25.1.2 Pengadaan Peralatan Perkolaman Bagi Pembudidaya Ikan</t>
  </si>
  <si>
    <t>25.1.3 Magang nelayan perikanan budidaya kerang mutiara</t>
  </si>
  <si>
    <t>25.2 Program pengembangan perikanan tangkap</t>
  </si>
  <si>
    <t>25.2.1 Operasional PPI</t>
  </si>
  <si>
    <t>25.2.2 Pengadaan Paket Peralatan Tangkap Ikan Nelayan</t>
  </si>
  <si>
    <t>25.2.4 Pengadaan Peralatan Paket Tangakap (DAU)</t>
  </si>
  <si>
    <t>25.2.5 Pendampingan Kelompok Nelayan dan Pemanfaatan Kapal Mini PURSEINE</t>
  </si>
  <si>
    <t xml:space="preserve">25.2.3 Pengadaan Sarana dan Prasarana Pemberdayaan Usaha Skala Kecil untuk Masyarakat Kelautan dan Perikanan  </t>
  </si>
  <si>
    <t>25.3 Program pengembangan sistem penyuluhan perikanan</t>
  </si>
  <si>
    <t>25.3.1 Sertifikasi Kompetensi Kepada Nelayan Pembudidaya dan Pengolahan Hasil Perikanan</t>
  </si>
  <si>
    <t>26.1 Program pengembangan pemasaran pariwisata</t>
  </si>
  <si>
    <t>26.1.1 Peningkatan Pemanfaatan Teknologi Informasi Dalam Pemasaran Pariwisata</t>
  </si>
  <si>
    <r>
      <t>26. DINAS PARIWISATA DAN KEBUDAYAAN</t>
    </r>
    <r>
      <rPr>
        <b/>
        <sz val="11"/>
        <color rgb="FFFF0000"/>
        <rFont val="Calibri"/>
        <family val="2"/>
        <scheme val="minor"/>
      </rPr>
      <t xml:space="preserve">  </t>
    </r>
  </si>
  <si>
    <t>26.2 Program pengembangan destinasi pariwisata</t>
  </si>
  <si>
    <t>26.2.1 Pengembangan daerah tujuan wisata</t>
  </si>
  <si>
    <t>26.2.2 Pembangunan Home Stay</t>
  </si>
  <si>
    <t>26.2.3 Penyusunan rencana pengembangan obyek wisata pantai rowor</t>
  </si>
  <si>
    <t>26.2.4 Pembangunan Menara Pandang Wisata Alam dan Bahari</t>
  </si>
  <si>
    <t>26.3 Program pengembangan Kemitraan</t>
  </si>
  <si>
    <t>26.3.1 Penyusunan DED Situs Aitumieri</t>
  </si>
  <si>
    <t>26.3.2 Pengembangan SDM Diving</t>
  </si>
  <si>
    <t>26.3.3 Pengembangan SDM Guide dan Bahasa Inggris</t>
  </si>
  <si>
    <t>26.3.4 Pengembangan SDM Pengrajin Souvenir</t>
  </si>
  <si>
    <t>27. DINAS PERTANIAN DAN PANGAN</t>
  </si>
  <si>
    <t>27.1 Program Peningkatan Kesejahteraan Petani</t>
  </si>
  <si>
    <t>27.1.1 Pelatihan petani dan pelaku agribisnis</t>
  </si>
  <si>
    <t>27.1.2 Peningkatan kemampuan lembaga petani</t>
  </si>
  <si>
    <t>27.2 Program Peningkatan Ketahanan Pangan (pertanian/Perkebunan)</t>
  </si>
  <si>
    <t>27.2.1 Pemanfaatan pekarangan untuk pengembangan pangan</t>
  </si>
  <si>
    <t>27.2.2 Penanganan pasca panen dan pengolahan hasil pertanian</t>
  </si>
  <si>
    <t>27.2.3 Pengembangan pertanian pada lahan kering</t>
  </si>
  <si>
    <t>27.2.4 Pengembangan lumbung pangan desa</t>
  </si>
  <si>
    <t>27.2.5 Peningkatan produksi, produktivitas dab mutu produk perkebunan, produk pertanian</t>
  </si>
  <si>
    <t>27.2.6 Penyediaan Sarana Produksi Pertanian</t>
  </si>
  <si>
    <t>27.2.7 Perlindungan Tanaman Hortikultura</t>
  </si>
  <si>
    <t>27.2.8 Pelatihan dan Bimbingan Penanganan Panen dan Pasca Panen Hortikultura</t>
  </si>
  <si>
    <t>27.3 Program peningkatan penerapan teknologi pertanian/perkebunan</t>
  </si>
  <si>
    <t>27.3.1 Pengadaan sarana dan prasarana teknologi pertanian/perkebunan tepat guna</t>
  </si>
  <si>
    <t>27.3.2 Pelatihan dan bimbingan pengoperasian teknologi pertanian/perkebunan tepat guna</t>
  </si>
  <si>
    <t>27.3.3 Pelatihan penerapan teknologi pertanian/perkebunan modern bercocok tanam</t>
  </si>
  <si>
    <t>27.4 Program peningkatan produksi pertanian/perkebunan</t>
  </si>
  <si>
    <t>27.4.1 Pengembangan bibit unggul pertanian/perkebunan</t>
  </si>
  <si>
    <t>27.4.2 Penyediaan bibit unggul Buah-buahan</t>
  </si>
  <si>
    <t>27.4.3 Pelatihan Perlindungan Tanaman Pangan</t>
  </si>
  <si>
    <t>27.4.4 Penyediaan Sarana Produksi Pertanian/Perkebunan</t>
  </si>
  <si>
    <t>27.4.5 Pelatihan Teknis Pengendalian OPT</t>
  </si>
  <si>
    <t>27.4.6 Pemberdayaan Penangkar Benih</t>
  </si>
  <si>
    <t>27.5 Program pemberdayaan penyuluh pertanian/perkebunan lapangan</t>
  </si>
  <si>
    <t>27.5.1 Diklat Dasar Penyuluh Pertanian</t>
  </si>
  <si>
    <t>27.6 Program pencegahan dan penanggulangan penyakit ternak</t>
  </si>
  <si>
    <t>27.6.1 Pemeliharaan kesehatan dan pencegahan penyakit menular ternak</t>
  </si>
  <si>
    <t>27.7 Program peningkatan produksi hasil peternakan</t>
  </si>
  <si>
    <t>27.7.1 Pengadaan Ternak dan Pembuatan Kandang Jepit</t>
  </si>
  <si>
    <t>27.7.2 Pelatihan dan Bimbingan Manajemen Pakan Ternak</t>
  </si>
  <si>
    <t>27.8 Program Peningkatan Sarana dan Prasarana Pertanian</t>
  </si>
  <si>
    <t>27.8.1 Pengelolaan Lahan Pertanian</t>
  </si>
  <si>
    <t>28. DINAS PERINDUSTRIAN PERDAGANGAN KOPERASI DAN USAHA KECIL DAN MENENGAH</t>
  </si>
  <si>
    <t>28.1 Program Peningkatan Sarana dan Prasarana Aparatur</t>
  </si>
  <si>
    <t>28.1.1 pengadaan Kendaraan dinas/operasional</t>
  </si>
  <si>
    <t>28.1.2 Pembangunan Kios</t>
  </si>
  <si>
    <t>28.2 Program perlindungan konsumen dan pengamanan perdagangan</t>
  </si>
  <si>
    <t>28.2.1 Pengamanan Terpadu Pasar Iriati dan Lokasi Bekas Pasar Soyar</t>
  </si>
  <si>
    <t>28.3 Program peningkatan efisiensi perdagangan dalam negeri</t>
  </si>
  <si>
    <t>28.3.1 Penyelenggaraan Pasar Murah menjelang hari raya keagamaan</t>
  </si>
  <si>
    <t>28.4 Program pembinaan pedagang kakilima dan asongan</t>
  </si>
  <si>
    <t>28.4.1 Kegiatan fasilitasi modal usaha bagi  pedagang kakilima dan asongan</t>
  </si>
  <si>
    <t>28.5 Program pembinaan dan pengembangan bidang ketenagalistrikan</t>
  </si>
  <si>
    <t>28.5.1 Pengadaan Pemasangan Jaringan Listrik</t>
  </si>
  <si>
    <t>28.6 Program pengembangan industri kecil dan menengah</t>
  </si>
  <si>
    <t>28.6.1 Pelatihan pengelolaan minyak kayu masoy</t>
  </si>
  <si>
    <t>28.6.2 Pendataan Industri Kecil Meneggah</t>
  </si>
  <si>
    <t>29. DINAS TRANSMIGRASI</t>
  </si>
  <si>
    <t>33.1 Program Pelayanan Administrasi Perkantoran</t>
  </si>
  <si>
    <t>29.1 Program Peningkatan Kualitas dan Produktivitas Tenaga Kerja</t>
  </si>
  <si>
    <t>29.1.1 Peningkatan keterampilan tenaga kerja</t>
  </si>
  <si>
    <t>29.1.2 Sosialisasi AK. I ketenagakerjaan</t>
  </si>
  <si>
    <t>29.2 Program Pengembangan Kawasan Transmigrasi (PKT)</t>
  </si>
  <si>
    <t>29.2.1 Pengadaan Bibit Tanaman dan Pupuk</t>
  </si>
  <si>
    <t>29.2.2 Pelatihan ketrampilan pengelolaan bahan pangan lokal</t>
  </si>
  <si>
    <t>29.2.3 Pembinaan ekonomi masyarakat melalui koperasi</t>
  </si>
  <si>
    <t>29.2.4 Pelatihan pemanfaatan lahan pekarangan</t>
  </si>
  <si>
    <t>30. SEKRETARIAT DAERAH BAGIAN UMUM DAN PERLENGKAPAN</t>
  </si>
  <si>
    <t>30.1 Program Penataan Kelembagaan, Ketatalaksanaan dan Pemberdayaan Aparatur</t>
  </si>
  <si>
    <t>30.1.1 Pemberian Bantuan kepada Masyarakat saat Kunjungan Kerja KDH</t>
  </si>
  <si>
    <t>31 SEKRETARIAT DAERAH BAGIAN KESEJAHTERAAN RAKYAT</t>
  </si>
  <si>
    <t>31.1 Program Manajemen Pelayanan Pendidikan</t>
  </si>
  <si>
    <t>31.1.1 Fasilitasi Pelayanan Pendidikan Tinggi</t>
  </si>
  <si>
    <t>31.2 Program Pembinaan dan Pemberdayaan Kegiatan Keagamaan</t>
  </si>
  <si>
    <t>31.2.1 Perayaan Natal Bersama PEMDA dan Masyarakat</t>
  </si>
  <si>
    <t>31.2.2 Penyediaan Sarana Penunjang Keagamaan</t>
  </si>
  <si>
    <t>32. SEKRETARIAT DAERAH (KEPALA DAERAH)</t>
  </si>
  <si>
    <t>32.1 Program Pelayanan Administrasi Perkantoran</t>
  </si>
  <si>
    <t>32.1.1 Open House Bupati (KDH)</t>
  </si>
  <si>
    <t>33. SEKRETARIAT DAERAH (WAKIL KEPALA DAERAH)</t>
  </si>
  <si>
    <t>33.1.1 Open House Wakil Bupati</t>
  </si>
  <si>
    <t>34. SEKRETARIAT DPRD</t>
  </si>
  <si>
    <t>35.1 Program Peningkatan Sarana dan Prasarana Aparatur</t>
  </si>
  <si>
    <t>34.1 Program Peningkatan Sarana dan Prasarana Aparatur</t>
  </si>
  <si>
    <t>34.1.1 Pengadaan perlengkapan gedung kantor</t>
  </si>
  <si>
    <t>34.1.2 Rehab Ruang Anggota DPRD</t>
  </si>
  <si>
    <t>35. BADAN PENANGGULANGAN BENCANA DAERAH</t>
  </si>
  <si>
    <t>35.1.1 Pembangunan Gudang dan Garasi</t>
  </si>
  <si>
    <t>35.2 Program Rehabilitasi dan Rekonstruksi</t>
  </si>
  <si>
    <t>35.2.1 Pembangunan Talud Pengaman Tebing</t>
  </si>
  <si>
    <t>35.3 Program Pencegahan dan Kesiapsiagaan Bencana</t>
  </si>
  <si>
    <t>35.3.1 Pemasangan Jalur Evakuasi</t>
  </si>
  <si>
    <t>36. BADAN KEUANGAN DAN ASET DAERAH (PPKD)</t>
  </si>
  <si>
    <t>24.1.2 layanan perpustakaan keliling</t>
  </si>
  <si>
    <t>36.1  Belanja Hibah Pendidikan</t>
  </si>
  <si>
    <t>36.2  Belanja Bantuan Sosial Pendidikan</t>
  </si>
  <si>
    <t xml:space="preserve">19. DINAS PENDAPATAN, PENGELOLAAN KEUANGAN DAN ASET DAERAH selaku PPKD </t>
  </si>
  <si>
    <t>1.3 Program Pendidikan Menengah</t>
  </si>
  <si>
    <t>1.3.1 Pengadan pakaian seragam sekolah SMA/SMK</t>
  </si>
  <si>
    <t>1.3.2 Pengembangan alternatif layanan pendidikan menengah untuk daerah-daerah perdesaan, terpencil dan kepulauan</t>
  </si>
  <si>
    <t>1.3.3 Penyelenggaraan Seleksi Lomba Olimpiade Sains SMA/SMK</t>
  </si>
  <si>
    <t>1.3.4 Pelatihan Kompetensi Siswa Berprestasi</t>
  </si>
  <si>
    <t>1.3.5 Pendampingan Bantuan Operasional Manajemen Mutu (BOMM)</t>
  </si>
  <si>
    <t>1.4 Program Pendidikan Non Formal</t>
  </si>
  <si>
    <t>1.4.1 Pengembangan pendidikan keaksaraan dasar dan keaksaraan usaha mandiri</t>
  </si>
  <si>
    <t>1.4.2 Pengembangan pendidikan kecakapan hidup</t>
  </si>
  <si>
    <t>1.5 Program Peningkatan Mutu Pendidik dan Tenaga Kependidikan</t>
  </si>
  <si>
    <t>1.5.1 Pendidikan lanjutan bagi pendidik untuk memenuhi standar kualifikasi</t>
  </si>
  <si>
    <t>1.5.2 Pelaksanaan Olimpiade Guru</t>
  </si>
  <si>
    <t>1.6 Program Manajemen Pelayanan Pendidikan</t>
  </si>
  <si>
    <t>1.6.1 Peningkatan Kapasitas Pengelola Pendidikan di Tingkat Kabupaten/Kota</t>
  </si>
  <si>
    <t>1.6.2 Pengembangan Data Center Pendidikan</t>
  </si>
  <si>
    <t>1.7 Program Afirmasi Pendidikan Bagi Putra/putri asli Papua dan papua barat</t>
  </si>
  <si>
    <t>1.7.2 Yohanes Surya Institute</t>
  </si>
  <si>
    <t>1.7.3 Afirmasi Pendidikan bagi putra /putri asli Papua dan Papua Barat Khusus bidang-bidang tertentu</t>
  </si>
  <si>
    <t xml:space="preserve">1.7.1 Afirmasi pendidikan bagi putra/putri asli papua dan papua barat </t>
  </si>
  <si>
    <t>1.8 Program Pembinaan dan Pemasyarakatan Olahraga</t>
  </si>
  <si>
    <t>1.8.1 Penyelenggaraan Kompetisi Olahraga Se- Kabupaten Teluk Wondama</t>
  </si>
  <si>
    <t>1.8.2 Penyelenggaraan Kompetisi Olahraga Liga Pelajar Indonesia (LPI)</t>
  </si>
  <si>
    <t>1.8.3 Penyelenggaraan Lomba O2SN</t>
  </si>
  <si>
    <t>1.8.4 Kejuaraan Pelajar</t>
  </si>
  <si>
    <t>1.8.5 Popnas</t>
  </si>
  <si>
    <t>1.8.6 Pekan PPLP</t>
  </si>
  <si>
    <t>1.8.7 Pembinaan Atlit</t>
  </si>
  <si>
    <t>1.8.8 Kejuaraan Popwil Tingkat Pelajar</t>
  </si>
  <si>
    <t>1.8.9 Penyelenggaraan Kompetisi Olahraga Pra Liga Pelajar Indonesia</t>
  </si>
  <si>
    <t>1.8.10 Lomba Kreasi dan Karya Tulis di Kalangan Pemuda</t>
  </si>
  <si>
    <t>1.8.11 Seleksi dan Pemilihan Paskibra</t>
  </si>
  <si>
    <t>1.8.12 Seleksi dan Pemilihan Pemuda/Pelopor Jambore Nasional</t>
  </si>
  <si>
    <t xml:space="preserve">2.1.1 Penyediaan jasa pendukung teknis dan administrasi perkantoran  </t>
  </si>
  <si>
    <t>2.2.1 Peningkatan kesehatan masyarakat</t>
  </si>
  <si>
    <t>2.2.2 Manajemen Puskesmas</t>
  </si>
  <si>
    <t>2.2.3 Pelatihan CTU</t>
  </si>
  <si>
    <t>2.2.4 Penyediaan biaya operasional dan pemeliharaan puskesmas Terapung</t>
  </si>
  <si>
    <t>2.2.6 Pelatihan APN</t>
  </si>
  <si>
    <t>2.2.8 Ujian sertifikat kompetensi</t>
  </si>
  <si>
    <t xml:space="preserve">2.2.7 Biaya pendidikan program percepatan pendidikan tenaga kesehatan </t>
  </si>
  <si>
    <t>2.2.5 Basic Trauma Life Support (BTLS)</t>
  </si>
  <si>
    <t>2.3 Program Pengawasan Obat dan Makanan</t>
  </si>
  <si>
    <t>2.3.1 Peningkatan pemberdayaan konsumen/masyarakat di bidang obat dan makanan</t>
  </si>
  <si>
    <t>2.4.3 Sarana Penunjang Promosi Kesehatan</t>
  </si>
  <si>
    <t>2.5.1 Penyusunan peta informasi masyarakat kurang gizi</t>
  </si>
  <si>
    <t>2.5.2 Pemberian tambahan makanan dan vitamin</t>
  </si>
  <si>
    <t>2.5.3 Penanggulangan Kurang Energi Protein (KEP), Anemia Gizi Besi, Gangguan Akibat kurang Yodium (GAKY), Kurang Vitamin A, dan Kekurangan Zat Gizi Mikro Lainnya</t>
  </si>
  <si>
    <t>2.5.4 Pemberdayaan masyarakat untuk pencapaian keluarga sadar gizi</t>
  </si>
  <si>
    <t>2.6 Program Pencegahan dan Pemberantasan Penyakit Tidak Menular</t>
  </si>
  <si>
    <t>2.6.1 Penyemprotan /Fogging Sarang Nyamuk</t>
  </si>
  <si>
    <t>2.6.2 Pencegahan Penyakit Tidak Menular (PTM)</t>
  </si>
  <si>
    <t>2.6.3 Penanggulangan Krisis Kesehatan</t>
  </si>
  <si>
    <t>2.6.4 Kesehatan Jiwa</t>
  </si>
  <si>
    <t>2.7 Program Pengadaan, Peningkatan dan Perbaikan Sarana dan Prasarana Rumah Dokter dan Tenaga Medis</t>
  </si>
  <si>
    <t>2.7.1 Pembangunan Rumah Medis dan Paramedis</t>
  </si>
  <si>
    <t>2.8 Program Pencegahan dan Penanggulangan Penyakit Menular</t>
  </si>
  <si>
    <t>2.8.1 Pelayanan vaksinasi bagi balita dan anak sekolah</t>
  </si>
  <si>
    <t>2.8.2 Peningkatan imuniasasi</t>
  </si>
  <si>
    <t>2.8.3 Peningkatan survellance Epidemiologi dan penanggulangan wabah</t>
  </si>
  <si>
    <t>2.8.4 Pemberantasan Filariasis</t>
  </si>
  <si>
    <t>2.8.5 Pemberantasan penyakit kusta</t>
  </si>
  <si>
    <t>2.8.6 Pemberantasan Penyakit TBC</t>
  </si>
  <si>
    <t>2.8.7 Pemberantasan Malaria</t>
  </si>
  <si>
    <t>2.8.8 Surveilans Terpadu</t>
  </si>
  <si>
    <t>2.9 Program pengadaan, peningkatan dan perbaikan sarana dan prasarana puskesmas/ puskemas pembantu dan jaringannya</t>
  </si>
  <si>
    <t xml:space="preserve">2.9.1 Pengadaan Meubelair Puskesmas  </t>
  </si>
  <si>
    <t>2.10 Program peningkatan pelayanan kesehatan anak balita</t>
  </si>
  <si>
    <t>2.10.1 Penyuluhan kesehatan anak balita</t>
  </si>
  <si>
    <t>2.11 Program peningkatan keselamatan ibu melahirkan dan anak</t>
  </si>
  <si>
    <t>2.11.1 Penyuluhan kesehatan bagi ibu hamil dari keluarga kurang mampu</t>
  </si>
  <si>
    <t>2.11.2 Perawatan secara berkala bagi ibu hamil bagi keluarga kurang mampu</t>
  </si>
  <si>
    <t>2.11.3 Pemeriksaan IFA</t>
  </si>
  <si>
    <t>2.11.4 Penyediaan Buku Kesahatan Ibu dan anak dan Stiker Ibu Hamil</t>
  </si>
  <si>
    <t>2.11.5 Evaluasi Program Ibu</t>
  </si>
  <si>
    <t>3.1 Program Upaya Kesehatan Masyarakat</t>
  </si>
  <si>
    <t>3.1.1 Penyediaan Biaya Operasional  dan pemeliharaan Puskesmas Yembekiri</t>
  </si>
  <si>
    <t>3.  PUSKESMAS YEMBEKIRI</t>
  </si>
  <si>
    <t>4.  PUSKESMAS AISANDAMI</t>
  </si>
  <si>
    <t>4.1.1 Penyediaan Biaya Operasional  dan pemeliharaan Puskesmas Aisandami</t>
  </si>
  <si>
    <t>5 PUSKESMAS WONDIBOI</t>
  </si>
  <si>
    <t>5.1.1Penyediaan Biaya Operasional  dan pemeliharaan Puskesmas Wondiboy</t>
  </si>
  <si>
    <t>6.1.1 Penyediaan Biaya Operasional  dan pemeliharaan Puskesmas Sabubar</t>
  </si>
  <si>
    <t>7.1.1 Penyediaan Biaya Operasional  dan pemeliharaan Puskesmas Windesi</t>
  </si>
  <si>
    <t>8.1.1 Penyediaan Biaya Operasional  dan pemeliharaan Puskesmas Wasior</t>
  </si>
  <si>
    <t>9.1.1 Penyediaan Biaya Operasional  dan pemeliharaan Puskesmas Werabur</t>
  </si>
  <si>
    <t>10.1.1 Penyediaan Biaya Operasional  dan pemeliharaan Puskesmas Naikere</t>
  </si>
  <si>
    <t>11.1.1 Penyediaan Bantuan Operasional dan pemeliharaan Puskesmas Sobey</t>
  </si>
  <si>
    <t>12.1.1 Penyediaan Biaya Operasional  dan pemeliharaan Puskesmas Roswar</t>
  </si>
  <si>
    <t>13.1.1 Penyediaan Biaya Operasional  dan pemeliharaan Puskesmas Niap</t>
  </si>
  <si>
    <t>14.1 Program Upaya Kesehatan Masyarakat</t>
  </si>
  <si>
    <t>14.1.1 Penyediaan Biaya Operasional  dan pemeliharaan Puskesmas Sough Wepu</t>
  </si>
  <si>
    <t>15.1 Program Upaya Kesehatan Masyarakat</t>
  </si>
  <si>
    <t>15.1.1 Penyediaan Biaya Operasional  dan pemeliharaan Puskesmas Kuri Wamesa</t>
  </si>
  <si>
    <t>6.  PUSKESMAS SABUBAR</t>
  </si>
  <si>
    <t>11.  PUSKESMAS SOBEY</t>
  </si>
  <si>
    <t>10.  PUSKESMAS NAIKERE</t>
  </si>
  <si>
    <t>9.  PUSKESMAS WERABUR</t>
  </si>
  <si>
    <t>8.  PUSKESMAS WASIOR</t>
  </si>
  <si>
    <t>7.  PUSKESMAS WINDESI</t>
  </si>
  <si>
    <t>12.  PUSKESMAS ROSWAR</t>
  </si>
  <si>
    <t>13.  PUSKESMAS NIAP</t>
  </si>
  <si>
    <t>14.  PUSKESMAS SOUGH WEPU</t>
  </si>
  <si>
    <t>16.  RUMAH SAKIT UMUM DAERAH</t>
  </si>
  <si>
    <t>16.1 Program Obat dan Perbekalan Kesehatan</t>
  </si>
  <si>
    <t>16.1.1 Pengadaan obat-obatan rumah sakit</t>
  </si>
  <si>
    <t>16.2 Program pengadaan, peningkatan sarana dan prasarana rumah sakit/ rumah sakit jiwa/  rumah sakit paru-paru/  rumah sakit mata (DAK)</t>
  </si>
  <si>
    <t xml:space="preserve">16.2.1 Pengadaan alat-alat kesehatan Rumah Sakit </t>
  </si>
  <si>
    <t>17.  DINAS PEKERJAAN UMUM PENATAAN RUANG PERUMAHAN RAKYAT DAN KAWASAN PERMUKIMAN</t>
  </si>
  <si>
    <t>17.1 Program pembangunan jalan dan jembatan</t>
  </si>
  <si>
    <t>17.1.1 Pembangunan Jembatan kali Maria Pare kampung Isui</t>
  </si>
  <si>
    <t>17.1.2 Pembangunan Rabat Jalan Masuk Huntap Isui</t>
  </si>
  <si>
    <t>17.1.3 Perencanaan Pembangunan Jembatan kali Maria Pare kampung Isui</t>
  </si>
  <si>
    <t>17.1.4 Pengawasan Pembangunan Jembatan kali Maria Pare kampung Isui</t>
  </si>
  <si>
    <t>17.1.5 Perencanaan Pembangunan Rabat Jalan Masuk Huntap Isui</t>
  </si>
  <si>
    <t>17.1.6 Pengawasan Pembangunan Rabat Jalan Masuk Huntap Isui</t>
  </si>
  <si>
    <t>17.2 Program pembangunan turap/talud/bronjong</t>
  </si>
  <si>
    <t>17.2.1 Pembangunan Talud Pantai Kampung Yomakan</t>
  </si>
  <si>
    <t>17.2.2 Perencanaan Pembangunan Talud Pantai Kampung Yomakan</t>
  </si>
  <si>
    <t>17.2.3 Pengawasan Pembangunan Talud Pantai Kampung Yomakan</t>
  </si>
  <si>
    <t>17.3 Program Pengembangan Perumahan</t>
  </si>
  <si>
    <t>17.3.1 Pembangunan rumah sehat sederhana tipe 36</t>
  </si>
  <si>
    <t>18. BADAN KESATUAN BANGSA, POLITIK DAN LINMAS</t>
  </si>
  <si>
    <t>18.1 Program kemitraan pengembangan wawasan kebangsaan</t>
  </si>
  <si>
    <t>18.1.1 Fasilitasi Lembaga Adat</t>
  </si>
  <si>
    <t>19.1 Program Pemberdayaan Fakir Miskin, Komunitas Adat Terpencil (KAT) dan Penyandang Masalah Kesejahteraan Sosial (PMKS) Lainnya</t>
  </si>
  <si>
    <t>19.1.1 Pemetaan,Penjajakan Awal ,Study Kelayakan dan Seminar daerah</t>
  </si>
  <si>
    <t>19.1.2 Bantuan peralatan sekolah bagi siswa siswi komunitas adat terpencil (KAT)</t>
  </si>
  <si>
    <t xml:space="preserve">19.1.3 Fasilitasi penyaluran bantuan sosial pangan </t>
  </si>
  <si>
    <t>19.2 Program Pelayanan dan Rehabilitasi Kesejahteraan Sosial</t>
  </si>
  <si>
    <t>19.2.1 Bantuan Bahan Bangunan Rumah untuk masyarakat kurang mampu</t>
  </si>
  <si>
    <t>19.2.2 Pemberian Sembako Bagi Masyarakat Tidak Mampu</t>
  </si>
  <si>
    <t>19.2.3 Buffer Stock/Bahan Pangan Penyangga/Cadangan</t>
  </si>
  <si>
    <t xml:space="preserve">19.2.4 Sosialisasi dan kampanye dampak negatif narkoba, miras dan HIV AIDS  </t>
  </si>
  <si>
    <t>19.3 Program pembinaan para penyandang cacat dan trauma</t>
  </si>
  <si>
    <t>19.3.1 Pendidikan dan pelatihan bagi penyandang cacat dan eks trauma</t>
  </si>
  <si>
    <t>19.3.2 Pembangunan rumah usaha bagi penyandang disabilitas dan anak yatim (PMKS)</t>
  </si>
  <si>
    <t>19.4 Program Pengembangan Perumahan</t>
  </si>
  <si>
    <t>19.4.1 Pembangunan Rumah Bagi Janda/Duda/Lansia/Jompo/fakir miskin dan anak terlantar</t>
  </si>
  <si>
    <t>20. DINAS PEMBERDAYAAN PEREMPUAN PERLINDUNGAN ANAK PENGENDALIAN PENDUDUK DAN KELUARGA BERENCANA</t>
  </si>
  <si>
    <t xml:space="preserve">19.  DINAS SOSIAL  </t>
  </si>
  <si>
    <t>20.1 Program Peningkatan Kualitas Hidup dan Perlindungan Perempuan</t>
  </si>
  <si>
    <t>20.1.1 Pelatihan dan Penyegaran Kader P2TP2A ttg Pencatatan dan Pelaporan Data Kekerasan Terhadap Perempuan dan Anak di 13 Distrik</t>
  </si>
  <si>
    <t>20.2 Program peningkatan peran serta dan kesetaraan jender dalam pembangunan</t>
  </si>
  <si>
    <t>20.2.1 Kegiatan Pelatihan Peningkatan Akses dan Partisipasi Perempuan Dalam Pembangunan Ekonomi</t>
  </si>
  <si>
    <t>20.2.2 Kegiatan Pendampingan dan Monitoring Kelompok Binaan (Binaan DP3AP2KB)</t>
  </si>
  <si>
    <t>20.2.3 Kegiatan Pelatihan Dan Pendampingan Kelompok Untuk Pembuatan Aneka Makanan Berbahan Pangan Lokal</t>
  </si>
  <si>
    <t>20.2.4 Kegiatan Pelatihan managemen Usaha Bagi Kelompok</t>
  </si>
  <si>
    <t>20.3 Program penguatan kelembagaan pengarusutamaan gender dan anak</t>
  </si>
  <si>
    <t>20.3.1 Fasilitasi Penyusunan Data Pusat Layanan Terpadu (P2TP2A) Pemberdayaan Perempuan dan Anak</t>
  </si>
  <si>
    <t>20.3.2 Fasilitasi Forum Anak Daerah</t>
  </si>
  <si>
    <t>20.3.3 Parade Anak Nusantara</t>
  </si>
  <si>
    <t>20.3.4 Pengumpulan dan Pengolahan Data Gender dan Anak</t>
  </si>
  <si>
    <t>20.3.5 Kegiatan Advokasi, Fasilitasi Dan Evaluasi Pokja PUG</t>
  </si>
  <si>
    <t>20.3.6 Penyusunan Profil Perlindungan Perempuan Lansia, Tenaga Kerja Perempuan, Anak Putus Sekolah dan KDRT</t>
  </si>
  <si>
    <t>20.4 Program Promosi Kesehatan Ibu, Bayi dan Anak Melalui Kelompok Kegiatan Masyarakat</t>
  </si>
  <si>
    <t>20.4.1 Pemberian Makanan Bagi Lansia</t>
  </si>
  <si>
    <t>21.  DINAS KEPENDUDUKAN DAN CATATAN SIPIL</t>
  </si>
  <si>
    <t>21.1 Program Penataan Administrasi Kependudukan</t>
  </si>
  <si>
    <t>21.1.1 Pelaksanaan Nikah Massal</t>
  </si>
  <si>
    <t>21.1.2 Verifikasi data OAP dan penyusunan laporan OAP</t>
  </si>
  <si>
    <t>21.1.3 Penyusunan Administrasi data kearsipan dan inovasi OAP</t>
  </si>
  <si>
    <t>22. DINAS PEMBERDAYAAN MASYARAKAT DAN KAMPUNG</t>
  </si>
  <si>
    <t>22.1 Program Peningkatan Keberdayaan Masyarakat Perdesaan</t>
  </si>
  <si>
    <t>22.1.1 Pembentukan Kampung adat dan pemekaran kampung</t>
  </si>
  <si>
    <t>22.2 Program pengembangan lembaga ekonomi pedesaan</t>
  </si>
  <si>
    <t>22.2.2 Pendampingan dan Peningkatan Kapasitas Usaha Ekonomi Produktif di Desa</t>
  </si>
  <si>
    <t xml:space="preserve">22.2.1 Pendampingan, Peningkatan Kapasitas Manajemen dan Pembentukan Badan Usaha Milik Desa (BUMDES) di setiap Kampung  </t>
  </si>
  <si>
    <t>22.3 Program peningkatan peran perempuan di perdesaan</t>
  </si>
  <si>
    <t>22.3.1 Penguatan kelompok usaha kelompok ibu-ibu di kampung</t>
  </si>
  <si>
    <t>22.4 Program peningkatan kemampuan teknologi industri</t>
  </si>
  <si>
    <t>22.4.1 Fasilitasi Bagi Industri Kecil dan Menengah Terhadap Pemanfaatan TTG dan SDA</t>
  </si>
  <si>
    <t>22.4.2 Pembinaan kemampuan teknologi bagi industri kecil dan menengah</t>
  </si>
  <si>
    <t>23.  DINAS PERHUBUNGAN</t>
  </si>
  <si>
    <t>23.1 Program Pembangunan Prasarana dan Fasilitas Perhubungan</t>
  </si>
  <si>
    <t>23.1.1 Pembangunan Tambatan Perahu di Kampung Menarbu</t>
  </si>
  <si>
    <t>23.1.2 Pembangunan Terminal C Tahap III</t>
  </si>
  <si>
    <t>23.2 Pogram peningkatan pelayanan angkutan</t>
  </si>
  <si>
    <t xml:space="preserve">23.1.3 Peningkatan Fasilitas Areal Pelabuhan  </t>
  </si>
  <si>
    <t xml:space="preserve">23.1.4 Pembngunan Kamar Mekanik Pool Bus  </t>
  </si>
  <si>
    <t xml:space="preserve">23.2.1 Peningkatan Pelayanan Angkutan Darat  </t>
  </si>
  <si>
    <t xml:space="preserve">23.2.2 Peningkatan Pelayanan Kapal Pelra  </t>
  </si>
  <si>
    <t xml:space="preserve">23.2.3 Penataan halaman depan Halte Bus  </t>
  </si>
  <si>
    <t>24. DINAS PARIWISATA DAN KEBUDAYAAN</t>
  </si>
  <si>
    <t>24.1 Program Pengelolaan Kekayaan Budaya</t>
  </si>
  <si>
    <t>24.1.1 Pengelolaan dan pengembangan pelestarian peninggalan sejarah purbakala, museum dan peninggalan bawah air</t>
  </si>
  <si>
    <t>24.1.2 Pengawasan, Monitoring, evaluasi dan pelaporan pelaksanaan program pengelolaan kekayaan budaya</t>
  </si>
  <si>
    <t>24.2 Program Pengembangan Nilai Budaya</t>
  </si>
  <si>
    <t>24.2.1 Keikutsertaan Kab. Teluk Wondama pada Festival Budaya Propinsi Papua Barat dan HUT Propinsi Papua Barat</t>
  </si>
  <si>
    <t>24.2.2 Penyelenggaraan Festival Budaya Daerah Kab. Teluk Wondama</t>
  </si>
  <si>
    <t>24.3 Program Pengembangan Kemitraan Budaya</t>
  </si>
  <si>
    <t>24.3.1 Pengembangan Obyek Pariwisata Unggulan/Penysunan DED Kali Panas Roswar</t>
  </si>
  <si>
    <t>24.3.2 Pelatihan SDM pengelolaan Ekowisata berbasis Masyarakat</t>
  </si>
  <si>
    <t>24.4 Program Pengembangan Destinasi Pariwisata</t>
  </si>
  <si>
    <t>24.4.1 Pengembangan Obyek Pariwisata Unggulan/Pembuatan Master Plan Kali Panas waprak</t>
  </si>
  <si>
    <t>25.  DINAS PERPUSTAKAAN</t>
  </si>
  <si>
    <t>25.1 Program Pengembangan Budaya Baca dan Pembinaan Perpustakaan</t>
  </si>
  <si>
    <t>25.1.1 Stimulasi dan Pembinaan Taman  Baca</t>
  </si>
  <si>
    <t>26. DINAS PERIKANAN</t>
  </si>
  <si>
    <t>26.1 Program pemberdayaan ekonomi masyarakat pesisir</t>
  </si>
  <si>
    <t>26.1.1 Pelatihan pengolahan hasil rumput laut</t>
  </si>
  <si>
    <t>26.1.2 Pengadaan Freezer pembuat es batu (30 buah)</t>
  </si>
  <si>
    <t>26.1.3 Pengadaan Collbox 600 Liter ( 30 Buah)</t>
  </si>
  <si>
    <t>26.2 Program pengembangan budidaya perikanan</t>
  </si>
  <si>
    <t>26.2.1 Pelatihan budidaya ikan air tawar</t>
  </si>
  <si>
    <t>26.2.2 Pengadaan Pakan Ikan Masyarakat Nelayan Pembudidaya Ikan</t>
  </si>
  <si>
    <t>26.3 Program pengembangan sistem penyuluhan perikanan</t>
  </si>
  <si>
    <t>26.3.1 Pembinaan/Pendampingan Kelompok Nelayan, pembudidaya ikan dan pengolah hasil perikanan</t>
  </si>
  <si>
    <t>26.3.2 Penyusunan Profil Kelembagaan Kelompok Nelayan, Pembudidaya Ikan dan Pengolah Hasil Perikanan</t>
  </si>
  <si>
    <t>26.4 Program Optimalisasi pengelolaan dan pemasaran produksi perikanan</t>
  </si>
  <si>
    <t>26.4.1 Akses Pasar Dan Promosi Hasil Perikanan</t>
  </si>
  <si>
    <t>27.  DINAS PARIWISATA DAN KEBUDAYAAN</t>
  </si>
  <si>
    <t>27.1 Program Pengelolaan Keragaman Budaya</t>
  </si>
  <si>
    <t>27.1.1 Penyelenggaraan dialog kebudayaan</t>
  </si>
  <si>
    <t>27.1.2 Pembangunan Gedung Sanggar Budaya</t>
  </si>
  <si>
    <t>28.1.1 Magang Petani</t>
  </si>
  <si>
    <t>28.1.2 Pengembangan model distribusi pangan yang efisien</t>
  </si>
  <si>
    <t>28.1.3 Penanganan panen dan pasca panen komoditi holtikultura</t>
  </si>
  <si>
    <t>28.2 Program peningkatan produksi pertanian/perkebunan</t>
  </si>
  <si>
    <t>28.2.1 Pelatihan Teknis Pengendalian OPT</t>
  </si>
  <si>
    <t>28.2.2 Pengembangan Intensifikasi Tanaman Pala Wija</t>
  </si>
  <si>
    <t>28.2.3 Pengembangan bibit unggulan tanaman pangan</t>
  </si>
  <si>
    <t>28.2.4 Pengembangan bibit unggul Holtikultura</t>
  </si>
  <si>
    <t>28.2.5 Peningkatan Produksi, Produktivitas dan Mutu Sayuran, dan Bio Farmaka</t>
  </si>
  <si>
    <t>28.2.6 Penyediaan Sarana Produksi Holtikultura</t>
  </si>
  <si>
    <t>28.3 Program pencegahan dan penanggulangan penyakit ternak</t>
  </si>
  <si>
    <t>28.3.1 Pemeliharaan kesehatan dan pencegahan penyakit menular ternak</t>
  </si>
  <si>
    <t>28.3.2 Program peningkatan produksi hasil peternakan</t>
  </si>
  <si>
    <t>28.4 Program Pemberdayaan Penyuluhan Pertanian</t>
  </si>
  <si>
    <t>28.4.1 Penyusunan Materi Penyuluhan Pertanian (Media Radio)</t>
  </si>
  <si>
    <t>28.5.1 Pelatihan pengemasan hasil komoditi perkebunan</t>
  </si>
  <si>
    <t>1.1. Program peningkatan disiplin aparatur</t>
  </si>
  <si>
    <t>1.1.1. Pengadaan pakaian olahraga</t>
  </si>
  <si>
    <t>1.2. Program Peningkatan Kapasitas Sumber Daya Aparatur</t>
  </si>
  <si>
    <t>1.2.1. Sosialisasi peraturan perundang-undangan</t>
  </si>
  <si>
    <t xml:space="preserve">1.3.1. Pembangunan gedung sekolah  </t>
  </si>
  <si>
    <t>1.3.2. Pengadaan mebeluer sekolah</t>
  </si>
  <si>
    <t xml:space="preserve">1.3.3. Penyediaan Guru Kontrak dan Honor Daerah (HONDA) Jenjang SD dan SMP </t>
  </si>
  <si>
    <t xml:space="preserve">1.3.4. Pelaksanaan Ujian SD dan SMP Tahun Pelajaran 2016/2017 </t>
  </si>
  <si>
    <t xml:space="preserve">1.4.1. Pembangunan rumah dinas kepala sekolah, guru, penjaga sekolah </t>
  </si>
  <si>
    <t xml:space="preserve">1.4.2. Penyediaan Guru Kontrak dan Honor Daerah (HONDA) Jenjang SMA  </t>
  </si>
  <si>
    <t>1.5. Program Pendidikan Non Formal</t>
  </si>
  <si>
    <t>1.5.1. Pemberian  Bantuan Operasional Pendidikan (BOP) PAUD</t>
  </si>
  <si>
    <t>1.6.1. Pelaksanaan Kegiatan Pelatihan Operator Sekolah</t>
  </si>
  <si>
    <t>8.7.2. Pengadaan Ternak dan Bantuan Modal Kelompok Tani</t>
  </si>
  <si>
    <t>1.2.1. Penyusunan Profil PNS dan Operasional Tenaga Administrasi Kantor Bidang Kepegawaian</t>
  </si>
  <si>
    <t>1.3.3. Penyelenggaraan akreditasi sekolah dasar</t>
  </si>
  <si>
    <t>1.3.4. Monitoring, evaluasi dan pelaporan</t>
  </si>
  <si>
    <t xml:space="preserve">1.3.5. Penyediaan Guru Kontrak dan Honor Daerah (HONDA) Jenjang SD dan SMP  </t>
  </si>
  <si>
    <t>1.3.6. Pelaksanaan Ujian SD dan SMP</t>
  </si>
  <si>
    <t>1.4.1. Pemberdayaan tenaga pendidik non formal</t>
  </si>
  <si>
    <t>1.5.1. Pelaksanaan Sertifikasi pendidik</t>
  </si>
  <si>
    <t>1.5.2. Monitoring, evaluasi dan pelaporan</t>
  </si>
  <si>
    <t>1.6.1. Penerapan sistem dan informasi manajemen pendidikan</t>
  </si>
  <si>
    <t>1.6.2. Penyediaan Data Valid Kegiatan Monitoring, evaluasi dan pelaporan</t>
  </si>
  <si>
    <t>1.6.3. Pelaksanaan Kegiatan Pelatihan Operator Sekolah</t>
  </si>
  <si>
    <t>2.1.1. Penyediaan jasa administrasi keuangan</t>
  </si>
  <si>
    <t>2.2. Program Peningkatan Kapasitas Sumber Daya Aparatur</t>
  </si>
  <si>
    <t>2.2.1. Peningkatan Kapasitas Tenaga Bidan Dan Gizi</t>
  </si>
  <si>
    <t>2.2.2. Terlaksananya Kegiatan Seksi Promkes</t>
  </si>
  <si>
    <t>2.2.3. Kegiatan Monitoring dan Evaluasi Tenaga Kesehatan</t>
  </si>
  <si>
    <t>2.3. Program Penataan dan Pengembangan Aparatur dan Organisasi</t>
  </si>
  <si>
    <t>2.3.1. Registrasi dan Manajemen Aset Daerah</t>
  </si>
  <si>
    <t>2.3.2. Pelayanan Manajemen Aparatur Sipil (ASN)</t>
  </si>
  <si>
    <t>2.4. Program Pembinaan Kesehatan Masyarakat</t>
  </si>
  <si>
    <t>2.4.1. Administrasi Manajeman Pembinaan Kesehatan masyarakat</t>
  </si>
  <si>
    <t>2.5. Program Obat dan Perbekalan Kesehatan</t>
  </si>
  <si>
    <t>2.5.1. Monitoring, evaluasi dan pelaporan</t>
  </si>
  <si>
    <t>2.6. Program Upaya Kesehatan Masyarakat</t>
  </si>
  <si>
    <t xml:space="preserve">2.6.1. Pelayanan kesehatan dasar luar gedung puskesmas  </t>
  </si>
  <si>
    <t>2.7.1. Penanggulangan KEP, Anemia Gizi Besi, GAKY, Kekurangan Vitamin dan Gizi</t>
  </si>
  <si>
    <t>2.7.2. Monitoring, evaluasi dan pelaporan</t>
  </si>
  <si>
    <t>2.8.1. Pelayanan pencegahan dan penanggulangan penyakit menular</t>
  </si>
  <si>
    <t>2.8.2. Sosialisasi kader Posbindu</t>
  </si>
  <si>
    <t>2.8.3. Pelaksanaan sweeping imunisasi, Bulan Imunisasi Anak Sekolah (BIAS)</t>
  </si>
  <si>
    <t>2.9. Program Standarisasi Pelayanan Kesehatan</t>
  </si>
  <si>
    <t>2.9.1. Monitoring, evaluasi dan pelaporan</t>
  </si>
  <si>
    <t>2.9.2. Kegiatan Monitoring Standarisasi Pelayanan Puskesmas dan Nomor Registrasi Puskesmas</t>
  </si>
  <si>
    <t>1.10.1. Pelayanan pemeliharaan kesehatan</t>
  </si>
  <si>
    <t>2.10. Program peningkatan pelayanan kesehatan lansia</t>
  </si>
  <si>
    <t>2.11. Program penjaringan anak sekolah</t>
  </si>
  <si>
    <t>2.11.1. Mendeteksi dini siswa yang memiliki masalah kesehatan</t>
  </si>
  <si>
    <t>3.1.1. Peningkatan Sarana dan prasarana</t>
  </si>
  <si>
    <t>3.2.1. Pembangunan jalan</t>
  </si>
  <si>
    <t>3.2. Program pembangunan turap/talud/bronjong</t>
  </si>
  <si>
    <t>3.2.1. Pembangunan turap/talud/bronjong</t>
  </si>
  <si>
    <t>3.3. Program Pengembangan Kinerja Pengelolaan Air Minum dan Air Limbah</t>
  </si>
  <si>
    <t>3.3.1. Pendampingan Oprasinal PAMSIMAS</t>
  </si>
  <si>
    <t>3.4. Program Perencanaan Tata Ruang</t>
  </si>
  <si>
    <t>3.4.1. Studi dan Inventarisasi Perencanaan Tata Ruang</t>
  </si>
  <si>
    <t>4.1.1. Monitoring, evaluasi dan pelaporan</t>
  </si>
  <si>
    <t>4.1.2. Pembangunan perumahan rakyat</t>
  </si>
  <si>
    <t>4.1.3. Penyusunan RP3KP dan Pokja</t>
  </si>
  <si>
    <t>4.1.4. Pembangunan rumah tokoh agama</t>
  </si>
  <si>
    <t>4.1.5. Penyusunan Renstra SKPD</t>
  </si>
  <si>
    <t>4.1.6. BSPS Rumah Swadaya Dana Sharing</t>
  </si>
  <si>
    <t>4.2. Program pengelolaan ruang terbuka hijau</t>
  </si>
  <si>
    <t>4.2.1. Pemeliharaan Taman Bunga</t>
  </si>
  <si>
    <t>5.1. Program Peningkatan Sarana dan Prasarana Aparatur</t>
  </si>
  <si>
    <t>5.2. Program Pemberdayaan Fakir Miskin, Komunitas Adat Terpencil (KAT) dan Penyandang Masalah Kesejahteraan Sosial (PMKS) Lainnya</t>
  </si>
  <si>
    <t>5.2.1. Distribusi Beras dari Distrik ke Kampung</t>
  </si>
  <si>
    <t xml:space="preserve">5.2.2. Pembangunan perumahan rakyat </t>
  </si>
  <si>
    <t xml:space="preserve">5.2.3. Pembangunan Perumahan Rakyat  </t>
  </si>
  <si>
    <t>5.3. Program Pelayanan dan Rehabilitasi Kesejahteraan Sosial</t>
  </si>
  <si>
    <t>5.3.1. Peningkatan kualitas pelayanan, sarana, dan prasarana rehabilitasi kesejahteraan sosial bagi PMKS</t>
  </si>
  <si>
    <t>5.3.2. Validasi Data Keluarga PKH</t>
  </si>
  <si>
    <t>5.4. Program pembinaan anak terlantar</t>
  </si>
  <si>
    <t>5.4.1. Peningkatan keterampilan tenaga pembinaan anak terlantar</t>
  </si>
  <si>
    <t>5.4.2. Pemberian Hibah Barang Kepada Anak Terlantar</t>
  </si>
  <si>
    <t>5.5. Program pembinaan para penyandang cacat dan trauma</t>
  </si>
  <si>
    <t>5.5.1. Pemberian Bantuan Hibah Barang Kepada Penyandang Cacat</t>
  </si>
  <si>
    <t>5.6. Program pembinaan panti asuhan /panti jompo</t>
  </si>
  <si>
    <t>5.6.1. Pemberian Bantuan Hibah Barang Untuk Lansia</t>
  </si>
  <si>
    <t>5.7. Program pembinaan panti asuhan /panti jompo</t>
  </si>
  <si>
    <t>5.7.1. Pembangunan pusat bimbingan/konseling bagi eks penyandang penyakit sosial</t>
  </si>
  <si>
    <t>5.7.2. Penyusunan Pereturan Desa/Kampung</t>
  </si>
  <si>
    <t>5.8. Program pembinaan panti asuhan /panti jompo</t>
  </si>
  <si>
    <t>5.8.1. Peningkatan peran aktif masyarakat dan dunia usaha</t>
  </si>
  <si>
    <t>5.8.2. Kelembagaan Masyarakat Dalam Membangun Profil Desa</t>
  </si>
  <si>
    <t>5.8.3. Pembangunan Balai Pertemuan Kampung</t>
  </si>
  <si>
    <t>6. Badan Penanggulangan Bencana Daerah</t>
  </si>
  <si>
    <t>6.1.1. Pengadaan perlengkapan gedung kantor</t>
  </si>
  <si>
    <t>6.1.3. Pembangunan Perumahan Rakyat</t>
  </si>
  <si>
    <t>6.2. Program Peningkatan Sarana dan Prasarana Aparatur</t>
  </si>
  <si>
    <t>6.2.1. Pendidikan dan pelatihan formal</t>
  </si>
  <si>
    <t>6.3. Program Rehabilitasi dan Rekonstruksi Pasca Bencana</t>
  </si>
  <si>
    <t>6.3.1. Sosialisasi manajemen dan teknikal rehabilitasi dan rekonstruksi di tingkat distrik</t>
  </si>
  <si>
    <t>6.3.2. Pengadaan sarana dan prasarana pasca bencana</t>
  </si>
  <si>
    <t>6.4. Program Kesiapsiagaan dan Pencegahan</t>
  </si>
  <si>
    <t>6.4.1. Bimbingan teknis dan sosialisasi bidang pencegaan dan kesiapsiagaan tingkat distrik</t>
  </si>
  <si>
    <t>6.5. Program Data dan Informasi</t>
  </si>
  <si>
    <t>6.5.1. Koordinasi dan konsultasi pembuatan peta wilayah rawan bencana</t>
  </si>
  <si>
    <t>7. Dinas Pemberdayaan Perempuan dan Perlindungan Anak</t>
  </si>
  <si>
    <t>7.1.1. Pembangunan gedung kantor</t>
  </si>
  <si>
    <t>7.2. Program keserasian Kebijakan Peningkatan Kualitas Anak dan Perempuan</t>
  </si>
  <si>
    <t>7.2.1. Sosialisasi Pengaruh Globalisasi Bagi Anak</t>
  </si>
  <si>
    <t>7.2.2. Sosialisasi PUG</t>
  </si>
  <si>
    <t>7.3. Program Peningkatan Kualitas Hidup dan Perlindungan Perempuan</t>
  </si>
  <si>
    <t>7.3.1. Sosialisasi Pencegahan Kekerasan Terhadap Perempuan</t>
  </si>
  <si>
    <t>8. Dinas Perhubungan, Perikanan dan Pertanahan</t>
  </si>
  <si>
    <t>8.1. Program Optimalisasi pengelolaan dan pemasaran produksi perikanan</t>
  </si>
  <si>
    <t>8.1.1. Penyediaan Sarana dan Prasarana Pemasaran</t>
  </si>
  <si>
    <t>9. Dinas Pertanian dan Ketahanan Pangan</t>
  </si>
  <si>
    <t>9.1. Program peningkatan produksi pertanian/perkebunan</t>
  </si>
  <si>
    <t>9.1.1. Penyediaan sarana produksi pertanian/perkebunan</t>
  </si>
  <si>
    <t>9.1.2. Pengembangan Tanaman Sayuran Dataran Tinggi</t>
  </si>
  <si>
    <t>9.1.3. Pengembangan Tanaman Hias</t>
  </si>
  <si>
    <t>9.1.4. Pengembangan Komoditas Perkebunan</t>
  </si>
  <si>
    <t>10. Sekretariat Daerah</t>
  </si>
  <si>
    <t>10.1. Bagian Hubungan Masyarakat dan Protokoler</t>
  </si>
  <si>
    <t>10.1.1. Program Pembinaan Dan Pengembangan Bidang Ketenagalistrikan</t>
  </si>
  <si>
    <t>10.1.1.1.Pembangunan Jaringan Listrik</t>
  </si>
  <si>
    <t>10.1.1.2.Penyediaan Instalasi listrik dan penyambungan meter prabayar</t>
  </si>
  <si>
    <t>10.1.1.3.Top overhoul mesin PLTD</t>
  </si>
  <si>
    <t>10.2. Bagian Pemerintah dan Otonomi Daerah</t>
  </si>
  <si>
    <t xml:space="preserve">10.2.1. Program Peningkatan Sarana dan Prasarana Aparatur </t>
  </si>
  <si>
    <t>10.2.1.1.Pengadaan perlengkapan gedung kantor</t>
  </si>
  <si>
    <t>10.2.1.2.Pengadaan Tanah Pemerintah Daerah</t>
  </si>
  <si>
    <t>10.1.2.3.Penegasan  Batas Wilayah Kab. Pegunungan Arfak</t>
  </si>
  <si>
    <t>10.2.2. Program Peningkatan Kapasitas Sumber Daya Aparatur</t>
  </si>
  <si>
    <t>10.2.2.1.Sosialisasi peraturan perundang-undangan</t>
  </si>
  <si>
    <t>10.2.2.2.Bimbingan teknis tentang prosedur kerja administrasi perkantoran</t>
  </si>
  <si>
    <t>10.2.3. Program Peningkatam Sarana dan Komonikasi Serta Media Masa</t>
  </si>
  <si>
    <t xml:space="preserve">10.2.3.1.Pengadaan Peta Wilayah </t>
  </si>
  <si>
    <t xml:space="preserve">11.1. Program Peningkatan Kapasitas Sumber Daya Aparatur </t>
  </si>
  <si>
    <t>11.1.2. Pemberian Bantuan Bagi Tugas Belajar (S1)</t>
  </si>
  <si>
    <t>11. Badan Kepegawaian, Pengembangan Sumber Daya Manusia</t>
  </si>
  <si>
    <t>3.3.1. Pembangunan Turap/Talud/Bronjong</t>
  </si>
  <si>
    <r>
      <t>28.5 Program Peningkatan pemasaran hasil pertanian</t>
    </r>
    <r>
      <rPr>
        <b/>
        <sz val="11"/>
        <color rgb="FFFF0000"/>
        <rFont val="Calibri"/>
        <family val="2"/>
        <scheme val="minor"/>
      </rPr>
      <t xml:space="preserve">  </t>
    </r>
  </si>
  <si>
    <t>28.5.2 Pelatihan pembuatan pestisida Nabati</t>
  </si>
  <si>
    <t>28.  DINAS PERTANIAN DAN PANGAN</t>
  </si>
  <si>
    <t>28.1. Program Peningkatan Kesejahteraan Petani</t>
  </si>
  <si>
    <t>29. DINAS PERINDUSTRIAN PERDAGANGAN KOPERASI DAN USAHA KECIL DAN MENENGAH</t>
  </si>
  <si>
    <t>29.1 Program perlindungan konsumen dan pengamanan perdagangan</t>
  </si>
  <si>
    <t>29.1.1 Pembangunan Kios</t>
  </si>
  <si>
    <t>29.2 Program pengembangan kewirausahaan dan keunggulan kompetitif UKM</t>
  </si>
  <si>
    <t>29.2.1 Pelatihan Kewirausahawan Bagi Usaha Kecil Menengah</t>
  </si>
  <si>
    <t>29.2.2 Pengawasan dan Pembinaan UKM</t>
  </si>
  <si>
    <t>29.2.3 Pelatihan Pengemasan Produk</t>
  </si>
  <si>
    <t>29.2.4 Bantuan sembilan bahan pokok dan peralatan untuk UKM</t>
  </si>
  <si>
    <t>29.3 Program peningkatan kwalitas kelembagaan koperasi</t>
  </si>
  <si>
    <t>29.3.1 Pelatihan Manajemen Usaha Bagi Pengelolaan Koperasi/ KUD</t>
  </si>
  <si>
    <t>29.3.2 Pembinaan dan pendampingan koperasi</t>
  </si>
  <si>
    <t>29.4 Program pembinaan dan pengembangan bidang ketenagalistrikan</t>
  </si>
  <si>
    <t>29.4.1 Pemasangan Meteran Prabayar</t>
  </si>
  <si>
    <t>29.5 Program Peningkatan dan Pengembangan SDM</t>
  </si>
  <si>
    <t>29.5.1 Pelatihan Pembuatan Tepung Sagu</t>
  </si>
  <si>
    <t>29.6 Program Perdagangan Efisiensi Perdagangan Dalam Negeri</t>
  </si>
  <si>
    <t>29.6.1 Penyelenggaraan Pasar Murah Menjelang Hari Raya Keagamaan</t>
  </si>
  <si>
    <t>30.  DINAS PERINDUSTRIAN PERDAGANGAN KOPERASI DAN USAHA KECIL DAN MENENGAH</t>
  </si>
  <si>
    <t>30.1 Program pengembangan industri kecil dan menengah</t>
  </si>
  <si>
    <t>30.1.1 Pelatihan Batu Alam</t>
  </si>
  <si>
    <t>30.1.2 Pengadaan Peralatan Cetak Batu Tela</t>
  </si>
  <si>
    <t>30.1.3 Pelatihan Pembuatan Kerupuk Sagu</t>
  </si>
  <si>
    <t>30.1.4 Pelatihan Es Krim dari Sagu</t>
  </si>
  <si>
    <t>31. DINAS TRANSMIGRASI</t>
  </si>
  <si>
    <t>31.1 Program Peningkatan Kualitas dan Produktivitas Tenaga Kerja</t>
  </si>
  <si>
    <t>31.1.1 Sosialisasi AK. I ketenagakerjaan</t>
  </si>
  <si>
    <t>31.1.2 Sosialisasi undang-undang ketenagakerjaan</t>
  </si>
  <si>
    <t>31.1.3 Kursus Peningkatan Ketrampilan Tenaga Kerja (pelatihan komputer bagi anak2 remaja)</t>
  </si>
  <si>
    <t>31.1.4 Monitoring, Evaluasi dan Pelaporan Pengawasan dan Penempatan Tenaga Kerja</t>
  </si>
  <si>
    <t>31.2 Program Pengembangan Hubungan Industrial dan Peningkatan Jaminan Sosial Tenaga Kerja</t>
  </si>
  <si>
    <t>31.2.1 Sosialisasi upah minimum Provinsi Papua Barat</t>
  </si>
  <si>
    <t>31.3 Program Pengembangan Kawasan Transmigrasi (PKT)</t>
  </si>
  <si>
    <t>31.3.1 Sosialisasi Prosedur sertifikasi lahan transmigrasi</t>
  </si>
  <si>
    <t>31.3.2 Pelatihan pembuatan aneka makanan dari bahan pangan lokal</t>
  </si>
  <si>
    <t>31.3.3 Pelatihan Tehnik Budidaya Ikan Air Tawar Unit Pemukiman Transmigrasi</t>
  </si>
  <si>
    <t>32.2 Belanja Bantuan Sosial</t>
  </si>
  <si>
    <t>32.3 Belanja Bantuan Keuangan kepada Provinsi/Kabupaten/Kota dan Pemerintahan Desa</t>
  </si>
  <si>
    <t>1.1.1. Pembangunan gedung sekolah</t>
  </si>
  <si>
    <t>1.1.2. Pembangunan sarana air bersih dan sanitary</t>
  </si>
  <si>
    <t>1.1.4. Pengadan pakaian seragam sekolah</t>
  </si>
  <si>
    <t>1.1.5. Pengadaan alat praktik dan peraga siswa</t>
  </si>
  <si>
    <t>1.1.6. Peningkatan kesejahteraan tenaga pendidik honorer TK/PAUD</t>
  </si>
  <si>
    <t>1.1.7. Penyediaan Bantuan Operasional Sekolah (BOSDA)</t>
  </si>
  <si>
    <t>1.2.2. Pengadan pakaian seragam sekolah</t>
  </si>
  <si>
    <t>1.2.3. Penambahan ruang kelas baru SMP/MTS/SMPLB</t>
  </si>
  <si>
    <t>1.2.4. Peningkatan kesejahteraan tenaga pendidik honorer SD dan SMP</t>
  </si>
  <si>
    <t>1.2.5. Pengembangan alternatif layanan pendidikan dasar untuk daerah-daerah perdesaan, terpencil dan kepulauan</t>
  </si>
  <si>
    <t xml:space="preserve">1.2.6. Pembangunan rumah rumah dinas Kepala Sekolah, Guru dan Penjaga Sekolah SMP </t>
  </si>
  <si>
    <t>1.2.7. Pembangunan asrama pelajar</t>
  </si>
  <si>
    <t xml:space="preserve">1.2.8. Rehabilitasi Toilet (Jamban Siswa)dengan tingkat kerusakan sedang atau berat , beserta sanitasinya  </t>
  </si>
  <si>
    <t>1.2.9. Pembangunan Pagar SD YPPK Santa Laurensia Wasior Tahap III</t>
  </si>
  <si>
    <t>1.2.10. Pengawasan Pembangunan Pagar SD YPPK Santa Laurensia Wasior Tahap III</t>
  </si>
  <si>
    <t>35.1. Bantuan Sosial Pendidikan</t>
  </si>
  <si>
    <t>15.  PUSKESMAS KURI WAMESA</t>
  </si>
  <si>
    <t xml:space="preserve">1.2.14.Pengadaan ATK Bagi 9 Lembaga PAUD Kabupaten Tambrauw  </t>
  </si>
  <si>
    <t xml:space="preserve">1.2.13.Pengadaan Meubelair PAUD Distrik Selemkai </t>
  </si>
  <si>
    <t xml:space="preserve">1.2.12. Pengadaan Meubelair PAUD Distrik Kebar </t>
  </si>
  <si>
    <t xml:space="preserve">1.2.11. Pengadaan Meubelair PAUD KB MINAP Mubrani   </t>
  </si>
  <si>
    <t xml:space="preserve">1.2.10.Pengadaan Meubelair PAUD Senopi Distrik Senopi   </t>
  </si>
  <si>
    <t xml:space="preserve">1.2.9. Pengadaan Meubelair PAUD Permata Wekari Distrik Amberbaken </t>
  </si>
  <si>
    <t xml:space="preserve">1.2.8. Pengadaan Meubelair PAUD Distrik Kwoor  </t>
  </si>
  <si>
    <t xml:space="preserve">1.2.7. Pembangunan Gedung PAUD  Ayapokiar Distrik Miyah Tahap II  </t>
  </si>
  <si>
    <t xml:space="preserve">1.2.6. Pembangunan Gedung PAUD  Warokon Distrik Mubrani Tahap II  </t>
  </si>
  <si>
    <t xml:space="preserve">1.2.5. Pembangunan Gedung PAUD  Wefiani  </t>
  </si>
  <si>
    <t xml:space="preserve">1.2.4. Pembangunan Gedung PAUD Kampung Della Distrik Selemkai  </t>
  </si>
  <si>
    <t xml:space="preserve">1.2.3. Pembangunan Gedung PAUD Manabur Kampung Inam  </t>
  </si>
  <si>
    <t xml:space="preserve">1.2.2. Pembangunan Gedung PAUD di Sukwes Distrik  Tobouw  </t>
  </si>
  <si>
    <t xml:space="preserve">1.2.1. Pembangunan Gedung PAUD di Kampung Syujak  </t>
  </si>
  <si>
    <t>1.3.1  Pembinaan dan Lomba Olimpiade SAINS Nasional Tinggkat SD/SMP Kabupaten Tambrauw</t>
  </si>
  <si>
    <t xml:space="preserve">1.3.2. Penyelenggaraan UAS Dan UAN Tingkat SD Kabupaten Tambrauw  </t>
  </si>
  <si>
    <t xml:space="preserve">1.3.3. Penyelenggaraan UAS Dan UAN Tingkat SMP Kabupaten Tambrauw  </t>
  </si>
  <si>
    <t xml:space="preserve">1.3.4  Pembangunan 3 RKB dan Meubelair SD YPK Saubeba </t>
  </si>
  <si>
    <t xml:space="preserve">1.3.5. Pembangunan 2 RKB dan Meubelair SD YPK Imanuel Werur  </t>
  </si>
  <si>
    <t xml:space="preserve">1.3.6. Pembangunan 3 RKB dan Meubelair SD Inpres 102 Warsnembri   </t>
  </si>
  <si>
    <t xml:space="preserve">1.3.7  Pembangunan 3 RKB dan Meubelair SD Negeri Kawar Distrik Moraid   </t>
  </si>
  <si>
    <t xml:space="preserve">1.3.8. Pembangunan 2 RKB dan Meubelair SMP Negeri Imbuan  </t>
  </si>
  <si>
    <t xml:space="preserve">1.3.9. Pembangunan 3 RKB dan Meubelair SD Inpres 03 Saukorem </t>
  </si>
  <si>
    <t xml:space="preserve">1.3.13.Pembangunan 3 RKB dan Meubelair SD Inpres 18 Akmuri Tahap II  </t>
  </si>
  <si>
    <t xml:space="preserve">1.3.12.Pembangunan Pembangunan 4 RKB dan  Meubelair SD YPPK Asiti Tahap II  </t>
  </si>
  <si>
    <t xml:space="preserve">1.3.11.Pembangunan Perpustakaan dan  Meubelair SMP Negeri 23 Senopi Tahap II    </t>
  </si>
  <si>
    <t xml:space="preserve">1.3.10.Pembangunan 3 RKB dan Meubelair SMP SATAP Yembun  </t>
  </si>
  <si>
    <t xml:space="preserve">1.3.14. Pembangunan 3 RKB dan Meubelair SD Inpres 19 Ibuanari Tahap II  </t>
  </si>
  <si>
    <t xml:space="preserve">1.3.15. Pembangunan 3 RKB dan Meubelair SD Efata Kwoor Tahap II  </t>
  </si>
  <si>
    <t>1.3.16. Pembangunan 3 RKB dan  Meubelair SD  YPPK St. Gabriel</t>
  </si>
  <si>
    <t>1.3.17. Pengadaan Buku Siswa Untuk Tingkat SD dan SMP.</t>
  </si>
  <si>
    <t>1.3.18.Pengadaan Buku Guru untuk Tingkat SD dan SMP.</t>
  </si>
  <si>
    <t>1.3.19.Pengadaan Seragam,Sepatu,Tas,Topi,Kaos kaki  bagi siswa SD.</t>
  </si>
  <si>
    <t>1.3.20.Pengadaan Seragam,Sepatu,Tas,Topi,Kaos kaki  bagi siswa SMP</t>
  </si>
  <si>
    <t>1.3.22.Pembangunan 3 RKB dan Meubelair SD Inpres Pubuan (Tahap 2)</t>
  </si>
  <si>
    <t xml:space="preserve">1.3.21. Rehabilitasi Berat 6 RKB, Ruang Guru, WC dan Meubelair SD Inpres 53 Samparmun Tahap II   </t>
  </si>
  <si>
    <t xml:space="preserve">1.3.23. Pembangunan 2 RKB dan Meubelair SD Al-Marif Sausapor  </t>
  </si>
  <si>
    <t xml:space="preserve">1.3.24. Pembangunan 3 RKB dan Meubelair SD YPPK ASES Fef  </t>
  </si>
  <si>
    <t>1.4.1. Monitoring, Evaluasi dan Pelaporan</t>
  </si>
  <si>
    <t>1.4.2. Penyediaan Bantuan Operasional Paket A Setara SD</t>
  </si>
  <si>
    <t>1.4.3. Penyediaan Bantuan Operasional Paket A Setara SMP</t>
  </si>
  <si>
    <t>1.4.4. Penyediaan Bantuan Operasional Paket A Setara SMA</t>
  </si>
  <si>
    <t>14.5. Penyediaan Bantuan Operasional Lembaga PKBM</t>
  </si>
  <si>
    <t xml:space="preserve">1.5.2. Penyediaan Tenaga Guru bantu  </t>
  </si>
  <si>
    <t xml:space="preserve">1.5.1. Penyediaan Tenaga Guru Kontrak   </t>
  </si>
  <si>
    <t xml:space="preserve">1.5.3. Pelaksanaan Sertifikasi Pendidik  </t>
  </si>
  <si>
    <t xml:space="preserve">1.5.4. DIKLAT Pendidika PAUD Se-Kabupaten Tambrauw </t>
  </si>
  <si>
    <t xml:space="preserve">1.5.5. Pelaksanaan Uji Kompetensi Guru ( Preetes )  </t>
  </si>
  <si>
    <t xml:space="preserve">1.5.6. Diklat Guru Pembelajar   </t>
  </si>
  <si>
    <t>1.5.7. Pembelajaran Magang / Pelatihan Guru MIPA</t>
  </si>
  <si>
    <t>2.2.1. Operasional Puskesmas Sausapor</t>
  </si>
  <si>
    <t>2.2.2. Operasional Puskesmas Kwoor</t>
  </si>
  <si>
    <t>2.2.3. Operasional Puskesmas Abun</t>
  </si>
  <si>
    <t>2.2.4. Operasional Puskesmas Yembun</t>
  </si>
  <si>
    <t>2.2.5. Operasional Puskesmas Syujak</t>
  </si>
  <si>
    <t>2.2.6. Operasional Puskesmas Fef</t>
  </si>
  <si>
    <t>2.2.7. Operasional Puskesmas Miyah</t>
  </si>
  <si>
    <t>2.2.8. Operasional Puskesmas Kebar</t>
  </si>
  <si>
    <t>2.2.9. Operasional Puskesmas Senopi</t>
  </si>
  <si>
    <t>1.5.1. Peningkatan Imunisasi</t>
  </si>
  <si>
    <t>1.5.2. Pelayanan pencegahan dan penanggulangan penyakit menular langsung Tuberkolosis</t>
  </si>
  <si>
    <t>1.5.3. Pelayanan pencegahan dan penanggulangan penyakit menular langsung Kusta</t>
  </si>
  <si>
    <t>1.5.4. Pelayanan pencegahan dan penanggulangan penyakit menular langsung Diare</t>
  </si>
  <si>
    <t>1.5.6. Pelayanan WUS</t>
  </si>
  <si>
    <t>1.5.5. Pelayanan pencegahan dan penanggulangan penyakit menular langsung Filariasis</t>
  </si>
  <si>
    <t>1.5.7. Penyelidikan Epidemologi dan KLB</t>
  </si>
  <si>
    <t>1.5.8. Pencegahan Malaria</t>
  </si>
  <si>
    <t>1.5.9. Pelayanan pencegahan dan penanggulangan penyakit menular langsung ISPA</t>
  </si>
  <si>
    <t>1.5.10.Pelayanan Campak Missel Rubella</t>
  </si>
  <si>
    <t xml:space="preserve">2.8.2. Pengadaan Tenaga Kesehatan SMK / Sederajat   </t>
  </si>
  <si>
    <t xml:space="preserve">3.2.1. Pembangunan Jalan Akmuri - Atay - Nekori  </t>
  </si>
  <si>
    <t xml:space="preserve">3.2.2. Pembangunan Jalan Rufewes - Kampung Ruf  </t>
  </si>
  <si>
    <t xml:space="preserve">3.2.3. Pembangunan Jembatan Sujau (30 m)  </t>
  </si>
  <si>
    <t xml:space="preserve">3.2.4. Pembangunan Jalan Dalam Kota Fef  </t>
  </si>
  <si>
    <t xml:space="preserve">3.2.5. Pembangunan Box Culvert Pada Ruas Jalan Sausapor - Mega  </t>
  </si>
  <si>
    <t xml:space="preserve">3.2.6. Pembangunan Jalan Fef - Ases  </t>
  </si>
  <si>
    <t xml:space="preserve">3.3.1. Rehabilitasi/Pemeliharaan Jalan Bariambeker - Waru  </t>
  </si>
  <si>
    <t xml:space="preserve">3.3.2. Rehabilitasi/Pemeliharaan Jalan Akses Ke PLTMH Warabiyai  </t>
  </si>
  <si>
    <t xml:space="preserve">3.3.3. Rehabilitasi/Pemeliharaan Jalan Snopy - Waibem  </t>
  </si>
  <si>
    <t xml:space="preserve">3.3.4.  Rehabilitasi/Pemeliharaan Jalan Kasih Indah - Wasnembri </t>
  </si>
  <si>
    <t>3.4. Program rehabilitasi/pemeliharaan jalan dan jembatan</t>
  </si>
  <si>
    <t>3.4.1.Pembangunan Sarana dan Prasarana Air Minum Fef Tahap II</t>
  </si>
  <si>
    <t>3.5. Program pembangunan sarana dan prasarana sanitasi lingkungan</t>
  </si>
  <si>
    <t>3.5.1. Penyediaan Sarana Dan Prasarana Sanitasi Lingkungan (MCK) Distrik Sausapor</t>
  </si>
  <si>
    <t>7.1.1. Pelatihan Pembuatan Kue Berbahan Dasar Lokal di Distrik Kwoor</t>
  </si>
  <si>
    <t>7.1.2. Pelatihan Pembuatan Meubelair</t>
  </si>
  <si>
    <t>7.1.3. Pelatihan Pembuatan Kue Berbahan Dasar Lokal di Distrik Selemkai</t>
  </si>
  <si>
    <t>1.5.11.Pelayanan Pencegahan Penyakit Kecacingan (STANTING)</t>
  </si>
  <si>
    <t>1.1.1. Pelatihan Computer Bagi PNS dan Non PNS</t>
  </si>
  <si>
    <t>1.1.2. Pelatihan Pengawas Sekolah</t>
  </si>
  <si>
    <t xml:space="preserve">1.2.1. Penyediaan Bantuan Operasional PAUD  </t>
  </si>
  <si>
    <t xml:space="preserve">1.2.2. Cerdas Cermat Pengenalan huruf dan Penyusunan Alat Peraga </t>
  </si>
  <si>
    <t>1.2.3. Penyelenggaraan Ujian PAUD</t>
  </si>
  <si>
    <t>1.2.4. Diklat dan Magang Profesi Guru PAUD</t>
  </si>
  <si>
    <t>1.2.5.  Pendidikah (Kuliah) Bagi Guru PAUD</t>
  </si>
  <si>
    <t xml:space="preserve">1.3.2. Penyelenggaraan Olimpiade Sains Kuark  </t>
  </si>
  <si>
    <t>1.3.3. Penyelenggaraan Lomba Olimpiade Sains Nasional (OSN) SD</t>
  </si>
  <si>
    <t xml:space="preserve">1.3.4. Penyelenggaraan Penguatan Kelompok Kerja Guru dan Kelompok Kerja Kepala Sekolah  </t>
  </si>
  <si>
    <t xml:space="preserve">1.3.5. Penyelenggaraan Olimpiade Literassi Siswa Nasional </t>
  </si>
  <si>
    <t xml:space="preserve">1.3.6. Penyelenggaraan Olimpiade Olahraga Siswa Nasional (O2SN) SMP  </t>
  </si>
  <si>
    <t xml:space="preserve">1.3.1. Penyelenggaraan Beasiswa Pada Sekolh Anak Indonesia (SAI) </t>
  </si>
  <si>
    <t>1.3.7. Penyelenggaraan Lomba Olimpiade Sains Nasional (OSN) SMP</t>
  </si>
  <si>
    <t xml:space="preserve">1.3.8. Penyelenggaraan Pengembangan Sekolah Model dan Rujukan Tingkat SMP </t>
  </si>
  <si>
    <t xml:space="preserve">1.3.9. Penyelenggaraan Diklat Pendidikan Profesi Guru Tingkat SMP  </t>
  </si>
  <si>
    <t xml:space="preserve">1.3.10. Penyelenggaraan Olimpiade Literasi Siswa Nasional (OLSN) SMP </t>
  </si>
  <si>
    <t xml:space="preserve">1.3.11. Penyelenggaraan UAN dan UAS SD </t>
  </si>
  <si>
    <t xml:space="preserve">1.3.12. Penyusunan Laporan Dana BOS </t>
  </si>
  <si>
    <t xml:space="preserve">1.3.13. Monitoring dan Pengarahan Siswa Affirmasi ADEM dan ADIK (O2SN) SMP </t>
  </si>
  <si>
    <t xml:space="preserve">1.3.14. Penyelenggaraan Diklat Pendidikan Profesi Guru Tingkat SD  </t>
  </si>
  <si>
    <t xml:space="preserve">1.3.15. Penyelenggaraan Olimpiade Olahraga Siswa Nasional (O2SN)  </t>
  </si>
  <si>
    <t xml:space="preserve">1.4. Program Pendidikan Menengah </t>
  </si>
  <si>
    <t xml:space="preserve">1.4.1. Penyelenggaraan Siswa Affirmasi Pendidikan Menengah dan Pendidikan Tinggi  </t>
  </si>
  <si>
    <t>1.5.1. Penyediaan Bantuan Operasional Paket A Setara SD</t>
  </si>
  <si>
    <t>1.5.2. Penyediaan Bantuan Operasional Paket B Setara SMP</t>
  </si>
  <si>
    <t>1.5.3. Penyediaan Bantuan Operasional Paket C Setara SMA</t>
  </si>
  <si>
    <t xml:space="preserve">1.5.4. Penyediaan Bantuan Operasional Bantuan Pendidikan Keaksaraan </t>
  </si>
  <si>
    <t xml:space="preserve">1.5.6. Penyelenggaraan Pendidikan Anak Usia Dini  </t>
  </si>
  <si>
    <t xml:space="preserve">1.5.7. Penyelenggaraan Pendidikan Keluarga Anak Sekolah Dasar  </t>
  </si>
  <si>
    <t xml:space="preserve">1.5.8. Penyelenggaraan Pendidikan Keluarga Anak Sekolah Menengah Pertama </t>
  </si>
  <si>
    <t xml:space="preserve">1.5.9. Penyelenggaraan Pendidikan Keluarga Anak SMA/SMK </t>
  </si>
  <si>
    <t xml:space="preserve">1.5.10.Penyediaan Bantuan Operasional Pembinaan Pendidikan Keluarga </t>
  </si>
  <si>
    <t xml:space="preserve">1.5.11.Penyediaan Bantuan Operasional Kecakapan Hidup </t>
  </si>
  <si>
    <t xml:space="preserve">1.5.12.Rakor Tingkat Satuan Pendidikan Non Formal Masyarakat Dalam dan Luar Daerah </t>
  </si>
  <si>
    <t xml:space="preserve">1.5.13.Penyelenggaraan Pembinaan Pendidikan Orang Tua terhadap Pendidikan PAUD dan TK  </t>
  </si>
  <si>
    <t xml:space="preserve">1.5.14.Pelatihan Penyusunan K13 Bagi Tutor Kesetaraan </t>
  </si>
  <si>
    <t>1.6. Program Pembinaan dan Pemasyarakatan Olah Raga</t>
  </si>
  <si>
    <t xml:space="preserve">1.6.1. Pelatihan Guru Pendidikan Jasmani dan Olahrag </t>
  </si>
  <si>
    <t xml:space="preserve">1.7. Program Peningkatan Mutu Pendidik dan Tenaga Kependidikan </t>
  </si>
  <si>
    <t xml:space="preserve">1.7.1. Penyelenggaraan Pelatihan Kurikulum 2013 Bagi guru Sekolah Dasar </t>
  </si>
  <si>
    <t xml:space="preserve">1.7.2. Penyelenggaraan Pelatihan Kepala Sekolah Dasar </t>
  </si>
  <si>
    <t xml:space="preserve">1.7.3. Penyediaan Tenaga Guru Bantu </t>
  </si>
  <si>
    <t xml:space="preserve">1.7.4. Penyediaan Tenaga Guru Kontrak </t>
  </si>
  <si>
    <t xml:space="preserve">1.7.5. Penyelenggaraan Pelatihan Penyusunan PTK bagi Guru  </t>
  </si>
  <si>
    <t xml:space="preserve">1.7.6. Penyelenggaraan Penguatan Musyawarah Guru Mata Pelajaran </t>
  </si>
  <si>
    <t xml:space="preserve">1.7.7. Penyelenggaraan Bimtek Peningkatan Literasi bagi Guru  </t>
  </si>
  <si>
    <t xml:space="preserve">1.7.8. Penyelenggaraan Magang Guru MIPA dan Bahasa Inggris  </t>
  </si>
  <si>
    <t xml:space="preserve">1.7.9. Pembekalan dan Mobilisasi Guru Kontrak dan Guru Bantu </t>
  </si>
  <si>
    <t xml:space="preserve">1.7.10.Studi Banding Guru Sekolah Model dan Sekolah Rujukan </t>
  </si>
  <si>
    <t>1.8. Program Pengembangan Budaya Baca dan Pembinaan Perpustakaan</t>
  </si>
  <si>
    <t xml:space="preserve">1.8.1. Pengadaan Buku Pengayaan Perpustakaan SMP  </t>
  </si>
  <si>
    <t xml:space="preserve">1.9.1. Monitoring, Evaluasi dan Pelapora  </t>
  </si>
  <si>
    <t xml:space="preserve">1.9.2  Sinkronisasi dan Koordinasi DAPODIK  </t>
  </si>
  <si>
    <t>1.9.3. Pelatihan Penyusunan PTK Bagi Guru</t>
  </si>
  <si>
    <t>1.9.4. Pelatihan Mode APeL Bagi Guru SD dan SMP</t>
  </si>
  <si>
    <t xml:space="preserve">1.9.5. Penyelenggaraan Monitoring, Perencanaan dan Pelaporan Bidang Pendidikan  </t>
  </si>
  <si>
    <t xml:space="preserve">1.9.6. Evaluasi dan Monitoring Dana BOS SD </t>
  </si>
  <si>
    <t>1.9.7. Penyelenggaraan Program Besasiswa S-1 Pada Universitas Gorontalo (UNG)</t>
  </si>
  <si>
    <t>1.9.8. Penyelenggaraan Program Besasiswa S-1 Pada STKIP Muhammadiyah Sorong</t>
  </si>
  <si>
    <t>1.9.9. Rapat Kerja Kepala-kepala Sekolah</t>
  </si>
  <si>
    <t xml:space="preserve">1.9.10.Penyelenggaraan Pelatihan Kepala Sekolah dan Pengawas </t>
  </si>
  <si>
    <t>1.10. Program Pengembangan Kepemudaan</t>
  </si>
  <si>
    <t>1.10.1.  Liga Pelajar Sepak Bola</t>
  </si>
  <si>
    <t xml:space="preserve">2.1.1. Pendistribusian Obat ke Puskesmas </t>
  </si>
  <si>
    <t xml:space="preserve">2.1.2. Pengawasan Obat dan BMHP </t>
  </si>
  <si>
    <t xml:space="preserve">2.1.3. Pengawasan Alat Kesehatan Puskesmas </t>
  </si>
  <si>
    <t xml:space="preserve">2.1.4. Operasional Instalasi Farmasi Kesehatan </t>
  </si>
  <si>
    <t xml:space="preserve">2.2.1. Pelayanan Kesehatan Rawat Inap Sausapor  </t>
  </si>
  <si>
    <t xml:space="preserve">2.2.2. Pelayanan Kesehatan Rawat Inap Fef  </t>
  </si>
  <si>
    <t xml:space="preserve">2.2.3. Pelayanan Kesehatan Rawat Inap Kwoor  </t>
  </si>
  <si>
    <t xml:space="preserve">2.2.4. Pelayanan Kesehatan Rawat Inap Miyah </t>
  </si>
  <si>
    <t xml:space="preserve">2.2.5. Penyediaan Bantuan Operasional Puskesmas  </t>
  </si>
  <si>
    <t xml:space="preserve">2.2.6. Penyediaan Bantuan Operasional Puskesmas Pembant </t>
  </si>
  <si>
    <t xml:space="preserve">2.2.7. Monitoring, Evaluasi dan Pembinaan PUSTU dan POLINDES  </t>
  </si>
  <si>
    <t xml:space="preserve">2.2.8. Lokakarya Mini </t>
  </si>
  <si>
    <t xml:space="preserve">2.2.9. Monitoring, Evaluasi dan Pembinaan PISPK di PKM Lokus PISPK  </t>
  </si>
  <si>
    <t xml:space="preserve">2.2.10.Pelatihan Manajemen Pengelolaan SP2TP (Pelaporan PKM dalam Gedung)   </t>
  </si>
  <si>
    <t xml:space="preserve">2.2.11.Koordinasi Pelayanan Kesehatan Tingkat Provinsi dan Tingkat Pusat   </t>
  </si>
  <si>
    <t xml:space="preserve">2.2.12.Penyusunan dan Pengusulan Proses Registrasi Puskesmas  </t>
  </si>
  <si>
    <t xml:space="preserve">2.2.13.Pengawasan Pelayanan Puskesmas   </t>
  </si>
  <si>
    <t xml:space="preserve">2.2.14.Pendapingan Manajemen Rumah Sakit   </t>
  </si>
  <si>
    <t xml:space="preserve">2.3.2. Pembinaan Desa Siaga Aktif </t>
  </si>
  <si>
    <t xml:space="preserve">2.3.3. Pembinaan Program Pelayanan Kesehatan Lingkungan </t>
  </si>
  <si>
    <t xml:space="preserve">2.3.1. Pengawasan Gizi Buruk  </t>
  </si>
  <si>
    <t xml:space="preserve">2.3.4. Pembinaan Percontohan Sekolah Sehat </t>
  </si>
  <si>
    <t xml:space="preserve">2.3.5.  Penyusunan dan Perumusan Produk Hukum Kesehatan </t>
  </si>
  <si>
    <t xml:space="preserve">2.3.6. Penyuluhan Perilaku Hidup Bersih dan Sehat </t>
  </si>
  <si>
    <t xml:space="preserve">2.3.7. Penyuluhan Penyakit Menular dan Tidak Menular  </t>
  </si>
  <si>
    <t xml:space="preserve">2.3.8. Penyuluhan Program Pelayanan Kesehatan Kerja dan Olahraga  </t>
  </si>
  <si>
    <t xml:space="preserve">2.3.9. Pengadaan dan Distribusi Media KIE  </t>
  </si>
  <si>
    <t xml:space="preserve">2.3.10.Pelayanan Mobile Clinic  </t>
  </si>
  <si>
    <t xml:space="preserve">2.3.11.Monitoring dan Evaluasi Bidang Kesehatan Masyarakat  </t>
  </si>
  <si>
    <t xml:space="preserve">2.3.12.Akreditas Puskesmas Fef </t>
  </si>
  <si>
    <t xml:space="preserve">2.3.13.Kreasi dan Inovasi Program Promkes </t>
  </si>
  <si>
    <t xml:space="preserve">2.3.14.Pembinaan Kesjaor  </t>
  </si>
  <si>
    <t xml:space="preserve">2.4.1. Pengadaan Makanan Tambahan (MT)  </t>
  </si>
  <si>
    <t xml:space="preserve">2.4.2. Peningkatan Aplikasi Sistem Pelaporan Menggunakan EPGBM </t>
  </si>
  <si>
    <t xml:space="preserve">2.4.3. Magang Penanganan Kasus BBLR Sistem Kanguru di RSCM Surabaya   </t>
  </si>
  <si>
    <t xml:space="preserve">2.4.4. Asuhan Tatalaksana Gizi Buruk   </t>
  </si>
  <si>
    <t xml:space="preserve">2.4.5. Peningkatan Kapasitas Manajemen Terpadu Bayi Muda  </t>
  </si>
  <si>
    <t xml:space="preserve">2.4.6. Orientasi Manajemen Terpadu (MTBS) Bagi 15 Bidang Desa  </t>
  </si>
  <si>
    <t>2.5.  Program Pencegahan dan Penanggulangan Penyakit Menular</t>
  </si>
  <si>
    <t xml:space="preserve">2.5.1. Pelayanan WUS </t>
  </si>
  <si>
    <t xml:space="preserve">2.5.2. Pencegahan Malaria </t>
  </si>
  <si>
    <t xml:space="preserve">2.5.3. Pelayanan Bulan Imunisasi Anak Sekolah </t>
  </si>
  <si>
    <t>2.5.4. Pelayanan Campak Missel Rubella</t>
  </si>
  <si>
    <t xml:space="preserve">2.5.5. Pelayanan Penyakit Kusta </t>
  </si>
  <si>
    <t xml:space="preserve">2.5.6. Pencegahan Penyakit Diare  </t>
  </si>
  <si>
    <t xml:space="preserve">2.5.7. Pencegahan Penyakit TB </t>
  </si>
  <si>
    <t xml:space="preserve">2.5.8. Pencegahan Penyakit DBD </t>
  </si>
  <si>
    <t xml:space="preserve">2.5.9. Pencegahan Penyakit STUNTING </t>
  </si>
  <si>
    <t xml:space="preserve">2.5.10.Pencegahan Penyakit ISPA </t>
  </si>
  <si>
    <t xml:space="preserve">2.5.11.Survei Kegiatan Imunisasi dan Supervisi </t>
  </si>
  <si>
    <t xml:space="preserve">2.5.14.Pelatihan Pencegahan Penyakit Kusta  </t>
  </si>
  <si>
    <t xml:space="preserve">2.5.12.Monitoring, Evaluasi danPembinaan Laporan Program Puskesmas </t>
  </si>
  <si>
    <t xml:space="preserve">2.5.13.Pelatihan Tenaga Teknis Cold Cjain  </t>
  </si>
  <si>
    <t xml:space="preserve">2.5.15.Pelatihan Pencegahan Penyakit TB </t>
  </si>
  <si>
    <t xml:space="preserve">2.5.16. Penyelidikan Epidemologi dan KLB  </t>
  </si>
  <si>
    <t xml:space="preserve">2.5.17.Pencegahan Penyakit Filariasis  </t>
  </si>
  <si>
    <t xml:space="preserve">2.5.18.Pelatihan Penyakti Filariasis  </t>
  </si>
  <si>
    <t xml:space="preserve">2.6.1. Pembangunan Puskesmas Yembun (Tahap II) </t>
  </si>
  <si>
    <t xml:space="preserve">2.6.2. Pengadaan Alkes Puskesmas Pembantu Arupi  </t>
  </si>
  <si>
    <t xml:space="preserve">2.6.3. Pengadaan Meubelair Puskesmas Pembantu Arupi  </t>
  </si>
  <si>
    <t xml:space="preserve">2.6.4. Pembangunan Sarana dan Prasarana Puskesmas Yembun  </t>
  </si>
  <si>
    <t xml:space="preserve">2.6.5. Pembangunan Puskesmas Pembantu Tobouw  </t>
  </si>
  <si>
    <t xml:space="preserve">2.6.6. Pembangunan Rumah Dinas Tenaga Medis Kopel RS Pratama Fe </t>
  </si>
  <si>
    <t>2.7. Program Peningkatan Pelayanan Kesehatan</t>
  </si>
  <si>
    <t xml:space="preserve">2.7.1. Penyediaan Tenaga Medis  </t>
  </si>
  <si>
    <t xml:space="preserve">2.7.2. Pengadaan Tenaga Kesehatan SMK / Sederajat </t>
  </si>
  <si>
    <t>2.8. Program Peningkatan Kualitas SDM Kader Kesehatan Desa</t>
  </si>
  <si>
    <t xml:space="preserve">2.8.1. Pelatihan Kader Posyandu  </t>
  </si>
  <si>
    <t xml:space="preserve">2.8.2. Pelatihan Pencatatan dan Pelaporan Program </t>
  </si>
  <si>
    <t>3.1.1. Pembangunan Jembatan Kayu Miyah Selatan</t>
  </si>
  <si>
    <t xml:space="preserve">3.1.2. Pembangunan Box Culvert Pada Ruas Jalan Sausapor - Mega </t>
  </si>
  <si>
    <t xml:space="preserve">3.1.3. Pembangunan Jalan Kasi Indah </t>
  </si>
  <si>
    <t xml:space="preserve">3.1.4. Pembangunan Jembatan Sujau  </t>
  </si>
  <si>
    <t xml:space="preserve">3.1.5. Pembangunan Jembatan Dalam Kota Fef (Isako) Tahap II (2x25M) </t>
  </si>
  <si>
    <t>3.2. Program rehabilitasi/pemeliharaan jalan dan jembatan</t>
  </si>
  <si>
    <t xml:space="preserve">3.2.1. Rehabilitasi/Pemeliharaan Jalan dan Jembatan (Kontrak)  </t>
  </si>
  <si>
    <t>3.3. Program Pengembangan dan Pengelolaan Jaringan Irigasi, Rawa dan Jaringan Pengairan Lainnya</t>
  </si>
  <si>
    <t xml:space="preserve">3.3.1. Normalisasi Pemasangan Bronjong/Talud pada Aliran Sungai Warway  </t>
  </si>
  <si>
    <t>3.4. Program Pengembangan Kinerja Pengelolaan Air Minum dan Air Limbah</t>
  </si>
  <si>
    <t xml:space="preserve">3.4.1. Rehabilitasi Intake Air Minum Sausapor  </t>
  </si>
  <si>
    <t xml:space="preserve">3.4.2. Peningkatan SPAM Jaringan Perpipaan Distrik Sausapor  </t>
  </si>
  <si>
    <t xml:space="preserve">4.1.1. Pembangunan Sarana dan Prasarana Rumah Sederhana Sehat- Distrik Sausapor  </t>
  </si>
  <si>
    <t xml:space="preserve">4.1.2. Pembangunan Sarana dan Prasarana Rumah Sederhana Sehat- Distrik Abun  </t>
  </si>
  <si>
    <t xml:space="preserve">4.1.3. Pembangunan Sarana dan Prasarana Rumah Sederhana Sehat- Distrik Kebar  </t>
  </si>
  <si>
    <t xml:space="preserve">4.1.4.Pembangunan Sarana dan Prasarana Rumah Sederhana Sehat- Distrik Fef  </t>
  </si>
  <si>
    <t>6. DINAS KETAHANAN PANGAN</t>
  </si>
  <si>
    <t>7. DINAS KEPENDUDUKAN DAN PENCATATAN SIPIL</t>
  </si>
  <si>
    <t>8. DINAS KOPERASI, PERINDUSTRIAN DAN PERDAGANGAN</t>
  </si>
  <si>
    <t>9. DINAS PARIWISATA DAN KEBUDAYAAN</t>
  </si>
  <si>
    <t>11. DINAS PERTANIAN</t>
  </si>
  <si>
    <t xml:space="preserve">11.1.1. Pengembangan Tanaman Rambutan  </t>
  </si>
  <si>
    <t xml:space="preserve">11.1.2. Pengembangan Tanaman Kacang Tanah </t>
  </si>
  <si>
    <t xml:space="preserve">11.1.4. Pengembangan Tanaman Durian </t>
  </si>
  <si>
    <t xml:space="preserve">11.1.5. Pengembangan Tanaman Siri </t>
  </si>
  <si>
    <t xml:space="preserve">2.5.12.Monitoring, Evaluasi dan Pembinaan Laporan Program Puskesmas </t>
  </si>
  <si>
    <t xml:space="preserve">4.1.2. Pelatihan Pembuatan Kue dan Makanan dari Bahan Lokal </t>
  </si>
  <si>
    <t>1.2.24.Penguatan Program Revitalisasi SMK</t>
  </si>
  <si>
    <t>1.2.26.Pembangunan 2 (dua) Ruang Kelas Baru dan Mebeluiar SMKS YABT Petra Kais Kab. Sorong Selatan</t>
  </si>
  <si>
    <t>1.2.27.Pembangunan Pagar SMKN 1 Kab. Sorong</t>
  </si>
  <si>
    <t>1.2.28.Pembangunan 2 (dua) Ruang Kelas Baru SMA YPK Teminabuan Kab. Sorong</t>
  </si>
  <si>
    <t>1.2.29.Pembangunan Pagar SMAN 1 Kota Sorong</t>
  </si>
  <si>
    <t>1.2.30.Pembangunan Laboratorium IPA SMKN 4 Prafi</t>
  </si>
  <si>
    <t>1.2.31.Pembangunan Laboratorium dan Ruang Praktek Sekolah</t>
  </si>
  <si>
    <t>1.2.32.Kajian Pembangunan SMK Maritim</t>
  </si>
  <si>
    <t>1.2.33.Penyediaan Peralatan UNBBK Sekolah SMK</t>
  </si>
  <si>
    <t>1.2.34.Pembangunan Ruang Kelas Baru SMA Negeri 1 Aitinyo Kabupaten Maybrat</t>
  </si>
  <si>
    <t>15.1. Program pembinaan dan pengembangan bidang ketenagalistrikan</t>
  </si>
  <si>
    <t>15.1.1.Pengembangan dan Pembangunan Lampu Tenaga Surya Hemat Energi (LTSHE)</t>
  </si>
  <si>
    <t>15.2. Program Pembinaan Dan Pengawasan Bidang Energi Dan Ketenagalistrikan</t>
  </si>
  <si>
    <t>15.2.1.Pembangunan Solarcell Tersebar / PLTS (OAP)</t>
  </si>
  <si>
    <t>15.3. Program Pengelolaan Potensi Air Bawah Tanah</t>
  </si>
  <si>
    <t>15.3.1.Pengadaan Air Bersih Melalui Sumur bor</t>
  </si>
  <si>
    <t>1.1.2. Pengadaan alat rumah tangga sekolah</t>
  </si>
  <si>
    <t>1.1.3. Rehabilitasi sedang/berat taman, lapangan upacara dan fasilitas parkir</t>
  </si>
  <si>
    <t>1.1.4. Pelatihan kompetensi tenaga pendidik</t>
  </si>
  <si>
    <t>1.1.5.Pengembangan kurikulum, bahan ajar dan model pembelajaran Pendidikan Anak Usia Dini</t>
  </si>
  <si>
    <t>1.1.6. Publikasi dan sosialisasi Pendidikan Anak Usia Dini</t>
  </si>
  <si>
    <t xml:space="preserve">1.1.7. Penyelenggaraan Pendidikan Anak Usia Dini  </t>
  </si>
  <si>
    <t>1.2.2. Pembangunan taman, lapangan upacara dan fasilitas parkir</t>
  </si>
  <si>
    <t>1.2.3. Pemeliharaan rutin/berkala perlengkapan sekolah</t>
  </si>
  <si>
    <t>1.2.4. Pelatihan Penyusunan kurikulum</t>
  </si>
  <si>
    <t>1.2.5. Penyediaan dana pengembangansekolah Untuk SD/MI/SDLB dan SMP/MTS</t>
  </si>
  <si>
    <t>1.2.6. Pembinaaan minat, bakat, dan kreativitas siswa</t>
  </si>
  <si>
    <t>1.2.7. Pengembangan Comprehensive Teaching And Learning (CTL)</t>
  </si>
  <si>
    <t>1.2.8.Pelaksanaan Seleksi Lomba Olimpiade Sains Nasional Tingkat SD</t>
  </si>
  <si>
    <t>1.2.10.Pelaksanaan Ujian Nasional SD/MI dan SMP/MTs</t>
  </si>
  <si>
    <t>1.2.11.Penyediaan Bantuan Operasional Sekolah Daerah (BOSDA) Jenjang SMP dan Paket B</t>
  </si>
  <si>
    <t xml:space="preserve">1.3. Program Pendidikan Non Formal </t>
  </si>
  <si>
    <t xml:space="preserve">1.4.  Program Peningkatan Mutu Pendidik dan Kependidikan </t>
  </si>
  <si>
    <t>1.4.1. pelatihan bagi pendidik untuk memenuhi standar kompetensi</t>
  </si>
  <si>
    <t>1.4.2. Monitoring, evaluasi dan pelaporan</t>
  </si>
  <si>
    <t>1.4.3. Pelatihan Penguatan Kapasitas Tim Penilai Angka Kredit Guru dan Tenaga Kependidikan</t>
  </si>
  <si>
    <t xml:space="preserve">1.5. Program manajemen Pelayanan Pendidikan </t>
  </si>
  <si>
    <t>22.1.3. Inventarisasi Hak Ulayat / Hak Adat Masyarakat</t>
  </si>
  <si>
    <t>22.3.2. Pendampingan Penyusunan Perencanaan Distrik</t>
  </si>
  <si>
    <t>22.3.3. Pameran OTSUS</t>
  </si>
  <si>
    <t>masuk fungsi kesehatan</t>
  </si>
  <si>
    <t>1.1.1. Rehabilitasi Sedang / Berat Gedung Kantor</t>
  </si>
  <si>
    <t>1.2.1. Pelatihan Kompetensi Tenaga Pendidik</t>
  </si>
  <si>
    <t>1.2.2. Penyelenggaan Pendidikan Anak Usia Dini</t>
  </si>
  <si>
    <t>1.2.3. Pengembangan Data dan Informasi Pendidikan Anak Usia Dini</t>
  </si>
  <si>
    <t>1.2.5. Publikasi dan Sosialisasi Pendidikan Anak Usia Dini</t>
  </si>
  <si>
    <t>1.2.6. Bimbingan Teknis Operator Scanner Lembar Kerja Komputer (LJK) Paket A, Paket B dan Paket C</t>
  </si>
  <si>
    <t>1.2.7. Pelatihan Managemen Pengelolaan Lembaga Satuan Pendidikan PAUD dan PNF Bekerjasama dengan Lembaga Kursus Komputer</t>
  </si>
  <si>
    <t>1.2.8. Pendidikan dan Kecakapan Kerja Kursus / Pelatihan Komputer Bagi Masyarakat Bekerjasama dengan Lembaga Kursus Komputer</t>
  </si>
  <si>
    <t>1.2.9. Sosialisasi dan Bimtek Akreditasi PAUD dan PNF dalam rangka SPM PAUD</t>
  </si>
  <si>
    <t>1.2.10.Pendampingan dan Verifikasi Akreditasi PAUD dan PNF</t>
  </si>
  <si>
    <t>1.2.11.Bimbingan Keaksaraan Usaha Mandiri (KUM)</t>
  </si>
  <si>
    <t>1.2.12.Workshop Peningkatan Kreatifitas Pendidik PAUD dan APE</t>
  </si>
  <si>
    <t>1.2.13.Workshop Penguatan Karakter Bagi Pendidik PAUD</t>
  </si>
  <si>
    <t>1.2.14.Penyelenggaraan PORSENI bagi Peserta Didik PAUD</t>
  </si>
  <si>
    <t>1.2.15.Penguatan Kualitas Kelembagaan Pengelola PKBM dalam Rangka Pelaksanaan SPM PKBM</t>
  </si>
  <si>
    <t>1.3.1. Pembangunan Rumah Dinas Kepala Sekolah, Guru, Penjaga Sekolah</t>
  </si>
  <si>
    <t>1.3.2. Penambahan Ruang Kelas Sekolah</t>
  </si>
  <si>
    <t>1.3.3. Penambahan Ruang Guru Sekolah</t>
  </si>
  <si>
    <t>1.3.4. Pembangunan Taman, Lapangan Upacara dan Fasilitas Parkir</t>
  </si>
  <si>
    <t>1.3.9.Pembinaan Minat, Bakat dan Kreativitas Siswa</t>
  </si>
  <si>
    <t>1.3.10.Pengembangan Comprehensive Teaching And Learning (CTL)</t>
  </si>
  <si>
    <t>1.3.13.Monitoring, Evaluasi dan Pelaporan (Dana BOS)</t>
  </si>
  <si>
    <t>1.3.15.Lomba Olimpiade Sains IPA dan Matematika Tingkat SD</t>
  </si>
  <si>
    <t>1.3.16.Penyelenggaraan Pembinaan dan Lomba Olimpiade Sains Nasional Tingkat SMP</t>
  </si>
  <si>
    <t>1.3.17.Pelatihan Penyusunan Kurikulum</t>
  </si>
  <si>
    <t>1.3.18.Sosialisasi BSM</t>
  </si>
  <si>
    <t>1.3.19.Sosialisasi Dana BOS</t>
  </si>
  <si>
    <t>1.3.20.Pembinaan Karakter Bagi Siswa SMP / MTs</t>
  </si>
  <si>
    <t>1.3.21.Pembinaan Sains Eksakta SD</t>
  </si>
  <si>
    <t xml:space="preserve">1.3.22.Penyelenggaraan Akselerasi Eksakta Bagi Siswa SMP Putra / I Asli Papua </t>
  </si>
  <si>
    <t>1.4.1. Penyelenggaraan Paket C setara SMU</t>
  </si>
  <si>
    <t>1.4.2. Penyelenggaraan Akreditasi Sekolah Menengah</t>
  </si>
  <si>
    <t>1.4.3. Seleksi Afirmas Pendidikan Menengah UP4B</t>
  </si>
  <si>
    <t xml:space="preserve">1.4.4. Pendidikan Lanjut Tingkat SMA Bagi Putra - Putri Papua Berprestasi  </t>
  </si>
  <si>
    <t>1.4.5. Monitoring, Evaluasi dan Pelaporan Afirmasi ADIK dan ADEM</t>
  </si>
  <si>
    <t>1.5.1. Penyediaan Sarana dan Prasarana Pendidikan Non Formal</t>
  </si>
  <si>
    <t>1.5.2. Pengembangan Data dan Informasi Pendidikan Non Formal</t>
  </si>
  <si>
    <t>1.5.3. Pengembangan Kurikulum, Bahan Ajar dan Model Pembelajaran Pendidikan Non Formal</t>
  </si>
  <si>
    <t>1.6. Program Peningkatan Mutu Pendidik dan Tenaga Kependidikan</t>
  </si>
  <si>
    <t>1.6.1. Pelaksanaan Uji Kompetensi Pendidik dan Tenaga Kependidikan</t>
  </si>
  <si>
    <t>1.6.2. Pengembangan Sistem Penghargaan dan Perlindungan Terhadap Profesi Pendidik</t>
  </si>
  <si>
    <t>1.7.1. Pelaksanaan Kerjasama Secara Kelembagaan Di Bidang Pendidikan</t>
  </si>
  <si>
    <t>1.7.2. Sosialisasi dan Advokasi Berbagai Peraturan Pemerintah Di Bidang Pendidikan</t>
  </si>
  <si>
    <t>1.7.3. Monitoring, Evaluasi dan Pelaporan</t>
  </si>
  <si>
    <t xml:space="preserve">1.7.4. Seleksi Afirmasi Perguruan Tinggi UP4B </t>
  </si>
  <si>
    <t>1.8. Program Pengembangan Kebijakan dan Manajemen Olah Raga</t>
  </si>
  <si>
    <t>1.8.1. Pengembangan Sistem Sertifikasi dan Standarisasi Profesi</t>
  </si>
  <si>
    <t>1.9. Program Pembinaan dan Pemasyarakatan Olah Raga</t>
  </si>
  <si>
    <t>1.9.1. Mengikuti Kompetesi LSP</t>
  </si>
  <si>
    <t>2.1.1. Pengadaan Perlengkapan Gedung Kantor</t>
  </si>
  <si>
    <t>2.1.2. Rehabilitasi Sedang / Berat Rumah Dinas</t>
  </si>
  <si>
    <t>2.2.1. Pendidikan dan Pelatihan Formal</t>
  </si>
  <si>
    <t>2.3.1. Pengadaan Obat dan Perbekalan Kesehatan</t>
  </si>
  <si>
    <t>2.4. Program Upaya Kesehatan Masyarakat</t>
  </si>
  <si>
    <t>2.4.1. Revatalisasi Sistem Kesehatan</t>
  </si>
  <si>
    <t>2.4.2. Monitoring, Evaluasi dan Pelaporan</t>
  </si>
  <si>
    <t>2.4.3. Penyediaan Biaya Operasional dan Pemeliharaan</t>
  </si>
  <si>
    <t>2.4.4. Penyediaan Biaya Operasional Puskesmas Fakfak Kota</t>
  </si>
  <si>
    <t>2.4.5. Penyediaan Biaya Operasional Puskesmas Fakfak Tengah</t>
  </si>
  <si>
    <t>2.4.6. Penyediaan Biaya Operasional Puskesmas Sekban</t>
  </si>
  <si>
    <t xml:space="preserve">2.4.7. Penyediaan Biaya Operasional Puskesmas Weri </t>
  </si>
  <si>
    <t xml:space="preserve">2.4.8. Penyediaan Biaya Operasional Puskesmas Karas </t>
  </si>
  <si>
    <t>2.4.9. Penyediaan Biaya Operasional Puskesmas Werba</t>
  </si>
  <si>
    <t>2.4.10.Penyediaan Biaya Operasional Puskesmas Kramongmongga</t>
  </si>
  <si>
    <t>2.4.11.Penyediaan Biaya Operasional Puskesmas Degen</t>
  </si>
  <si>
    <t>2.4.12.Penyediaan Biaya Operasional Puskesmas Kokas</t>
  </si>
  <si>
    <t>2.4.13.Penyediaan Biaya Operasional Puskesmas Bomberay</t>
  </si>
  <si>
    <t>2.5. Program Pengawasan Obat dan Makanan</t>
  </si>
  <si>
    <t>2.5.1. Peningkatan Penyidikan dan Penegakan Hukum di Bidang Obat dan Makanan</t>
  </si>
  <si>
    <t>2.6. Program Pengembangan Obat Asli Indonesia</t>
  </si>
  <si>
    <t>2.6.1. Pengembangan Standarisasi Tanaman Obat Bahan Alam Indonesia</t>
  </si>
  <si>
    <t>2.7. Program Promosi Kesehatan dan Pemberdayaan Masyarakat</t>
  </si>
  <si>
    <t>2.7.1. Pengembangan Media Promosi dan Informasi Sadar Hidup Sehat</t>
  </si>
  <si>
    <t>2.7.2. Penyuluhan Masyarakat Pola Hidup Sehat</t>
  </si>
  <si>
    <t>2.7.3. Peningkatan Pemanfaatan Sarana Kesehatan</t>
  </si>
  <si>
    <t>2.8. Program Perbaikan Gizi Masyarakat</t>
  </si>
  <si>
    <t>2.8.1. Penanggulangan Kurang Energi Protein (KEP), Anemia Gizi Besi, Gangguan Akibat Kurang Yodium (GAKY), Kurang Vitamin A, dan Kekurangan Zat Gizi Mikro Lainnya</t>
  </si>
  <si>
    <t>2.8.2. Monitoring, Evaluasi dan Pelaporan</t>
  </si>
  <si>
    <t>2.9. Program Pengembangan Lingkungan Sehat</t>
  </si>
  <si>
    <t>2.9.1. Pengkajian Pengembangan Lingkungan Sehat</t>
  </si>
  <si>
    <t>2.10. Program Pencegahan dan Penanggulangan Penyakit Menular</t>
  </si>
  <si>
    <t>2.10.1. Penyemprotan / Fogging Sarang Nyamuk</t>
  </si>
  <si>
    <t>2.10.2. Pelayanan Pencegahan dan Penanggulangan Penyakit Menular</t>
  </si>
  <si>
    <t>2.10.3. Peningkatan Imunisasi</t>
  </si>
  <si>
    <t>2.10.4. Peningkatan Survellance Epidemiologi an Penanggulangan Wabah</t>
  </si>
  <si>
    <t>2.10.5. Monitoring, Evaluasi dan Pelaporan</t>
  </si>
  <si>
    <t>2.11. Program Standarisasi Pelayanan Kesehatan</t>
  </si>
  <si>
    <t>2.11.1. Penyusunan Standar Pelayanan Kesehatan</t>
  </si>
  <si>
    <t>2.11.2. Evaluasi dan Pengembangan Standar Pelayanan Kesehatan</t>
  </si>
  <si>
    <t>2.11.3. Pembangunan dan Pemutakhiran Data Dasar Standar Pelayanan Kesehatan</t>
  </si>
  <si>
    <t>2.12. Program Pelayanan Kesehatan Penduduk Miskin</t>
  </si>
  <si>
    <t>2.12.1. Pelayanan Kesehatan Masyarakat</t>
  </si>
  <si>
    <t>2.13. Program Pengadaan, Peningkatan dan Perbaikan Sarana dan Prasarana Puskesmas / Puskesmas Pembantu dan Jaringannya</t>
  </si>
  <si>
    <t>2.13.1. Pengadaan Sarana dan prasarana Puskesmas</t>
  </si>
  <si>
    <t>2.13.2. Rehabilitasi Sedang / Berat Puskesmas Pembantu</t>
  </si>
  <si>
    <t>2.13.3. Monitoring, Evaluasi dan Pelaporan</t>
  </si>
  <si>
    <t>2.13.4. Pengadaan Sarana dan prasarana Puskesmas</t>
  </si>
  <si>
    <t>2.14. Program Peningkatan Pelayanan Kesehatan Lansia</t>
  </si>
  <si>
    <t>2.14.1. Monitoring, Evaluasi dan Pelaporan</t>
  </si>
  <si>
    <t>2.15. Program Peningkatan Keselamatan Ibu Melahirkan dan Anak</t>
  </si>
  <si>
    <t>2.15.1. Perawatan Secara Berkala Bagi Ibu Hamil Bagi Keluarga Kurang Mampu</t>
  </si>
  <si>
    <t>3.1. Program Peningkatan Disiplin Aparatur</t>
  </si>
  <si>
    <t>3.1.1. Pengadaan Pakaian Kerja Lapangan</t>
  </si>
  <si>
    <t>3.2. Program Pelayanan Kesehatan Penduduk Miskin</t>
  </si>
  <si>
    <t xml:space="preserve">3.2.1. Pelayanan Kesehatan Masyarakat  </t>
  </si>
  <si>
    <t>4.1. Program Manajemen Pelayanan Pendidikan</t>
  </si>
  <si>
    <t>4.1.2. Penyediaan Sarana dan Prasarana Asrama</t>
  </si>
  <si>
    <t>4.4. Program Pengembangan Perumahan</t>
  </si>
  <si>
    <t>4.4.1. Pembangunan Fasilitas Umum dan Fasilitas Sosial Keagamaan</t>
  </si>
  <si>
    <t>4.5. Program Pengelolaan Areal Pemakaman</t>
  </si>
  <si>
    <t>4.5.1. Pembangunan Sarana dan Prasarana Pemakaman</t>
  </si>
  <si>
    <t>5.1. Program Peningkatan dan Kenyamanan Lingkungan</t>
  </si>
  <si>
    <t>5.1.1. Pengendalian Keamanan Lingkungan</t>
  </si>
  <si>
    <t>5.2. Program Pengembangan Wawasan Kebangsaan</t>
  </si>
  <si>
    <t>5.2.1. Peningkatan Toleransi dan Kerukunan Dalam Kehidupan Beragama</t>
  </si>
  <si>
    <t>5.2.2. Peningkatan Kesadaran Masyarakat akan Nilai-Nilai Luhur Budaya Bangsa</t>
  </si>
  <si>
    <t>5.3. Program Peningkatan Pemberantasan Penyakit Masyarakat (Pekat)</t>
  </si>
  <si>
    <t>5.3.1. Penyuluhan Pencegahan Peredaran / Penggunaan Minuman Keras dan Narkoba</t>
  </si>
  <si>
    <t>5.4. Program Pendidikan Politik Masyarakat</t>
  </si>
  <si>
    <t>5.4.1. Penyuluhan Kepada Masyarakat</t>
  </si>
  <si>
    <t>6. SATUAN POLISI PAMONG PRAJA</t>
  </si>
  <si>
    <t>6.1. Program Pemberdayaan Masyarakat Untuk Menjaga Ketertiban dan Keamanan</t>
  </si>
  <si>
    <t>6.1.1. Pembentukan Satuan Keamanan Lingkungan di Masyarakat</t>
  </si>
  <si>
    <t>7.1. Program Upaya Kesehatan Masyarakat</t>
  </si>
  <si>
    <t>7.1.1. Pemeliharaan dan Pemulihan Kesehatan</t>
  </si>
  <si>
    <t>7.2.1. Pembangunan Sarana dan Prasarana Rumah Sederhana Sehat</t>
  </si>
  <si>
    <t>7.3. Program Pemberdayaan Fakir Miskin, Komunitas Adat Terpencil (KAT) &amp; Penyandang Masalah Kesejahteraan Sosial (PMKS) Lainnya</t>
  </si>
  <si>
    <t>7.3.1. Peningkatan Kemampuan (Capacity Building) Petugas dan Pendamping Sosial Pemberdayaan Fakir Miskin , KAT dan PMKS Lainnya</t>
  </si>
  <si>
    <t>7.3.2. Pelatihan Keterampilan Bagi Penyandang Masalah Kesejahteraan Sosial</t>
  </si>
  <si>
    <t>7.4. Program Pelayanan Dan Rehabilitasi Kesejahteraan Sosial</t>
  </si>
  <si>
    <t>7.4.1. Pelayanan &amp; Perlindungan Sosial,Hukum bagi Korban Eksploitasi,Perdagangan Perempuan &amp; Anak</t>
  </si>
  <si>
    <t>7.4.2. Peningkatan Kualitas Pelayanan, Sarana, dan Prasarana Rehabilitasi Kesejahteraan Sosial Bagi PMKS</t>
  </si>
  <si>
    <t>7.4.4. Pembinaan dan Pelayanan Anggota Veteran</t>
  </si>
  <si>
    <t>7.4.5. Keluarga Harapan (PKH)</t>
  </si>
  <si>
    <t>7.5. Program Pembinaan Para Penyandang Cacat dan Trauma</t>
  </si>
  <si>
    <t>7.5.1. Pendidikan dan Pelatihan Bagi Penyandang Cacat dan Eks Trauma</t>
  </si>
  <si>
    <t>7.6. Program Pembinaan Panti Asuhan / Panti Jompo</t>
  </si>
  <si>
    <t>7.6.1. Monitoring, Evaluasi dan Pelaporan</t>
  </si>
  <si>
    <t>7.7. Program Pembinaan Eks Penyandang Penyakit Sosial (Eks Narapidana, PSK, Narkoba dan Penyakit Sosial Lainnya)</t>
  </si>
  <si>
    <t>7.7.1. Pemantauan Kemajuan Perubahan Sikap Mental Eks Penyandang Penyakit Sosial</t>
  </si>
  <si>
    <t>8. BADAN PENANGGULANGAN BENCANA DAERAH</t>
  </si>
  <si>
    <t>Penyediaan Jasa Admnistrasi Perkantoran</t>
  </si>
  <si>
    <t>8.1. Program Pembangunan Turap/Talud/Bronjol</t>
  </si>
  <si>
    <t>8.1.1. Pembangunan Turap/Talud/Bronjol</t>
  </si>
  <si>
    <t>8.2. Program Pencegahan Dini dan Penanggulangan Korban Bencana Alam</t>
  </si>
  <si>
    <t>8.2.1. Pemantauan dan Penyebarluasan Informasi Potensi Bencana Alam</t>
  </si>
  <si>
    <t>8.3. Program Pelayanan Administrasi Perkantoran</t>
  </si>
  <si>
    <t>8.4. Program Peningkatan Kapasitas Sumber Daya Aparatur</t>
  </si>
  <si>
    <t>8.4.1. Sosialisasi Peraturan Perundang-undangan</t>
  </si>
  <si>
    <t>8.5. Program Perencanaan Pembangunan Daerah Rawan Bencana</t>
  </si>
  <si>
    <t>8.5.1. Pembangunan Daerah Rawan Bencana</t>
  </si>
  <si>
    <t>9. DINAS PEMBERDAYAAN PEREMPUAN, PERLINDUNGAN ANAK, PENGENDALIAN PENDUDUK DAN KELUARGA BERENCANA</t>
  </si>
  <si>
    <t>9.1. Program Keserasian Kebijakan Peningkatan Kualitas Anak dan Perempuan</t>
  </si>
  <si>
    <t>9.1.1. Perumusan Kebijakan Peningkatan Kualitas Hidup Perempuan Di Bidang Ilmu Pengetahuan &amp; Teknologi</t>
  </si>
  <si>
    <t xml:space="preserve">9.1.2. Pelaksanaan sosialisasi yang terkait dengan kesetaraan gender, pemberdayaan perempuan dan perlindungan anak  </t>
  </si>
  <si>
    <t xml:space="preserve">9.1.3. Pengembangan Forum Anak Daerah  </t>
  </si>
  <si>
    <t>9.1.4. Penguatan Kelembagaan Forum Anak Daerah</t>
  </si>
  <si>
    <t xml:space="preserve">9.1.5. Tata Cara Penanganan Kekerasan Terhadap Perempuan dan Anak  </t>
  </si>
  <si>
    <t>9.1.6. Pelaksanaan Sosialisasi Perlindungan &amp; Pemenuhan Hak Anak</t>
  </si>
  <si>
    <t>9.1.7. Pembinaan Usaha Kelompok Perempuan</t>
  </si>
  <si>
    <t>9.2.1. Pengembangan materi dan pelaksanaan KIE tentang kesetaraan dan keadilan gender (KKG)</t>
  </si>
  <si>
    <t>9.3.1. Sosialisasi dan Advokasi Kebijakan Penghapusan Buta Aksara Perempuan (PBAP)</t>
  </si>
  <si>
    <t>9.4. Program Peningkatan Peran Serta dan Kesetaraan Jender Dalam Pembangunan</t>
  </si>
  <si>
    <t>9.4.1. Kegiatan Pembinaan Organisasi Perempuan</t>
  </si>
  <si>
    <t>9.4.2. Kegiatan Penyuluhan Bagi Ibu Rumah Tangga Dalam Membangun Keluarga Sejahtera</t>
  </si>
  <si>
    <t>9.4.3. Kegiatan bimbingan manajemen usah abagi perempuan dalam mengelola usaha</t>
  </si>
  <si>
    <t>9.5. Program Keluarga Berencana</t>
  </si>
  <si>
    <t>9.5.1. Pelayanan KIE</t>
  </si>
  <si>
    <t>9.6. Program Kesehatan Reproduksi Remaja</t>
  </si>
  <si>
    <t>9.6.1. Advokasi dan KIE tentang Kesehatan Reproduksi Remaja (KRR)</t>
  </si>
  <si>
    <t>9.7. Program Pelayanan Kontrasepsi</t>
  </si>
  <si>
    <t>9.7.1. Pelayanan Konseling KB</t>
  </si>
  <si>
    <t>9.8. Program Pembinaan Peran Serta Masyarakat Dalam Pelayanan KB / KR Yang Mandiri</t>
  </si>
  <si>
    <t>9.8.1. Fasilitasi Pembentukan Kelompok Masyarakat Peduli KB</t>
  </si>
  <si>
    <t>9.9. Program Promosi Kesehatan Ibu, Bayi dan Anak Melalui Kelompok Kegiatan di Masyarakat</t>
  </si>
  <si>
    <t>9.9.1. Penyuluhan Kesehatan Ibu, Bayi dan Anak melalui Kelompok di Masyarakat</t>
  </si>
  <si>
    <t>9.10. Program Peningkatan Penanggulangan Narkoba, PMS termasuk HIV/AIDS</t>
  </si>
  <si>
    <t>9.10.1. Penyuluhan penanggulangan narkoba dan PMS di sekolah</t>
  </si>
  <si>
    <t>9.11. Program Pengembangan Bahan Informasi Tentang Pengasuhan dan Pembinaan Tumbuh Kembang Anak</t>
  </si>
  <si>
    <t>9.11.1. Pengumpulan Bahan Informasi Tentang Pengasuhan dan Pembinaan Tumbuh Kembang Anak</t>
  </si>
  <si>
    <t>9.12. Program Penyiapan Tenaga Pedamping Kelompok Bina Keluarga</t>
  </si>
  <si>
    <t>9.12.1. Pelatihan tenaga pedamping kelompok bina keluarga di kecamatan</t>
  </si>
  <si>
    <t>10.1. Program Pengembangan Kinerja Pengelolaan Persampahan</t>
  </si>
  <si>
    <t xml:space="preserve">10. DINAS LINGKUNGAN HIDUP DAN PERTANAHAN </t>
  </si>
  <si>
    <t>10.1.1. Penyediaan Prasarana dan Sarana Pengelolaan Persampahan</t>
  </si>
  <si>
    <t>10.2. Program Pengendalian Pencemaran dan Perusakan Lingkungan Hidup</t>
  </si>
  <si>
    <t>10.2.1. Pengkajian Dampak Lindungan</t>
  </si>
  <si>
    <t>10.2.2. Penyusunan Kebijakan Pengendalian Pencemaran dan Perusakan Lingkungan Hidup</t>
  </si>
  <si>
    <t>10.3. Program Perlindungan dan Konservasi Sumber Daya Alam</t>
  </si>
  <si>
    <t>10.3.1. Pengendalian Kerusakan Hutan dan Lahan</t>
  </si>
  <si>
    <t>10.4. Program Peningkatan Kualitas dan Akses Informasi Sumber Daya Alam dan Lingkungan Hidup</t>
  </si>
  <si>
    <t>10.4.1. Peningkatan Edukasi dan Komunikasi Masyarakat Di Bidang Lingkungan</t>
  </si>
  <si>
    <t>10.5. Program pengelolaan dan rehabilitasi ekosistem pesisir dan laut</t>
  </si>
  <si>
    <t xml:space="preserve">10.5.1. Pengelolaan dan rehabilitasi ekosistem pesisir dan laut </t>
  </si>
  <si>
    <t>11. DINAS KEPENDUDUKAN DAN PENCATATAN SIPIL</t>
  </si>
  <si>
    <t>11.1. Penataan Administrasi Kependudukan</t>
  </si>
  <si>
    <t>11.1.1. Peningkatan Pelayanan Publik dalam Bidang Kependudukan</t>
  </si>
  <si>
    <t>11.1.2. Sosialisasi Kebijakan Kependudukan</t>
  </si>
  <si>
    <t>12.1.1. Penyelenggaraan Pendidikan dan Pelatihan Tenaga Teknis dan Masyarakat</t>
  </si>
  <si>
    <t>12.1.2. Pelaksanaan Lomba Kampung / Keluarahan</t>
  </si>
  <si>
    <t>12.2. Program Pengembangan Lembaga Ekonomi Pedesaan</t>
  </si>
  <si>
    <t>12.2.1. Pelatihan Ketrampilan Manajemen Badan Usaha Milik Desa</t>
  </si>
  <si>
    <t>12.2.2. Monitoring, Evaluasi dan Pelaporan</t>
  </si>
  <si>
    <t>12.3. Program Peningkatan Partisipasi Masyarakat dalam Membangun Desa</t>
  </si>
  <si>
    <t>12.3.1. Pembinaan Kelompok Masyarakat Pembangunan Desa</t>
  </si>
  <si>
    <t>12.3.2. Pencanangan Bulan Bahkti Gotong Royong</t>
  </si>
  <si>
    <t>12.4. Program Peningkatan Kapasitas Aparatur Pemerintah Desa</t>
  </si>
  <si>
    <t>12.4.1. Pelatihan Aparatur Pemerintah Desa Dalam Bidang Manajemen Pemerintahan Desa</t>
  </si>
  <si>
    <t>12.4.2. Monitoring, Evaluasi dan Pelaporan</t>
  </si>
  <si>
    <t>12.5. Program Pembinaan Dan Fasilitasi Pengelolaan Keuangan Desa</t>
  </si>
  <si>
    <t>12.5.1. Pelatihan Aparatur Pemerintah Desa dalam bidang Pengelolaan Keuangan Kampung</t>
  </si>
  <si>
    <t>13.1.1. Rehabilitasi Sedang / Berat Gedung Kantor</t>
  </si>
  <si>
    <t>13.2. Program Pembangunan Prasarana dan Fasilitas Perhubungan</t>
  </si>
  <si>
    <t>13.2.1. Perencanaan Pembangunan Prasarana dan Fasilitas Perhubungan</t>
  </si>
  <si>
    <t>13.3. Program Pengendalian dan Pengamanan Lalu Lintas</t>
  </si>
  <si>
    <t>13.3.1. Pengadaan Rambu - Rambu Lalu Lintas</t>
  </si>
  <si>
    <t xml:space="preserve">13.3.2. Pengadaan Pagar Pengaman Jalan  </t>
  </si>
  <si>
    <t>14. DINAS KOPERASI, USAHA KECIL DAN MENENGAH</t>
  </si>
  <si>
    <t>14.1. Program Penciptaan Iklim Usaha Usaha Kecil Menengah Yang Konduksif</t>
  </si>
  <si>
    <t>14.1.1. Fasilitasi Pengembangan Usaha Kecil Menengah</t>
  </si>
  <si>
    <t>14.2. Program Pengembangan Kewirausahaan dan Keunggulan Kompetatif Usaha Kecil dan Menengah</t>
  </si>
  <si>
    <t>14.2.1. Memfasilitasi Peningkatan Kemitraan Usaha Bagi Usaha Mikro Kecil Menengah</t>
  </si>
  <si>
    <t>14.2.2. Penyelenggaraan Pelatihan Kewirausahaan</t>
  </si>
  <si>
    <t>14.2.3. Pelatihan Manajemen Pengelolaan Koperasi/KUD</t>
  </si>
  <si>
    <t>14.3. Program Pengembangan Sistem Pendukung Usaha Bagi Usaha Mikro Kecil Menengah</t>
  </si>
  <si>
    <t>14.3.1. Penyelenggaraan Promosi Produk Usaha Mikro Kecil Menengah</t>
  </si>
  <si>
    <t>14.4. Program Peningkatan Kualitas Kelembagaan Koperasi</t>
  </si>
  <si>
    <t>14.4.1. Pembinaan, Pengawasan dan Penghargaan Koperasi Berprestasi</t>
  </si>
  <si>
    <t>15. DINAS KEARSIPAN DAN PERPUSTAKAAN</t>
  </si>
  <si>
    <t>15.1. Program Pengembangan Budaya Baca dan Pembinaan Perpustakaan</t>
  </si>
  <si>
    <t>15.1.1. Pemasyarakatan Minat dan Kebiasaan Membaca Untuk Mendorang Terwujudnya Masyarakat Pembelajar</t>
  </si>
  <si>
    <t>15.1.2. Penyedian Bantuan Pengembangan Perpustakaan dan Minat Baca di Daerah</t>
  </si>
  <si>
    <t>15.1.3. Publikasi dan Sosialisasi Minat dan Budaya Baca</t>
  </si>
  <si>
    <t>15.2. Program Kemitraan Pengembangan Wawasan Kebangsaan</t>
  </si>
  <si>
    <t>15.2.1. Pentas Seni dan Budaya, Festifal, Lomba Cipta Dalam Upaya Peningkatan Wawasan Kebangsaan</t>
  </si>
  <si>
    <t>15.3. Program Peningkatan Kualitas Pelayanan Informasi</t>
  </si>
  <si>
    <t>15.3.1. Penyediaan Sarana Layanan Informasi Arsip</t>
  </si>
  <si>
    <t>16. DINAS PERIKANAN DAN KELAUTAN</t>
  </si>
  <si>
    <t>16.1.1. Pembangunan Rumah Dinas</t>
  </si>
  <si>
    <t>16.2. Program Pemberdayaan Ekonomi Masyarakat Pesisir</t>
  </si>
  <si>
    <t>16.2.1. Pendampingan Program Pengembangan Usaha Mina Pedesaan (PUMP)</t>
  </si>
  <si>
    <t>16.3. Program Pemberdayaan Masyarakat Dalam Pengawasan dan Pengendalian Sumber Daya Kelautan</t>
  </si>
  <si>
    <t>16.3.1. Patroli Laut</t>
  </si>
  <si>
    <t>16.4. Program Peningkatan Kesadaran dan Penegakan Hukum Dalam Pendayagunaan Sumber Daya Laut</t>
  </si>
  <si>
    <t>16.4.1. Promosi dan Informasi Pendayagunaan Potensi Sumber Daya Laut</t>
  </si>
  <si>
    <t>16.5. Program Pengembangan Budi Daya Perikanan</t>
  </si>
  <si>
    <t>16.5.1. Pendampingan Pada Kelompokani Pembudiya Ikan</t>
  </si>
  <si>
    <t>16.5.2. Pembinaan dan Pengembangan Perikanan</t>
  </si>
  <si>
    <t>16.5.3. Pengembangan Budi Daya Rumput Laut di Kawasan Minapolitan</t>
  </si>
  <si>
    <t>16.5.4. Monitoring, Evaluasi Pelaporan</t>
  </si>
  <si>
    <t>16.5.5. Identifikasi dan Sosialisasi Program Budi Daya Perikanan</t>
  </si>
  <si>
    <t>16.5.6. Workshop Penguatan Sektor Swasta Usaha Rumput Laut Berkelanjutan</t>
  </si>
  <si>
    <t>16.6. Program Pengembangan Perikanan Tangkap</t>
  </si>
  <si>
    <t>16.6.1. Pemetaan Daerah Konservasi Ekowisata Pesisir dan Laut</t>
  </si>
  <si>
    <t>16.7. Program Optimalisasi Pengelolaan dan Pemasaran Produksi Perikanan</t>
  </si>
  <si>
    <t>16.7.1. Kajian Optimalisasi Pengelolaan dan Pemasaran Produksi Perikanan</t>
  </si>
  <si>
    <t>16.8. Program Pengembangan Kawasan Budi Daya Laut, Air Payau dan Air Tawar</t>
  </si>
  <si>
    <t>16.8.1. Kajian Kawasan Budidaya Laut, Air Payau dan Air Tawar</t>
  </si>
  <si>
    <t>16.8.2. Optimalisasi Sarana dan Prasarana Budi Daya Perikanan Laut, Payau dan Air Tawar</t>
  </si>
  <si>
    <t>17. DINAS PARIWISATA DAN KEBUDAYAAN</t>
  </si>
  <si>
    <t>17.1. Program Pengelolaan Kekayaan Budaya</t>
  </si>
  <si>
    <t>17.1.1. Fasilitasi Partisipasi Masyarakat Dalam Pengelolaan Kekayaan Budaya</t>
  </si>
  <si>
    <t>17.1.2. Penyusunan Kebijakan Pengelolaan Kekayaan Budaya Lokal Daerah</t>
  </si>
  <si>
    <t>17.1.3. Sosialisasi Pengelolaan Kekayaan Budaya Lokal Daerah</t>
  </si>
  <si>
    <t>17.2. Program Pengelolaan Keragaman Budaya</t>
  </si>
  <si>
    <t>17.2.1. Pengembangan Kesenian dan Kebudayaan Daerah</t>
  </si>
  <si>
    <t>17.2.2. Fasilitasi Penyelenggaraan Festifal Budaya Daerah</t>
  </si>
  <si>
    <t>17.3. Program Pengembangan Pemasaran Pariwisata</t>
  </si>
  <si>
    <t>17.3.1.  Peningkatan Pemanfaatan Teknologi Informasi Dalam Pemasaran Pariwisata</t>
  </si>
  <si>
    <t>17.4. Program Pengembangan Destinasi Pariwisata</t>
  </si>
  <si>
    <t>17.4.1. Pengembangan Objek Pariwisata Unggulan</t>
  </si>
  <si>
    <t>17.4.2. Pengembangan Daerah Tujuan Wisata</t>
  </si>
  <si>
    <t>17.5. Program Pengembangan Kemitraan</t>
  </si>
  <si>
    <t>17.5.1. Fasilitasi Pembentukan Forum Komunikasi Antar Pelaku Industri Pariwisata dan Budaya</t>
  </si>
  <si>
    <t>17.5.2. Pelaksanaan Koordinasi Pembangunan Kemitraan Pariwisata</t>
  </si>
  <si>
    <t>17.5.3. Pengembangan Sumber Daya Manusia dan Profesionalisme Kemitraan Pariwisata</t>
  </si>
  <si>
    <t>17.5.4. Peningkatan Peran Serta Masyarakat Dalam Pengembangan Kemitraan Pariwisata</t>
  </si>
  <si>
    <t>18.1.2. Peningkatan Kemampuan Lembaga Petani</t>
  </si>
  <si>
    <t>18.1.3. Pelatihan Pengolahan dan Promosi Hasil Produksi Pertanian</t>
  </si>
  <si>
    <t>18.2. Program Peningkatan Ketahanan Pangan (Pertanian/Perkebunan)</t>
  </si>
  <si>
    <t>18.2.1. Pemanfaatan Pekarangan Untuk Pengembangan Pangan</t>
  </si>
  <si>
    <t>18.2.2. Pemantauan dan Analisis Akses Pangan Masyarakat</t>
  </si>
  <si>
    <t>18.2.3. Pengembangan Desa Mandiri Pangan</t>
  </si>
  <si>
    <t>18.2.4. Pengembangan Diversifikasi Tanaman</t>
  </si>
  <si>
    <t>18.2.5. Peningkatan Mutu dan Keamanan Pangan</t>
  </si>
  <si>
    <t>18.2.6. Penyuluhan Sumber Pangan Alternatif</t>
  </si>
  <si>
    <t>18.2.7. Pengembangan Pertanian di Lahan Kering</t>
  </si>
  <si>
    <t>18.2.8. Pengembangan Tanaman Pangan Lokal</t>
  </si>
  <si>
    <t>18.2.9. Pengembangan Tanaman Sayur - sayuran</t>
  </si>
  <si>
    <t>18.2.10.Pengembangan Tanaman Buah - Buahan</t>
  </si>
  <si>
    <t>18.3. Program Peningkatan Penerapan Teknologi Pertanian/Perkebunan</t>
  </si>
  <si>
    <t>18.3.1. Kegiatan penyuluhan penerapan teknologi pertanian/perkebunan tepat guna</t>
  </si>
  <si>
    <t>18.3.2. Pelatihan dan Bimbingan Pengoperasian Teknologi Pertanian / Perkebunan Tepat Guna</t>
  </si>
  <si>
    <t>18.4. Program Peningkatan Produksi Pertanian / Perkebunan</t>
  </si>
  <si>
    <t>18.4.1. Penyuluhan dan Pendampingan Bagi Pertanian / Perkebunan</t>
  </si>
  <si>
    <t>18.5. Program Pencegahan dan Penanggulangan Penyakit Ternak</t>
  </si>
  <si>
    <t>18.5.1. Pemeliharaan Kesehatan dan Pencegahan Penyakit Menular Ternak</t>
  </si>
  <si>
    <t>18.6. Program Peningkatan Produksi Hasil Peternakan</t>
  </si>
  <si>
    <t>18.6.1. Pengembangan Agribisnis Peternakan</t>
  </si>
  <si>
    <t>19. DINAS PERKEBUNAN</t>
  </si>
  <si>
    <t>19.1. Program Peningkatan Kesejahteraan Petani</t>
  </si>
  <si>
    <t>19.1.1. Penyuluhan dan Pendampingan Petani dan Pelaku Agribisnis</t>
  </si>
  <si>
    <t>19.2. Program Peningkatan Ketahan Pangan (pertanian/perkebunan)</t>
  </si>
  <si>
    <t>19.2.1. Penanganan Pasca Panen dan Pengolahan Hasil Pertanian</t>
  </si>
  <si>
    <t>19.2.2. Pengembangan Perbenihan / Perbibitan</t>
  </si>
  <si>
    <t>19.3. Program Peningkatan Produksi Pertanian/Perkebunan</t>
  </si>
  <si>
    <t>19.3.1. Pemeliharaan Tanaman Pertanian dan Perkebunan</t>
  </si>
  <si>
    <t xml:space="preserve">19.3.2. Peningkatan usaha ekstensifikasi, rehabilitasi, intensifikasi dan diversifikasi komoditi perkebunan </t>
  </si>
  <si>
    <t xml:space="preserve">20. DINAS PERDAGANGAN DAN PERINDUSTRIAN </t>
  </si>
  <si>
    <t>20.1. Program Peningkatan Efisiensi Perdagangan Dalam Negeri</t>
  </si>
  <si>
    <t>20.1.1. Pengembangan Pasar dan Distribusi Barang / Produk</t>
  </si>
  <si>
    <t>20.2. Program Pengembangan Industri Kecil dan Menengah</t>
  </si>
  <si>
    <t>20.2.1. Fasilitasi bagi industri kecil dan menengah terhadap pemanfaatan sumber daya</t>
  </si>
  <si>
    <t>21. DINAS   TRANSMIGRASI   DAN   TENAGA  KERJA</t>
  </si>
  <si>
    <t>21.1. Program Peningkatan Kesempatan Kerja</t>
  </si>
  <si>
    <t>21.1.1. Penyiapan tenaga kerja siap pakai</t>
  </si>
  <si>
    <t>21.1.2. Pemberian fasilitasi dan mendorong sistem pendanaan pelatihan berbasis masyarakat</t>
  </si>
  <si>
    <t>21.2. Program Perlindungan dan Pengembangan Lembaga Ketenagakerjaan</t>
  </si>
  <si>
    <t>21.2.1. Sosialisasi Berbagai Peraturan Pelaksanaan Tentang Ketenagakerjaan</t>
  </si>
  <si>
    <t>21.3. Program Transmigrasi Lokal</t>
  </si>
  <si>
    <t>21.3.1. Pelatihan Transmigrasi Lokal</t>
  </si>
  <si>
    <t>22. DISTRIK ARGUNI</t>
  </si>
  <si>
    <t>22.1. Program Peningkatan Partisipasi Masyarakat Dalam Membangun Desa</t>
  </si>
  <si>
    <t>22.1.1. Monitoring, Evaluasi dan Pelaporan</t>
  </si>
  <si>
    <t>23. DISTRIK BOMBERAY</t>
  </si>
  <si>
    <t>23.1. Program Peningkatan Partisipasi Masyarakat Dalam Membangun Desa</t>
  </si>
  <si>
    <t>23.1.1. Monitoring, Evaluasi dan Pelaporan</t>
  </si>
  <si>
    <t>24. DISTRIK FAKFAK</t>
  </si>
  <si>
    <t>24.1. Program Peningkatan Keberdayaan Masyarakat Perdesaan</t>
  </si>
  <si>
    <t>24.1.1. Monitoring, Evaluasi dan Pelaporan</t>
  </si>
  <si>
    <t>25. DISTRIK FAKFAK BARAT</t>
  </si>
  <si>
    <t>25.1. Program Peningkatan Partisipasi Masyarakat Dalam Membangun Desa</t>
  </si>
  <si>
    <t>25.1.1. Monitoring, Evaluasi dan Pelaporan</t>
  </si>
  <si>
    <t>26. DISTRIK FAKFAK TENGAH</t>
  </si>
  <si>
    <t>26.1. Program Peningkatan Partisipasi Masyarakat Dalam Membangun Desa</t>
  </si>
  <si>
    <t>26.1.1. Monitoring, Evaluasi dan Pelaporan</t>
  </si>
  <si>
    <t>27. DISTRIK FAKFAK TIMUR</t>
  </si>
  <si>
    <t>27.1. Program Penataan Admnistrasi Kependudukan</t>
  </si>
  <si>
    <t>27.1.1. Pengembangan Data Base Kependudukan</t>
  </si>
  <si>
    <t>28. DISTRIK FAKFAK TIMUR TENGAH</t>
  </si>
  <si>
    <t>28.1. Program Peningkatan Keberdayaan Masyarakat Perdesaan</t>
  </si>
  <si>
    <t>28.1.1. Penyelenggaraan Diseminasi Informasi bagi Masyarakat Desa</t>
  </si>
  <si>
    <t>29. DISTRIK FURWAGI</t>
  </si>
  <si>
    <t>29.1. Program Peningkatan Partisipasi Masyarakat Dalam Membangun Desa</t>
  </si>
  <si>
    <t>29.1.1. Monitoring, Evaluasi dan Pelaporan</t>
  </si>
  <si>
    <t>30. DISTRIK KAYAUNI</t>
  </si>
  <si>
    <t>30.1. Program Peningkatan Partisipasi Masyarakat Dalam Membangun Desa</t>
  </si>
  <si>
    <t>30.1.1. Monitoring, Evaluasi dan Pelaporan</t>
  </si>
  <si>
    <t>31. DISTRIK KARAS</t>
  </si>
  <si>
    <t>31.1. Program Pengembangan Lembaga Ekonomi Pedesaan</t>
  </si>
  <si>
    <t>31.1.1. Monitoring, Evaluasi dan Pelaporan</t>
  </si>
  <si>
    <t>32. DISTRIK KOKAS</t>
  </si>
  <si>
    <t>32.1. Program Peningkatan Keberdayaan Masyarakat Perdesaan</t>
  </si>
  <si>
    <t>32.1.1. Pemberdayaan Lembaga dan Organisasi Masyarakat Pedesaan</t>
  </si>
  <si>
    <t>33. DISTRIK KRAMONGMONGGA</t>
  </si>
  <si>
    <t>33.1. Program Peningkatan Partisipasi Masyarakat Dalam Membangun Desa</t>
  </si>
  <si>
    <t>33.1.1. Monitoring, Evaluasi dan Pelaporan</t>
  </si>
  <si>
    <t>34. DISTRIK MBAHAMDANDARA</t>
  </si>
  <si>
    <t>34.1. Program Peningkatan Keberdayaan Masyarakat Perdesaan</t>
  </si>
  <si>
    <t>34.1.1. Monitoring, Evaluasi dan Pelaporan</t>
  </si>
  <si>
    <t>35. DISTRIK PARIWARI</t>
  </si>
  <si>
    <t>35.1. Program Penataan Admnistrasi Kependudukan</t>
  </si>
  <si>
    <t>35.1.1. Pengembangan Data Base Kependudukan</t>
  </si>
  <si>
    <t>36. DISTRIK TELUK PATIPI</t>
  </si>
  <si>
    <t>36.1. Program Peningkatan Partisipasi Masyarakat Dalam Membangun Desa</t>
  </si>
  <si>
    <t>36.1.1. Monitoring, Evaluasi dan Pelaporan</t>
  </si>
  <si>
    <t>37. DISTRIK TOMAGE</t>
  </si>
  <si>
    <t>37.1. Program Peningkatan Keberdayaan Masyarakat Perdesaan</t>
  </si>
  <si>
    <t>37.1.1. Monitoring, Evaluasi dan Pelaporan</t>
  </si>
  <si>
    <t>38. DISTRIK WARTUTIN</t>
  </si>
  <si>
    <t>38.1.1. Monitoring, Evaluasi dan Pelaporan</t>
  </si>
  <si>
    <t>38.1. Program Peningkatan Partisipasi Masyarakat Dalam Membangun Desa</t>
  </si>
  <si>
    <t>39. INSPEKTORAT</t>
  </si>
  <si>
    <t>39.1. Program peningkatan sistem pengawasan internal dan pengendalian pelaksanaan kebijakan KDH</t>
  </si>
  <si>
    <t>39.1.1. Pengendalian manajemen pelaksanaan kebijakan KDH</t>
  </si>
  <si>
    <t>40. BADAN PERENCANAAN PEMBANGUNAN, PENELITIAN DAN PENGEMBANGAN DAERAH (BAPPEDA)</t>
  </si>
  <si>
    <t>40.1. Program Perencanaan Pembangunan Daerah</t>
  </si>
  <si>
    <t>40.1.1. Pengembangan Partisipasi Masyarakat Dalam Perumusan Program dan Kebijakan Layanan Publik</t>
  </si>
  <si>
    <t>40.1.2. Monitoring, Evaluasi dan Pelaporan</t>
  </si>
  <si>
    <t>40.1.3. Pameran OTSUS</t>
  </si>
  <si>
    <t>40.2. Program Perencanaan Pembangunan Ekonomi</t>
  </si>
  <si>
    <t>40.2.1. Pameran Ekonomi Kreatif Daerah</t>
  </si>
  <si>
    <t>41. BPPKAD (PPKD)</t>
  </si>
  <si>
    <t>41.1. BELANJA HIBAH</t>
  </si>
  <si>
    <t>41.1.1. Belanja Hibah Kepada Badan/Lembaga/Organisasi (OTSUS)</t>
  </si>
  <si>
    <t>41.1.1.1. Hibah Kepada BPJS Kesehatan</t>
  </si>
  <si>
    <t>41.1.2. Belanja Hibah Kepada Badan/Lembaga/Organisasi Keagamaan (OTSUS)</t>
  </si>
  <si>
    <t xml:space="preserve">41.1.2.1. Belanja Hibah Pendidikan </t>
  </si>
  <si>
    <t>41.2. BELANJA BANTUAN SOSIAL</t>
  </si>
  <si>
    <t>41.2.1. Belanja Bantuan Sosial Kepada Anggota Masyarakat</t>
  </si>
  <si>
    <t>41.2.1.1. Belanja Bantuan Berobat Kepada Masyarakat</t>
  </si>
  <si>
    <t>41.2.2. Belanja Bantuan Pendidikan Kepada Anggota Masyarakat</t>
  </si>
  <si>
    <t xml:space="preserve">41.2.2.1. Bantuan Pendidikan </t>
  </si>
  <si>
    <t>9. DINAS PERHUBUNGAN, KELAUTAN DAN PERIKANAN</t>
  </si>
  <si>
    <t>9.1. Program Pembangunan Prasarana dan Fasilitas Perhubungan</t>
  </si>
  <si>
    <t>9.1.1. Peningkatan pengelolaan terminal angkutan darat</t>
  </si>
  <si>
    <t>9.2. Program pengendalian dan pengamanan lalu lintas</t>
  </si>
  <si>
    <t>9.2.1. Pengadaan marka jalan</t>
  </si>
  <si>
    <t>10. DINAS PERSANDIAN, KOMUNIKASI DAN INFORMATIKA</t>
  </si>
  <si>
    <t>10.1. Program Pengembangan Komunikasi, Informasi dan Media Massa</t>
  </si>
  <si>
    <t>10.1.1. Pengadaan alat studio dan komunikasi</t>
  </si>
  <si>
    <t>10.2. Program fasilitasi Peningkatan SDM bidang komunikasi dan informasi</t>
  </si>
  <si>
    <t xml:space="preserve">10.2.1. Pelatihan SDM dalam bidang komunikasi dan informasi </t>
  </si>
  <si>
    <t>11. DINAS PARIWISATA, KEPEMUDAAN DAN OLAHRAGA</t>
  </si>
  <si>
    <t>11.1. Program Pengembangan dan Keserasian Kebijakan Pemuda</t>
  </si>
  <si>
    <t>11.1.1. Pembinaan Karang Taruna</t>
  </si>
  <si>
    <t>11.2. Program peningkatan peran serta kepemudaan</t>
  </si>
  <si>
    <t>11.2.1. Pendidikan dan Pelatihan Dasar Kepemimpinan</t>
  </si>
  <si>
    <t>11.3. Program Pengembangan Kebijakan dan Manajemen Olah Raga</t>
  </si>
  <si>
    <t>11.3.1. Monitoring, evaluasi dan pelaporan</t>
  </si>
  <si>
    <t>11.3.2. Sertifikasi Pelatih Olahraga</t>
  </si>
  <si>
    <t>11.4. Program Pembinaan dan Pemasyarakatan Olah Raga</t>
  </si>
  <si>
    <t>11.4.1. Kompetisi LPI</t>
  </si>
  <si>
    <t>11.4.2. Pembinaan Bakat dan Pengembangan Olahraga Unggulan(Sepak Bola)</t>
  </si>
  <si>
    <t>11.5. Program Peningkatan Sarana dan Prasarana Olah Raga</t>
  </si>
  <si>
    <t>11.5.1. Pemeliharaan rutin/berkala sarana dan prasarana olah raga</t>
  </si>
  <si>
    <t>11.5.2. Pembangunan Lapangan Volley</t>
  </si>
  <si>
    <t>11.6. Program pengembangan pemasaran pariwisata</t>
  </si>
  <si>
    <t>11.6.1. Pelaksanaan promosi pariwisata nusantara di dalam dan di luar negeri</t>
  </si>
  <si>
    <t>11.7. Program pengembangan destinasi pariwisata</t>
  </si>
  <si>
    <t>11.7.1. Pengembangan objek pariwisata unggulan</t>
  </si>
  <si>
    <t>11.7.2. Pengembangan daerah tujuan wisata</t>
  </si>
  <si>
    <t>11.7.3. Pelatihan Manajemen Kelompok Sadar Wisata Sebagai Aparat Pengelola Retribusi</t>
  </si>
  <si>
    <t>11.8. Program pengembangan Kemitraan</t>
  </si>
  <si>
    <t>11.8.1. Pengembangan dan penguatan informasi dan database</t>
  </si>
  <si>
    <t xml:space="preserve">11.8.2. Pelaksanaan koordinasi pembangunan kemitraan pariwisata </t>
  </si>
  <si>
    <t>12. DINAS KEARSIPAN DAN PERPUSTAKAAN</t>
  </si>
  <si>
    <t>12.1. Program Peningkatan Budaya Membaca</t>
  </si>
  <si>
    <t xml:space="preserve">12.1.1. Pembangunan Taman Baca  </t>
  </si>
  <si>
    <t>13. DINAS PERHUBUNGAN, KELAUTAN DAN PERIKANAN</t>
  </si>
  <si>
    <t>13.1. Program pengembangan perikanan tangkap</t>
  </si>
  <si>
    <t xml:space="preserve">13.1.1. Pengembangan Sarana dan Prasarana Perikanan Tangkap dan Budidaya  </t>
  </si>
  <si>
    <t>14. DINAS PERTANIAN DAN KETAHANAN PANGAN</t>
  </si>
  <si>
    <t>14.1.1. Pelatihan petani dan pelaku agribisnis</t>
  </si>
  <si>
    <t>14.2. Program Peningkatan Ketahan Pangan (pertanian/perkebunan)</t>
  </si>
  <si>
    <t>14.2.1. Penanganan daerah rawan pangan</t>
  </si>
  <si>
    <t>14.2.2. Pengembangan diversifikasi pangan</t>
  </si>
  <si>
    <t>14.3. Program peningkatan penerapan teknologi pertanian/perkebunan</t>
  </si>
  <si>
    <t xml:space="preserve">14.3.1. Penyuluhan Penerapan Teknologi Pertanian/ Perkebunan Tepat Guna </t>
  </si>
  <si>
    <t>14.4. Program peningkatan produksi pertanian/perkebunan</t>
  </si>
  <si>
    <t>14.4.1. Pengembangan bibit unggul pertanian/perkebunan</t>
  </si>
  <si>
    <t>14.5. Program pemberdayaan penyuluh pertanian/perkebunan lapangan</t>
  </si>
  <si>
    <t xml:space="preserve">14.5.1. Peningkatan kapasitas tenaga penyuluh pertanian/perkebunan  </t>
  </si>
  <si>
    <t>14.6. Program pencegahan dan penanggulangan penyakit ternak</t>
  </si>
  <si>
    <t xml:space="preserve">14.6.1. Pencegahan dan penanggulangan Penyakit Ternak </t>
  </si>
  <si>
    <t>14.6.2. Pencegahan Produk Pangan Asal Hewan</t>
  </si>
  <si>
    <t>14.7. Program peningkatan produksi hasil peternakan</t>
  </si>
  <si>
    <t>14.7.1. Pengembangan Usaha Ayam Petelur</t>
  </si>
  <si>
    <t>14.8. Program Pengembangan Agribisnis</t>
  </si>
  <si>
    <t xml:space="preserve">14.8.1. Pengembangan Budi Daya Tanaman Keladi </t>
  </si>
  <si>
    <t>14.9. Program Pengembangan Tanaman Buah-Buahan</t>
  </si>
  <si>
    <t xml:space="preserve">14.9.1. Pengembangan Budi Daya Tanaman Rambutan Okulasi  </t>
  </si>
  <si>
    <t>15. DINAS PERINDUSTRIAN, PERDAGANGAN, KOPERASI, USAHA KECIL DAN MENENGAH</t>
  </si>
  <si>
    <t>15.1. Program peningkatan kemampuan teknologi industri</t>
  </si>
  <si>
    <t>15.1.1. Pelatihan Pembuatan Batako</t>
  </si>
  <si>
    <t>15.1.2. Pengembangan dan Pelaporan Pendataan Industri di Kabupaten Manokwari</t>
  </si>
  <si>
    <t>15.1.3. Pelatihan Pembuatan Ikan Asap</t>
  </si>
  <si>
    <t>15.1.4. Pelatihan Pande Besi</t>
  </si>
  <si>
    <t xml:space="preserve">15.1.5. Pelatihan Pembuatan Noken </t>
  </si>
  <si>
    <t xml:space="preserve">15.1.6. Pengembangan Usaha Pencucian Kendaraan bermotor/Pencucian Mobil  </t>
  </si>
  <si>
    <t>15.2. Program Peningkatan Kapasitas Kelembagaan Koperasi</t>
  </si>
  <si>
    <t>15.2.1. Bimtek Manajemen Pengembangan Usaha Bagi Wirausaha Baru</t>
  </si>
  <si>
    <t>15.3. Pembinaan Pedagang Kaki Lima dan Asongan</t>
  </si>
  <si>
    <t>15.3.1. Lapak Jualan Pinang</t>
  </si>
  <si>
    <t>15.3.2. Pengadaan Gerobak Dorong</t>
  </si>
  <si>
    <t>16. SEKRETARIAT DAERAH</t>
  </si>
  <si>
    <t>16.1. Program mengintensifkan penanganan pengaduan masyarakat</t>
  </si>
  <si>
    <t>16.1.1. Pembentukan unit khusus penanganan pengaduan masyarakat</t>
  </si>
  <si>
    <t>17. BADAN PENANGGULANGAN BENCANA DAERAH</t>
  </si>
  <si>
    <t>17.1. Program perencanaan pembangunan daerah</t>
  </si>
  <si>
    <t>17.1.1. Pelatihan Kesiapsiagaan Bencana Bagi Masyarakat di Daerah</t>
  </si>
  <si>
    <t>17.1.3. Pelaksanaan Sekolah Siaga Bencana Disabilitas</t>
  </si>
  <si>
    <t>17.1.4. Pembuatan Peta Rawan Bencana</t>
  </si>
  <si>
    <t xml:space="preserve">17.1.5. Pembentukan Desa Siaga Bencana </t>
  </si>
  <si>
    <t xml:space="preserve">17.1.2. Pelatihan Penanganan Gawat Darurat Bagi Masyarakat  </t>
  </si>
  <si>
    <t>18. BADAN KEPEGAWAIAN, PENDIDIKAN DAN PELATIHAN</t>
  </si>
  <si>
    <t>18.1. Program Peningkatan Kapasitas Sumber Daya Aparatur</t>
  </si>
  <si>
    <t>18.1.1. Pendidikan dan pelatihan formal</t>
  </si>
  <si>
    <t>19. DISTRIK MANOKWARI BARAT</t>
  </si>
  <si>
    <t>19.1. Program Pemberdayaan Kelembagaan Kesejahteraan Sosial</t>
  </si>
  <si>
    <t xml:space="preserve">19.1.1. Fasilitasi Bantuan Sosial Lembaga Keagamaan  </t>
  </si>
  <si>
    <t>19.2. Program peningkatan peran serta dan kesetaraan jender dalam pembangunan</t>
  </si>
  <si>
    <t>19.2.1. Kegiatan pembinaan organisasi perempuan</t>
  </si>
  <si>
    <t>19.3. Program pengembangan lembaga ekonomi pedesaan</t>
  </si>
  <si>
    <t>19.3.1. Monitoring, evaluasi dan pelaporan</t>
  </si>
  <si>
    <t>19.4. Program peningkatan partisipasi masyarakat dalam membangun desa</t>
  </si>
  <si>
    <t>19.4.1. Pembinaan kelompok masyarakat pembangunan desa</t>
  </si>
  <si>
    <t>19.5. Program peningkatan kapasitas aparatur pemerintah desa</t>
  </si>
  <si>
    <t xml:space="preserve">19.5.1. Pelatihan Aparatur Pemerintah Desa Dalam Bidang Manajemen Pemerintahan Desa </t>
  </si>
  <si>
    <t>19.6. . Program peningkatan peran serta kepemudaan</t>
  </si>
  <si>
    <t xml:space="preserve">19.6.1. Fasilitasi Karang Taruna  </t>
  </si>
  <si>
    <t>19.7. Program Peningkatan Sarana dan Prasarana Aparatur</t>
  </si>
  <si>
    <t>19.7.1. Rehabilitasi sedang/berat gedung kantor</t>
  </si>
  <si>
    <t>19.8. Program perencanaan pembangunan daerah</t>
  </si>
  <si>
    <t>19.8. 1.Penyelenggaraan musrenbang RKPD</t>
  </si>
  <si>
    <t xml:space="preserve">20. DISTRIK MANOKWARI TIMUR   </t>
  </si>
  <si>
    <t>21. DISTRIK MANOKWARI UTARA</t>
  </si>
  <si>
    <t>20.1.1. Penyelenggaraan Pendidikan Anak Usia Dini</t>
  </si>
  <si>
    <t xml:space="preserve">20.2.1. Fasilitasi Bantuan Sosial Lembaga Keagamaan  </t>
  </si>
  <si>
    <t>20.3. Program peningkatan peran serta dan kesetaraan jender dalam pembangunan</t>
  </si>
  <si>
    <t>20.3.1. Kegiatan pembinaan organisasi perempuan</t>
  </si>
  <si>
    <t>20.4. Program Peningkatan Keberdayaan Masyarakat Perdesaan</t>
  </si>
  <si>
    <t>20.4.1. Pemberdayaan Lembaga dan Organisasi Masyarakat Perdesaan</t>
  </si>
  <si>
    <t>20.5. Program pengembangan lembaga ekonomi pedesaan</t>
  </si>
  <si>
    <t>20.5.1. Fasilitasi permodalan bagi usaha mikro kecil dan menengah di perdesaan</t>
  </si>
  <si>
    <t xml:space="preserve">20.5.2. Fasilitasi Permodalan Bagi Kelompok Petani Sayuran </t>
  </si>
  <si>
    <t xml:space="preserve">20.6.1. Monitoring, Evaluasi dan Pelaporan  </t>
  </si>
  <si>
    <t>20.6.2. Pelaksanaan Musyawarah Pembangunan Desa (Musrembang Distrik)</t>
  </si>
  <si>
    <t>21.4. Program Peningkatan Keberdayaan Masyarakat Perdesaan</t>
  </si>
  <si>
    <t>21.4.1. Pemberdayaan Lembaga dan Organisasi Masyarakat Perdesaan</t>
  </si>
  <si>
    <t>21.5. Program pengembangan lembaga ekonomi pedesaan</t>
  </si>
  <si>
    <t>21.5.1. Fasilitasi Permodalan Bagi Kelompok Petani Sayuran</t>
  </si>
  <si>
    <t>21.6. Program peningkatan partisipasi masyarakat dalam membangun desa</t>
  </si>
  <si>
    <t>21.6.1. Pembinaan kelompok masyarakat pembangunan desa</t>
  </si>
  <si>
    <t>21.7. Program peningkatan kapasitas aparatur pemerintah desa</t>
  </si>
  <si>
    <t>21.7.1. Pelatihan aparatur pemerintah desa dalam bidang manajemen pemerintahan desa</t>
  </si>
  <si>
    <t>21.8. Program perencanaan pembangunan daerah</t>
  </si>
  <si>
    <t>21.8.1. Penyelenggaraan musrenbang RKPD</t>
  </si>
  <si>
    <t>22. DISTRIK MANOKWARI SELATAN</t>
  </si>
  <si>
    <t>22.4. Program peningkatan kapasitas aparatur pemerintah desa</t>
  </si>
  <si>
    <t>22.4.1. Monitoring, evaluasi dan pelaporan</t>
  </si>
  <si>
    <t xml:space="preserve">22.4.2. Pelatihan Aparatur Pemerintah Desa Dalam Bidang Manajemen Pemerintahan Desa </t>
  </si>
  <si>
    <t>22.5. Program peningkatan peran serta kepemudaan</t>
  </si>
  <si>
    <t>22.5.1. Fasilitasi Karang Taruna</t>
  </si>
  <si>
    <t>23. DISTRIK MASNI</t>
  </si>
  <si>
    <t>23.1.1. Perencanaan dan penyusunan program Pendidikan Anak Usia Dini</t>
  </si>
  <si>
    <t>23.5.1. Fasilitasi permodalan bagi usaha mikro kecil dan menengah di perdesaan</t>
  </si>
  <si>
    <t>23.6.1. Pelaksanaan Monitoring Dana Kampung</t>
  </si>
  <si>
    <t xml:space="preserve">23.7.1. Pelatihan Aparatur Pemerintah Desa Dalam Bidang Manajemen Pemerintahan Desa  </t>
  </si>
  <si>
    <t>24. DISTRIK PRAFI</t>
  </si>
  <si>
    <t xml:space="preserve">24.2.1. Fasilitasi Bantuan Sosial  </t>
  </si>
  <si>
    <t>24.4.1. Pemberdayaan Lembaga dan Organisasi Masyarakat Perdesaan</t>
  </si>
  <si>
    <t>24.5. Program pengembangan lembaga ekonomi pedesaan</t>
  </si>
  <si>
    <t>24.5.1. Monitoring, evaluasi dan pelaporan</t>
  </si>
  <si>
    <t>24.6. Program peningkatan partisipasi masyarakat dalam membangun desa</t>
  </si>
  <si>
    <t>24.6.1. Pemberian stimulan pembangunan desa</t>
  </si>
  <si>
    <t>24.7. Program Peningkatan Kapasitas Sumber Daya Aparatur</t>
  </si>
  <si>
    <t>24.7.1. Pendidikan dan pelatihan formal</t>
  </si>
  <si>
    <t>24.8. Program perencanaan pembangunan daerah</t>
  </si>
  <si>
    <t>24.8.1. Penyelenggaraan musrenbang RKPD</t>
  </si>
  <si>
    <t>25. DISTRIK SIDEY</t>
  </si>
  <si>
    <t>25.1.1. Penyelenggaraan Pendidikan Anak Usia Dini</t>
  </si>
  <si>
    <t xml:space="preserve">25.5.2. Fasilitasi Permodalan Bagi Kelompok Petani Sayuran </t>
  </si>
  <si>
    <t>25.6.1. Pelaksanaan musyawarah pembangunan desa</t>
  </si>
  <si>
    <t>25.6.2. Monitoring, evaluasi dan pelaporan</t>
  </si>
  <si>
    <t>25.7. Program perencanaan pembangunan daerah</t>
  </si>
  <si>
    <t>25.7.1. Penyelenggaraan musrenbang RKPD</t>
  </si>
  <si>
    <t>26. DISTRIK TANAH RUBUH</t>
  </si>
  <si>
    <t>26.1.1. Penyelenggaraan Pendidikan Anak Usia Dini</t>
  </si>
  <si>
    <t xml:space="preserve">26.2.1. Fasilitasi Bantuan Sosial Lembaga Keagamaan </t>
  </si>
  <si>
    <t>26.6.1. Monitoring, evaluasi dan pelaporan</t>
  </si>
  <si>
    <t>26.6.2. Pembinaan Kelompok Masyarakat Pembangunan Desa</t>
  </si>
  <si>
    <t>26.7. Program peningkatan kapasitas aparatur pemerintah desa</t>
  </si>
  <si>
    <t xml:space="preserve">26.7.1. Pelatihan Aparatur Pemerintah Desa Dalam Bidang Manajemen Pemerintahan Desa  </t>
  </si>
  <si>
    <t xml:space="preserve">27. DISTRIK WARMARE </t>
  </si>
  <si>
    <t xml:space="preserve">27.1.1. Penyelenggaraan Pendidikan Anak Usia Dini  </t>
  </si>
  <si>
    <t xml:space="preserve">27.5.1. Fasilitasi Permodalan Bagi Kelompok Petani Sayuran </t>
  </si>
  <si>
    <t>27.6.1. Pembinaan kelompok masyarakat pembangunan desa</t>
  </si>
  <si>
    <t>27.7. Program peningkatan kapasitas aparatur pemerintah desa</t>
  </si>
  <si>
    <t>27.7.1. Pelatihan aparatur pemerintah desa dalam bidang manajemen pemerintahan desa</t>
  </si>
  <si>
    <t>27.7.2. Monitoring, evaluasi dan pelaporan</t>
  </si>
  <si>
    <t>27.8. Program perencanaan pembangunan daerah</t>
  </si>
  <si>
    <t>27.8.1. Penyelenggaraan musrenbang RKPD</t>
  </si>
  <si>
    <t>28. KELURAHAN  SOWI</t>
  </si>
  <si>
    <t>28.1. Program Pemberdayaan Kelembagaan Kesejahteraan Sosial</t>
  </si>
  <si>
    <t xml:space="preserve">18.1.1. Fasilitasi Bantuan Sosial  </t>
  </si>
  <si>
    <t>29. KELURAHAN PADARNI</t>
  </si>
  <si>
    <t>29.1. Program peningkatan partisipasi masyarakat dalam membangun desa</t>
  </si>
  <si>
    <t xml:space="preserve">29.1.1. Pelaksanaan Lomba Kebersihan Antar RT  </t>
  </si>
  <si>
    <t>30. KELURAHAN MANOKWARI BARAT</t>
  </si>
  <si>
    <t>30.1. Program peningkatan partisipasi masyarakat dalam membangun desa</t>
  </si>
  <si>
    <t xml:space="preserve">30.1.1. Pelaksanaan Lomba Kebersihan Antar RT  </t>
  </si>
  <si>
    <t>31. KELURAHAN AMBAN</t>
  </si>
  <si>
    <t>31.1. Program peningkatan partisipasi masyarakat dalam membangun desa</t>
  </si>
  <si>
    <t xml:space="preserve">31.1.1. Pelaksanaan Lomba Kebersihan Antar RT  </t>
  </si>
  <si>
    <t>32. KELURAHAN SANGGENG</t>
  </si>
  <si>
    <t>33. KELURAHAN WOSI</t>
  </si>
  <si>
    <t>34. KELURAHAN MANOKWARI TIMUR</t>
  </si>
  <si>
    <t>35. KELURAHAN PASIR PUTIH</t>
  </si>
  <si>
    <t>36. KELURAHAN SOWI</t>
  </si>
  <si>
    <t>37. KELURAHAN ANDAI</t>
  </si>
  <si>
    <t>38. DINAS TENAGA KERJA DAN TRANSMIGRASI</t>
  </si>
  <si>
    <t>38.1. Program Peningkatan Kualitas dan Produktivitas Tenaga Kerja</t>
  </si>
  <si>
    <t xml:space="preserve">38.1.1. Pelatihan Ketrampilan Wirausaha  </t>
  </si>
  <si>
    <t xml:space="preserve">38.1.2. Pelatihan Ketrampilan melalui BLK  </t>
  </si>
  <si>
    <t>39. DINAS PEMBERDAYAAN PEREMPUAN, PERLINDUNGAN ANAK DAN KELUARGA BERENCANA</t>
  </si>
  <si>
    <t>39.1. Program keserasian Kebijakan Peningkatan Kualitas Anak dan Perempuan</t>
  </si>
  <si>
    <t>39.1.1. Perumusan kebijakan peningkatan peran dan posisi perempuan di bidang politik dan jabatan publik</t>
  </si>
  <si>
    <t>39.2. Program Penguatan Kelembagaan Pengarusutamaan Gender dan Anak</t>
  </si>
  <si>
    <t xml:space="preserve">39.2.1. Advokasi dan fasilitasi PUG bagi perempuan  </t>
  </si>
  <si>
    <t>39.1.2. Pengembangan Sistem Informasi Gender dan Anak</t>
  </si>
  <si>
    <t xml:space="preserve">39.1.3. Pemenuhan Hak Sipil Anak  </t>
  </si>
  <si>
    <t>39.3. Program Peningkatan Kualitas Hidup dan Perlindungan Perempuan</t>
  </si>
  <si>
    <t>39.3.1. Pelatihan bagi pelatih (TOT) SDM pelayanan dan pedampingan korban KDRT</t>
  </si>
  <si>
    <t>39.3.2. Fasilitasi upaya perlindungan perempuan terhadap tindak kekerasan</t>
  </si>
  <si>
    <t>39.3.3. Monitoring, evaluasi dan pelaporan</t>
  </si>
  <si>
    <t>39.4. Program peningkatan peran serta dan kesetaraan jender dalam pembangunan</t>
  </si>
  <si>
    <t>39.4.1. Kegiatan pembinaan organisasi perempuan</t>
  </si>
  <si>
    <t>39.4.2. Kegiatan pendidikan dan pelatihan peningkatan peran serta dan kesetaraan jender</t>
  </si>
  <si>
    <t>39.4.3. Kegiatan bimbingan manajemen usaha bagi perempuan dalam mengelola usaha</t>
  </si>
  <si>
    <t>40. DINAS LINGKUNGAN HIDUP</t>
  </si>
  <si>
    <t>40.1. Program Perlindungan dan Konservasi Sumber Daya Alam</t>
  </si>
  <si>
    <t>40.1.1. Pengelolaan keanekaragaman hayati dan ekosistem</t>
  </si>
  <si>
    <t>40.2. Program Peningkatan Kualitas dan Akses Informasi Sumber Daya Alam dan Lingkungan Hidup</t>
  </si>
  <si>
    <t>40.2.1. Peningkatan edukasi dan komunikasi masyarakat di bidang lingkungan</t>
  </si>
  <si>
    <t>40.2.2. Pengembangan data dan informasi lingkungan</t>
  </si>
  <si>
    <t>41. DINAS KEPENDUDUKAN DAN PENCATATAN SIPIL</t>
  </si>
  <si>
    <t>41.1. Program Penataan Administrasi Kependudukan</t>
  </si>
  <si>
    <t>41.1.1. Peningkatan pelayanan publik dalam bidang kependudukan</t>
  </si>
  <si>
    <t>41.1.2. Pengembangan data base kependudukan</t>
  </si>
  <si>
    <t xml:space="preserve">41.1.3. Pelayanan Perkawinan Massal  </t>
  </si>
  <si>
    <t>41.1.4. Pelayanan Penerbitan Dokumen Kependudukan (DAK)</t>
  </si>
  <si>
    <t>42. DINAS PEMBERDAYAAN MASYARAKAT DAN KAMPUNG</t>
  </si>
  <si>
    <t>42.1. Program peningkatan kapasitas aparatur pemerintah desa</t>
  </si>
  <si>
    <t>42.1.1. Pelatihan aparatur pemerintah desa dalam bidang pengelolaan keuangan daerah</t>
  </si>
  <si>
    <t>42.1.2. Monitoring, Evaluasi dan Pelaporan</t>
  </si>
  <si>
    <t>42.1.3. Pelatihan Apartur Pemerintahan Desa dalam Pengelolaan Keuangan/Simkeudes</t>
  </si>
  <si>
    <t>43. BPKAD</t>
  </si>
  <si>
    <t>43.1. Non Program</t>
  </si>
  <si>
    <t>43.1.1. Belanja Bantuan Sosial Pendidikan Kepada Anggota Masyarakat</t>
  </si>
  <si>
    <t>43.1.2. Belanja Hibah kepada Badan/Lembaga/Organisasi Pendidikan</t>
  </si>
  <si>
    <t>43.1.3. Belanja Hibah kepada Badan/Lembaga/Organisasi Keagamaan</t>
  </si>
  <si>
    <t>43.1.4. Belanja Hibah kepada Badan/Lembaga/Organisasi Kemasyarakatan</t>
  </si>
  <si>
    <t>6.1. Program Pemberdayaan  PMKS dan PSKS</t>
  </si>
  <si>
    <t>6.1.1. Dukungan Wisata Rohani Keagamaan (Yerusalem dan Mekkah)</t>
  </si>
  <si>
    <t>6.1.2. Pembangunan Pintu Gerbang Masjid Raya</t>
  </si>
  <si>
    <t>6.2. Program Informasi Sistem Kesejahteraan Sosial</t>
  </si>
  <si>
    <t>6.3. Program Peningkatan Sarana dan Prasarana</t>
  </si>
  <si>
    <t>6.2.1. Pengadaan Mimbar Mini</t>
  </si>
  <si>
    <t>6.3.1. Pematangan Lokasi di Perumahan di Warsway</t>
  </si>
  <si>
    <t>7. DINAS PEMBERDAYAAN PEREMPUAN, PERLINDUNGAN ANAK DAN KB</t>
  </si>
  <si>
    <t xml:space="preserve">7.1.1. Pengadaan Pakaian Batik Raja Ampat Untuk PW Wawiyai </t>
  </si>
  <si>
    <t>7.1.2. Studi Banding PAM Alfa Omega dan Bukit Zaitun Moko</t>
  </si>
  <si>
    <t>7.1. Program Peningkatan Perlindungan Perempuan</t>
  </si>
  <si>
    <t xml:space="preserve">7.1.1. Peningkatan Kapasitas Perempuan Raja Ampat Distrik Supnin </t>
  </si>
  <si>
    <t xml:space="preserve">7.1.2. Peningkatan Kapasitas Perempuan Raja Ampat Distrik Waigeo Utara </t>
  </si>
  <si>
    <t>7.1.3. Pembinaan Organisasi Perempuan</t>
  </si>
  <si>
    <t>7.1.4. Pemberdayaan Ekonomi bagi Mama-mama Raja Ampat</t>
  </si>
  <si>
    <t>8. DINAS PERTANIAN DAN KETAHANAN PANGAN</t>
  </si>
  <si>
    <t>8.1. Program Peningkatan Sumber Daya Aparatur</t>
  </si>
  <si>
    <t xml:space="preserve">8.1.1. Pelatihan Paramedik Veteriner  </t>
  </si>
  <si>
    <t>8.2. Program Pelayanan Administrasi Perkantoran</t>
  </si>
  <si>
    <t xml:space="preserve">8.2.1. Penyusunan Laporan Kerawanan Pangan  </t>
  </si>
  <si>
    <t xml:space="preserve">8.2.2. Penyusunan Neraca Bahan Makanan (NBM)  </t>
  </si>
  <si>
    <t>8.3. Program Peningkatan Produk dan Produksi Hortilkultura</t>
  </si>
  <si>
    <t>8.4. Program Peningkatan Hasil Peternak</t>
  </si>
  <si>
    <t xml:space="preserve">8.4.1. Pengadaan Obat Kesehatan Hewan </t>
  </si>
  <si>
    <t>8.5. Program Pengelola Pasca Panen</t>
  </si>
  <si>
    <t xml:space="preserve">8.5.1. Penguatan Kelembagaan Pemasaran Hasil Kelapa </t>
  </si>
  <si>
    <t xml:space="preserve">8.5.2. Pengoperasian UPH Kelapa Sistem In Line  </t>
  </si>
  <si>
    <t xml:space="preserve">8.5.3. Expo Pangan Nasional  </t>
  </si>
  <si>
    <t>9. DINAS PEMBERDAYAAN MASYARAKAT DAN KAMPUNG</t>
  </si>
  <si>
    <t xml:space="preserve">9.1.1. Bimtek Aplikasi Siskeudes </t>
  </si>
  <si>
    <t>9.2. Program Koordinasi Pemberdayaan Masyarakat Kampung dan Pendampingan Dana Desa/Kampung</t>
  </si>
  <si>
    <t xml:space="preserve">9.2.1. Pendampingan Penyusunan RKP Desa/Kampung dan APBK </t>
  </si>
  <si>
    <t xml:space="preserve">9.2.2. Bulan Bakti Gotong Royong  </t>
  </si>
  <si>
    <t>9.3. Program Peningkatan Data dan Informasi</t>
  </si>
  <si>
    <t xml:space="preserve">9.3.1. Pengadaan Database Indeks Desa Membangun  </t>
  </si>
  <si>
    <t xml:space="preserve">9.3.2. Pengadaan Peralatan Aplikasi Informasi Kampung </t>
  </si>
  <si>
    <t>10. DINAS PERHUBUNGAN</t>
  </si>
  <si>
    <t>10.1. Program Pembangunan Dan Peningkatan Sarana Prasarana Perhubungan Laut</t>
  </si>
  <si>
    <t xml:space="preserve">10.1.1. Pembangunan Tambatan Perahu di Kabilol </t>
  </si>
  <si>
    <t>11. DINAS KOPERASI DAN UKM</t>
  </si>
  <si>
    <t>11.1. Program Peningkatan Kapasitas Sumber Daya Aparatur</t>
  </si>
  <si>
    <t xml:space="preserve">11.1.1. Bimbingan Teknis Perkoperasian dan UKM </t>
  </si>
  <si>
    <t>11.2. Program Pengembangan Sistem Pendukung Usaha Bagi Usaha Mikro Kecil Menegah</t>
  </si>
  <si>
    <t xml:space="preserve">11.2.1. Pelatihan Manajemen Keuangan dan Aneka Jasa Bagi Koperasi UKM </t>
  </si>
  <si>
    <t xml:space="preserve">11.3.1. Sosialisasi Prinsip-prinsip Pemahaman Perkoperasian  </t>
  </si>
  <si>
    <t xml:space="preserve">11.3.2. Pameran Hasil UKM Kabupaten Raja Ampat </t>
  </si>
  <si>
    <t>11.4. Program Pengembangan Sarana dan Prasrana Koperasi</t>
  </si>
  <si>
    <t xml:space="preserve">11.4.1. Pengadaan Peralatan Koperasi dan UKM </t>
  </si>
  <si>
    <t>12. DINAS PERPUSTAKAAN, KEARSIPAN DAN DOKUMENTASI</t>
  </si>
  <si>
    <t xml:space="preserve">12.1.1. Pengadaan Sarana Pendukung Dokumentasi dan Publikasi </t>
  </si>
  <si>
    <t xml:space="preserve">12.1.2. Pengadaan Meubelair Kantor, Perlengkapan Kantor </t>
  </si>
  <si>
    <t xml:space="preserve">12.1.3. Pendampingan Dokumentasi Kegiatan Pemerintah Daerah </t>
  </si>
  <si>
    <t>12.2. Program Peningkatan Sarana dan Prasarana Perpustakaan</t>
  </si>
  <si>
    <t xml:space="preserve">12.2.1. Pembangunan Perpustakaan Daerah Gempar Emas (Tahap III) </t>
  </si>
  <si>
    <t xml:space="preserve">12.2.2. Pembangunan Pagar Dinas Perpustakaan, Kearsipan dan Dokumentasi (Tahap II </t>
  </si>
  <si>
    <t xml:space="preserve">12.2.3. Penataan Halaman Kantor  </t>
  </si>
  <si>
    <t>12.3. Program Peningkatan Kapasitas Sumber Daya Aparatur</t>
  </si>
  <si>
    <t xml:space="preserve">12.3.2. Diklat Arsiparis </t>
  </si>
  <si>
    <t>12.4. Program Penyelamatan dan Pelestarian Dokumen Arsip Daerah</t>
  </si>
  <si>
    <t xml:space="preserve">12.4.1. Pengadaan Alat dan Bahan Pengolah Arsip </t>
  </si>
  <si>
    <t xml:space="preserve">12.4.2. Pengumpulan Data Informasi Sumber Arsip, Pengklasifikasi Data Arsip Daerah dan Penataan </t>
  </si>
  <si>
    <t>12.5. Program Pengembangan Budaya Baca Serta Pengembangan Minat Gemar Membaca</t>
  </si>
  <si>
    <t xml:space="preserve">12.5.1. Lomba Cerita Rakyat Tingkat SD/MI Tingkat Distrik </t>
  </si>
  <si>
    <t xml:space="preserve">12.5.2. Lomba Cerita Rakyat Tingkat SD/MI Tingkat Kabupaten </t>
  </si>
  <si>
    <t xml:space="preserve">12.5.3. Peningkatan Layanan Perpustakaan Kampung dan Rumah Pintar </t>
  </si>
  <si>
    <t>12.6. Program Pengembangan Koleksi dan Pengolahan Bahan Kepustakaan</t>
  </si>
  <si>
    <t xml:space="preserve">12.6.1. Katalogisasi, Klasifikasi DDC dan Penentuan Tajuk Subyek </t>
  </si>
  <si>
    <t xml:space="preserve">12.6.2. Pengadaan Bahan Pustaka / Buku Koleksi Perpustakaan Daerah, Perpustakaan Kampung dan Rumah Pintar </t>
  </si>
  <si>
    <t>13. DINAS KELAUTAN DAN PERIKANAN</t>
  </si>
  <si>
    <t xml:space="preserve">13.1.1. Pengadaan Peralatan Pancing </t>
  </si>
  <si>
    <t xml:space="preserve">13.1.2. Pembangunan Aquatic Apartemen Ikan Di Pulau Gamfi </t>
  </si>
  <si>
    <t xml:space="preserve">13.1.3. Sosialisasi Dan Percetakan Kartu Nelayan </t>
  </si>
  <si>
    <t xml:space="preserve">13.1.4. Pembangunan Tempat Pelelangan Ikan (TPI) Di Waigama </t>
  </si>
  <si>
    <t xml:space="preserve">13.1.5. Pembangunan Tempat Pelelangan Ikan (TPI) Di Yefman </t>
  </si>
  <si>
    <t xml:space="preserve">13.1.6. Pembangunan Tempat Pelelangan Ikan (TPI) Di Supnin </t>
  </si>
  <si>
    <t xml:space="preserve">13.1.7. Study Kelayakan Pendaratan Ikan  (PPI) </t>
  </si>
  <si>
    <t>13.1.8. Pengadaan Peralatan Tangkap Nelayan</t>
  </si>
  <si>
    <t>13.1.9. Pengadaan Perahu Fiber</t>
  </si>
  <si>
    <t>13.2. Program Pengembangan Budidaya Perikanan</t>
  </si>
  <si>
    <t xml:space="preserve">13.2.1. Study Banding Pengelolaan Ikan Air Tawar di Sidoarjo </t>
  </si>
  <si>
    <t>14.  DINAS PARIWISATA</t>
  </si>
  <si>
    <t>14.1. Program Pelayanan Administrasi Perkantoran</t>
  </si>
  <si>
    <t xml:space="preserve">14.1.1. Pelayanan Badan Pengelola Geopark </t>
  </si>
  <si>
    <t>14.2. Program Pengembangan Destinasi / Objek Daya Tarik Wisata</t>
  </si>
  <si>
    <t xml:space="preserve">14.2.1. Pembinaan dan Pendampingan Kampung Wisata </t>
  </si>
  <si>
    <t xml:space="preserve">14.2.2. Pembinaan dan Pengelolaan Destinasi Wisata  </t>
  </si>
  <si>
    <t xml:space="preserve">14.2.3. Pembinaan dan Pengawasan Industri Pariwisata </t>
  </si>
  <si>
    <t xml:space="preserve">14.2.4. Pembinaan Kelembagaan Pariwisata </t>
  </si>
  <si>
    <t>14.3. Program Pengembangan Promosi dan Pemasaran Pariwisata</t>
  </si>
  <si>
    <t xml:space="preserve">14.3.1. Festival Bahari Raja Ampat 2018 </t>
  </si>
  <si>
    <t xml:space="preserve">14.3.2. Festival Pesona Geopark </t>
  </si>
  <si>
    <t>14.4. Program Pengembangan Infrastruktur Pariwisata</t>
  </si>
  <si>
    <t xml:space="preserve">14.4.1. Pengadaan Speed Boat Transwisata </t>
  </si>
  <si>
    <t xml:space="preserve">14.4.2. Pembangunan HomeStay di Lilinta </t>
  </si>
  <si>
    <t xml:space="preserve">14.4.3. Pembangunan HomeStay di Kofiau </t>
  </si>
  <si>
    <t xml:space="preserve">14.4.4. Pembangunan HomeStay di Sawandarek </t>
  </si>
  <si>
    <t>15.1. Program Perdagangan</t>
  </si>
  <si>
    <t xml:space="preserve">15.1.1. Pembangunan Gudang Beras di Kalobo </t>
  </si>
  <si>
    <t xml:space="preserve">15.1.2. Operasi Pasar Murah Menjelang Hari Raya </t>
  </si>
  <si>
    <t xml:space="preserve">15.1.3. Operasi Alat Ukur/ Tera Ulang  </t>
  </si>
  <si>
    <t xml:space="preserve">15.1.4. Monitoring dan Sidak Barang Kadaluarsa </t>
  </si>
  <si>
    <t>15.2. Program Kelistrikan</t>
  </si>
  <si>
    <t xml:space="preserve">15.2.1. Pemeliharaan Lampu Jalan PLTS </t>
  </si>
  <si>
    <t xml:space="preserve">15.2.2. Pengadaan PLTS Lampu Jalan Kampung Wawiyai </t>
  </si>
  <si>
    <t xml:space="preserve">15.2.3. Pengadaan PLTS Lampu Jalan Kampung Kabui  </t>
  </si>
  <si>
    <t xml:space="preserve">15.2.4. Pengadaan PLTS Lampu Jalan Kampung Pam </t>
  </si>
  <si>
    <t xml:space="preserve">15.2.5. Pengadaan PLTS Lampu Jalan Kampung Kapatcol  </t>
  </si>
  <si>
    <t xml:space="preserve">15.2.6. Sertifikasi Layak Operasi (SLO) Jaringan dan Mesin </t>
  </si>
  <si>
    <t xml:space="preserve">15.2.7. Pengadaan Mobil SKYLIFT 14 Meter Operasional Jaringan Listrik dan Lampu </t>
  </si>
  <si>
    <t xml:space="preserve">15.2.8. Pengadaan PLTS Lampu Jalan Kampung Sawinggrai </t>
  </si>
  <si>
    <t xml:space="preserve">15.2.9. Pengadaan PLTS Lampu Jalan Kampung Pulau Tikus </t>
  </si>
  <si>
    <t xml:space="preserve">15.2.10.Pengadaan PLTS Lampu Jalan Kampung Abidon </t>
  </si>
  <si>
    <t xml:space="preserve">15.2.11.Pengadaan PLTS Lampu Jalan Kampung Reni </t>
  </si>
  <si>
    <t xml:space="preserve">15.2.12.Pengadaan PLTS Lampu Jalan Kampung Waigama </t>
  </si>
  <si>
    <t>15.2.13. Pemeliharaan Lampu Jalan Wejin</t>
  </si>
  <si>
    <t>15.3. Program Pengelolaan Pasar</t>
  </si>
  <si>
    <t xml:space="preserve">15.3.1. Sosialisasi Retribusi Pasar  </t>
  </si>
  <si>
    <t xml:space="preserve">15.3.2. Pengawasan, Kebersihan dan Keamanan Pasar </t>
  </si>
  <si>
    <t>15.4. Program Perindustrian</t>
  </si>
  <si>
    <t xml:space="preserve">15.4.1. Pelatihan Kerajinan Anyaman </t>
  </si>
  <si>
    <t>16.1. Bagian Pemerintahan</t>
  </si>
  <si>
    <t xml:space="preserve">16.1.1. Pembangunan Rumah Jabatan Distrik Tiplol Mayalibit </t>
  </si>
  <si>
    <t xml:space="preserve">16.1.2. Pembangunan Rumah Jabatan Distrik Kepulauan Ayau </t>
  </si>
  <si>
    <t xml:space="preserve">16.1.3. Pembangunan Rumah Jabatan Distrik Misool Utara </t>
  </si>
  <si>
    <t xml:space="preserve">16.1.4. Pembangunan Rumah Jabatan Distrik MIsool Timur </t>
  </si>
  <si>
    <t xml:space="preserve">16.1.5. Pembangunan Barak Pegawai Distrik Misool Timur  </t>
  </si>
  <si>
    <t xml:space="preserve">16.1.6. Pengadaan Meubelair Distrik </t>
  </si>
  <si>
    <t xml:space="preserve">16.1.7. Pembangunan Barak Pegawai Distrik Kofiau </t>
  </si>
  <si>
    <t xml:space="preserve">161.8. Pembangunan Kantor Distrik Salawati Tengah  </t>
  </si>
  <si>
    <t xml:space="preserve">17.1.1. Pendataan Daerah Rawan Bencana </t>
  </si>
  <si>
    <t xml:space="preserve">17.1.2. Pengadaan Buku Siaga Terhadap Bencana Kepada Masyarakat dan Pelajar </t>
  </si>
  <si>
    <t>17.2. Program Pendidikan dan Pelatihan Penanggulangan Bencana</t>
  </si>
  <si>
    <t xml:space="preserve">17.2.1. Simulasi Pengurangan Resiko Bencana (PRB) </t>
  </si>
  <si>
    <t xml:space="preserve">17.2.2. Diklat Teknis Pemadam Kebakaran </t>
  </si>
  <si>
    <t xml:space="preserve">17.2.3. Singkronisasi Kegiatan APBN </t>
  </si>
  <si>
    <t>18. BADAN PENGELOLA KEUANGAN DAN ASET DAERAH</t>
  </si>
  <si>
    <t>18.1. Belanja Bantuan Keuangan Fungsi Pendidikan</t>
  </si>
  <si>
    <t>18.1.1. Bantuan Perkuliahan Mahasiswa Perikanan,Kelautan dan Pariwisata UNIPA-Raja Ampat (DINAS P&amp;P)</t>
  </si>
  <si>
    <t>18.2. Belanja Bantuan Keuangan</t>
  </si>
  <si>
    <t xml:space="preserve">18.2.1. Belanja Bantuan Wisata Rohani Keagamaan kepada Masyarakat (Dinas Sosial)  </t>
  </si>
  <si>
    <t>18.2.2. Bantuan Rehabilitasi Korban Kekerasan dan Trafick King  (DINSOS)</t>
  </si>
  <si>
    <t>2.9.2. Pelatihan Program Indonesia Sehat dengan Pendekatan Keluarga (PIS-PK)</t>
  </si>
  <si>
    <t>2.2.1. Monitoring Pembinaan dan Evaluasi Pelayanan Kesehatan Masyarakat OAP</t>
  </si>
  <si>
    <t xml:space="preserve">12.3.1. Magang Petugas Perpustakaan, Kearsipan dan Dokumentasi </t>
  </si>
  <si>
    <t>12.  DINAS PERPUSTAKAAN, KEARSIPAN DAN DOKUMENTASI</t>
  </si>
  <si>
    <t>18.2.3. Jaminan Pemeliharaan Masyarakat Miskin (Jamkesda)</t>
  </si>
  <si>
    <t>18.1.3.Belanja Biaya Study Akhir S1 STPMD</t>
  </si>
  <si>
    <t>18.1.2. Belanja Bantuan Mahasiswa Study Akhir</t>
  </si>
  <si>
    <t>18.1.4.Belanja Bantuan Study Akhir DIII Keperawatan</t>
  </si>
  <si>
    <t>18.1.5.Belanja Bantuan Operasional Sekolah (BOSDA)</t>
  </si>
  <si>
    <t>5.2.1. Pelatihan ketrampilan dan praktek belajar kerja bagi anak terlantar</t>
  </si>
  <si>
    <t>5.2.2. Pengembangan bakat dan ketrampilan anak terlantar</t>
  </si>
  <si>
    <t>16. BADAN PENANGGULANGAN BENCANA DAERAH</t>
  </si>
  <si>
    <t>4. Kota Sorong</t>
  </si>
  <si>
    <t>5. Kabupaten Kaimana</t>
  </si>
  <si>
    <t>9. Kabupaten  Pegunungan Arfak</t>
  </si>
  <si>
    <t>10. Kabupaten Sorong</t>
  </si>
  <si>
    <t>11. Kabupaten Tambrauw</t>
  </si>
  <si>
    <t>1.1.1. Penyediaan Operasonal Lembaga PAUD (Satuan PAUD sejenis)</t>
  </si>
  <si>
    <t>1.1.2. Penyediaan BOP TK negeri dalam rangka pendidikan bebas biaya</t>
  </si>
  <si>
    <t>1.1.3. Penyediaan BOP TK Swasta dalam rangka pendidikan bebas biaya</t>
  </si>
  <si>
    <t>1.1.4. Pembangunan (relokasi) 3 RKB TK Pembna Bintuni</t>
  </si>
  <si>
    <t>1.1.5. Pembangunan 2 RKB PAUD Sara Distrik Kaitaro</t>
  </si>
  <si>
    <t>1.1.6. Rehabilitasi Berat TK Cenderawasih Stenkol 3</t>
  </si>
  <si>
    <t>1.1.7. Pembangunan Rumah Guru TK Negeri Jagiro</t>
  </si>
  <si>
    <t>1.1.8. Pengadaan Permainan Edukatif untuk Murid PAUD</t>
  </si>
  <si>
    <t>1.1.9. Pengadan Meubelair TK Pembina Bintuni</t>
  </si>
  <si>
    <t>1.1.10.Pengadaan Meubelair PAUD Sara Distrik Kaitaro</t>
  </si>
  <si>
    <t>1.2. Program Pengembangan Nilai Kebudayaan</t>
  </si>
  <si>
    <t>1.2.1. Pembangunan Kantor LMA 7 Suku Asli Teluk Bintuni</t>
  </si>
  <si>
    <t>1.3.1. Penyediaan BOP Negeri dalam rangka pendidikan bebas biaya SD</t>
  </si>
  <si>
    <t>1.3.2. Penyediaan BOP Negeri dalam rangka pendidikan bebas biaya SMP</t>
  </si>
  <si>
    <t xml:space="preserve">1.3.3. Pembangunan (relokasi) 3 RKB SMP Negeri Jagiro </t>
  </si>
  <si>
    <t>1.3.4. Rehabilitasi Berat 3 ruang kelas SMP Negeri Aranday</t>
  </si>
  <si>
    <t>1.3.5. Rehabilitasi Berat 3 ruang kelas SMP YPPK Sta. Monica  Bintuni</t>
  </si>
  <si>
    <t>1.3.6. Rehabilitasi Berat 3 ruang kelas SD YPK Idoor</t>
  </si>
  <si>
    <t>1.3.7. Rehabilitasi Berat 3 ruang kelas SD Negeri Suga</t>
  </si>
  <si>
    <t>1.3.8. Rehabilitasi Berat 3 ruang kelas SD Negeri Taroy</t>
  </si>
  <si>
    <t>1.3.9. Rehabilitasi Berat 3 ruang kelas SD Inpres Kecap</t>
  </si>
  <si>
    <t>1.3.10.Pembangunan Kantor dan Ruang Guru SMP Perintis Awegro</t>
  </si>
  <si>
    <t>1.3.11.Rehabilitasi Berat Kantor dan Ruang GuruSD Inpres SP-4 Manimeri</t>
  </si>
  <si>
    <t>1.3.12.Rehabilitasi Berat 4 Ruang Kelas SD Negeri Kampung Baru Irira</t>
  </si>
  <si>
    <t>1.3.13.Pembangunan Kopel Guru SMP Negeri Jagiro</t>
  </si>
  <si>
    <t>1.3.14.Pembangunan Kopel Guru SD Negeri Botay</t>
  </si>
  <si>
    <t>1.3.15.Pembangunan Kopel Guru SD YPK Onar</t>
  </si>
  <si>
    <t>1.3.16.Pembangunan Pagar Pengaman SMP Negeri Terpadu Bintuni</t>
  </si>
  <si>
    <t>1.3.17.Pengadaan Meubelair 6 Ruang Kelas SMP Negeri Terpadu Bintuni</t>
  </si>
  <si>
    <t>1.3.18.Pengadaan Meubelair 3 Ruang Kelas SMP Negeri Jagiro</t>
  </si>
  <si>
    <t>1.3.19.Pengadaan Meubelair 3 Ruang Kelas SD Negeri Suga</t>
  </si>
  <si>
    <t>1.3.20.Pengadaan Meubelair 3 Ruang Kelas SD YPPK Bintuni</t>
  </si>
  <si>
    <t>1.3.21.Pengadaan Meubelair 3 Ruang Kelas SD YPPK Bintuni</t>
  </si>
  <si>
    <t>1.4. Program Pendidikan Menengah dan Tinggi</t>
  </si>
  <si>
    <t>1.4.2.Pendidikan Kedokteran Sorong</t>
  </si>
  <si>
    <t>1.4.3. Pendidikan Non Formal</t>
  </si>
  <si>
    <t>1.4.1. Kerjasama kelembagaan dengan SMK Migas di Cepu</t>
  </si>
  <si>
    <t>2.1. Program Pelayanan Kesehatan Dasar</t>
  </si>
  <si>
    <t>2.1.1. Pengadaan Obat-Obatan perbekalan Kesehatan Puskesmas</t>
  </si>
  <si>
    <t>2.2. Program Peningkatan Pelayanan Puskesmas/Puskesmas Pembantu</t>
  </si>
  <si>
    <t>2.2.1. Peningkatan Pelayanan Puskesmas/Puskesmas Pembantu Babo</t>
  </si>
  <si>
    <t>2.2.2. Peningkatan Pelayanan Puskesmas/Puskesmas Pembantu Bintuni</t>
  </si>
  <si>
    <t>2.2.3. Peningkatan Pelayanan Puskesmas/Puskesmas Pembantu Manimeri</t>
  </si>
  <si>
    <t>2.2.4. Peningkatan Pelayanan Puskesmas/Puskesmas Pembantu Moskona Utara</t>
  </si>
  <si>
    <t>2.2.5. Peningkatan Pelayanan Puskesmas/Puskesmas Pembantu Farfurwar</t>
  </si>
  <si>
    <t>2.2.6. Peningkatan Pelayanan Puskesmas/Puskesmas Pembantu Plus Stenkool III</t>
  </si>
  <si>
    <t>2.2.7. Peningkatan Pelayanan Puskesmas/Puskesmas Pembantu Tanah Merah</t>
  </si>
  <si>
    <t>2.2.8. Peningkatan Pelayanan Puskesmas/Puskesmas Pembantu Idoor</t>
  </si>
  <si>
    <t>2.2.9. Peningkatan Pelayanan Puskesmas/Puskesmas Pembantu Kuri</t>
  </si>
  <si>
    <t>2.210. Peningkatan Pelayanan Puskesmas/Puskesmas Pembantu Tofoi</t>
  </si>
  <si>
    <t>2.2.11. Peningkatan Pelayanan Puskesmas/Puskesmas Pembantu Tembuni</t>
  </si>
  <si>
    <t>2.2.12. Peningkatan Pelayanan Puskesmas/Puskesmas Pembantu Merdey</t>
  </si>
  <si>
    <t>2.2.13. Peningkatan Pelayanan Puskesmas/Puskesmas Pembantu Jagiro</t>
  </si>
  <si>
    <t>2.2.14. Peningkatan Pelayanan Puskesmas/Puskesmas Pembantu Aranday</t>
  </si>
  <si>
    <t>2.2.15. Peningkatan Pelayanan Puskesmas/Puskesmas Pembantu Weriagar</t>
  </si>
  <si>
    <t>2.2.16. Peningkatan Pelayanan Puskesmas/Puskesmas Pembantu Tuhiba</t>
  </si>
  <si>
    <t>2.2.17. Peningkatan Pelayanan Puskesmas/Puskesmas Pembantu Kaitaro</t>
  </si>
  <si>
    <t>2.2.18. Peningkatan Pelayanan Puskesmas/Puskesmas Pembantu Kalitami</t>
  </si>
  <si>
    <t>2.2.20. Peningkatan Pelayanan Puskesmas/Puskesmas Pembantu Moskona Barat</t>
  </si>
  <si>
    <t>2.2.19. Peningkatan Pelayanan Puskesmas/Puskesmas Pembantu Dataran Beimes</t>
  </si>
  <si>
    <t>2.2.21. Peningkatan Pelayanan Puskesmas/Puskesmas Pembantu Aroba</t>
  </si>
  <si>
    <t>2.2.22. Peningkatan Pelayanan Puskesmas/Puskesmas Pembantu Moskona Timur</t>
  </si>
  <si>
    <t xml:space="preserve">2.2.23. Peningkatan Pelayanan Puskesmas/Puskesmas Pembantu Masyeta </t>
  </si>
  <si>
    <t>2.2.24. Peningkatan Pelayanan Puskesmas/Puskesmas Pembantu Aranday Kampung</t>
  </si>
  <si>
    <t>2.2.25. Peningkatan Pelayanan Puskesmas/Puskesmas Pembantu Biscoop</t>
  </si>
  <si>
    <t>2.2.26. Peningkatan Pelayanan Puskesmas/Puskesmas Pembantu Muturi</t>
  </si>
  <si>
    <t>2.3. Program Pencegahan dan Pemberantasan Penyakit</t>
  </si>
  <si>
    <t>2.3.1. Pencegahan dan Penanggulangan Penyakit Menular dan Tidak Menular</t>
  </si>
  <si>
    <t>2.3.2. Penanggulangan dan Pemberantasan Penyakit TBC</t>
  </si>
  <si>
    <t>2.3.3. Penanggulangan ODHA</t>
  </si>
  <si>
    <t>2.3.4. Pelayanan, Pencegahan dan Penanggulangan Penyakit Menular</t>
  </si>
  <si>
    <t>3.1. Program Pengadaan, Peningkatan Sarana dan Prasarana Rumah Sakit/Rumah Sakit Jiwa/Rumah Sakit Paru Paru/Rumah Sakit Mata</t>
  </si>
  <si>
    <t>3.1.1. Pengadaan Obat-obatan Rumah Sakit Umum Daerah</t>
  </si>
  <si>
    <t>4.1.1.  Pembangunan Rumah Layak Huni (Type 42)</t>
  </si>
  <si>
    <t>4.2.1. Pembangunan Air Bersih Distrik Idoor (SR 100 unit)</t>
  </si>
  <si>
    <t>5.1. Program Pengembangan Perikanan Tangkap</t>
  </si>
  <si>
    <t>5.1.1. Pengadaan Sarana dan Prasarana Penangkapan (Motor Tempel 15 PK)</t>
  </si>
  <si>
    <t>5.1.2. Pengadaan Sarana dan Prasarana Penangkapan (Casco Fiber ‹ 3 GT)</t>
  </si>
  <si>
    <t>5.1.3. Pengadaan Sarana dan Prasarana Penangkapan (Motor Katinting 5,5 HP)</t>
  </si>
  <si>
    <t>5.1.4. Pengadaan Sarana dan Prasarana Penangkapan (Casco Fiber 6 Mtr)</t>
  </si>
  <si>
    <t>5.1.5. Pengadaan Sarana dan Prasarana Penangkapan (Jaring Udang)</t>
  </si>
  <si>
    <t>5.1.6. Pengadaan Sarana dan Prasarana Penangkapan (Jaring Ikan)</t>
  </si>
  <si>
    <t>5.1.7. Pengadaan Sarana dan Prasarana Penangkapan (Coolbox 200 Ltr)</t>
  </si>
  <si>
    <t>5.1.8. Pengadaan Sarana dan Prasarana Penangkapan (Penangkap Kepiting/Udang)</t>
  </si>
  <si>
    <t>5.2. Program Pengembangan  Budidaya Perikanan</t>
  </si>
  <si>
    <t>5.2.1. Pengadaan Sarana dan Prasarana Budidaya Perikanan (Paket Keramba Jaring Apung)</t>
  </si>
  <si>
    <t>5.2.2. Pengadaan Sarana dan Prasarana Budidaya Perikanan (Pemasangan KJA</t>
  </si>
  <si>
    <t>5.2.3. Pengadaan Kolam Berteknologi Bioflok dameter 3 M (Paket Kolam Bioflok)</t>
  </si>
  <si>
    <t>5.2.4. Pengadaan Kolam Berteknologi Bioflok dameter 3 M (Pemasangan Kolam Bioflok)</t>
  </si>
  <si>
    <t>5.2.5. Pengadaan Kolam Budidaya Air Tawar (60 M2)</t>
  </si>
  <si>
    <t>5.2.6. Pengadaan Benih Ikan Unggul Nila/Mas</t>
  </si>
  <si>
    <t>6.1. Program Penguatan Kelembagaan Pengarusutamaan Gender dan Anak</t>
  </si>
  <si>
    <t>6.1.1. Penyusunan Buku Profil Anak 7 Suku</t>
  </si>
  <si>
    <t>6.1.2. Forum Anak Daerah</t>
  </si>
  <si>
    <t>6.1.3. Pendampingan Anak yang berhadapan dengan hukum</t>
  </si>
  <si>
    <t>6.2.1. Sosialisasi Kota Layak Anak</t>
  </si>
  <si>
    <t>6.2.2. Sosialisasi UU Perlindungan Anak ke Distrik</t>
  </si>
  <si>
    <t>6.2.3. Sosialisasi Telepon Sahabat Anak (TESA)</t>
  </si>
  <si>
    <t>6.3.1. Pelatihan Bagi Pelatih (TOT) SDM Pelayanan dan Pendampingan Korban KDRT</t>
  </si>
  <si>
    <t>6.3.2. Pelatihan Memasak Berbasis Produk Lokal</t>
  </si>
  <si>
    <t>6.3.3. Pelatihan Jahit Menjahit</t>
  </si>
  <si>
    <t>6.4. Program Peningkatan Peran Serta dan Kesetaraan Gender dalam Pembangunan</t>
  </si>
  <si>
    <t>6.4.1. Penyusunan Buku Profil Perempuan 7 Suku di Kab. Teluk Bintuni</t>
  </si>
  <si>
    <t>6.4.2. Pelatihan dan Peningkatan Manajemen Usaha bagi Perempuan Asli Papua dalam mengelola Usaha Rumah Kreasi</t>
  </si>
  <si>
    <t>6.4.3. Pengembangan Materi dan Pelayanan KIE tentang Pengarusutamaan Gender PUG)</t>
  </si>
  <si>
    <t>6.5. Program Peningkatan Sarana dan Prasarana Pelayanan, Komunikasi, Informasi dan Edukasi</t>
  </si>
  <si>
    <t>6.5.1. Pengembangan Ruang Publik Ramah Anak di Distrik</t>
  </si>
  <si>
    <t>6.5.2. Fasilitasi dan Advokasi Hak Sipil Anak di Distrik</t>
  </si>
  <si>
    <t>7.1. Program Peningkatan Kualitas Keimanan dan Ketaqwaan Masyarakat</t>
  </si>
  <si>
    <t>7.1.1. Bantuan Sarana dan Prasarana Keagamaan</t>
  </si>
  <si>
    <t>8.1.2. Belanja Bantuan BOP Sekolah Swasta SMA/SMK</t>
  </si>
  <si>
    <t>8.1.3. Belanja Beasiswa Tugas Belajar (DINKES)</t>
  </si>
  <si>
    <t>8.1.4. Belanja Beasiswa Tugas Belajar (BKD)</t>
  </si>
  <si>
    <t>8.1.5. Bantuan Pendidikan Mahasiswa Murni</t>
  </si>
  <si>
    <t>8.1.6. Belanja Bantuan Keuangan kepada Desa</t>
  </si>
  <si>
    <t>9.1. Program Peningkatan Ketahanan Pangan Pertanian/Perkebunan</t>
  </si>
  <si>
    <t>9.1.1. Pengembangan Tanaman Keladi</t>
  </si>
  <si>
    <t>9.1.2. Pengembangan Tanaman Sayuran</t>
  </si>
  <si>
    <t>9.2. Program Peningkatan Teknologi Pertanian/Perkebunan</t>
  </si>
  <si>
    <t>9.2.1. Peningkatan Sarana Prasarana</t>
  </si>
  <si>
    <t>9.3. Program Peningkatan Produksi Pertanian/Perkebunan</t>
  </si>
  <si>
    <t>9.3.1. Pengembangan Tanaman Pala</t>
  </si>
  <si>
    <t xml:space="preserve">10.1. Program Peningkatan Efisiensi Perdagangan Dalam Negeri </t>
  </si>
  <si>
    <t>10.1.1.  Subsidi Kebutuhan 9 Bahan Pokok</t>
  </si>
  <si>
    <t>11. DINAS PEKERJAAN UMUM DAN PENATAAN RUANG</t>
  </si>
  <si>
    <t>11.1. Program Pembangunan Infrastruktur Pedesaan</t>
  </si>
  <si>
    <t>11.1.1. Pembangunan Jalan dan Jembatan Pedesaan</t>
  </si>
  <si>
    <t xml:space="preserve">  9. Kabupaten  Pegunungan Arfak</t>
  </si>
  <si>
    <t>2.2.6. Pengadaan meubelair</t>
  </si>
  <si>
    <t>5.1.1. Pengadaan meubelair</t>
  </si>
  <si>
    <t>12. BPKAD</t>
  </si>
  <si>
    <t>12.1. Belanja Bantuan Sosial Kepada Anggota Masyarakat</t>
  </si>
  <si>
    <t>12.2.1. Belanja Bantuan Sosial Kepada Kelompok Masyarakat</t>
  </si>
  <si>
    <t>5.1.1 Penyediaan Biaya Operasional  dan pemeliharaan Puskesmas Wondiboy</t>
  </si>
  <si>
    <t>IV. KOTA SORONG</t>
  </si>
  <si>
    <t xml:space="preserve">V. KABUPATEN KAIMANA </t>
  </si>
  <si>
    <t>IX. KABUPATEN PEGUNUNGAN ARFAK</t>
  </si>
  <si>
    <t>X. KABUPATEN SORONG</t>
  </si>
  <si>
    <t>BANTUAN FAKULTAS KEDOKTERAN UNIPA</t>
  </si>
  <si>
    <t xml:space="preserve">                  Manokwari,            April  2019</t>
  </si>
  <si>
    <t>20.1.1. Hibah kepada organisasi kemasyarakatan</t>
  </si>
  <si>
    <t xml:space="preserve">16.2 Program pengadaan, peningkatan sarana dan prasarana rumah sakit/ rumah sakit jiwa/  rumah sakit paru-paru/  rumah sakit mata </t>
  </si>
  <si>
    <t>B.</t>
  </si>
  <si>
    <t>C.</t>
  </si>
  <si>
    <t>D.</t>
  </si>
  <si>
    <t>1.3.5. Pengadaan Mebelair Sekolah</t>
  </si>
  <si>
    <t xml:space="preserve">4.1.1. Operasional UPTD SPAM  </t>
  </si>
  <si>
    <t xml:space="preserve">C. </t>
  </si>
  <si>
    <t>HIBAH FAK. KEDOKTERAN UNIPA</t>
  </si>
  <si>
    <t>12.1.1. Hibah kepada lembaga/kelompok masyarakat</t>
  </si>
  <si>
    <t xml:space="preserve">                  Manokwari,        April  2019</t>
  </si>
  <si>
    <t xml:space="preserve"> Manokwari,         April  2019</t>
  </si>
  <si>
    <t>1.1.1. Pembangunan Gedung PAUD</t>
  </si>
  <si>
    <t>1.1.2. Pengadaan Meubelair Gedung PAUD</t>
  </si>
  <si>
    <t xml:space="preserve">                  Manokwari,          April  2019</t>
  </si>
  <si>
    <t>Manokwari,       April  2019</t>
  </si>
  <si>
    <t>Manokwari,        April  2019</t>
  </si>
  <si>
    <t xml:space="preserve">        Manokwari,          April  2019</t>
  </si>
  <si>
    <t>IV.  KOTA SORONG</t>
  </si>
  <si>
    <t>V. KABUPATEN KAIMANA</t>
  </si>
  <si>
    <t>2.8.2. Pembangunan Puskesmas Pembantu (Pustu) Kminslolo</t>
  </si>
  <si>
    <t>5.3. Program Peningkatan Cakupan Pelayanan Kebersihan dan Peningkatan sarana prasarana pengelolaan Sampah</t>
  </si>
  <si>
    <t>Raja Ampat:</t>
  </si>
  <si>
    <t>OPD delete:</t>
  </si>
  <si>
    <t xml:space="preserve">6.3.1. Pembangunan Pastori di Yenbuba  </t>
  </si>
  <si>
    <t xml:space="preserve">6.3.2. Pembangunan Rumah Kesenian di Meosbekwan </t>
  </si>
  <si>
    <t xml:space="preserve">6.3.3. Pembangunan Pastori di Meosmanggara  </t>
  </si>
  <si>
    <t xml:space="preserve">6.3.4. Pembangunan Rumah Imam Mesjid  </t>
  </si>
  <si>
    <t xml:space="preserve">6.3.5. Pembangunan Tugu Injil di PAM  </t>
  </si>
  <si>
    <t>6.3.6. Pembangunan Kantor Gereja di Atkari</t>
  </si>
  <si>
    <t xml:space="preserve">6.1.2. Pembangunan Homestay Famem di Yefna Distrik Misool Selatan </t>
  </si>
  <si>
    <r>
      <t>8. DINAS PERTANIAN DAN KETAHANAN PANGAN</t>
    </r>
    <r>
      <rPr>
        <b/>
        <sz val="11"/>
        <color rgb="FFFF0000"/>
        <rFont val="Calibri"/>
        <family val="2"/>
        <scheme val="minor"/>
      </rPr>
      <t xml:space="preserve"> </t>
    </r>
  </si>
  <si>
    <t>8.1. Program Peningkatan SDM dan Petugas</t>
  </si>
  <si>
    <t xml:space="preserve">8.1.1. Peningkatan Kreatifitas Menu Pangan (Lomba Cipta Menu)  </t>
  </si>
  <si>
    <t xml:space="preserve">8.1.3. Hari Ekspo Pangan Sedunia  </t>
  </si>
  <si>
    <t xml:space="preserve">8.1.3. Bimtek Penangkaran Benih Padi Sawah dan Padi Gogo </t>
  </si>
  <si>
    <t xml:space="preserve">8.1.4. Pelatihan Pemetaan Lahan &amp; Irigasi Pertanian Menggunakan Drone dan GPS  </t>
  </si>
  <si>
    <t xml:space="preserve">8.1.5. Pekan Daerah (PEDA) 2019 Kabupaten Bintuni Prov. Papua Barat  </t>
  </si>
  <si>
    <t>8.2. Program Peningkatan Produksi Pertanian</t>
  </si>
  <si>
    <t xml:space="preserve">8.2.1. Pelatihan Budidaya Ternak </t>
  </si>
  <si>
    <t xml:space="preserve">8.2.2. Pengembangan Produksi Ayam Petelur dan Ayam Pedaging  </t>
  </si>
  <si>
    <t xml:space="preserve">8.2.3. Pengamatan, Pencegahan dan Pemberatasan Penyakit Hewan Menular  </t>
  </si>
  <si>
    <t xml:space="preserve">8.2.4. Penyusunan Neraca Bahan Makanan (NDM)  </t>
  </si>
  <si>
    <t>8.3. Program Peningkatan Sarana dan Prasarana</t>
  </si>
  <si>
    <t xml:space="preserve">8.3.1. Pengembangan UPJA  </t>
  </si>
  <si>
    <t xml:space="preserve">8.3.2. Pembangunan Gudang ALSINTAN  </t>
  </si>
  <si>
    <t xml:space="preserve">8.3.3. Pengadaan Sarana dan Prasarana Pos Kesehatan Hewan, Bonkawir </t>
  </si>
  <si>
    <t>9. DINAS PENGENDALIAN PENDUDUK DAN PENCATATAN SIPIL</t>
  </si>
  <si>
    <t xml:space="preserve">9.1.1. Pengadaan dan Pemeliharaan Peralatan Elektronik  </t>
  </si>
  <si>
    <t xml:space="preserve">9.1.2. Pengadaan Peralatan E KTP  </t>
  </si>
  <si>
    <t>9.2. Program Peningkatan Sumber Daya Aparatur</t>
  </si>
  <si>
    <t xml:space="preserve">9.2.1. Pelatihan tenaga operator SIAK dan Pelyn adm.kependudukan dan capil  </t>
  </si>
  <si>
    <t xml:space="preserve">9.2.2. Pelatihan penerbit Sistem Teknologi Informasi Sarana Prasarana  </t>
  </si>
  <si>
    <t>9.3. Program Implementasi Sistem Administrasi Kependudukan</t>
  </si>
  <si>
    <t xml:space="preserve">9.3.1. Pelayanan Nikah Catatan Sipil (Nikah Massal)  </t>
  </si>
  <si>
    <t>9.4. Program Peningkatan Kualitas Pelayanan Publik</t>
  </si>
  <si>
    <t xml:space="preserve">9.4.1. Pelayanan Kependudukan Secara Mobile dan Pendataan Penduduk </t>
  </si>
  <si>
    <t>10. DINAS PEMBERDAYAAN MASYARAKAT DAN KAMPUNG</t>
  </si>
  <si>
    <t>10.1. Program peningkatan Pengembangan Sistem Pelaporan Capaian Kinerja dan Keuangan</t>
  </si>
  <si>
    <t xml:space="preserve">10.1.1. Penyusunan Renja, Lakip dan Laporan Keuangan  </t>
  </si>
  <si>
    <t>10.2. Program Pengembangan dan Pengelolaan Keuangan Desa</t>
  </si>
  <si>
    <t xml:space="preserve">10.2.1. Penyusunan RKP dan APBK Desa/Kampung  </t>
  </si>
  <si>
    <t>11. DINAS PEHUBUNGAN</t>
  </si>
  <si>
    <t>11.1. Program Pembangunan Dan Peningkatan Sarana Prasarana Perhubungan Laut</t>
  </si>
  <si>
    <t xml:space="preserve">11.1.1. Pembangunan Gedung Terminal Pelabuhan Wisata Waisai (Lanjutan)  </t>
  </si>
  <si>
    <t>12. DINAS KOPERASI DAN UKM</t>
  </si>
  <si>
    <t>12.1. Program Pengembangan Sistem Pendukung Usaha Bagi Usaha Mikro Kecil Menegah</t>
  </si>
  <si>
    <t xml:space="preserve">12.1.1. Pameran Hasil UKM Kabupaten Raja Ampat </t>
  </si>
  <si>
    <t>13. DINAS KEPEMUDAAN DAN OLAHRAGA</t>
  </si>
  <si>
    <t>13.1. Program Peningkatan Peran Serta Pemuda</t>
  </si>
  <si>
    <t xml:space="preserve">13.1.1. PASKIBRA Tingkat Kabupaten </t>
  </si>
  <si>
    <t xml:space="preserve">13.1.2. PASKIBRA Tingkat Provinsi </t>
  </si>
  <si>
    <t xml:space="preserve">13.1.3. Kegiatan PRAMUKA Tingkat Kabupaten  </t>
  </si>
  <si>
    <t xml:space="preserve">13.1.4. JAMBORE Nasional </t>
  </si>
  <si>
    <t xml:space="preserve">13.1.5. Pelaksanaan Upacara Hari Sumpah Pemuda </t>
  </si>
  <si>
    <t xml:space="preserve">13.1.6. HUT dan Pelantikan Pramuka </t>
  </si>
  <si>
    <t xml:space="preserve">13.1.7. Kegiatan PRAMUKA Tingkat Provinsi  </t>
  </si>
  <si>
    <t xml:space="preserve">13.1.8. Pengadaan Alat Musik Untuk Pemuda Kampung Waifoi  </t>
  </si>
  <si>
    <t xml:space="preserve">13.1.9. Studi Pemuda GEMPAR EMAS  </t>
  </si>
  <si>
    <t xml:space="preserve">13.1.10.Bantuan Pakaian Olah Raga Pemuda Ke Kampung </t>
  </si>
  <si>
    <t>13.2. Program Pembinaan dan Pemasyarakatan Olahraga Bahari</t>
  </si>
  <si>
    <t xml:space="preserve">13.2.1. LPI Usia Dini (U-12)  </t>
  </si>
  <si>
    <t xml:space="preserve">13.2.2. Galanita Tingkat Kabupaten  </t>
  </si>
  <si>
    <t xml:space="preserve">13.2.3. Turnamen Piala Raja </t>
  </si>
  <si>
    <t xml:space="preserve">13.2.4. Kejuaraan Bola Volley Raja Ampat </t>
  </si>
  <si>
    <t xml:space="preserve">13.2.5. Gala Des </t>
  </si>
  <si>
    <t xml:space="preserve">13.2.6. Hari Olah Raga Nasional </t>
  </si>
  <si>
    <t xml:space="preserve">13.2.7. Festival Perahu Layar Nasional  </t>
  </si>
  <si>
    <t xml:space="preserve">13.2.8. Monitoring dan Pendampingan Pada Kejuaraan di Tingkat Kabupaten/Provinsi/Nasional  </t>
  </si>
  <si>
    <t xml:space="preserve">13.2.9. LSP Tingkat Kabupaten  </t>
  </si>
  <si>
    <t xml:space="preserve">13.2.10.LSP Tingkat Provinsi  </t>
  </si>
  <si>
    <t>13.3. Program Peningkatan Sarana dan Prasarana Olahraga</t>
  </si>
  <si>
    <t xml:space="preserve">13.3.1. Rehab Lapangan Bola Kaki  </t>
  </si>
  <si>
    <t xml:space="preserve">13.3.2. Pengadaan Matras Olah Raga  </t>
  </si>
  <si>
    <t xml:space="preserve">13.3.3. Pemeliharaan Lapangan Stadion Klanafat </t>
  </si>
  <si>
    <t xml:space="preserve">13.3.4. Pembangunan Kantor KON </t>
  </si>
  <si>
    <t>13.4. Program Peningkatan Pengembangan Sistem Pelaporan Capaian Kinerja</t>
  </si>
  <si>
    <t xml:space="preserve">13.4.1. Pengelolaan Sistem Pengarsipan Kepegawaian  </t>
  </si>
  <si>
    <t>13.5. Program Olah Raga dan Wasit</t>
  </si>
  <si>
    <t xml:space="preserve">13.5.1. Pelatihan Pelatih dan Wasit Bola Volley dan Volley Pantai  </t>
  </si>
  <si>
    <t xml:space="preserve">13.5.2. Pelatihan Pelatih dan Wasit Karate </t>
  </si>
  <si>
    <t xml:space="preserve">13.5.3. Pelatihan Pelatih dan Wasit PABBSI  </t>
  </si>
  <si>
    <t xml:space="preserve">13.5.4. Pelatihan Pelatih dan Wasit Pencak Silat  </t>
  </si>
  <si>
    <t xml:space="preserve">13.5.5. Pelatihan Wasit Sepak Bola  </t>
  </si>
  <si>
    <t xml:space="preserve">13.5.6. Pelatihan Pelatih Dayung  </t>
  </si>
  <si>
    <t xml:space="preserve">13.5.7. Pendampingan Atlit Berprestasi  </t>
  </si>
  <si>
    <t>14. DINAS PERPUSTAKAAN DAN KEARSIPAN</t>
  </si>
  <si>
    <t>14.1. Program Peningkatan Sarana dan Prasarana Aparatur</t>
  </si>
  <si>
    <t xml:space="preserve">14.1.1. Pengadaan Meubelair Kantor, Perpustakaan Daerah dan Perpustakaan Kampung  </t>
  </si>
  <si>
    <t>14.2. Program Pengembangan Budaya Baca Serta Pengembangan Minat Gemar Membaca</t>
  </si>
  <si>
    <t xml:space="preserve">14.2.1. Lomba Cerita Rakyat Tingkat SD/MI Tingkat Distrik  </t>
  </si>
  <si>
    <t xml:space="preserve">14.2.2. Lomba Cerita Rakyat Tingkat SD/MI Tingkat Kabupaten dan Propinsi </t>
  </si>
  <si>
    <t xml:space="preserve">14.2.3. Peningkatan Layanan Perpustakaan Kampung dan Rumah Pintar  </t>
  </si>
  <si>
    <t>15. DINAS KELAUTAN DAN PERIKANAN</t>
  </si>
  <si>
    <t xml:space="preserve">15.1.1. Pembangunan gedung kantor  </t>
  </si>
  <si>
    <t>15.2. Program Pengembangan Perikanan Tangkap</t>
  </si>
  <si>
    <t xml:space="preserve">15.2.1. Pengembangan Tempat Pelelangan Ikan (TPI) Di Waigama  </t>
  </si>
  <si>
    <t xml:space="preserve">15.2.2. Pengembangan Tempat Pelelangan Ikan (TPI) Di Yefman </t>
  </si>
  <si>
    <t xml:space="preserve">15.2.3. Pengembangan Tempat Pelelangan Ikan (TPI) Di Supnin  </t>
  </si>
  <si>
    <t xml:space="preserve">15.2.4. Pengadaan Rumpong Di Supnin </t>
  </si>
  <si>
    <t xml:space="preserve">15.2.5. Pengadaan Rumpong Di Misool </t>
  </si>
  <si>
    <t>15.2.6. Pengadaan Rumpong Di Kofiau</t>
  </si>
  <si>
    <t xml:space="preserve">15.2.7. Pembangunan Dermaga TPI (Jefman dan Waigama)  </t>
  </si>
  <si>
    <t xml:space="preserve">15.2.8. Pengadaan Rumpong Di Ayau  </t>
  </si>
  <si>
    <t xml:space="preserve">15.2.9. Pengadaan Rumpong Di Wawarbomi </t>
  </si>
  <si>
    <t>16. DINAS PERINDUSTRIAN DAN PERDAGANGAN</t>
  </si>
  <si>
    <t>16.1. Program Pelayanan Administrasi Perkantoran</t>
  </si>
  <si>
    <t xml:space="preserve">16.1.1. Monitoring, Evaluasi dan Pelaporan </t>
  </si>
  <si>
    <t>16.2. Program Peningkatan Sarana dan Prasarana Aparatur</t>
  </si>
  <si>
    <t xml:space="preserve">16.2.1. Pengadaan Peralatan Kantor </t>
  </si>
  <si>
    <t xml:space="preserve">16.2.2. Pemeliharaan Rutin/Berkala Gedung Kantor  </t>
  </si>
  <si>
    <t>17. BADAN PENANGGULANGAN BENCANA</t>
  </si>
  <si>
    <t>17.1. Program Peningkatan Kapasitas Kemandirian Masyarakat dalam Menghadapi Resiko</t>
  </si>
  <si>
    <t xml:space="preserve">17.1.1. Pelatihan Pengurangan Resiko Bencana (PRB)  </t>
  </si>
  <si>
    <t xml:space="preserve">17.1.2. Simulasi dan Sosialisasi Penanggulangan Bencana  </t>
  </si>
  <si>
    <t>17.1. Program Peningkatan Sarana dan Prasarana Pencegahan</t>
  </si>
  <si>
    <t xml:space="preserve">17.1.1. Pembangunan Talud Penahan Tanah di Komplek POLRES Raja Ampat  </t>
  </si>
  <si>
    <t xml:space="preserve">18.1.1. Belanja Bantuan Operasional Sekolah Daerah (BOSDA)  </t>
  </si>
  <si>
    <t>18.1.2. Bantuan Perkuliahan Mahasiswa Perikanan,Kelautan dan Pariwisata UNIPA-Raja Ampat  (DINAS P&amp;P)</t>
  </si>
  <si>
    <t xml:space="preserve">18.1.3. Bantuan Perkuliahan Mahasiswa PGSD - STKIP (Dinas Pendidikan)  </t>
  </si>
  <si>
    <t xml:space="preserve">18.1.4. Belanja Bantuan Study Akhir Mahasiswa (Dinas Pendidikan)  </t>
  </si>
  <si>
    <t xml:space="preserve">18.1.5. Belanja Biaya Study S1 STPMD  (Dinas Pendidikan)  </t>
  </si>
  <si>
    <t xml:space="preserve">18.1.6. Belanja Biaya Study S1 Universitas De La Salle Manado  (Dinas Pendidikan) </t>
  </si>
  <si>
    <t xml:space="preserve">18.1.7. Belanja Bantuan Study Mahasiswa (Dinas Pendidikan)  </t>
  </si>
  <si>
    <t>18.1.8. Belanja Bantuan Studi Lanjutan S1 Bagi Guru Yang Berijazah D2, D3, D4  (Dinas Pendidikan)</t>
  </si>
  <si>
    <t>18.2. Belanja Bantuan Keuangan Fungsi Kesehatan</t>
  </si>
  <si>
    <t>18.2.1. Belanja Bantuan Jaminan Persalinan (JAMPERSAL)  (Dinas Kesehatan)</t>
  </si>
  <si>
    <t>18.3. Belanja Bantuan Keuangan</t>
  </si>
  <si>
    <t xml:space="preserve">18.3.1. Belanja Bantuan Wisata Rohani Keagamaan kepada Masyarakat (Dinas Sosial) </t>
  </si>
  <si>
    <t xml:space="preserve">18.3.2. Belanja Bantuan Modal Usaha Bagi IKM (DINAS KOPERASI &amp; UKM)  </t>
  </si>
  <si>
    <t>sorsel delete:</t>
  </si>
  <si>
    <t>2.14.4. Rujukan Komplikasi Orang Asli Papua</t>
  </si>
  <si>
    <t xml:space="preserve">   HIBAH FAK KEDOKTERAN UNIPA</t>
  </si>
  <si>
    <t>tambrauw delete:</t>
  </si>
  <si>
    <t>5. DINAS PERTANIAN</t>
  </si>
  <si>
    <t>5.1. Program Peningkatan Kesejahteraan Petani</t>
  </si>
  <si>
    <t xml:space="preserve">5.1.1. Pengembangan Tanaman Padi Ladang  </t>
  </si>
  <si>
    <t xml:space="preserve">5.1.2. Pengembangan Tanaman Durian </t>
  </si>
  <si>
    <t xml:space="preserve">5.1.3. Pengembangan Tanaman Pala  </t>
  </si>
  <si>
    <t xml:space="preserve">5.1.4. Pengembangan Tanaman Pekarangan Pinang Seluas 30 Ha  </t>
  </si>
  <si>
    <t>5.2. Program Peningkatan Produksi Pertanian/Perkebunan</t>
  </si>
  <si>
    <t xml:space="preserve">5.2.1. Pengembangan Bibit Unggul Pertanian/Perkebunan  </t>
  </si>
  <si>
    <t>5.3.  Program Peningkatan Kapasitas Sumber Daya Petani</t>
  </si>
  <si>
    <t xml:space="preserve">5.3.1. Pelatihan Petani Pembuatan Sabun dari Minyak Nilam  </t>
  </si>
  <si>
    <t>5.4.  Program Peningkatan Sarana dan Prasarana Pertanian/perkebunan</t>
  </si>
  <si>
    <t xml:space="preserve">5.4.1. Sosialisasi Kegiatan Alat Penyulingan Minyak Kelapa  </t>
  </si>
  <si>
    <t>6. DINAS PETERNAKAN DAN KESEHATAN HEWAN</t>
  </si>
  <si>
    <t>6.1.  Program Peningkatan Produksi Hasil Peternakan</t>
  </si>
  <si>
    <t xml:space="preserve">6.1.1. Pelatihan Manajemen Usaha Terbak Babi </t>
  </si>
  <si>
    <t xml:space="preserve">6.1.2. Pengembangan Terbak Babi  </t>
  </si>
  <si>
    <t>6.2. Program Peningkatan Produksi  Peternakan</t>
  </si>
  <si>
    <t>6.2.1. Pengembangan Ternak Ayam Kampung</t>
  </si>
  <si>
    <t>7. INSPEKTORAT</t>
  </si>
  <si>
    <t>7.1. Program Peningkatan Sistem Pengawasan Internal dan Pengendalian Pelaksanaan Kebijakan Kepala Daerah</t>
  </si>
  <si>
    <t>7.1.1. Penanganan Kasus Pengaduan di Lingkungan Pemerintah Daerah</t>
  </si>
  <si>
    <t>7.1.2. Monitoring dan Evaluasi Dana BOS (2 kali/1 tahun)</t>
  </si>
  <si>
    <t>7.1.3. Monitoring dan Evaluasi Dana JKN</t>
  </si>
  <si>
    <t>7.1.4. Monitoring dan Evaluasi Dana Desa (108 kampung di 14 Distrik)</t>
  </si>
  <si>
    <t>7.2. Program Peningkatan Profesionalisme Tangga Pemeriksa dan Aparatur Pengawasan</t>
  </si>
  <si>
    <t>7.2.1. Pelatihan Pengembangan Tenaga Pemeriksa dan Aparatur Pengawasan</t>
  </si>
  <si>
    <t>8. BAPPEDA</t>
  </si>
  <si>
    <t>8.1. Program Perencanaan Sosial dan Budaya</t>
  </si>
  <si>
    <t xml:space="preserve">8.1.1. Monitoring dan Evaluasi Penggunaan Dana Otonomi Khusus </t>
  </si>
  <si>
    <t>9. BPKD selaku SKPD</t>
  </si>
  <si>
    <t>9.1. Program Peningkatan Kapasitas Sumebr daya Aparatur</t>
  </si>
  <si>
    <t>9.1.1. Sosialisasi Pelaporan Penyerapan Dana OTSUS</t>
  </si>
  <si>
    <t>9.2.  Program Peningkatan Pengembangan SistemPelaporan Capaian Kinerja dan Keuangan</t>
  </si>
  <si>
    <t>9.15.2.1. Evaluasi dan Pelaporan Dana OTSUS</t>
  </si>
  <si>
    <t>10.  BPKD selaku PPKD</t>
  </si>
  <si>
    <t>10.1. Belanja Bantuan Sosial Kepala Anggota Masyarakat</t>
  </si>
  <si>
    <t>10.1.1. Belanja Bantuan Sosial Kepada Sekolah Anak Indonesia (fungsi pendidikan)</t>
  </si>
  <si>
    <t>10.2. Belanja Bantuan Sosial Kepada Anggota Masyarakat</t>
  </si>
  <si>
    <t>10.2.1. Belanja Bantuan Sosial Kepada Kelompok Masyarakat</t>
  </si>
  <si>
    <t xml:space="preserve">1.9.1. Monitoring, Evaluasi dan Pelaporan  </t>
  </si>
  <si>
    <t>2.9. Program Pencegahan dan Pengendalian Penyakit Tidak Menular dan Kesehatan Jiwa</t>
  </si>
  <si>
    <t>2.9.2. Pelayanan Penyakit Tidak Menular</t>
  </si>
  <si>
    <t>2.9.1. Pelacakan Orang dengan Gangguan Jiwa</t>
  </si>
  <si>
    <t>2.9.1  Pelacakan Orang dengan Gangguan Jiwa</t>
  </si>
  <si>
    <t>min 25%</t>
  </si>
  <si>
    <t>min15%</t>
  </si>
  <si>
    <t>MASUK PROV</t>
  </si>
  <si>
    <t>TAHUN ANGGARAN 2019 (SESUAI PERUBAHAN PERGUB 53 TAHUN 2018)</t>
  </si>
  <si>
    <t>Yth Ibu Meity Berikut Terlampir Laporan Koreksi Tabel A.1 s.d A.10 dengan catatan sbb:</t>
  </si>
  <si>
    <t>1. Tabel A.1 : Sesuaikan Pagu Realisasi Penyaluran Harus sama dengan Pagu Alokasi</t>
  </si>
  <si>
    <t>2. Tabel A.2 : Mengikuti SK Alokasi Masing2 Provinsi dan Kab/Kota catatan: Lampiran II.a masing2 disesuaikan kembali</t>
  </si>
  <si>
    <t>3. Tabel A.3 : Mohon Crosschek ulang utk Pagu Alokasi Tabel A.3 saat ini dengan Tabel A.4 saat laporan permintaan penyaluran Tahap III Tahun 2018, banyak angka yang tidak sesuai dengan pagu Alokasi Laporan sebelumnya, untuk Provinsi di crosschek ulang SKPD Pengelola Otsus banyak yang tidak sesuai dan utk alokasi Belanja Sosial dan Hibah di BPKAD angka tidak sama, ada pagu Program di Sekretariat Daerah tahun lalu yang tidak diakomodir pada laporan saat ini. </t>
  </si>
  <si>
    <t>5. Tabel A.5 : Sesuaikan dengan Tabel A.3 (Perbaiki Tabel A.3 nya dlu. atau crosschek dengan laporan tahap yang lalu) </t>
  </si>
  <si>
    <t>6. Tabel A.6 : Untuk Formulasi Presentase Alokasi Kolom (4) menyesuaikan catatan yang ada pada tabel antara penyebut dan pembilang</t>
  </si>
  <si>
    <t>7. Tabel A.7 : Sesuaikan dengan Tabel A.3 (Perbaiki Tabel A.3 nya dlu. atau crosschek dengan laporan tahap yang lalu)</t>
  </si>
  <si>
    <t>8. Tabel A.8 : Untuk Formulasi Presentase Alokasi Kolom (4) menyesuaikan catatan yang ada pada tabel antara penyebut dan pembilang</t>
  </si>
  <si>
    <t>9. Tabel A.9 : OK</t>
  </si>
  <si>
    <t>10. Tabel A.10 : OK</t>
  </si>
  <si>
    <t>Terima Kasih</t>
  </si>
  <si>
    <t>4. Tabel A.4 : Perhatikan Alokasi Bidang Pendidikan dan Kesehatan utk masing2 Prov/Kab/Kota dengan Alokasi Minimal di Peraturan Gubernur</t>
  </si>
  <si>
    <t>6.1.2. Pengadaan meubelair</t>
  </si>
  <si>
    <t>32. Badan Pengelolaan Keuangan dan Asset Daerah Kota Sorong (PPKD)</t>
  </si>
  <si>
    <t>32.1. Belanja Bantuan Pendiidkan</t>
  </si>
  <si>
    <t>17.1.1. Bimtek Kerajinan Noken dan Bantuan Alat dan bahan</t>
  </si>
  <si>
    <t>17.2.1. Bimtek Pelaku usaha logam(pantai besi) OAP</t>
  </si>
  <si>
    <t>17.1.5. Bimtek dan Bantuan Alat Pembuatan Kapal Fiber</t>
  </si>
  <si>
    <t xml:space="preserve">4.1.1. Pelatihan Pembuatan Bunga dari Bahan Limbah  </t>
  </si>
  <si>
    <t>4.1.7. Pembangunan Rumah Layak Huni (Rumah Sehat)  Yang Diserahkan Kepada Masyarakat Kampung</t>
  </si>
  <si>
    <t>4.1.1 Pembangunan Rumah Layak Huni Bagi Masyarakat Asli Papua (Rumah Sehat)</t>
  </si>
  <si>
    <t>35.1.1. Belanja Bantuan Sosial Pendidikan</t>
  </si>
  <si>
    <t xml:space="preserve">11.2.2. Penyuluhan Narkoba dan HIV-AIDS bagi Pemuda Luar Sekolah </t>
  </si>
  <si>
    <t>4.1.1 Peningkatan Jalan Seribau</t>
  </si>
  <si>
    <t xml:space="preserve">2.4.8. Peningkatan Palayanan Puskesmas/Puskesmas Pembantu IDOOR </t>
  </si>
  <si>
    <t xml:space="preserve">2.4.9. Peningkatan Pelayanan Puskesmas/Puskesmas Pembantu KURI </t>
  </si>
  <si>
    <t xml:space="preserve">2.4.10. Peningkatan Pelayanan Puskesmas/Puskesmas Pembantu TOFOI </t>
  </si>
  <si>
    <t xml:space="preserve">2.4.11.Peningkatan Pelayanan Puskesmas/Puskesmas Pembantu TEMBUNI </t>
  </si>
  <si>
    <t xml:space="preserve">2.4.12.Peningkatan Pelayanan Puskesmas/Puskesmas Pembantu MERDEY </t>
  </si>
  <si>
    <t xml:space="preserve">2.4.13.Peningkatan Pelayanan Puskesmas/Puskesmas Pembantu JAGIRO </t>
  </si>
  <si>
    <t>2.4.14.Peningkatan Pelayanan Puskesmas/Puskesmas Pembantu ARANDAY</t>
  </si>
  <si>
    <t xml:space="preserve">2.4.15.Peningkatan Pelayanan Puskesmas/Puskesmas Pembantu WERIAGAR </t>
  </si>
  <si>
    <t xml:space="preserve">2.4.16.Peningkatan Pelayanan Puskesmas/Puskesmas Pembantu TUHIBA </t>
  </si>
  <si>
    <t xml:space="preserve">2.4.17.Peningkatan Pelayanan Puskesmas/Puskesmas Pembantu KAITARO </t>
  </si>
  <si>
    <t xml:space="preserve">2.4.18.Peningkatan Pelayanan Puskesmas/Puskesmas Pembantu KALITAMI </t>
  </si>
  <si>
    <t xml:space="preserve">2.4.19.Peningkatan Pelayanan Puskesmas/Puskesmas Pembantu Dataran Beimes </t>
  </si>
  <si>
    <t xml:space="preserve">2.4..20.Peningkatan Pelayanan Puskesmas/Puskesmas Pembantu Moskona Barat </t>
  </si>
  <si>
    <t xml:space="preserve">2.4.21.Peningkatan Pelayanan Puskesmas/Puskesmas Pembantu Aroba </t>
  </si>
  <si>
    <t xml:space="preserve">2.4.22.Peningkatan Pelayanan Puskesmas/Puskesmas Pembantu Moskona Timur </t>
  </si>
  <si>
    <t xml:space="preserve">2.4.23.Peningkatan Pelayanan Puskesmas/Puskesmas Pembantu Masyeta </t>
  </si>
  <si>
    <t xml:space="preserve">2.4.24.Peningkatan Pelayanan Puskesmas/Puskesmas Aranday Kampung </t>
  </si>
  <si>
    <t>2.4.25.Peningkatan Pelayanan Puskesmas/Puskesmas Biscoop</t>
  </si>
  <si>
    <t xml:space="preserve">2.4.26.Peningkatan Pelayanan Puskesmas/Puskesmas MUTURI </t>
  </si>
  <si>
    <t xml:space="preserve">26.5.1. Fasilitasi Permodalan Bagi Kelompok Petani Sayuran </t>
  </si>
  <si>
    <t>2.6.6. Workshop Penguatan Sistim Percepatan Eliminasi Malaria</t>
  </si>
  <si>
    <t>2.6.7. Pembinaan Kesehatan Haji</t>
  </si>
  <si>
    <t>2.8.8. Kampanye Imunisasi MR (MEASLES RUBELLA) Tahun 2018</t>
  </si>
  <si>
    <t xml:space="preserve">4.6.39.Pembangunan Gereja di Kampung  PAM  </t>
  </si>
  <si>
    <t>Tabel A.9</t>
  </si>
  <si>
    <t>PENERIMAAN      : Rp.1.600.000.000.000,00.</t>
  </si>
  <si>
    <t>PENYERAPAN</t>
  </si>
  <si>
    <t>REVIUW               CAPAIAN OUTPUT                       ( %)</t>
  </si>
  <si>
    <t>PENYERAPAN DANA OTSUS  TA. 2018</t>
  </si>
  <si>
    <t>DANA TAMBAHAN INFRASTRUKTUR TA. 2018</t>
  </si>
  <si>
    <t>1. Dinas PU dan Penataan Ruang</t>
  </si>
  <si>
    <t>2. Dinas Perhubungan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</si>
</sst>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2" formatCode="_(&quot;$&quot;* #,##0_);_(&quot;$&quot;* \(#,##0\);_(&quot;$&quot;* &quot;-&quot;_);_(@_)"/>
    <numFmt numFmtId="41" formatCode="_(* #,##0_);_(* \(#,##0\);_(* &quot;-&quot;_);_(@_)"/>
    <numFmt numFmtId="43" formatCode="_(* #,##0.00_);_(* \(#,##0.00\);_(* &quot;-&quot;??_);_(@_)"/>
    <numFmt numFmtId="164" formatCode="_-* #,##0_-;\-* #,##0_-;_-* &quot;-&quot;_-;_-@_-"/>
    <numFmt numFmtId="165" formatCode="_-* #,##0.00_-;\-* #,##0.00_-;_-* &quot;-&quot;??_-;_-@_-"/>
    <numFmt numFmtId="166" formatCode="_(* #,##0.00_);_(* \(#,##0.00\);_(* &quot;-&quot;_);_(@_)"/>
    <numFmt numFmtId="167" formatCode="0.000"/>
    <numFmt numFmtId="168" formatCode="#,##0.000"/>
    <numFmt numFmtId="169" formatCode="_-* #,##0.00_-;\-* #,##0.00_-;_-* &quot;-&quot;_-;_-@_-"/>
    <numFmt numFmtId="170" formatCode="_(* #,##0_);_(* \(#,##0\);_(* &quot;-&quot;??_);_(@_)"/>
    <numFmt numFmtId="171" formatCode="_ * #,##0.00_ ;_ * \-#,##0.00_ ;_ * &quot;-&quot;??_ ;_ @_ "/>
    <numFmt numFmtId="172" formatCode="_-* #,##0.0_-;\-* #,##0.0_-;_-* &quot;-&quot;_-;_-@_-"/>
    <numFmt numFmtId="173" formatCode="_(* #,##0.0000_);_(* \(#,##0.0000\);_(* &quot;-&quot;_);_(@_)"/>
    <numFmt numFmtId="174" formatCode="#,##0.00_);\!\(#,##0.00\!\)"/>
    <numFmt numFmtId="175" formatCode="#,##0.00_ ;\-#,##0.00\ "/>
  </numFmts>
  <fonts count="140" x14ac:knownFonts="1">
    <font>
      <sz val="11"/>
      <color theme="1"/>
      <name val="Calibri"/>
      <family val="2"/>
      <scheme val="minor"/>
    </font>
    <font>
      <sz val="11"/>
      <color theme="1"/>
      <name val="Calibri"/>
      <family val="2"/>
      <charset val="1"/>
      <scheme val="minor"/>
    </font>
    <font>
      <sz val="11"/>
      <color theme="1"/>
      <name val="Calibri"/>
      <family val="2"/>
      <charset val="1"/>
      <scheme val="minor"/>
    </font>
    <font>
      <sz val="11"/>
      <color theme="1"/>
      <name val="Calibri"/>
      <family val="2"/>
      <charset val="1"/>
      <scheme val="minor"/>
    </font>
    <font>
      <sz val="11"/>
      <color theme="1"/>
      <name val="Calibri"/>
      <family val="2"/>
      <charset val="1"/>
      <scheme val="minor"/>
    </font>
    <font>
      <sz val="11"/>
      <color theme="1"/>
      <name val="Calibri"/>
      <family val="2"/>
      <charset val="1"/>
      <scheme val="minor"/>
    </font>
    <font>
      <sz val="11"/>
      <color theme="1"/>
      <name val="Calibri"/>
      <family val="2"/>
      <charset val="1"/>
      <scheme val="minor"/>
    </font>
    <font>
      <sz val="11"/>
      <color theme="1"/>
      <name val="Calibri"/>
      <family val="2"/>
      <charset val="1"/>
      <scheme val="minor"/>
    </font>
    <font>
      <sz val="11"/>
      <color theme="1"/>
      <name val="Calibri"/>
      <family val="2"/>
      <charset val="1"/>
      <scheme val="minor"/>
    </font>
    <font>
      <sz val="11"/>
      <color indexed="8"/>
      <name val="Calibri"/>
      <family val="2"/>
    </font>
    <font>
      <sz val="12"/>
      <color indexed="8"/>
      <name val="Arial"/>
      <family val="2"/>
    </font>
    <font>
      <b/>
      <sz val="11"/>
      <color indexed="8"/>
      <name val="Arial"/>
      <family val="2"/>
    </font>
    <font>
      <sz val="11"/>
      <color indexed="8"/>
      <name val="Arial"/>
      <family val="2"/>
    </font>
    <font>
      <sz val="12"/>
      <name val="Arial"/>
      <family val="2"/>
    </font>
    <font>
      <b/>
      <sz val="12"/>
      <color indexed="8"/>
      <name val="Arial"/>
      <family val="2"/>
    </font>
    <font>
      <sz val="10"/>
      <color indexed="8"/>
      <name val="Arial"/>
      <family val="2"/>
    </font>
    <font>
      <sz val="10"/>
      <color indexed="8"/>
      <name val="Calibri"/>
      <family val="2"/>
    </font>
    <font>
      <b/>
      <sz val="10"/>
      <color indexed="8"/>
      <name val="Calibri"/>
      <family val="2"/>
    </font>
    <font>
      <sz val="11"/>
      <name val="Calibri"/>
      <family val="2"/>
    </font>
    <font>
      <sz val="16"/>
      <name val="Arial"/>
      <family val="2"/>
    </font>
    <font>
      <b/>
      <sz val="16"/>
      <name val="Arial"/>
      <family val="2"/>
    </font>
    <font>
      <sz val="9"/>
      <color indexed="81"/>
      <name val="Tahoma"/>
      <family val="2"/>
    </font>
    <font>
      <b/>
      <sz val="9"/>
      <color indexed="81"/>
      <name val="Tahoma"/>
      <family val="2"/>
    </font>
    <font>
      <b/>
      <sz val="14"/>
      <name val="Arial"/>
      <family val="2"/>
    </font>
    <font>
      <sz val="16"/>
      <name val="Calibri"/>
      <family val="2"/>
    </font>
    <font>
      <b/>
      <sz val="14"/>
      <name val="Calibri"/>
      <family val="2"/>
    </font>
    <font>
      <b/>
      <sz val="11"/>
      <color indexed="8"/>
      <name val="Calibri"/>
      <family val="2"/>
    </font>
    <font>
      <i/>
      <sz val="11"/>
      <color indexed="8"/>
      <name val="Calibri"/>
      <family val="2"/>
    </font>
    <font>
      <b/>
      <sz val="11"/>
      <name val="Calibri"/>
      <family val="2"/>
    </font>
    <font>
      <i/>
      <sz val="11"/>
      <name val="Calibri"/>
      <family val="2"/>
    </font>
    <font>
      <sz val="11"/>
      <color indexed="8"/>
      <name val="Calibri"/>
      <family val="2"/>
    </font>
    <font>
      <b/>
      <sz val="11"/>
      <color indexed="8"/>
      <name val="Calibri"/>
      <family val="2"/>
    </font>
    <font>
      <sz val="11"/>
      <color indexed="10"/>
      <name val="Calibri"/>
      <family val="2"/>
    </font>
    <font>
      <sz val="12"/>
      <color indexed="8"/>
      <name val="Arial"/>
      <family val="2"/>
    </font>
    <font>
      <b/>
      <sz val="11"/>
      <color indexed="8"/>
      <name val="Arial"/>
      <family val="2"/>
    </font>
    <font>
      <sz val="11"/>
      <color indexed="8"/>
      <name val="Arial"/>
      <family val="2"/>
    </font>
    <font>
      <sz val="16"/>
      <color indexed="17"/>
      <name val="Arial"/>
      <family val="2"/>
    </font>
    <font>
      <sz val="16"/>
      <color indexed="10"/>
      <name val="Arial"/>
      <family val="2"/>
    </font>
    <font>
      <b/>
      <sz val="12"/>
      <color indexed="8"/>
      <name val="Arial"/>
      <family val="2"/>
    </font>
    <font>
      <sz val="10"/>
      <color indexed="8"/>
      <name val="Arial"/>
      <family val="2"/>
    </font>
    <font>
      <b/>
      <sz val="10"/>
      <color indexed="8"/>
      <name val="Arial"/>
      <family val="2"/>
    </font>
    <font>
      <sz val="12"/>
      <color indexed="8"/>
      <name val="Calibri"/>
      <family val="2"/>
    </font>
    <font>
      <sz val="12"/>
      <name val="Calibri"/>
      <family val="2"/>
    </font>
    <font>
      <b/>
      <sz val="16"/>
      <color indexed="10"/>
      <name val="Arial"/>
      <family val="2"/>
    </font>
    <font>
      <sz val="16"/>
      <color indexed="17"/>
      <name val="Calibri"/>
      <family val="2"/>
    </font>
    <font>
      <sz val="16"/>
      <color indexed="10"/>
      <name val="Calibri"/>
      <family val="2"/>
    </font>
    <font>
      <sz val="10"/>
      <color indexed="8"/>
      <name val="Calibri"/>
      <family val="2"/>
    </font>
    <font>
      <b/>
      <sz val="10"/>
      <color indexed="8"/>
      <name val="Calibri"/>
      <family val="2"/>
    </font>
    <font>
      <sz val="16"/>
      <color indexed="8"/>
      <name val="Arial"/>
      <family val="2"/>
    </font>
    <font>
      <b/>
      <sz val="14"/>
      <color indexed="8"/>
      <name val="Calibri"/>
      <family val="2"/>
    </font>
    <font>
      <sz val="14"/>
      <color indexed="8"/>
      <name val="Calibri"/>
      <family val="2"/>
    </font>
    <font>
      <b/>
      <sz val="16"/>
      <color indexed="8"/>
      <name val="Arial"/>
      <family val="2"/>
    </font>
    <font>
      <sz val="10"/>
      <name val="Calibri"/>
      <family val="2"/>
    </font>
    <font>
      <b/>
      <sz val="12"/>
      <color indexed="8"/>
      <name val="Calibri"/>
      <family val="2"/>
    </font>
    <font>
      <i/>
      <sz val="10"/>
      <color indexed="8"/>
      <name val="Calibri"/>
      <family val="2"/>
    </font>
    <font>
      <i/>
      <sz val="11"/>
      <color indexed="8"/>
      <name val="Calibri"/>
      <family val="2"/>
    </font>
    <font>
      <b/>
      <sz val="11"/>
      <color indexed="8"/>
      <name val="Calibri"/>
      <family val="2"/>
    </font>
    <font>
      <b/>
      <sz val="18"/>
      <color indexed="8"/>
      <name val="Calibri"/>
      <family val="2"/>
    </font>
    <font>
      <b/>
      <sz val="10"/>
      <color indexed="8"/>
      <name val="Calibri"/>
      <family val="2"/>
    </font>
    <font>
      <i/>
      <sz val="11"/>
      <color indexed="8"/>
      <name val="Arial"/>
      <family val="2"/>
    </font>
    <font>
      <b/>
      <i/>
      <sz val="11"/>
      <color indexed="8"/>
      <name val="Calibri"/>
      <family val="2"/>
    </font>
    <font>
      <b/>
      <i/>
      <sz val="11"/>
      <color indexed="8"/>
      <name val="Calibri"/>
      <family val="2"/>
    </font>
    <font>
      <b/>
      <sz val="11"/>
      <name val="Calibri"/>
      <family val="2"/>
    </font>
    <font>
      <i/>
      <sz val="11"/>
      <color indexed="10"/>
      <name val="Calibri"/>
      <family val="2"/>
    </font>
    <font>
      <b/>
      <sz val="14"/>
      <color indexed="8"/>
      <name val="Arial"/>
      <family val="2"/>
    </font>
    <font>
      <b/>
      <sz val="18"/>
      <color indexed="8"/>
      <name val="Arial"/>
      <family val="2"/>
    </font>
    <font>
      <sz val="11"/>
      <color theme="1"/>
      <name val="Calibri"/>
      <family val="2"/>
      <scheme val="minor"/>
    </font>
    <font>
      <sz val="8"/>
      <color rgb="FF000000"/>
      <name val="Tahoma"/>
      <family val="2"/>
    </font>
    <font>
      <b/>
      <sz val="11"/>
      <color theme="1"/>
      <name val="Calibri"/>
      <family val="2"/>
      <scheme val="minor"/>
    </font>
    <font>
      <i/>
      <sz val="11"/>
      <color theme="1"/>
      <name val="Calibri"/>
      <family val="2"/>
      <scheme val="minor"/>
    </font>
    <font>
      <sz val="11"/>
      <color theme="1"/>
      <name val="Calibri"/>
      <family val="2"/>
    </font>
    <font>
      <sz val="12"/>
      <color theme="1"/>
      <name val="Calibri"/>
      <family val="2"/>
    </font>
    <font>
      <i/>
      <sz val="11"/>
      <color theme="1"/>
      <name val="Calibri"/>
      <family val="2"/>
    </font>
    <font>
      <b/>
      <sz val="11"/>
      <color theme="1"/>
      <name val="Arial"/>
      <family val="2"/>
    </font>
    <font>
      <sz val="11"/>
      <color theme="1"/>
      <name val="Arial"/>
      <family val="2"/>
    </font>
    <font>
      <i/>
      <sz val="11"/>
      <color theme="1"/>
      <name val="Arial"/>
      <family val="2"/>
    </font>
    <font>
      <b/>
      <sz val="11"/>
      <color theme="1"/>
      <name val="Calibri"/>
      <family val="2"/>
    </font>
    <font>
      <b/>
      <i/>
      <sz val="11"/>
      <color theme="1"/>
      <name val="Arial"/>
      <family val="2"/>
    </font>
    <font>
      <i/>
      <sz val="10"/>
      <color theme="1"/>
      <name val="Calibri"/>
      <family val="2"/>
    </font>
    <font>
      <sz val="10"/>
      <color theme="1"/>
      <name val="Arial"/>
      <family val="2"/>
    </font>
    <font>
      <b/>
      <sz val="12"/>
      <color theme="1"/>
      <name val="Arial"/>
      <family val="2"/>
    </font>
    <font>
      <i/>
      <sz val="11"/>
      <color rgb="FF000000"/>
      <name val="Arial"/>
      <family val="2"/>
    </font>
    <font>
      <b/>
      <sz val="11"/>
      <color indexed="8"/>
      <name val="Calibri"/>
      <family val="2"/>
      <scheme val="minor"/>
    </font>
    <font>
      <i/>
      <sz val="11"/>
      <color indexed="8"/>
      <name val="Calibri"/>
      <family val="2"/>
      <scheme val="minor"/>
    </font>
    <font>
      <i/>
      <sz val="11"/>
      <name val="Calibri"/>
      <family val="2"/>
      <scheme val="minor"/>
    </font>
    <font>
      <sz val="11"/>
      <color indexed="8"/>
      <name val="Calibri"/>
      <family val="2"/>
      <scheme val="minor"/>
    </font>
    <font>
      <sz val="11"/>
      <name val="Calibri"/>
      <family val="2"/>
      <scheme val="minor"/>
    </font>
    <font>
      <b/>
      <sz val="11"/>
      <name val="Calibri"/>
      <family val="2"/>
      <scheme val="minor"/>
    </font>
    <font>
      <i/>
      <sz val="11"/>
      <color rgb="FF000000"/>
      <name val="Calibri"/>
      <family val="2"/>
      <scheme val="minor"/>
    </font>
    <font>
      <b/>
      <i/>
      <sz val="11"/>
      <color theme="1"/>
      <name val="Calibri"/>
      <family val="2"/>
      <scheme val="minor"/>
    </font>
    <font>
      <sz val="11"/>
      <color theme="1"/>
      <name val="Calibri"/>
      <family val="2"/>
      <charset val="1"/>
      <scheme val="minor"/>
    </font>
    <font>
      <i/>
      <sz val="11"/>
      <color rgb="FFFF0000"/>
      <name val="Calibri"/>
      <family val="2"/>
      <scheme val="minor"/>
    </font>
    <font>
      <sz val="10"/>
      <color theme="1"/>
      <name val="Calibri"/>
      <family val="2"/>
      <scheme val="minor"/>
    </font>
    <font>
      <b/>
      <u/>
      <sz val="11"/>
      <color theme="1"/>
      <name val="Calibri"/>
      <family val="2"/>
      <scheme val="minor"/>
    </font>
    <font>
      <b/>
      <i/>
      <sz val="11"/>
      <color theme="1"/>
      <name val="Calibri"/>
      <family val="2"/>
    </font>
    <font>
      <i/>
      <sz val="10"/>
      <color theme="1"/>
      <name val="Calibri"/>
      <family val="2"/>
      <scheme val="minor"/>
    </font>
    <font>
      <sz val="11"/>
      <color theme="1"/>
      <name val="Calibri"/>
      <family val="2"/>
      <scheme val="minor"/>
    </font>
    <font>
      <sz val="12"/>
      <color theme="1"/>
      <name val="Calibri"/>
      <family val="2"/>
      <scheme val="minor"/>
    </font>
    <font>
      <sz val="11"/>
      <color rgb="FFFF0000"/>
      <name val="Calibri"/>
      <family val="2"/>
      <scheme val="minor"/>
    </font>
    <font>
      <sz val="11"/>
      <color rgb="FFFF0000"/>
      <name val="Calibri"/>
      <family val="2"/>
    </font>
    <font>
      <b/>
      <sz val="11"/>
      <color rgb="FFFF0000"/>
      <name val="Calibri"/>
      <family val="2"/>
    </font>
    <font>
      <i/>
      <sz val="11"/>
      <color rgb="FFFF0000"/>
      <name val="Calibri"/>
      <family val="2"/>
    </font>
    <font>
      <b/>
      <sz val="11"/>
      <color rgb="FFFF0000"/>
      <name val="Calibri"/>
      <family val="2"/>
      <scheme val="minor"/>
    </font>
    <font>
      <sz val="11"/>
      <color theme="1"/>
      <name val="Calibri"/>
      <family val="2"/>
      <scheme val="minor"/>
    </font>
    <font>
      <sz val="11"/>
      <color rgb="FF000000"/>
      <name val="Arial"/>
      <family val="2"/>
    </font>
    <font>
      <b/>
      <sz val="11"/>
      <name val="Arial"/>
      <family val="2"/>
    </font>
    <font>
      <b/>
      <i/>
      <sz val="11"/>
      <color rgb="FFFF0000"/>
      <name val="Calibri"/>
      <family val="2"/>
    </font>
    <font>
      <sz val="10"/>
      <color rgb="FFFF0000"/>
      <name val="Calibri"/>
      <family val="2"/>
    </font>
    <font>
      <i/>
      <sz val="10"/>
      <color rgb="FFFF0000"/>
      <name val="Calibri"/>
      <family val="2"/>
    </font>
    <font>
      <b/>
      <u/>
      <sz val="11"/>
      <color theme="1"/>
      <name val="Calibri"/>
      <family val="2"/>
    </font>
    <font>
      <b/>
      <sz val="12"/>
      <color theme="1"/>
      <name val="Calibri"/>
      <family val="2"/>
    </font>
    <font>
      <b/>
      <sz val="14"/>
      <color theme="1"/>
      <name val="Calibri"/>
      <family val="2"/>
    </font>
    <font>
      <b/>
      <sz val="10"/>
      <color theme="1"/>
      <name val="Arial"/>
      <family val="2"/>
    </font>
    <font>
      <b/>
      <sz val="14"/>
      <color theme="1"/>
      <name val="Arial"/>
      <family val="2"/>
    </font>
    <font>
      <b/>
      <sz val="10"/>
      <color theme="1"/>
      <name val="Calibri"/>
      <family val="2"/>
    </font>
    <font>
      <sz val="10"/>
      <color theme="1"/>
      <name val="Calibri"/>
      <family val="2"/>
    </font>
    <font>
      <sz val="11"/>
      <name val="Calibri"/>
      <family val="2"/>
    </font>
    <font>
      <sz val="11"/>
      <color rgb="FF000000"/>
      <name val="Calibri"/>
      <family val="2"/>
    </font>
    <font>
      <b/>
      <sz val="12"/>
      <color rgb="FF000000"/>
      <name val="Arial"/>
      <family val="2"/>
    </font>
    <font>
      <sz val="12"/>
      <color rgb="FF000000"/>
      <name val="Arial"/>
      <family val="2"/>
    </font>
    <font>
      <b/>
      <sz val="11"/>
      <color rgb="FF000000"/>
      <name val="Arial"/>
      <family val="2"/>
    </font>
    <font>
      <b/>
      <sz val="10"/>
      <color rgb="FF000000"/>
      <name val="Arial"/>
      <family val="2"/>
    </font>
    <font>
      <sz val="10"/>
      <color rgb="FF000000"/>
      <name val="Arial"/>
      <family val="2"/>
    </font>
    <font>
      <b/>
      <i/>
      <sz val="11"/>
      <color rgb="FFFF0000"/>
      <name val="Calibri"/>
      <family val="2"/>
      <scheme val="minor"/>
    </font>
    <font>
      <b/>
      <sz val="10"/>
      <color rgb="FFFF0000"/>
      <name val="Calibri"/>
      <family val="2"/>
    </font>
    <font>
      <b/>
      <sz val="10"/>
      <color theme="1"/>
      <name val="Calibri"/>
      <family val="2"/>
      <scheme val="minor"/>
    </font>
    <font>
      <b/>
      <sz val="11"/>
      <color rgb="FF000000"/>
      <name val="Calibri"/>
      <family val="2"/>
      <scheme val="minor"/>
    </font>
    <font>
      <b/>
      <sz val="10"/>
      <color indexed="8"/>
      <name val="Calibri"/>
      <family val="2"/>
      <scheme val="minor"/>
    </font>
    <font>
      <i/>
      <sz val="10"/>
      <color indexed="8"/>
      <name val="Calibri"/>
      <family val="2"/>
      <scheme val="minor"/>
    </font>
    <font>
      <b/>
      <sz val="10"/>
      <name val="Arial"/>
      <family val="2"/>
    </font>
    <font>
      <i/>
      <sz val="12"/>
      <color theme="1"/>
      <name val="Calibri"/>
      <family val="2"/>
      <scheme val="minor"/>
    </font>
    <font>
      <b/>
      <sz val="12"/>
      <color theme="1"/>
      <name val="Calibri"/>
      <family val="2"/>
      <scheme val="minor"/>
    </font>
    <font>
      <b/>
      <i/>
      <sz val="12"/>
      <color theme="1"/>
      <name val="Calibri"/>
      <family val="2"/>
      <scheme val="minor"/>
    </font>
    <font>
      <i/>
      <sz val="12"/>
      <color indexed="8"/>
      <name val="Calibri"/>
      <family val="2"/>
      <scheme val="minor"/>
    </font>
    <font>
      <sz val="12"/>
      <color indexed="8"/>
      <name val="Calibri"/>
      <family val="2"/>
      <scheme val="minor"/>
    </font>
    <font>
      <b/>
      <sz val="12"/>
      <color indexed="8"/>
      <name val="Calibri"/>
      <family val="2"/>
      <scheme val="minor"/>
    </font>
    <font>
      <sz val="11"/>
      <color theme="0"/>
      <name val="Calibri"/>
      <family val="2"/>
    </font>
    <font>
      <b/>
      <sz val="11"/>
      <color theme="0"/>
      <name val="Calibri"/>
      <family val="2"/>
    </font>
    <font>
      <b/>
      <sz val="11"/>
      <color theme="0"/>
      <name val="Calibri"/>
      <family val="2"/>
      <scheme val="minor"/>
    </font>
    <font>
      <sz val="11"/>
      <color theme="0"/>
      <name val="Calibri"/>
      <family val="2"/>
      <scheme val="minor"/>
    </font>
  </fonts>
  <fills count="14">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13"/>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theme="0" tint="-0.34998626667073579"/>
        <bgColor indexed="64"/>
      </patternFill>
    </fill>
    <fill>
      <patternFill patternType="solid">
        <fgColor rgb="FFFFC000"/>
        <bgColor indexed="64"/>
      </patternFill>
    </fill>
    <fill>
      <patternFill patternType="solid">
        <fgColor theme="8" tint="0.59999389629810485"/>
        <bgColor indexed="64"/>
      </patternFill>
    </fill>
  </fills>
  <borders count="146">
    <border>
      <left/>
      <right/>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double">
        <color indexed="64"/>
      </left>
      <right style="medium">
        <color indexed="64"/>
      </right>
      <top/>
      <bottom style="hair">
        <color indexed="64"/>
      </bottom>
      <diagonal/>
    </border>
    <border>
      <left style="medium">
        <color indexed="64"/>
      </left>
      <right style="medium">
        <color indexed="64"/>
      </right>
      <top/>
      <bottom style="hair">
        <color indexed="64"/>
      </bottom>
      <diagonal/>
    </border>
    <border>
      <left style="double">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double">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medium">
        <color indexed="64"/>
      </right>
      <top style="hair">
        <color indexed="64"/>
      </top>
      <bottom/>
      <diagonal/>
    </border>
    <border>
      <left style="double">
        <color indexed="64"/>
      </left>
      <right style="medium">
        <color indexed="64"/>
      </right>
      <top style="hair">
        <color indexed="64"/>
      </top>
      <bottom/>
      <diagonal/>
    </border>
    <border>
      <left style="double">
        <color indexed="64"/>
      </left>
      <right style="medium">
        <color indexed="64"/>
      </right>
      <top style="double">
        <color indexed="64"/>
      </top>
      <bottom style="double">
        <color indexed="64"/>
      </bottom>
      <diagonal/>
    </border>
    <border>
      <left style="medium">
        <color indexed="64"/>
      </left>
      <right style="medium">
        <color indexed="64"/>
      </right>
      <top style="double">
        <color indexed="64"/>
      </top>
      <bottom style="double">
        <color indexed="64"/>
      </bottom>
      <diagonal/>
    </border>
    <border>
      <left style="medium">
        <color indexed="64"/>
      </left>
      <right/>
      <top style="hair">
        <color indexed="64"/>
      </top>
      <bottom/>
      <diagonal/>
    </border>
    <border>
      <left style="medium">
        <color indexed="64"/>
      </left>
      <right/>
      <top style="double">
        <color indexed="64"/>
      </top>
      <bottom style="double">
        <color indexed="64"/>
      </bottom>
      <diagonal/>
    </border>
    <border>
      <left style="medium">
        <color indexed="64"/>
      </left>
      <right style="medium">
        <color indexed="64"/>
      </right>
      <top style="double">
        <color indexed="64"/>
      </top>
      <bottom style="medium">
        <color indexed="64"/>
      </bottom>
      <diagonal/>
    </border>
    <border>
      <left/>
      <right/>
      <top/>
      <bottom style="medium">
        <color indexed="64"/>
      </bottom>
      <diagonal/>
    </border>
    <border>
      <left style="medium">
        <color indexed="64"/>
      </left>
      <right style="double">
        <color indexed="64"/>
      </right>
      <top style="double">
        <color indexed="64"/>
      </top>
      <bottom style="double">
        <color indexed="64"/>
      </bottom>
      <diagonal/>
    </border>
    <border>
      <left style="medium">
        <color indexed="64"/>
      </left>
      <right style="double">
        <color indexed="64"/>
      </right>
      <top/>
      <bottom style="hair">
        <color indexed="64"/>
      </bottom>
      <diagonal/>
    </border>
    <border>
      <left style="medium">
        <color indexed="64"/>
      </left>
      <right style="double">
        <color indexed="64"/>
      </right>
      <top style="hair">
        <color indexed="64"/>
      </top>
      <bottom style="hair">
        <color indexed="64"/>
      </bottom>
      <diagonal/>
    </border>
    <border>
      <left style="medium">
        <color indexed="64"/>
      </left>
      <right style="double">
        <color indexed="64"/>
      </right>
      <top style="hair">
        <color indexed="64"/>
      </top>
      <bottom/>
      <diagonal/>
    </border>
    <border>
      <left/>
      <right style="medium">
        <color indexed="64"/>
      </right>
      <top style="medium">
        <color indexed="64"/>
      </top>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hair">
        <color indexed="64"/>
      </bottom>
      <diagonal/>
    </border>
    <border>
      <left style="medium">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top style="hair">
        <color indexed="64"/>
      </top>
      <bottom/>
      <diagonal/>
    </border>
    <border>
      <left style="double">
        <color indexed="64"/>
      </left>
      <right/>
      <top style="double">
        <color indexed="64"/>
      </top>
      <bottom style="double">
        <color indexed="64"/>
      </bottom>
      <diagonal/>
    </border>
    <border>
      <left style="thin">
        <color indexed="64"/>
      </left>
      <right style="double">
        <color indexed="64"/>
      </right>
      <top style="double">
        <color indexed="64"/>
      </top>
      <bottom style="hair">
        <color indexed="64"/>
      </bottom>
      <diagonal/>
    </border>
    <border>
      <left style="medium">
        <color indexed="64"/>
      </left>
      <right style="medium">
        <color indexed="64"/>
      </right>
      <top style="medium">
        <color indexed="64"/>
      </top>
      <bottom style="double">
        <color indexed="64"/>
      </bottom>
      <diagonal/>
    </border>
    <border>
      <left/>
      <right style="thin">
        <color indexed="64"/>
      </right>
      <top style="double">
        <color indexed="64"/>
      </top>
      <bottom style="hair">
        <color indexed="64"/>
      </bottom>
      <diagonal/>
    </border>
    <border>
      <left/>
      <right/>
      <top style="hair">
        <color indexed="64"/>
      </top>
      <bottom/>
      <diagonal/>
    </border>
    <border>
      <left/>
      <right/>
      <top style="hair">
        <color indexed="64"/>
      </top>
      <bottom style="hair">
        <color indexed="64"/>
      </bottom>
      <diagonal/>
    </border>
    <border>
      <left style="double">
        <color indexed="64"/>
      </left>
      <right/>
      <top/>
      <bottom style="double">
        <color indexed="64"/>
      </bottom>
      <diagonal/>
    </border>
    <border>
      <left style="medium">
        <color indexed="64"/>
      </left>
      <right style="medium">
        <color indexed="64"/>
      </right>
      <top/>
      <bottom style="double">
        <color indexed="64"/>
      </bottom>
      <diagonal/>
    </border>
    <border>
      <left/>
      <right style="medium">
        <color indexed="64"/>
      </right>
      <top style="double">
        <color indexed="64"/>
      </top>
      <bottom style="double">
        <color indexed="64"/>
      </bottom>
      <diagonal/>
    </border>
    <border>
      <left style="thin">
        <color indexed="64"/>
      </left>
      <right style="thin">
        <color indexed="64"/>
      </right>
      <top style="medium">
        <color indexed="64"/>
      </top>
      <bottom style="medium">
        <color indexed="64"/>
      </bottom>
      <diagonal/>
    </border>
    <border>
      <left style="medium">
        <color indexed="64"/>
      </left>
      <right style="double">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medium">
        <color indexed="64"/>
      </right>
      <top/>
      <bottom/>
      <diagonal/>
    </border>
    <border>
      <left/>
      <right style="medium">
        <color indexed="64"/>
      </right>
      <top style="hair">
        <color indexed="64"/>
      </top>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right style="medium">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medium">
        <color indexed="64"/>
      </right>
      <top/>
      <bottom/>
      <diagonal/>
    </border>
    <border>
      <left style="thin">
        <color indexed="64"/>
      </left>
      <right style="medium">
        <color indexed="64"/>
      </right>
      <top/>
      <bottom style="hair">
        <color indexed="64"/>
      </bottom>
      <diagonal/>
    </border>
    <border>
      <left style="thin">
        <color indexed="64"/>
      </left>
      <right/>
      <top style="hair">
        <color indexed="64"/>
      </top>
      <bottom/>
      <diagonal/>
    </border>
    <border>
      <left style="thin">
        <color indexed="64"/>
      </left>
      <right/>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hair">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hair">
        <color indexed="64"/>
      </top>
      <bottom style="medium">
        <color indexed="64"/>
      </bottom>
      <diagonal/>
    </border>
    <border>
      <left/>
      <right/>
      <top/>
      <bottom style="hair">
        <color indexed="64"/>
      </bottom>
      <diagonal/>
    </border>
    <border>
      <left style="medium">
        <color indexed="64"/>
      </left>
      <right/>
      <top style="hair">
        <color indexed="64"/>
      </top>
      <bottom style="thin">
        <color indexed="64"/>
      </bottom>
      <diagonal/>
    </border>
    <border>
      <left/>
      <right/>
      <top style="thin">
        <color indexed="64"/>
      </top>
      <bottom/>
      <diagonal/>
    </border>
    <border>
      <left style="thin">
        <color indexed="64"/>
      </left>
      <right/>
      <top/>
      <bottom style="thin">
        <color indexed="64"/>
      </bottom>
      <diagonal/>
    </border>
    <border>
      <left style="medium">
        <color indexed="64"/>
      </left>
      <right/>
      <top/>
      <bottom style="double">
        <color indexed="64"/>
      </bottom>
      <diagonal/>
    </border>
    <border>
      <left style="medium">
        <color indexed="64"/>
      </left>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right/>
      <top style="double">
        <color indexed="64"/>
      </top>
      <bottom/>
      <diagonal/>
    </border>
    <border>
      <left style="medium">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right/>
      <top style="double">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double">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double">
        <color indexed="64"/>
      </right>
      <top style="thin">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medium">
        <color indexed="64"/>
      </left>
      <right/>
      <top style="thin">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double">
        <color indexed="64"/>
      </top>
      <bottom/>
      <diagonal/>
    </border>
    <border>
      <left style="medium">
        <color indexed="64"/>
      </left>
      <right style="double">
        <color indexed="64"/>
      </right>
      <top style="double">
        <color indexed="64"/>
      </top>
      <bottom style="medium">
        <color indexed="64"/>
      </bottom>
      <diagonal/>
    </border>
    <border>
      <left style="medium">
        <color indexed="64"/>
      </left>
      <right style="double">
        <color indexed="64"/>
      </right>
      <top style="medium">
        <color indexed="64"/>
      </top>
      <bottom style="double">
        <color indexed="64"/>
      </bottom>
      <diagonal/>
    </border>
    <border>
      <left style="double">
        <color indexed="64"/>
      </left>
      <right style="medium">
        <color indexed="64"/>
      </right>
      <top style="double">
        <color indexed="64"/>
      </top>
      <bottom style="medium">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style="double">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style="hair">
        <color indexed="64"/>
      </bottom>
      <diagonal/>
    </border>
    <border>
      <left style="medium">
        <color indexed="64"/>
      </left>
      <right/>
      <top/>
      <bottom style="medium">
        <color indexed="64"/>
      </bottom>
      <diagonal/>
    </border>
    <border>
      <left style="double">
        <color indexed="64"/>
      </left>
      <right style="medium">
        <color indexed="64"/>
      </right>
      <top style="double">
        <color indexed="64"/>
      </top>
      <bottom style="hair">
        <color indexed="64"/>
      </bottom>
      <diagonal/>
    </border>
    <border>
      <left style="medium">
        <color indexed="64"/>
      </left>
      <right style="double">
        <color indexed="64"/>
      </right>
      <top style="double">
        <color indexed="64"/>
      </top>
      <bottom style="hair">
        <color indexed="64"/>
      </bottom>
      <diagonal/>
    </border>
    <border>
      <left style="medium">
        <color indexed="64"/>
      </left>
      <right style="medium">
        <color indexed="64"/>
      </right>
      <top style="double">
        <color indexed="64"/>
      </top>
      <bottom/>
      <diagonal/>
    </border>
    <border>
      <left style="medium">
        <color indexed="64"/>
      </left>
      <right/>
      <top style="double">
        <color indexed="64"/>
      </top>
      <bottom/>
      <diagonal/>
    </border>
    <border>
      <left style="medium">
        <color rgb="FF000000"/>
      </left>
      <right style="medium">
        <color indexed="64"/>
      </right>
      <top style="hair">
        <color rgb="FF000000"/>
      </top>
      <bottom style="hair">
        <color rgb="FF000000"/>
      </bottom>
      <diagonal/>
    </border>
    <border>
      <left style="medium">
        <color indexed="64"/>
      </left>
      <right style="medium">
        <color rgb="FF000000"/>
      </right>
      <top style="hair">
        <color indexed="64"/>
      </top>
      <bottom style="hair">
        <color indexed="64"/>
      </bottom>
      <diagonal/>
    </border>
    <border>
      <left style="medium">
        <color rgb="FF000000"/>
      </left>
      <right style="medium">
        <color rgb="FF000000"/>
      </right>
      <top style="hair">
        <color indexed="64"/>
      </top>
      <bottom style="hair">
        <color indexed="64"/>
      </bottom>
      <diagonal/>
    </border>
    <border>
      <left style="medium">
        <color rgb="FF000000"/>
      </left>
      <right style="medium">
        <color indexed="64"/>
      </right>
      <top style="hair">
        <color indexed="64"/>
      </top>
      <bottom style="hair">
        <color indexed="64"/>
      </bottom>
      <diagonal/>
    </border>
    <border>
      <left/>
      <right style="medium">
        <color rgb="FF000000"/>
      </right>
      <top/>
      <bottom/>
      <diagonal/>
    </border>
    <border>
      <left style="medium">
        <color rgb="FF000000"/>
      </left>
      <right/>
      <top style="hair">
        <color indexed="64"/>
      </top>
      <bottom style="hair">
        <color indexed="64"/>
      </bottom>
      <diagonal/>
    </border>
    <border>
      <left/>
      <right style="medium">
        <color indexed="64"/>
      </right>
      <top style="medium">
        <color indexed="64"/>
      </top>
      <bottom style="double">
        <color indexed="64"/>
      </bottom>
      <diagonal/>
    </border>
    <border>
      <left style="medium">
        <color indexed="64"/>
      </left>
      <right/>
      <top/>
      <bottom style="thin">
        <color indexed="64"/>
      </bottom>
      <diagonal/>
    </border>
    <border>
      <left/>
      <right/>
      <top style="thin">
        <color indexed="64"/>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style="double">
        <color indexed="64"/>
      </top>
      <bottom style="hair">
        <color indexed="64"/>
      </bottom>
      <diagonal/>
    </border>
    <border>
      <left style="double">
        <color indexed="64"/>
      </left>
      <right style="medium">
        <color indexed="64"/>
      </right>
      <top/>
      <bottom/>
      <diagonal/>
    </border>
    <border>
      <left/>
      <right style="medium">
        <color rgb="FF000000"/>
      </right>
      <top style="hair">
        <color indexed="64"/>
      </top>
      <bottom style="hair">
        <color indexed="64"/>
      </bottom>
      <diagonal/>
    </border>
    <border>
      <left style="medium">
        <color indexed="64"/>
      </left>
      <right style="medium">
        <color indexed="64"/>
      </right>
      <top style="dotted">
        <color indexed="64"/>
      </top>
      <bottom style="dotted">
        <color indexed="64"/>
      </bottom>
      <diagonal/>
    </border>
    <border>
      <left style="medium">
        <color rgb="FF000000"/>
      </left>
      <right style="medium">
        <color indexed="64"/>
      </right>
      <top/>
      <bottom style="hair">
        <color rgb="FF000000"/>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medium">
        <color indexed="64"/>
      </left>
      <right style="thin">
        <color indexed="64"/>
      </right>
      <top style="hair">
        <color indexed="64"/>
      </top>
      <bottom/>
      <diagonal/>
    </border>
    <border>
      <left style="thin">
        <color indexed="64"/>
      </left>
      <right/>
      <top style="double">
        <color indexed="64"/>
      </top>
      <bottom style="double">
        <color indexed="64"/>
      </bottom>
      <diagonal/>
    </border>
    <border>
      <left style="medium">
        <color indexed="64"/>
      </left>
      <right style="thin">
        <color indexed="64"/>
      </right>
      <top style="double">
        <color indexed="64"/>
      </top>
      <bottom style="double">
        <color indexed="64"/>
      </bottom>
      <diagonal/>
    </border>
    <border>
      <left style="medium">
        <color indexed="64"/>
      </left>
      <right/>
      <top style="medium">
        <color indexed="64"/>
      </top>
      <bottom style="hair">
        <color indexed="64"/>
      </bottom>
      <diagonal/>
    </border>
    <border>
      <left style="medium">
        <color indexed="64"/>
      </left>
      <right/>
      <top style="thin">
        <color indexed="64"/>
      </top>
      <bottom/>
      <diagonal/>
    </border>
    <border>
      <left/>
      <right style="medium">
        <color indexed="64"/>
      </right>
      <top style="medium">
        <color indexed="64"/>
      </top>
      <bottom style="hair">
        <color indexed="64"/>
      </bottom>
      <diagonal/>
    </border>
  </borders>
  <cellStyleXfs count="839">
    <xf numFmtId="0" fontId="0" fillId="0" borderId="0"/>
    <xf numFmtId="43" fontId="30" fillId="0" borderId="0" applyFont="0" applyFill="0" applyBorder="0" applyAlignment="0" applyProtection="0"/>
    <xf numFmtId="41" fontId="30" fillId="0" borderId="0" applyFont="0" applyFill="0" applyBorder="0" applyAlignment="0" applyProtection="0"/>
    <xf numFmtId="41" fontId="15" fillId="0" borderId="0" applyFont="0" applyFill="0" applyBorder="0" applyAlignment="0" applyProtection="0">
      <alignment vertical="top"/>
    </xf>
    <xf numFmtId="43" fontId="9" fillId="0" borderId="0" applyFont="0" applyFill="0" applyBorder="0" applyAlignment="0" applyProtection="0"/>
    <xf numFmtId="0" fontId="66" fillId="0" borderId="0"/>
    <xf numFmtId="0" fontId="15" fillId="0" borderId="0">
      <alignment vertical="top"/>
    </xf>
    <xf numFmtId="0" fontId="15" fillId="0" borderId="0">
      <alignment vertical="top"/>
    </xf>
    <xf numFmtId="9" fontId="30" fillId="0" borderId="0" applyFont="0" applyFill="0" applyBorder="0" applyAlignment="0" applyProtection="0"/>
    <xf numFmtId="0" fontId="67" fillId="6" borderId="0">
      <alignment horizontal="left" vertical="center"/>
    </xf>
    <xf numFmtId="0" fontId="67" fillId="6" borderId="0">
      <alignment horizontal="left" vertical="center"/>
    </xf>
    <xf numFmtId="41" fontId="66" fillId="0" borderId="0" applyFont="0" applyFill="0" applyBorder="0" applyAlignment="0" applyProtection="0"/>
    <xf numFmtId="0" fontId="15" fillId="0" borderId="0">
      <alignment vertical="top"/>
    </xf>
    <xf numFmtId="0" fontId="66" fillId="0" borderId="0"/>
    <xf numFmtId="41" fontId="90" fillId="0" borderId="0" applyFont="0" applyFill="0" applyBorder="0" applyAlignment="0" applyProtection="0"/>
    <xf numFmtId="0" fontId="90" fillId="0" borderId="0"/>
    <xf numFmtId="41" fontId="66" fillId="0" borderId="0" applyFont="0" applyFill="0" applyBorder="0" applyAlignment="0" applyProtection="0"/>
    <xf numFmtId="43" fontId="66" fillId="0" borderId="0" applyFont="0" applyFill="0" applyBorder="0" applyAlignment="0" applyProtection="0"/>
    <xf numFmtId="41" fontId="9" fillId="0" borderId="0" applyFont="0" applyFill="0" applyBorder="0" applyAlignment="0" applyProtection="0"/>
    <xf numFmtId="0" fontId="96" fillId="0" borderId="0"/>
    <xf numFmtId="171" fontId="66" fillId="0" borderId="0" applyFont="0" applyFill="0" applyBorder="0" applyAlignment="0" applyProtection="0">
      <alignment vertical="center"/>
    </xf>
    <xf numFmtId="164" fontId="66" fillId="0" borderId="0" applyFont="0" applyFill="0" applyBorder="0" applyAlignment="0" applyProtection="0"/>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64" fontId="66" fillId="0" borderId="0" applyFont="0" applyFill="0" applyBorder="0" applyAlignment="0" applyProtection="0"/>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64" fontId="66" fillId="0" borderId="0" applyFont="0" applyFill="0" applyBorder="0" applyAlignment="0" applyProtection="0"/>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164" fontId="66" fillId="0" borderId="0" applyFont="0" applyFill="0" applyBorder="0" applyAlignment="0" applyProtection="0"/>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0" fontId="8" fillId="0" borderId="0"/>
    <xf numFmtId="164" fontId="8" fillId="0" borderId="0" applyFont="0" applyFill="0" applyBorder="0" applyAlignment="0" applyProtection="0"/>
    <xf numFmtId="164" fontId="66" fillId="0" borderId="0" applyFont="0" applyFill="0" applyBorder="0" applyAlignment="0" applyProtection="0"/>
    <xf numFmtId="9" fontId="66" fillId="0" borderId="0" applyFont="0" applyFill="0" applyBorder="0" applyAlignment="0" applyProtection="0"/>
    <xf numFmtId="0" fontId="7" fillId="0" borderId="0"/>
    <xf numFmtId="164" fontId="7" fillId="0" borderId="0" applyFont="0" applyFill="0" applyBorder="0" applyAlignment="0" applyProtection="0"/>
    <xf numFmtId="165" fontId="66" fillId="0" borderId="0" applyFont="0" applyFill="0" applyBorder="0" applyAlignment="0" applyProtection="0"/>
    <xf numFmtId="164" fontId="6" fillId="0" borderId="0" applyFont="0" applyFill="0" applyBorder="0" applyAlignment="0" applyProtection="0"/>
    <xf numFmtId="165" fontId="15" fillId="0" borderId="0" applyFont="0" applyFill="0" applyBorder="0" applyAlignment="0" applyProtection="0">
      <alignment vertical="top"/>
    </xf>
    <xf numFmtId="42" fontId="66" fillId="0" borderId="0" applyFont="0" applyFill="0" applyBorder="0" applyAlignment="0" applyProtection="0"/>
    <xf numFmtId="0" fontId="6" fillId="0" borderId="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71" fontId="66" fillId="0" borderId="0" applyFont="0" applyFill="0" applyBorder="0" applyAlignment="0" applyProtection="0">
      <alignment vertical="center"/>
    </xf>
    <xf numFmtId="164" fontId="66" fillId="0" borderId="0" applyFont="0" applyFill="0" applyBorder="0" applyAlignment="0" applyProtection="0"/>
    <xf numFmtId="171" fontId="66" fillId="0" borderId="0" applyFont="0" applyFill="0" applyBorder="0" applyAlignment="0" applyProtection="0">
      <alignment vertical="center"/>
    </xf>
    <xf numFmtId="171" fontId="66" fillId="0" borderId="0" applyFont="0" applyFill="0" applyBorder="0" applyAlignment="0" applyProtection="0">
      <alignment vertical="center"/>
    </xf>
    <xf numFmtId="0" fontId="103" fillId="0" borderId="0"/>
    <xf numFmtId="171" fontId="66" fillId="0" borderId="0" applyFont="0" applyFill="0" applyBorder="0" applyAlignment="0" applyProtection="0">
      <alignment vertical="center"/>
    </xf>
    <xf numFmtId="164" fontId="66" fillId="0" borderId="0" applyFont="0" applyFill="0" applyBorder="0" applyAlignment="0" applyProtection="0"/>
    <xf numFmtId="0" fontId="116" fillId="0" borderId="0">
      <alignment vertical="center"/>
    </xf>
    <xf numFmtId="41" fontId="117" fillId="0" borderId="0">
      <alignment vertical="top"/>
      <protection locked="0"/>
    </xf>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4" fontId="9" fillId="0" borderId="0" applyFont="0" applyFill="0" applyBorder="0" applyAlignment="0" applyProtection="0"/>
    <xf numFmtId="164" fontId="15" fillId="0" borderId="0" applyFont="0" applyFill="0" applyBorder="0" applyAlignment="0" applyProtection="0">
      <alignment vertical="top"/>
    </xf>
    <xf numFmtId="165" fontId="9" fillId="0" borderId="0" applyFont="0" applyFill="0" applyBorder="0" applyAlignment="0" applyProtection="0"/>
    <xf numFmtId="9" fontId="9" fillId="0" borderId="0" applyFont="0" applyFill="0" applyBorder="0" applyAlignment="0" applyProtection="0"/>
    <xf numFmtId="165" fontId="9" fillId="0" borderId="0" applyFont="0" applyFill="0" applyBorder="0" applyAlignment="0" applyProtection="0"/>
    <xf numFmtId="164" fontId="5" fillId="0" borderId="0" applyFont="0" applyFill="0" applyBorder="0" applyAlignment="0" applyProtection="0"/>
    <xf numFmtId="0" fontId="5" fillId="0" borderId="0"/>
    <xf numFmtId="164" fontId="66" fillId="0" borderId="0" applyFont="0" applyFill="0" applyBorder="0" applyAlignment="0" applyProtection="0"/>
    <xf numFmtId="165" fontId="66" fillId="0" borderId="0" applyFont="0" applyFill="0" applyBorder="0" applyAlignment="0" applyProtection="0"/>
    <xf numFmtId="164" fontId="9" fillId="0" borderId="0" applyFont="0" applyFill="0" applyBorder="0" applyAlignment="0" applyProtection="0"/>
    <xf numFmtId="0" fontId="66" fillId="0" borderId="0"/>
    <xf numFmtId="164"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0" fontId="5" fillId="0" borderId="0"/>
    <xf numFmtId="164" fontId="5" fillId="0" borderId="0" applyFont="0" applyFill="0" applyBorder="0" applyAlignment="0" applyProtection="0"/>
    <xf numFmtId="164" fontId="66" fillId="0" borderId="0" applyFont="0" applyFill="0" applyBorder="0" applyAlignment="0" applyProtection="0"/>
    <xf numFmtId="0" fontId="5" fillId="0" borderId="0"/>
    <xf numFmtId="164" fontId="5" fillId="0" borderId="0" applyFont="0" applyFill="0" applyBorder="0" applyAlignment="0" applyProtection="0"/>
    <xf numFmtId="165" fontId="66" fillId="0" borderId="0" applyFont="0" applyFill="0" applyBorder="0" applyAlignment="0" applyProtection="0"/>
    <xf numFmtId="164" fontId="5" fillId="0" borderId="0" applyFont="0" applyFill="0" applyBorder="0" applyAlignment="0" applyProtection="0"/>
    <xf numFmtId="165" fontId="15" fillId="0" borderId="0" applyFont="0" applyFill="0" applyBorder="0" applyAlignment="0" applyProtection="0">
      <alignment vertical="top"/>
    </xf>
    <xf numFmtId="0" fontId="5" fillId="0" borderId="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4" fontId="66" fillId="0" borderId="0" applyFont="0" applyFill="0" applyBorder="0" applyAlignment="0" applyProtection="0"/>
    <xf numFmtId="0" fontId="66" fillId="0" borderId="0"/>
    <xf numFmtId="164" fontId="66" fillId="0" borderId="0" applyFont="0" applyFill="0" applyBorder="0" applyAlignment="0" applyProtection="0"/>
    <xf numFmtId="0" fontId="18" fillId="0" borderId="0">
      <alignment vertical="center"/>
    </xf>
    <xf numFmtId="164" fontId="117" fillId="0" borderId="0">
      <alignment vertical="top"/>
      <protection locked="0"/>
    </xf>
    <xf numFmtId="165" fontId="9" fillId="0" borderId="0" applyFont="0" applyFill="0" applyBorder="0" applyAlignment="0" applyProtection="0"/>
    <xf numFmtId="164" fontId="4" fillId="0" borderId="0" applyFont="0" applyFill="0" applyBorder="0" applyAlignment="0" applyProtection="0"/>
    <xf numFmtId="0" fontId="4" fillId="0" borderId="0"/>
    <xf numFmtId="164"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0" fontId="4" fillId="0" borderId="0"/>
    <xf numFmtId="164" fontId="4" fillId="0" borderId="0" applyFont="0" applyFill="0" applyBorder="0" applyAlignment="0" applyProtection="0"/>
    <xf numFmtId="164" fontId="66" fillId="0" borderId="0" applyFont="0" applyFill="0" applyBorder="0" applyAlignment="0" applyProtection="0"/>
    <xf numFmtId="0" fontId="4" fillId="0" borderId="0"/>
    <xf numFmtId="164" fontId="4" fillId="0" borderId="0" applyFont="0" applyFill="0" applyBorder="0" applyAlignment="0" applyProtection="0"/>
    <xf numFmtId="165" fontId="66" fillId="0" borderId="0" applyFont="0" applyFill="0" applyBorder="0" applyAlignment="0" applyProtection="0"/>
    <xf numFmtId="164" fontId="4" fillId="0" borderId="0" applyFont="0" applyFill="0" applyBorder="0" applyAlignment="0" applyProtection="0"/>
    <xf numFmtId="165" fontId="15" fillId="0" borderId="0" applyFont="0" applyFill="0" applyBorder="0" applyAlignment="0" applyProtection="0">
      <alignment vertical="top"/>
    </xf>
    <xf numFmtId="0" fontId="4" fillId="0" borderId="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4" fontId="3" fillId="0" borderId="0" applyFont="0" applyFill="0" applyBorder="0" applyAlignment="0" applyProtection="0"/>
    <xf numFmtId="0" fontId="3" fillId="0" borderId="0"/>
    <xf numFmtId="165" fontId="9" fillId="0" borderId="0" applyFont="0" applyFill="0" applyBorder="0" applyAlignment="0" applyProtection="0"/>
    <xf numFmtId="164" fontId="66" fillId="0" borderId="0" applyFont="0" applyFill="0" applyBorder="0" applyAlignment="0" applyProtection="0"/>
    <xf numFmtId="165" fontId="9"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165" fontId="9" fillId="0" borderId="0" applyFont="0" applyFill="0" applyBorder="0" applyAlignment="0" applyProtection="0"/>
    <xf numFmtId="164" fontId="66" fillId="0" borderId="0" applyFont="0" applyFill="0" applyBorder="0" applyAlignment="0" applyProtection="0"/>
    <xf numFmtId="0" fontId="3" fillId="0" borderId="0"/>
    <xf numFmtId="164" fontId="3" fillId="0" borderId="0" applyFont="0" applyFill="0" applyBorder="0" applyAlignment="0" applyProtection="0"/>
    <xf numFmtId="164" fontId="66" fillId="0" borderId="0" applyFont="0" applyFill="0" applyBorder="0" applyAlignment="0" applyProtection="0"/>
    <xf numFmtId="0" fontId="3" fillId="0" borderId="0"/>
    <xf numFmtId="164" fontId="3" fillId="0" borderId="0" applyFont="0" applyFill="0" applyBorder="0" applyAlignment="0" applyProtection="0"/>
    <xf numFmtId="165" fontId="66" fillId="0" borderId="0" applyFont="0" applyFill="0" applyBorder="0" applyAlignment="0" applyProtection="0"/>
    <xf numFmtId="164" fontId="3" fillId="0" borderId="0" applyFont="0" applyFill="0" applyBorder="0" applyAlignment="0" applyProtection="0"/>
    <xf numFmtId="165" fontId="15" fillId="0" borderId="0" applyFont="0" applyFill="0" applyBorder="0" applyAlignment="0" applyProtection="0">
      <alignment vertical="top"/>
    </xf>
    <xf numFmtId="0" fontId="3" fillId="0" borderId="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9" fillId="0" borderId="0" applyFont="0" applyFill="0" applyBorder="0" applyAlignment="0" applyProtection="0"/>
    <xf numFmtId="164" fontId="2" fillId="0" borderId="0" applyFont="0" applyFill="0" applyBorder="0" applyAlignment="0" applyProtection="0"/>
    <xf numFmtId="0" fontId="2" fillId="0" borderId="0"/>
    <xf numFmtId="164"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0" fontId="2" fillId="0" borderId="0"/>
    <xf numFmtId="164" fontId="2" fillId="0" borderId="0" applyFont="0" applyFill="0" applyBorder="0" applyAlignment="0" applyProtection="0"/>
    <xf numFmtId="164" fontId="66" fillId="0" borderId="0" applyFont="0" applyFill="0" applyBorder="0" applyAlignment="0" applyProtection="0"/>
    <xf numFmtId="0" fontId="2" fillId="0" borderId="0"/>
    <xf numFmtId="164" fontId="2" fillId="0" borderId="0" applyFont="0" applyFill="0" applyBorder="0" applyAlignment="0" applyProtection="0"/>
    <xf numFmtId="165" fontId="66" fillId="0" borderId="0" applyFont="0" applyFill="0" applyBorder="0" applyAlignment="0" applyProtection="0"/>
    <xf numFmtId="164" fontId="2" fillId="0" borderId="0" applyFont="0" applyFill="0" applyBorder="0" applyAlignment="0" applyProtection="0"/>
    <xf numFmtId="165" fontId="15" fillId="0" borderId="0" applyFont="0" applyFill="0" applyBorder="0" applyAlignment="0" applyProtection="0">
      <alignment vertical="top"/>
    </xf>
    <xf numFmtId="0" fontId="2" fillId="0" borderId="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165" fontId="9" fillId="0" borderId="0" applyFont="0" applyFill="0" applyBorder="0" applyAlignment="0" applyProtection="0"/>
    <xf numFmtId="164" fontId="1" fillId="0" borderId="0" applyFont="0" applyFill="0" applyBorder="0" applyAlignment="0" applyProtection="0"/>
    <xf numFmtId="0" fontId="1" fillId="0" borderId="0"/>
    <xf numFmtId="165" fontId="9" fillId="0" borderId="0" applyFont="0" applyFill="0" applyBorder="0" applyAlignment="0" applyProtection="0"/>
    <xf numFmtId="164" fontId="66" fillId="0" borderId="0" applyFont="0" applyFill="0" applyBorder="0" applyAlignment="0" applyProtection="0"/>
    <xf numFmtId="165" fontId="9"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0" fontId="1" fillId="0" borderId="0"/>
    <xf numFmtId="164" fontId="1" fillId="0" borderId="0" applyFont="0" applyFill="0" applyBorder="0" applyAlignment="0" applyProtection="0"/>
    <xf numFmtId="164" fontId="66" fillId="0" borderId="0" applyFont="0" applyFill="0" applyBorder="0" applyAlignment="0" applyProtection="0"/>
    <xf numFmtId="0" fontId="1" fillId="0" borderId="0"/>
    <xf numFmtId="164" fontId="1" fillId="0" borderId="0" applyFont="0" applyFill="0" applyBorder="0" applyAlignment="0" applyProtection="0"/>
    <xf numFmtId="165" fontId="66" fillId="0" borderId="0" applyFont="0" applyFill="0" applyBorder="0" applyAlignment="0" applyProtection="0"/>
    <xf numFmtId="164" fontId="1" fillId="0" borderId="0" applyFont="0" applyFill="0" applyBorder="0" applyAlignment="0" applyProtection="0"/>
    <xf numFmtId="165" fontId="15" fillId="0" borderId="0" applyFont="0" applyFill="0" applyBorder="0" applyAlignment="0" applyProtection="0">
      <alignment vertical="top"/>
    </xf>
    <xf numFmtId="0" fontId="1" fillId="0" borderId="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5" fontId="66" fillId="0" borderId="0" applyFont="0" applyFill="0" applyBorder="0" applyAlignment="0" applyProtection="0"/>
    <xf numFmtId="164" fontId="66" fillId="0" borderId="0" applyFont="0" applyFill="0" applyBorder="0" applyAlignment="0" applyProtection="0"/>
    <xf numFmtId="164" fontId="66"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9" fontId="66" fillId="0" borderId="0" applyFont="0" applyFill="0" applyBorder="0" applyAlignment="0" applyProtection="0"/>
  </cellStyleXfs>
  <cellXfs count="5927">
    <xf numFmtId="0" fontId="0" fillId="0" borderId="0" xfId="0"/>
    <xf numFmtId="0" fontId="33" fillId="0" borderId="0" xfId="0" applyFont="1"/>
    <xf numFmtId="0" fontId="34" fillId="0" borderId="0" xfId="0" applyFont="1"/>
    <xf numFmtId="0" fontId="35" fillId="0" borderId="0" xfId="0" applyFont="1"/>
    <xf numFmtId="0" fontId="35" fillId="0" borderId="0" xfId="0" applyFont="1" applyAlignment="1">
      <alignment horizontal="center" vertical="center"/>
    </xf>
    <xf numFmtId="0" fontId="36" fillId="0" borderId="0" xfId="0" applyFont="1" applyAlignment="1">
      <alignment horizontal="right"/>
    </xf>
    <xf numFmtId="0" fontId="37" fillId="0" borderId="0" xfId="0" applyFont="1" applyAlignment="1">
      <alignment vertical="center"/>
    </xf>
    <xf numFmtId="0" fontId="13" fillId="0" borderId="0" xfId="0" applyFont="1" applyAlignment="1">
      <alignment horizontal="right" vertical="center"/>
    </xf>
    <xf numFmtId="0" fontId="33" fillId="0" borderId="0" xfId="0" applyFont="1" applyAlignment="1">
      <alignment horizontal="center"/>
    </xf>
    <xf numFmtId="0" fontId="33" fillId="0" borderId="0" xfId="0" applyFont="1" applyAlignment="1">
      <alignment horizontal="left"/>
    </xf>
    <xf numFmtId="0" fontId="33" fillId="0" borderId="0" xfId="0" applyFont="1" applyAlignment="1">
      <alignment horizontal="right"/>
    </xf>
    <xf numFmtId="0" fontId="33" fillId="0" borderId="0" xfId="0" applyFont="1" applyAlignment="1"/>
    <xf numFmtId="166" fontId="38" fillId="0" borderId="1" xfId="2" applyNumberFormat="1" applyFont="1" applyBorder="1" applyAlignment="1">
      <alignment horizontal="center" vertical="center" wrapText="1"/>
    </xf>
    <xf numFmtId="166" fontId="38" fillId="0" borderId="2" xfId="2" applyNumberFormat="1" applyFont="1" applyBorder="1" applyAlignment="1">
      <alignment horizontal="center" vertical="center" wrapText="1"/>
    </xf>
    <xf numFmtId="49" fontId="34" fillId="0" borderId="3" xfId="0" applyNumberFormat="1" applyFont="1" applyBorder="1" applyAlignment="1">
      <alignment horizontal="center" vertical="center"/>
    </xf>
    <xf numFmtId="0" fontId="35" fillId="0" borderId="4" xfId="0" applyFont="1" applyBorder="1" applyAlignment="1">
      <alignment horizontal="center" vertical="center"/>
    </xf>
    <xf numFmtId="0" fontId="35" fillId="0" borderId="5" xfId="0" applyFont="1" applyBorder="1" applyAlignment="1">
      <alignment horizontal="center" vertical="center"/>
    </xf>
    <xf numFmtId="0" fontId="33" fillId="0" borderId="5" xfId="0" applyFont="1" applyBorder="1" applyAlignment="1">
      <alignment horizontal="center" vertical="center"/>
    </xf>
    <xf numFmtId="0" fontId="35" fillId="0" borderId="5" xfId="0" applyFont="1" applyBorder="1"/>
    <xf numFmtId="0" fontId="35" fillId="0" borderId="6" xfId="0" applyFont="1" applyBorder="1" applyAlignment="1">
      <alignment horizontal="center" vertical="center"/>
    </xf>
    <xf numFmtId="0" fontId="35" fillId="0" borderId="7" xfId="0" applyFont="1" applyBorder="1" applyAlignment="1">
      <alignment horizontal="center" vertical="center"/>
    </xf>
    <xf numFmtId="0" fontId="38" fillId="0" borderId="7" xfId="0" applyFont="1" applyBorder="1" applyAlignment="1">
      <alignment horizontal="left" vertical="center"/>
    </xf>
    <xf numFmtId="0" fontId="35" fillId="0" borderId="7" xfId="0" applyFont="1" applyBorder="1"/>
    <xf numFmtId="0" fontId="39" fillId="0" borderId="6" xfId="0" applyFont="1" applyBorder="1" applyAlignment="1">
      <alignment horizontal="center" vertical="center"/>
    </xf>
    <xf numFmtId="0" fontId="39" fillId="0" borderId="7" xfId="0" applyFont="1" applyBorder="1" applyAlignment="1">
      <alignment horizontal="center" vertical="center"/>
    </xf>
    <xf numFmtId="0" fontId="33" fillId="0" borderId="7" xfId="0" applyFont="1" applyBorder="1" applyAlignment="1">
      <alignment horizontal="left" vertical="center"/>
    </xf>
    <xf numFmtId="0" fontId="39" fillId="0" borderId="7" xfId="0" applyFont="1" applyBorder="1" applyAlignment="1">
      <alignment vertical="center"/>
    </xf>
    <xf numFmtId="0" fontId="40" fillId="0" borderId="6" xfId="0" applyFont="1" applyBorder="1" applyAlignment="1">
      <alignment horizontal="center" vertical="center"/>
    </xf>
    <xf numFmtId="0" fontId="40" fillId="0" borderId="7" xfId="0" applyFont="1" applyBorder="1" applyAlignment="1">
      <alignment horizontal="center" vertical="center"/>
    </xf>
    <xf numFmtId="166" fontId="38" fillId="0" borderId="8" xfId="2" applyNumberFormat="1" applyFont="1" applyBorder="1" applyAlignment="1">
      <alignment horizontal="center" vertical="center" wrapText="1"/>
    </xf>
    <xf numFmtId="49" fontId="34" fillId="0" borderId="9" xfId="0" applyNumberFormat="1" applyFont="1" applyBorder="1" applyAlignment="1">
      <alignment horizontal="center" vertical="center"/>
    </xf>
    <xf numFmtId="49" fontId="34" fillId="0" borderId="10" xfId="0" applyNumberFormat="1" applyFont="1" applyBorder="1" applyAlignment="1">
      <alignment horizontal="center" vertical="center"/>
    </xf>
    <xf numFmtId="49" fontId="34" fillId="0" borderId="11" xfId="0" applyNumberFormat="1" applyFont="1" applyBorder="1" applyAlignment="1">
      <alignment horizontal="center" vertical="center"/>
    </xf>
    <xf numFmtId="0" fontId="35" fillId="0" borderId="12" xfId="0" applyFont="1" applyBorder="1"/>
    <xf numFmtId="0" fontId="35" fillId="0" borderId="13" xfId="0" applyFont="1" applyBorder="1"/>
    <xf numFmtId="0" fontId="39" fillId="0" borderId="14" xfId="0" applyFont="1" applyBorder="1" applyAlignment="1">
      <alignment horizontal="center" vertical="center"/>
    </xf>
    <xf numFmtId="0" fontId="33" fillId="0" borderId="14" xfId="0" applyFont="1" applyBorder="1" applyAlignment="1">
      <alignment vertical="center"/>
    </xf>
    <xf numFmtId="0" fontId="39" fillId="0" borderId="15" xfId="0" applyFont="1" applyBorder="1" applyAlignment="1">
      <alignment horizontal="center" vertical="center"/>
    </xf>
    <xf numFmtId="0" fontId="39" fillId="0" borderId="14" xfId="0" applyFont="1" applyBorder="1" applyAlignment="1">
      <alignment vertical="center"/>
    </xf>
    <xf numFmtId="0" fontId="35" fillId="0" borderId="14" xfId="0" applyFont="1" applyBorder="1"/>
    <xf numFmtId="0" fontId="39" fillId="0" borderId="16" xfId="0" applyFont="1" applyBorder="1" applyAlignment="1">
      <alignment horizontal="center" vertical="center"/>
    </xf>
    <xf numFmtId="0" fontId="39" fillId="0" borderId="17" xfId="0" applyFont="1" applyBorder="1" applyAlignment="1">
      <alignment horizontal="center" vertical="center"/>
    </xf>
    <xf numFmtId="0" fontId="40" fillId="0" borderId="17" xfId="0" applyFont="1" applyBorder="1" applyAlignment="1">
      <alignment horizontal="right" vertical="center"/>
    </xf>
    <xf numFmtId="0" fontId="39" fillId="0" borderId="17" xfId="0" applyFont="1" applyBorder="1" applyAlignment="1">
      <alignment vertical="center"/>
    </xf>
    <xf numFmtId="0" fontId="35" fillId="0" borderId="17" xfId="0" applyFont="1" applyBorder="1"/>
    <xf numFmtId="0" fontId="39" fillId="0" borderId="0" xfId="0" applyFont="1" applyAlignment="1">
      <alignment horizontal="center" vertical="center"/>
    </xf>
    <xf numFmtId="0" fontId="39" fillId="0" borderId="0" xfId="0" applyFont="1" applyAlignment="1">
      <alignment vertical="center"/>
    </xf>
    <xf numFmtId="0" fontId="34" fillId="0" borderId="0" xfId="0" applyFont="1" applyAlignment="1">
      <alignment vertical="center"/>
    </xf>
    <xf numFmtId="0" fontId="33" fillId="0" borderId="0" xfId="0" applyFont="1" applyAlignment="1">
      <alignment horizontal="left" vertical="center"/>
    </xf>
    <xf numFmtId="0" fontId="33" fillId="0" borderId="0" xfId="0" applyFont="1" applyAlignment="1">
      <alignment vertical="center"/>
    </xf>
    <xf numFmtId="0" fontId="35" fillId="0" borderId="0" xfId="0" applyFont="1" applyBorder="1"/>
    <xf numFmtId="0" fontId="33" fillId="0" borderId="0" xfId="0" applyFont="1" applyBorder="1" applyAlignment="1">
      <alignment vertical="top"/>
    </xf>
    <xf numFmtId="0" fontId="41" fillId="0" borderId="0" xfId="0" applyFont="1" applyBorder="1" applyAlignment="1">
      <alignment vertical="top"/>
    </xf>
    <xf numFmtId="0" fontId="33" fillId="0" borderId="8" xfId="0" applyFont="1" applyBorder="1" applyAlignment="1">
      <alignment vertical="top"/>
    </xf>
    <xf numFmtId="0" fontId="41" fillId="0" borderId="0" xfId="0" applyFont="1" applyBorder="1" applyAlignment="1">
      <alignment horizontal="left" vertical="top"/>
    </xf>
    <xf numFmtId="0" fontId="33" fillId="0" borderId="0" xfId="0" applyFont="1" applyBorder="1" applyAlignment="1">
      <alignment horizontal="left" vertical="top" wrapText="1"/>
    </xf>
    <xf numFmtId="166" fontId="33" fillId="0" borderId="0" xfId="2" applyNumberFormat="1" applyFont="1" applyBorder="1" applyAlignment="1">
      <alignment vertical="top"/>
    </xf>
    <xf numFmtId="0" fontId="41" fillId="0" borderId="0" xfId="0" applyFont="1" applyBorder="1" applyAlignment="1">
      <alignment horizontal="center" vertical="top"/>
    </xf>
    <xf numFmtId="0" fontId="35" fillId="0" borderId="0" xfId="0" applyFont="1" applyBorder="1" applyAlignment="1">
      <alignment vertical="top"/>
    </xf>
    <xf numFmtId="0" fontId="35" fillId="0" borderId="0" xfId="0" applyFont="1" applyAlignment="1">
      <alignment vertical="center"/>
    </xf>
    <xf numFmtId="0" fontId="35" fillId="0" borderId="0" xfId="0" applyFont="1" applyAlignment="1">
      <alignment horizontal="right" vertical="center" indent="1"/>
    </xf>
    <xf numFmtId="0" fontId="35" fillId="0" borderId="0" xfId="0" applyFont="1" applyAlignment="1">
      <alignment horizontal="left"/>
    </xf>
    <xf numFmtId="0" fontId="35" fillId="0" borderId="0" xfId="0" applyFont="1" applyAlignment="1">
      <alignment horizontal="center"/>
    </xf>
    <xf numFmtId="0" fontId="35" fillId="0" borderId="18" xfId="0" applyFont="1" applyBorder="1"/>
    <xf numFmtId="0" fontId="35" fillId="0" borderId="19" xfId="0" applyFont="1" applyBorder="1"/>
    <xf numFmtId="0" fontId="35" fillId="0" borderId="20" xfId="0" applyFont="1" applyBorder="1"/>
    <xf numFmtId="0" fontId="33" fillId="0" borderId="0" xfId="0" applyFont="1" applyBorder="1" applyAlignment="1">
      <alignment horizontal="center" vertical="top"/>
    </xf>
    <xf numFmtId="0" fontId="42" fillId="0" borderId="0" xfId="0" applyFont="1" applyBorder="1" applyAlignment="1">
      <alignment horizontal="left" vertical="top" wrapText="1"/>
    </xf>
    <xf numFmtId="0" fontId="33" fillId="0" borderId="0" xfId="0" applyFont="1" applyBorder="1" applyAlignment="1">
      <alignment horizontal="center" vertical="top" wrapText="1"/>
    </xf>
    <xf numFmtId="0" fontId="38" fillId="0" borderId="0" xfId="0" applyFont="1" applyBorder="1" applyAlignment="1">
      <alignment horizontal="center" vertical="top"/>
    </xf>
    <xf numFmtId="0" fontId="41" fillId="0" borderId="0" xfId="0" applyFont="1" applyBorder="1" applyAlignment="1">
      <alignment horizontal="left" vertical="top" wrapText="1"/>
    </xf>
    <xf numFmtId="166" fontId="41" fillId="0" borderId="0" xfId="2" applyNumberFormat="1" applyFont="1" applyBorder="1" applyAlignment="1">
      <alignment vertical="top"/>
    </xf>
    <xf numFmtId="166" fontId="33" fillId="0" borderId="0" xfId="2" applyNumberFormat="1" applyFont="1" applyBorder="1" applyAlignment="1">
      <alignment horizontal="center" vertical="top"/>
    </xf>
    <xf numFmtId="166" fontId="41" fillId="0" borderId="0" xfId="2" applyNumberFormat="1" applyFont="1" applyBorder="1" applyAlignment="1">
      <alignment horizontal="center" vertical="top"/>
    </xf>
    <xf numFmtId="166" fontId="41" fillId="0" borderId="21" xfId="2" applyNumberFormat="1" applyFont="1" applyBorder="1" applyAlignment="1">
      <alignment vertical="top"/>
    </xf>
    <xf numFmtId="0" fontId="34" fillId="0" borderId="0" xfId="0" applyFont="1" applyAlignment="1">
      <alignment horizontal="center" vertical="center"/>
    </xf>
    <xf numFmtId="166" fontId="35" fillId="0" borderId="0" xfId="2" applyNumberFormat="1" applyFont="1"/>
    <xf numFmtId="0" fontId="43" fillId="0" borderId="0" xfId="0" applyFont="1" applyAlignment="1">
      <alignment vertical="center"/>
    </xf>
    <xf numFmtId="0" fontId="38" fillId="0" borderId="0" xfId="0" applyFont="1" applyAlignment="1">
      <alignment horizontal="center"/>
    </xf>
    <xf numFmtId="166" fontId="33" fillId="0" borderId="0" xfId="2" applyNumberFormat="1" applyFont="1" applyAlignment="1"/>
    <xf numFmtId="0" fontId="38" fillId="0" borderId="0" xfId="0" applyFont="1" applyAlignment="1">
      <alignment horizontal="left"/>
    </xf>
    <xf numFmtId="49" fontId="35" fillId="0" borderId="22" xfId="0" applyNumberFormat="1" applyFont="1" applyBorder="1" applyAlignment="1">
      <alignment horizontal="center" vertical="center"/>
    </xf>
    <xf numFmtId="0" fontId="34" fillId="0" borderId="4" xfId="0" applyFont="1" applyBorder="1" applyAlignment="1">
      <alignment horizontal="center" vertical="center"/>
    </xf>
    <xf numFmtId="166" fontId="35" fillId="0" borderId="5" xfId="2" applyNumberFormat="1" applyFont="1" applyBorder="1" applyAlignment="1">
      <alignment horizontal="center" vertical="center"/>
    </xf>
    <xf numFmtId="0" fontId="34" fillId="0" borderId="6" xfId="0" applyFont="1" applyBorder="1" applyAlignment="1">
      <alignment horizontal="center" vertical="center"/>
    </xf>
    <xf numFmtId="166" fontId="35" fillId="0" borderId="7" xfId="2" applyNumberFormat="1" applyFont="1" applyBorder="1" applyAlignment="1">
      <alignment horizontal="center" vertical="center"/>
    </xf>
    <xf numFmtId="0" fontId="39" fillId="0" borderId="7" xfId="0" applyFont="1" applyBorder="1" applyAlignment="1">
      <alignment horizontal="left" vertical="center"/>
    </xf>
    <xf numFmtId="166" fontId="39" fillId="0" borderId="7" xfId="2" applyNumberFormat="1" applyFont="1" applyBorder="1" applyAlignment="1">
      <alignment vertical="center"/>
    </xf>
    <xf numFmtId="0" fontId="40" fillId="0" borderId="7" xfId="0" applyFont="1" applyBorder="1" applyAlignment="1">
      <alignment horizontal="left" vertical="center"/>
    </xf>
    <xf numFmtId="166" fontId="40" fillId="0" borderId="7" xfId="2" applyNumberFormat="1" applyFont="1" applyBorder="1" applyAlignment="1">
      <alignment vertical="center"/>
    </xf>
    <xf numFmtId="0" fontId="35" fillId="0" borderId="23" xfId="0" applyFont="1" applyBorder="1"/>
    <xf numFmtId="0" fontId="35" fillId="0" borderId="24" xfId="0" applyFont="1" applyBorder="1"/>
    <xf numFmtId="0" fontId="40" fillId="0" borderId="15" xfId="0" applyFont="1" applyBorder="1" applyAlignment="1">
      <alignment horizontal="center" vertical="center"/>
    </xf>
    <xf numFmtId="166" fontId="39" fillId="0" borderId="14" xfId="2" applyNumberFormat="1" applyFont="1" applyBorder="1" applyAlignment="1">
      <alignment vertical="center"/>
    </xf>
    <xf numFmtId="0" fontId="40" fillId="0" borderId="16" xfId="0" applyFont="1" applyBorder="1" applyAlignment="1">
      <alignment horizontal="center" vertical="center"/>
    </xf>
    <xf numFmtId="166" fontId="39" fillId="0" borderId="17" xfId="2" applyNumberFormat="1" applyFont="1" applyBorder="1" applyAlignment="1">
      <alignment vertical="center"/>
    </xf>
    <xf numFmtId="0" fontId="40" fillId="0" borderId="0" xfId="0" applyFont="1" applyAlignment="1">
      <alignment horizontal="center" vertical="center"/>
    </xf>
    <xf numFmtId="166" fontId="39" fillId="0" borderId="0" xfId="2" applyNumberFormat="1" applyFont="1" applyAlignment="1">
      <alignment vertical="center"/>
    </xf>
    <xf numFmtId="166" fontId="33" fillId="0" borderId="0" xfId="2" applyNumberFormat="1" applyFont="1" applyAlignment="1">
      <alignment vertical="center"/>
    </xf>
    <xf numFmtId="0" fontId="33" fillId="0" borderId="0" xfId="0" applyFont="1" applyAlignment="1">
      <alignment horizontal="left" vertical="center" wrapText="1"/>
    </xf>
    <xf numFmtId="0" fontId="34" fillId="0" borderId="0" xfId="0" applyFont="1" applyAlignment="1">
      <alignment horizontal="right" vertical="center" indent="1"/>
    </xf>
    <xf numFmtId="0" fontId="35" fillId="0" borderId="25" xfId="0" applyFont="1" applyBorder="1"/>
    <xf numFmtId="0" fontId="35" fillId="0" borderId="22" xfId="0" applyFont="1" applyBorder="1"/>
    <xf numFmtId="0" fontId="0" fillId="0" borderId="0" xfId="0" applyAlignment="1">
      <alignment horizontal="center" vertical="center"/>
    </xf>
    <xf numFmtId="166" fontId="30" fillId="0" borderId="0" xfId="2" applyNumberFormat="1" applyFont="1"/>
    <xf numFmtId="166" fontId="30" fillId="0" borderId="0" xfId="2" applyNumberFormat="1" applyFont="1" applyAlignment="1">
      <alignment horizontal="center"/>
    </xf>
    <xf numFmtId="0" fontId="45" fillId="0" borderId="0" xfId="0" applyFont="1" applyAlignment="1">
      <alignment vertical="center"/>
    </xf>
    <xf numFmtId="0" fontId="41" fillId="0" borderId="0" xfId="0" applyFont="1" applyAlignment="1">
      <alignment horizontal="left"/>
    </xf>
    <xf numFmtId="0" fontId="39" fillId="0" borderId="0" xfId="0" applyFont="1" applyAlignment="1">
      <alignment horizontal="left" vertical="top"/>
    </xf>
    <xf numFmtId="0" fontId="41" fillId="0" borderId="0" xfId="0" applyFont="1" applyAlignment="1">
      <alignment horizontal="left" vertical="center"/>
    </xf>
    <xf numFmtId="0" fontId="0" fillId="0" borderId="5" xfId="0" applyBorder="1" applyAlignment="1">
      <alignment horizontal="center" vertical="center"/>
    </xf>
    <xf numFmtId="0" fontId="46" fillId="0" borderId="7" xfId="0" applyFont="1" applyBorder="1" applyAlignment="1">
      <alignment horizontal="center" vertical="center"/>
    </xf>
    <xf numFmtId="0" fontId="46" fillId="0" borderId="7" xfId="0" applyFont="1" applyBorder="1"/>
    <xf numFmtId="49" fontId="46" fillId="0" borderId="7" xfId="0" applyNumberFormat="1" applyFont="1" applyBorder="1" applyAlignment="1">
      <alignment horizontal="center" vertical="center"/>
    </xf>
    <xf numFmtId="0" fontId="47" fillId="0" borderId="7" xfId="0" applyFont="1" applyBorder="1" applyAlignment="1">
      <alignment horizontal="center" vertical="center"/>
    </xf>
    <xf numFmtId="0" fontId="46" fillId="0" borderId="14" xfId="0" applyFont="1" applyBorder="1" applyAlignment="1">
      <alignment horizontal="center" vertical="center"/>
    </xf>
    <xf numFmtId="0" fontId="46" fillId="0" borderId="14" xfId="0" applyFont="1" applyBorder="1"/>
    <xf numFmtId="0" fontId="46" fillId="0" borderId="17" xfId="0" applyFont="1" applyBorder="1" applyAlignment="1">
      <alignment horizontal="center" vertical="center"/>
    </xf>
    <xf numFmtId="0" fontId="46" fillId="0" borderId="17" xfId="0" applyFont="1" applyBorder="1"/>
    <xf numFmtId="0" fontId="46" fillId="0" borderId="0" xfId="0" applyFont="1" applyBorder="1" applyAlignment="1">
      <alignment horizontal="center" vertical="center"/>
    </xf>
    <xf numFmtId="0" fontId="46" fillId="0" borderId="0" xfId="0" applyFont="1" applyBorder="1"/>
    <xf numFmtId="0" fontId="48" fillId="0" borderId="0" xfId="0" applyFont="1" applyBorder="1" applyAlignment="1">
      <alignment horizontal="left" vertical="top"/>
    </xf>
    <xf numFmtId="0" fontId="48" fillId="0" borderId="0" xfId="0" applyFont="1" applyBorder="1" applyAlignment="1">
      <alignment vertical="top"/>
    </xf>
    <xf numFmtId="0" fontId="48" fillId="0" borderId="0" xfId="0" applyFont="1" applyBorder="1" applyAlignment="1">
      <alignment horizontal="left" vertical="top" wrapText="1"/>
    </xf>
    <xf numFmtId="0" fontId="13" fillId="0" borderId="0" xfId="0" applyFont="1" applyAlignment="1">
      <alignment horizontal="center" vertical="center"/>
    </xf>
    <xf numFmtId="0" fontId="39" fillId="0" borderId="0" xfId="0" applyFont="1" applyAlignment="1">
      <alignment horizontal="center" vertical="top"/>
    </xf>
    <xf numFmtId="166" fontId="38" fillId="0" borderId="26" xfId="2" applyNumberFormat="1" applyFont="1" applyBorder="1" applyAlignment="1">
      <alignment horizontal="center" vertical="center" wrapText="1"/>
    </xf>
    <xf numFmtId="166" fontId="32" fillId="0" borderId="5" xfId="2" applyNumberFormat="1" applyFont="1" applyBorder="1" applyAlignment="1">
      <alignment horizontal="center" vertical="center"/>
    </xf>
    <xf numFmtId="166" fontId="32" fillId="0" borderId="7" xfId="2" applyNumberFormat="1" applyFont="1" applyBorder="1" applyAlignment="1">
      <alignment horizontal="center" vertical="center"/>
    </xf>
    <xf numFmtId="166" fontId="32" fillId="0" borderId="27" xfId="2" applyNumberFormat="1" applyFont="1" applyBorder="1" applyAlignment="1">
      <alignment horizontal="center" vertical="center"/>
    </xf>
    <xf numFmtId="0" fontId="49" fillId="0" borderId="7" xfId="0" applyFont="1" applyBorder="1" applyAlignment="1">
      <alignment horizontal="left" vertical="center" indent="1"/>
    </xf>
    <xf numFmtId="166" fontId="46" fillId="0" borderId="7" xfId="2" applyNumberFormat="1" applyFont="1" applyBorder="1" applyAlignment="1">
      <alignment vertical="center"/>
    </xf>
    <xf numFmtId="166" fontId="46" fillId="0" borderId="7" xfId="2" applyNumberFormat="1" applyFont="1" applyBorder="1" applyAlignment="1">
      <alignment horizontal="center" vertical="center"/>
    </xf>
    <xf numFmtId="166" fontId="46" fillId="0" borderId="28" xfId="2" applyNumberFormat="1" applyFont="1" applyBorder="1" applyAlignment="1">
      <alignment vertical="center"/>
    </xf>
    <xf numFmtId="0" fontId="50" fillId="0" borderId="7" xfId="0" applyFont="1" applyBorder="1" applyAlignment="1">
      <alignment horizontal="left" vertical="center" indent="1"/>
    </xf>
    <xf numFmtId="41" fontId="47" fillId="0" borderId="7" xfId="2" applyFont="1" applyBorder="1" applyAlignment="1">
      <alignment horizontal="right" vertical="center"/>
    </xf>
    <xf numFmtId="0" fontId="46" fillId="0" borderId="7" xfId="0" applyFont="1" applyBorder="1" applyAlignment="1">
      <alignment horizontal="left" vertical="center"/>
    </xf>
    <xf numFmtId="0" fontId="0" fillId="0" borderId="28" xfId="0" applyBorder="1"/>
    <xf numFmtId="41" fontId="47" fillId="0" borderId="7" xfId="2" applyNumberFormat="1" applyFont="1" applyBorder="1" applyAlignment="1">
      <alignment vertical="center"/>
    </xf>
    <xf numFmtId="0" fontId="46" fillId="0" borderId="7" xfId="0" applyFont="1" applyBorder="1" applyAlignment="1">
      <alignment horizontal="left" vertical="center" indent="1"/>
    </xf>
    <xf numFmtId="0" fontId="46" fillId="0" borderId="14" xfId="0" applyFont="1" applyBorder="1" applyAlignment="1">
      <alignment vertical="center"/>
    </xf>
    <xf numFmtId="166" fontId="46" fillId="0" borderId="14" xfId="2" applyNumberFormat="1" applyFont="1" applyBorder="1" applyAlignment="1">
      <alignment vertical="center"/>
    </xf>
    <xf numFmtId="166" fontId="46" fillId="0" borderId="14" xfId="2" applyNumberFormat="1" applyFont="1" applyBorder="1" applyAlignment="1">
      <alignment horizontal="center" vertical="center"/>
    </xf>
    <xf numFmtId="166" fontId="46" fillId="0" borderId="29" xfId="2" applyNumberFormat="1" applyFont="1" applyBorder="1" applyAlignment="1">
      <alignment vertical="center"/>
    </xf>
    <xf numFmtId="166" fontId="46" fillId="0" borderId="30" xfId="2" applyNumberFormat="1" applyFont="1" applyBorder="1" applyAlignment="1">
      <alignment vertical="center"/>
    </xf>
    <xf numFmtId="0" fontId="47" fillId="0" borderId="17" xfId="0" applyFont="1" applyBorder="1" applyAlignment="1">
      <alignment horizontal="right" vertical="center" indent="1"/>
    </xf>
    <xf numFmtId="166" fontId="46" fillId="0" borderId="17" xfId="2" applyNumberFormat="1" applyFont="1" applyBorder="1"/>
    <xf numFmtId="166" fontId="46" fillId="0" borderId="17" xfId="2" applyNumberFormat="1" applyFont="1" applyBorder="1" applyAlignment="1">
      <alignment horizontal="center"/>
    </xf>
    <xf numFmtId="166" fontId="46" fillId="0" borderId="20" xfId="2" applyNumberFormat="1" applyFont="1" applyBorder="1"/>
    <xf numFmtId="166" fontId="46" fillId="0" borderId="31" xfId="2" applyNumberFormat="1" applyFont="1" applyBorder="1"/>
    <xf numFmtId="166" fontId="46" fillId="0" borderId="32" xfId="2" applyNumberFormat="1" applyFont="1" applyBorder="1"/>
    <xf numFmtId="0" fontId="47" fillId="0" borderId="0" xfId="0" applyFont="1" applyBorder="1" applyAlignment="1">
      <alignment horizontal="right" vertical="center" indent="1"/>
    </xf>
    <xf numFmtId="166" fontId="46" fillId="0" borderId="0" xfId="2" applyNumberFormat="1" applyFont="1" applyBorder="1"/>
    <xf numFmtId="166" fontId="46" fillId="0" borderId="0" xfId="2" applyNumberFormat="1" applyFont="1" applyBorder="1" applyAlignment="1">
      <alignment horizontal="center"/>
    </xf>
    <xf numFmtId="0" fontId="40" fillId="0" borderId="0" xfId="0" applyFont="1" applyBorder="1" applyAlignment="1">
      <alignment horizontal="center" vertical="center"/>
    </xf>
    <xf numFmtId="166" fontId="46" fillId="0" borderId="0" xfId="2" applyNumberFormat="1" applyFont="1" applyBorder="1" applyAlignment="1">
      <alignment vertical="center"/>
    </xf>
    <xf numFmtId="0" fontId="48" fillId="0" borderId="0" xfId="0" applyFont="1" applyBorder="1" applyAlignment="1">
      <alignment horizontal="center" vertical="top"/>
    </xf>
    <xf numFmtId="166" fontId="48" fillId="0" borderId="0" xfId="2" applyNumberFormat="1" applyFont="1" applyBorder="1" applyAlignment="1">
      <alignment vertical="top"/>
    </xf>
    <xf numFmtId="0" fontId="48" fillId="0" borderId="0" xfId="0" applyFont="1" applyBorder="1" applyAlignment="1">
      <alignment horizontal="center" vertical="top" wrapText="1"/>
    </xf>
    <xf numFmtId="0" fontId="51" fillId="0" borderId="0" xfId="0" applyFont="1" applyBorder="1" applyAlignment="1">
      <alignment horizontal="center" vertical="top"/>
    </xf>
    <xf numFmtId="0" fontId="0" fillId="0" borderId="0" xfId="0" applyAlignment="1">
      <alignment horizontal="right" vertical="center"/>
    </xf>
    <xf numFmtId="0" fontId="0" fillId="0" borderId="7" xfId="0" applyBorder="1"/>
    <xf numFmtId="0" fontId="46" fillId="0" borderId="29" xfId="0" applyFont="1" applyBorder="1"/>
    <xf numFmtId="0" fontId="46" fillId="0" borderId="31" xfId="0" applyFont="1" applyBorder="1"/>
    <xf numFmtId="0" fontId="46" fillId="0" borderId="0" xfId="0" applyFont="1" applyBorder="1" applyAlignment="1">
      <alignment vertical="center"/>
    </xf>
    <xf numFmtId="0" fontId="19" fillId="0" borderId="0" xfId="0" applyFont="1" applyBorder="1" applyAlignment="1">
      <alignment horizontal="left" vertical="top" wrapText="1"/>
    </xf>
    <xf numFmtId="0" fontId="48" fillId="0" borderId="0" xfId="0" applyFont="1"/>
    <xf numFmtId="166" fontId="48" fillId="0" borderId="0" xfId="2" applyNumberFormat="1" applyFont="1" applyBorder="1" applyAlignment="1">
      <alignment horizontal="center" vertical="top"/>
    </xf>
    <xf numFmtId="0" fontId="0" fillId="0" borderId="0" xfId="0" applyBorder="1"/>
    <xf numFmtId="0" fontId="33" fillId="0" borderId="0" xfId="0" applyFont="1" applyBorder="1" applyAlignment="1">
      <alignment horizontal="left" vertical="center"/>
    </xf>
    <xf numFmtId="0" fontId="0" fillId="0" borderId="0" xfId="0" applyFont="1" applyAlignment="1">
      <alignment horizontal="left" vertical="center"/>
    </xf>
    <xf numFmtId="166" fontId="30" fillId="0" borderId="5" xfId="2" applyNumberFormat="1" applyFont="1" applyBorder="1" applyAlignment="1">
      <alignment horizontal="center" vertical="center"/>
    </xf>
    <xf numFmtId="0" fontId="47" fillId="0" borderId="7" xfId="0" applyFont="1" applyBorder="1" applyAlignment="1">
      <alignment horizontal="left" vertical="center" indent="1"/>
    </xf>
    <xf numFmtId="0" fontId="31" fillId="0" borderId="7" xfId="0" applyFont="1" applyBorder="1" applyAlignment="1">
      <alignment horizontal="left" vertical="center" indent="1"/>
    </xf>
    <xf numFmtId="0" fontId="0" fillId="0" borderId="7" xfId="0" applyFont="1" applyBorder="1" applyAlignment="1">
      <alignment horizontal="left" vertical="center" indent="1"/>
    </xf>
    <xf numFmtId="9" fontId="47" fillId="0" borderId="7" xfId="8" applyFont="1" applyBorder="1" applyAlignment="1">
      <alignment horizontal="right" vertical="center"/>
    </xf>
    <xf numFmtId="166" fontId="47" fillId="0" borderId="7" xfId="2" applyNumberFormat="1" applyFont="1" applyBorder="1" applyAlignment="1">
      <alignment vertical="center"/>
    </xf>
    <xf numFmtId="0" fontId="46" fillId="0" borderId="0" xfId="0" applyFont="1" applyBorder="1" applyAlignment="1"/>
    <xf numFmtId="0" fontId="39" fillId="0" borderId="0" xfId="0" applyFont="1" applyBorder="1" applyAlignment="1">
      <alignment horizontal="left" vertical="center"/>
    </xf>
    <xf numFmtId="0" fontId="52" fillId="0" borderId="0" xfId="0" applyFont="1" applyBorder="1" applyAlignment="1">
      <alignment horizontal="left" wrapText="1"/>
    </xf>
    <xf numFmtId="0" fontId="33" fillId="0" borderId="0" xfId="0" applyFont="1" applyBorder="1" applyAlignment="1">
      <alignment vertical="center"/>
    </xf>
    <xf numFmtId="0" fontId="41" fillId="0" borderId="0" xfId="0" applyFont="1" applyBorder="1" applyAlignment="1"/>
    <xf numFmtId="0" fontId="33" fillId="0" borderId="0" xfId="0" applyFont="1" applyBorder="1" applyAlignment="1">
      <alignment horizontal="left" vertical="center" wrapText="1"/>
    </xf>
    <xf numFmtId="0" fontId="41" fillId="0" borderId="0" xfId="0" applyFont="1" applyBorder="1" applyAlignment="1">
      <alignment horizontal="center" vertical="center"/>
    </xf>
    <xf numFmtId="0" fontId="41" fillId="0" borderId="0" xfId="0" applyFont="1" applyBorder="1"/>
    <xf numFmtId="0" fontId="53" fillId="0" borderId="0" xfId="0" applyFont="1" applyBorder="1" applyAlignment="1">
      <alignment horizontal="center"/>
    </xf>
    <xf numFmtId="166" fontId="41" fillId="0" borderId="0" xfId="2" applyNumberFormat="1" applyFont="1" applyBorder="1"/>
    <xf numFmtId="0" fontId="37" fillId="0" borderId="0" xfId="0" applyFont="1" applyAlignment="1">
      <alignment horizontal="left" vertical="center"/>
    </xf>
    <xf numFmtId="0" fontId="39" fillId="0" borderId="0" xfId="0" applyFont="1" applyAlignment="1">
      <alignment horizontal="left" vertical="center"/>
    </xf>
    <xf numFmtId="166" fontId="39" fillId="0" borderId="0" xfId="2" applyNumberFormat="1" applyFont="1"/>
    <xf numFmtId="0" fontId="39" fillId="0" borderId="33" xfId="0" applyFont="1" applyBorder="1" applyAlignment="1">
      <alignment horizontal="center" vertical="center"/>
    </xf>
    <xf numFmtId="0" fontId="39" fillId="0" borderId="34" xfId="0" applyFont="1" applyBorder="1" applyAlignment="1">
      <alignment horizontal="center" vertical="center"/>
    </xf>
    <xf numFmtId="166" fontId="39" fillId="0" borderId="35" xfId="2" applyNumberFormat="1" applyFont="1" applyBorder="1" applyAlignment="1">
      <alignment horizontal="center" vertical="center"/>
    </xf>
    <xf numFmtId="0" fontId="39" fillId="0" borderId="36" xfId="0" applyFont="1" applyBorder="1" applyAlignment="1">
      <alignment horizontal="center" vertical="center"/>
    </xf>
    <xf numFmtId="0" fontId="39" fillId="0" borderId="7" xfId="0" applyFont="1" applyBorder="1" applyAlignment="1">
      <alignment horizontal="left" vertical="center" indent="1"/>
    </xf>
    <xf numFmtId="166" fontId="39" fillId="0" borderId="7" xfId="2" applyNumberFormat="1" applyFont="1" applyBorder="1"/>
    <xf numFmtId="0" fontId="39" fillId="0" borderId="5" xfId="0" applyFont="1" applyBorder="1" applyAlignment="1">
      <alignment horizontal="left" vertical="center" indent="1"/>
    </xf>
    <xf numFmtId="0" fontId="39" fillId="0" borderId="37" xfId="0" applyFont="1" applyBorder="1" applyAlignment="1">
      <alignment horizontal="center" vertical="center"/>
    </xf>
    <xf numFmtId="0" fontId="39" fillId="0" borderId="38" xfId="0" applyFont="1" applyBorder="1" applyAlignment="1">
      <alignment horizontal="center" vertical="center"/>
    </xf>
    <xf numFmtId="0" fontId="40" fillId="0" borderId="17" xfId="0" applyFont="1" applyBorder="1" applyAlignment="1">
      <alignment horizontal="right" vertical="center" indent="1"/>
    </xf>
    <xf numFmtId="166" fontId="39" fillId="0" borderId="17" xfId="2" applyNumberFormat="1" applyFont="1" applyBorder="1"/>
    <xf numFmtId="0" fontId="39" fillId="0" borderId="0" xfId="0" applyFont="1" applyBorder="1" applyAlignment="1">
      <alignment horizontal="center" vertical="center"/>
    </xf>
    <xf numFmtId="0" fontId="40" fillId="0" borderId="0" xfId="0" applyFont="1" applyBorder="1" applyAlignment="1">
      <alignment horizontal="right" vertical="center" indent="1"/>
    </xf>
    <xf numFmtId="166" fontId="39" fillId="0" borderId="0" xfId="2" applyNumberFormat="1" applyFont="1" applyBorder="1"/>
    <xf numFmtId="0" fontId="38" fillId="0" borderId="0" xfId="0" applyFont="1"/>
    <xf numFmtId="166" fontId="33" fillId="0" borderId="0" xfId="2" applyNumberFormat="1" applyFont="1"/>
    <xf numFmtId="0" fontId="0" fillId="0" borderId="0" xfId="0" applyAlignment="1">
      <alignment horizontal="left"/>
    </xf>
    <xf numFmtId="0" fontId="41" fillId="0" borderId="0" xfId="0" applyFont="1" applyAlignment="1">
      <alignment vertical="center"/>
    </xf>
    <xf numFmtId="0" fontId="41" fillId="0" borderId="0" xfId="0" applyFont="1" applyAlignment="1">
      <alignment horizontal="left" vertical="center" wrapText="1"/>
    </xf>
    <xf numFmtId="0" fontId="0" fillId="0" borderId="0" xfId="0" applyAlignment="1">
      <alignment horizontal="right" vertical="center" indent="1"/>
    </xf>
    <xf numFmtId="0" fontId="0" fillId="0" borderId="0" xfId="0" applyFont="1" applyAlignment="1">
      <alignment horizontal="left"/>
    </xf>
    <xf numFmtId="0" fontId="0" fillId="0" borderId="0" xfId="0" applyAlignment="1">
      <alignment horizontal="center"/>
    </xf>
    <xf numFmtId="0" fontId="19" fillId="0" borderId="0" xfId="0" applyFont="1" applyAlignment="1">
      <alignment horizontal="right"/>
    </xf>
    <xf numFmtId="0" fontId="39" fillId="0" borderId="0" xfId="0" applyFont="1" applyAlignment="1">
      <alignment horizontal="right" vertical="center"/>
    </xf>
    <xf numFmtId="0" fontId="39" fillId="0" borderId="39" xfId="0" applyFont="1" applyBorder="1" applyAlignment="1">
      <alignment horizontal="center" vertical="center"/>
    </xf>
    <xf numFmtId="166" fontId="39" fillId="0" borderId="24" xfId="2" applyNumberFormat="1" applyFont="1" applyBorder="1"/>
    <xf numFmtId="166" fontId="39" fillId="0" borderId="24" xfId="2" applyNumberFormat="1" applyFont="1" applyBorder="1" applyAlignment="1">
      <alignment vertical="center"/>
    </xf>
    <xf numFmtId="166" fontId="39" fillId="0" borderId="25" xfId="2" applyNumberFormat="1" applyFont="1" applyBorder="1" applyAlignment="1">
      <alignment vertical="center"/>
    </xf>
    <xf numFmtId="166" fontId="39" fillId="0" borderId="22" xfId="2" applyNumberFormat="1" applyFont="1" applyBorder="1"/>
    <xf numFmtId="0" fontId="0" fillId="0" borderId="0" xfId="0" applyAlignment="1">
      <alignment wrapText="1"/>
    </xf>
    <xf numFmtId="0" fontId="41" fillId="0" borderId="0" xfId="0" applyFont="1" applyAlignment="1">
      <alignment wrapText="1"/>
    </xf>
    <xf numFmtId="0" fontId="41" fillId="0" borderId="0" xfId="0" applyFont="1"/>
    <xf numFmtId="166" fontId="39" fillId="0" borderId="41" xfId="2" applyNumberFormat="1" applyFont="1" applyBorder="1" applyAlignment="1">
      <alignment horizontal="center" vertical="center"/>
    </xf>
    <xf numFmtId="166" fontId="39" fillId="0" borderId="7" xfId="2" applyNumberFormat="1" applyFont="1" applyBorder="1" applyAlignment="1">
      <alignment wrapText="1"/>
    </xf>
    <xf numFmtId="0" fontId="39" fillId="0" borderId="0" xfId="0" applyFont="1"/>
    <xf numFmtId="0" fontId="35" fillId="0" borderId="0" xfId="0" applyFont="1" applyAlignment="1">
      <alignment horizontal="left" vertical="center"/>
    </xf>
    <xf numFmtId="0" fontId="35" fillId="0" borderId="0" xfId="0" applyFont="1" applyAlignment="1">
      <alignment horizontal="left" vertical="center" wrapText="1"/>
    </xf>
    <xf numFmtId="0" fontId="40" fillId="0" borderId="7" xfId="0" applyFont="1" applyBorder="1" applyAlignment="1">
      <alignment horizontal="left" vertical="center" indent="1"/>
    </xf>
    <xf numFmtId="0" fontId="35" fillId="0" borderId="0" xfId="0" applyFont="1" applyAlignment="1"/>
    <xf numFmtId="0" fontId="40" fillId="0" borderId="5" xfId="0" applyFont="1" applyBorder="1" applyAlignment="1">
      <alignment horizontal="left" vertical="center" indent="1"/>
    </xf>
    <xf numFmtId="0" fontId="0" fillId="0" borderId="5" xfId="0" applyBorder="1"/>
    <xf numFmtId="0" fontId="35" fillId="0" borderId="0" xfId="0" applyFont="1" applyBorder="1" applyAlignment="1">
      <alignment vertical="center"/>
    </xf>
    <xf numFmtId="0" fontId="46" fillId="0" borderId="28" xfId="0" applyFont="1" applyBorder="1"/>
    <xf numFmtId="0" fontId="35" fillId="0" borderId="0" xfId="0" applyFont="1" applyBorder="1" applyAlignment="1">
      <alignment horizontal="left" vertical="center" wrapText="1"/>
    </xf>
    <xf numFmtId="43" fontId="40" fillId="0" borderId="7" xfId="2" applyNumberFormat="1" applyFont="1" applyBorder="1"/>
    <xf numFmtId="166" fontId="40" fillId="0" borderId="7" xfId="2" applyNumberFormat="1" applyFont="1" applyBorder="1"/>
    <xf numFmtId="43" fontId="39" fillId="0" borderId="7" xfId="2" applyNumberFormat="1" applyFont="1" applyBorder="1"/>
    <xf numFmtId="43" fontId="39" fillId="0" borderId="43" xfId="2" applyNumberFormat="1" applyFont="1" applyBorder="1"/>
    <xf numFmtId="43" fontId="39" fillId="0" borderId="43" xfId="0" applyNumberFormat="1" applyFont="1" applyBorder="1" applyAlignment="1">
      <alignment horizontal="center" vertical="center"/>
    </xf>
    <xf numFmtId="43" fontId="40" fillId="0" borderId="7" xfId="2" applyNumberFormat="1" applyFont="1" applyBorder="1" applyAlignment="1">
      <alignment vertical="center"/>
    </xf>
    <xf numFmtId="43" fontId="40" fillId="0" borderId="17" xfId="2" applyNumberFormat="1" applyFont="1" applyBorder="1"/>
    <xf numFmtId="166" fontId="40" fillId="0" borderId="17" xfId="2" applyNumberFormat="1" applyFont="1" applyBorder="1"/>
    <xf numFmtId="0" fontId="15" fillId="0" borderId="44" xfId="0" quotePrefix="1" applyFont="1" applyBorder="1" applyAlignment="1">
      <alignment horizontal="center" vertical="center"/>
    </xf>
    <xf numFmtId="0" fontId="15" fillId="0" borderId="45" xfId="0" quotePrefix="1" applyFont="1" applyBorder="1" applyAlignment="1">
      <alignment horizontal="center" vertical="center"/>
    </xf>
    <xf numFmtId="166" fontId="15" fillId="0" borderId="45" xfId="2" quotePrefix="1" applyNumberFormat="1" applyFont="1" applyBorder="1" applyAlignment="1">
      <alignment horizontal="center" vertical="center"/>
    </xf>
    <xf numFmtId="49" fontId="15" fillId="0" borderId="45" xfId="2" quotePrefix="1" applyNumberFormat="1" applyFont="1" applyBorder="1" applyAlignment="1">
      <alignment horizontal="center" vertical="center"/>
    </xf>
    <xf numFmtId="0" fontId="15" fillId="0" borderId="22" xfId="0" quotePrefix="1" applyFont="1" applyBorder="1" applyAlignment="1">
      <alignment horizontal="center" vertical="center"/>
    </xf>
    <xf numFmtId="49" fontId="15" fillId="0" borderId="17" xfId="2" quotePrefix="1" applyNumberFormat="1" applyFont="1" applyBorder="1" applyAlignment="1">
      <alignment horizontal="center" vertical="center"/>
    </xf>
    <xf numFmtId="0" fontId="0" fillId="0" borderId="17" xfId="0" quotePrefix="1" applyBorder="1" applyAlignment="1">
      <alignment horizontal="center" vertical="center"/>
    </xf>
    <xf numFmtId="166" fontId="30" fillId="0" borderId="17" xfId="2" quotePrefix="1" applyNumberFormat="1" applyFont="1" applyBorder="1" applyAlignment="1">
      <alignment horizontal="center" vertical="center"/>
    </xf>
    <xf numFmtId="0" fontId="17" fillId="0" borderId="7" xfId="0" quotePrefix="1" applyFont="1" applyBorder="1" applyAlignment="1">
      <alignment horizontal="center" vertical="center"/>
    </xf>
    <xf numFmtId="0" fontId="16" fillId="0" borderId="7" xfId="0" quotePrefix="1" applyFont="1" applyBorder="1" applyAlignment="1">
      <alignment horizontal="center" vertical="center"/>
    </xf>
    <xf numFmtId="49" fontId="18" fillId="0" borderId="17" xfId="2" quotePrefix="1" applyNumberFormat="1" applyFont="1" applyBorder="1" applyAlignment="1">
      <alignment horizontal="center" vertical="center"/>
    </xf>
    <xf numFmtId="49" fontId="18" fillId="0" borderId="46" xfId="2" quotePrefix="1" applyNumberFormat="1" applyFont="1" applyBorder="1" applyAlignment="1">
      <alignment horizontal="center" vertical="center"/>
    </xf>
    <xf numFmtId="0" fontId="0" fillId="0" borderId="46" xfId="0" quotePrefix="1" applyBorder="1" applyAlignment="1">
      <alignment horizontal="center" vertical="center"/>
    </xf>
    <xf numFmtId="0" fontId="12" fillId="0" borderId="17" xfId="0" quotePrefix="1" applyFont="1" applyBorder="1" applyAlignment="1">
      <alignment horizontal="center" vertical="center"/>
    </xf>
    <xf numFmtId="166" fontId="12" fillId="0" borderId="17" xfId="2" quotePrefix="1" applyNumberFormat="1" applyFont="1" applyBorder="1" applyAlignment="1">
      <alignment horizontal="center" vertical="center"/>
    </xf>
    <xf numFmtId="0" fontId="11" fillId="0" borderId="7" xfId="0" quotePrefix="1" applyFont="1" applyBorder="1" applyAlignment="1">
      <alignment horizontal="left" vertical="center"/>
    </xf>
    <xf numFmtId="0" fontId="15" fillId="0" borderId="7" xfId="0" quotePrefix="1" applyFont="1" applyBorder="1" applyAlignment="1">
      <alignment horizontal="left" vertical="center"/>
    </xf>
    <xf numFmtId="0" fontId="15" fillId="0" borderId="17" xfId="0" quotePrefix="1" applyFont="1" applyBorder="1" applyAlignment="1">
      <alignment horizontal="center" vertical="center"/>
    </xf>
    <xf numFmtId="0" fontId="11" fillId="0" borderId="11" xfId="0" quotePrefix="1" applyFont="1" applyBorder="1" applyAlignment="1">
      <alignment horizontal="center" vertical="center"/>
    </xf>
    <xf numFmtId="0" fontId="11" fillId="0" borderId="9" xfId="0" quotePrefix="1" applyFont="1" applyBorder="1" applyAlignment="1">
      <alignment horizontal="center" vertical="center"/>
    </xf>
    <xf numFmtId="166" fontId="14" fillId="0" borderId="47" xfId="2" quotePrefix="1" applyNumberFormat="1" applyFont="1" applyBorder="1" applyAlignment="1">
      <alignment horizontal="center" vertical="center" wrapText="1"/>
    </xf>
    <xf numFmtId="1" fontId="14" fillId="0" borderId="9" xfId="2" quotePrefix="1" applyNumberFormat="1" applyFont="1" applyBorder="1" applyAlignment="1">
      <alignment horizontal="center" vertical="center" wrapText="1"/>
    </xf>
    <xf numFmtId="0" fontId="14" fillId="0" borderId="7" xfId="0" quotePrefix="1" applyFont="1" applyBorder="1" applyAlignment="1">
      <alignment horizontal="left" vertical="center"/>
    </xf>
    <xf numFmtId="0" fontId="10" fillId="0" borderId="7" xfId="0" quotePrefix="1" applyFont="1" applyBorder="1" applyAlignment="1">
      <alignment horizontal="left" vertical="center"/>
    </xf>
    <xf numFmtId="0" fontId="55" fillId="0" borderId="0" xfId="0" applyFont="1"/>
    <xf numFmtId="4" fontId="0" fillId="0" borderId="0" xfId="0" applyNumberFormat="1"/>
    <xf numFmtId="0" fontId="47" fillId="0" borderId="28" xfId="0" applyFont="1" applyBorder="1"/>
    <xf numFmtId="0" fontId="31" fillId="0" borderId="0" xfId="0" applyFont="1"/>
    <xf numFmtId="4" fontId="54" fillId="0" borderId="0" xfId="2" applyNumberFormat="1" applyFont="1"/>
    <xf numFmtId="4" fontId="58" fillId="0" borderId="54" xfId="0" applyNumberFormat="1" applyFont="1" applyFill="1" applyBorder="1" applyAlignment="1">
      <alignment horizontal="right" vertical="center"/>
    </xf>
    <xf numFmtId="4" fontId="58" fillId="0" borderId="53" xfId="0" applyNumberFormat="1" applyFont="1" applyFill="1" applyBorder="1" applyAlignment="1">
      <alignment horizontal="right" vertical="center"/>
    </xf>
    <xf numFmtId="0" fontId="35" fillId="0" borderId="0" xfId="0" applyFont="1" applyBorder="1" applyAlignment="1">
      <alignment horizontal="left" vertical="center"/>
    </xf>
    <xf numFmtId="0" fontId="31" fillId="5" borderId="0" xfId="0" applyFont="1" applyFill="1"/>
    <xf numFmtId="0" fontId="47" fillId="0" borderId="28" xfId="0" applyFont="1" applyFill="1" applyBorder="1"/>
    <xf numFmtId="0" fontId="31" fillId="0" borderId="0" xfId="0" applyFont="1" applyFill="1"/>
    <xf numFmtId="0" fontId="20" fillId="0" borderId="0" xfId="0" applyFont="1" applyAlignment="1">
      <alignment horizontal="right"/>
    </xf>
    <xf numFmtId="0" fontId="23" fillId="0" borderId="0" xfId="0" applyFont="1" applyAlignment="1">
      <alignment horizontal="right" vertical="center"/>
    </xf>
    <xf numFmtId="0" fontId="46" fillId="0" borderId="14" xfId="0" applyFont="1" applyBorder="1" applyAlignment="1"/>
    <xf numFmtId="0" fontId="49" fillId="0" borderId="0" xfId="0" applyFont="1"/>
    <xf numFmtId="0" fontId="46" fillId="0" borderId="52" xfId="0" applyFont="1" applyBorder="1"/>
    <xf numFmtId="0" fontId="24" fillId="0" borderId="0" xfId="0" applyFont="1" applyAlignment="1">
      <alignment horizontal="right"/>
    </xf>
    <xf numFmtId="43" fontId="35" fillId="0" borderId="0" xfId="0" applyNumberFormat="1" applyFont="1" applyAlignment="1">
      <alignment horizontal="left" vertical="center"/>
    </xf>
    <xf numFmtId="0" fontId="15" fillId="0" borderId="83" xfId="0" quotePrefix="1" applyFont="1" applyBorder="1" applyAlignment="1">
      <alignment horizontal="center" vertical="center"/>
    </xf>
    <xf numFmtId="0" fontId="39" fillId="0" borderId="84" xfId="0" applyFont="1" applyBorder="1" applyAlignment="1">
      <alignment horizontal="center" vertical="center"/>
    </xf>
    <xf numFmtId="0" fontId="39" fillId="0" borderId="13" xfId="0" applyFont="1" applyBorder="1" applyAlignment="1">
      <alignment horizontal="center" vertical="center"/>
    </xf>
    <xf numFmtId="0" fontId="39" fillId="0" borderId="8" xfId="0" applyFont="1" applyBorder="1" applyAlignment="1">
      <alignment horizontal="center" vertical="center"/>
    </xf>
    <xf numFmtId="0" fontId="0" fillId="0" borderId="13" xfId="0" applyBorder="1"/>
    <xf numFmtId="0" fontId="0" fillId="0" borderId="8" xfId="0" applyBorder="1"/>
    <xf numFmtId="0" fontId="39" fillId="0" borderId="19" xfId="0" applyFont="1" applyBorder="1" applyAlignment="1">
      <alignment horizontal="center" vertical="center"/>
    </xf>
    <xf numFmtId="166" fontId="39" fillId="0" borderId="28" xfId="2" applyNumberFormat="1" applyFont="1" applyBorder="1"/>
    <xf numFmtId="166" fontId="39" fillId="0" borderId="28" xfId="2" applyNumberFormat="1" applyFont="1" applyBorder="1" applyAlignment="1">
      <alignment vertical="center"/>
    </xf>
    <xf numFmtId="0" fontId="39" fillId="0" borderId="85" xfId="0" applyFont="1" applyBorder="1" applyAlignment="1">
      <alignment horizontal="center" vertical="center"/>
    </xf>
    <xf numFmtId="0" fontId="39" fillId="0" borderId="86" xfId="0" applyFont="1" applyBorder="1" applyAlignment="1">
      <alignment horizontal="center" vertical="center"/>
    </xf>
    <xf numFmtId="0" fontId="40" fillId="0" borderId="86" xfId="0" applyFont="1" applyBorder="1" applyAlignment="1">
      <alignment horizontal="right" vertical="center" indent="1"/>
    </xf>
    <xf numFmtId="166" fontId="39" fillId="0" borderId="86" xfId="2" applyNumberFormat="1" applyFont="1" applyBorder="1"/>
    <xf numFmtId="10" fontId="40" fillId="0" borderId="7" xfId="2" applyNumberFormat="1" applyFont="1" applyBorder="1"/>
    <xf numFmtId="10" fontId="40" fillId="0" borderId="17" xfId="2" applyNumberFormat="1" applyFont="1" applyBorder="1"/>
    <xf numFmtId="41" fontId="30" fillId="0" borderId="0" xfId="2" applyFont="1"/>
    <xf numFmtId="166" fontId="31" fillId="0" borderId="0" xfId="2" applyNumberFormat="1" applyFont="1"/>
    <xf numFmtId="165" fontId="0" fillId="0" borderId="0" xfId="0" applyNumberFormat="1"/>
    <xf numFmtId="39" fontId="56" fillId="0" borderId="1" xfId="0" applyNumberFormat="1" applyFont="1" applyBorder="1"/>
    <xf numFmtId="0" fontId="0" fillId="0" borderId="0" xfId="0" applyFont="1"/>
    <xf numFmtId="166" fontId="53" fillId="0" borderId="0" xfId="2" applyNumberFormat="1" applyFont="1" applyAlignment="1"/>
    <xf numFmtId="41" fontId="0" fillId="0" borderId="0" xfId="0" applyNumberFormat="1"/>
    <xf numFmtId="43" fontId="30" fillId="0" borderId="0" xfId="1" applyFont="1"/>
    <xf numFmtId="0" fontId="0" fillId="0" borderId="0" xfId="0" applyAlignment="1">
      <alignment horizontal="right"/>
    </xf>
    <xf numFmtId="0" fontId="41" fillId="0" borderId="0" xfId="0" applyFont="1" applyBorder="1" applyAlignment="1">
      <alignment horizontal="left" vertical="center" wrapText="1"/>
    </xf>
    <xf numFmtId="0" fontId="40" fillId="0" borderId="14" xfId="0" applyFont="1" applyBorder="1" applyAlignment="1">
      <alignment vertical="center"/>
    </xf>
    <xf numFmtId="43" fontId="40" fillId="0" borderId="14" xfId="2" applyNumberFormat="1" applyFont="1" applyBorder="1" applyAlignment="1">
      <alignment vertical="center"/>
    </xf>
    <xf numFmtId="4" fontId="0" fillId="0" borderId="7" xfId="0" applyNumberFormat="1" applyFont="1" applyBorder="1" applyAlignment="1">
      <alignment horizontal="right" vertical="center"/>
    </xf>
    <xf numFmtId="49" fontId="31" fillId="0" borderId="53" xfId="0" applyNumberFormat="1" applyFont="1" applyBorder="1" applyAlignment="1">
      <alignment horizontal="center" vertical="center"/>
    </xf>
    <xf numFmtId="0" fontId="0" fillId="0" borderId="28" xfId="0" applyFont="1" applyBorder="1"/>
    <xf numFmtId="49" fontId="31" fillId="0" borderId="14" xfId="0" applyNumberFormat="1" applyFont="1" applyBorder="1" applyAlignment="1">
      <alignment horizontal="center" vertical="center"/>
    </xf>
    <xf numFmtId="0" fontId="0" fillId="0" borderId="52" xfId="0" applyFont="1" applyBorder="1"/>
    <xf numFmtId="49" fontId="0" fillId="0" borderId="14" xfId="0" applyNumberFormat="1" applyFont="1" applyBorder="1" applyAlignment="1">
      <alignment horizontal="center" vertical="center"/>
    </xf>
    <xf numFmtId="49" fontId="0" fillId="0" borderId="1" xfId="0" applyNumberFormat="1" applyFont="1" applyBorder="1" applyAlignment="1">
      <alignment horizontal="center" vertical="center"/>
    </xf>
    <xf numFmtId="49" fontId="31" fillId="5" borderId="7" xfId="0" applyNumberFormat="1" applyFont="1" applyFill="1" applyBorder="1" applyAlignment="1">
      <alignment horizontal="center" vertical="center"/>
    </xf>
    <xf numFmtId="49" fontId="31" fillId="0" borderId="1" xfId="0" applyNumberFormat="1" applyFont="1" applyBorder="1" applyAlignment="1">
      <alignment horizontal="center" vertical="center"/>
    </xf>
    <xf numFmtId="4" fontId="0" fillId="4" borderId="7" xfId="0" applyNumberFormat="1" applyFont="1" applyFill="1" applyBorder="1" applyAlignment="1">
      <alignment horizontal="right" vertical="center"/>
    </xf>
    <xf numFmtId="166" fontId="62" fillId="2" borderId="76" xfId="2" applyNumberFormat="1" applyFont="1" applyFill="1" applyBorder="1" applyAlignment="1">
      <alignment vertical="center"/>
    </xf>
    <xf numFmtId="0" fontId="0" fillId="0" borderId="0" xfId="0" applyFont="1" applyAlignment="1">
      <alignment horizontal="center" wrapText="1"/>
    </xf>
    <xf numFmtId="0" fontId="0" fillId="0" borderId="0" xfId="0" applyFont="1" applyAlignment="1">
      <alignment horizontal="center"/>
    </xf>
    <xf numFmtId="4" fontId="0" fillId="0" borderId="0" xfId="0" applyNumberFormat="1" applyFont="1" applyAlignment="1">
      <alignment horizontal="right"/>
    </xf>
    <xf numFmtId="0" fontId="0" fillId="0" borderId="0" xfId="0" applyFont="1" applyFill="1" applyAlignment="1">
      <alignment horizontal="center"/>
    </xf>
    <xf numFmtId="4" fontId="0" fillId="0" borderId="0" xfId="0" applyNumberFormat="1" applyFont="1" applyFill="1" applyAlignment="1">
      <alignment horizontal="center"/>
    </xf>
    <xf numFmtId="0" fontId="0" fillId="0" borderId="0" xfId="0" applyFont="1" applyAlignment="1">
      <alignment horizontal="left" vertical="center" wrapText="1"/>
    </xf>
    <xf numFmtId="0" fontId="0" fillId="0" borderId="17" xfId="0" quotePrefix="1" applyFont="1" applyBorder="1" applyAlignment="1">
      <alignment horizontal="center" vertical="center" wrapText="1"/>
    </xf>
    <xf numFmtId="0" fontId="0" fillId="0" borderId="0" xfId="0" applyNumberFormat="1" applyFont="1" applyBorder="1" applyAlignment="1">
      <alignment horizontal="left" vertical="center" wrapText="1"/>
    </xf>
    <xf numFmtId="0" fontId="0" fillId="0" borderId="0" xfId="0" applyFont="1" applyAlignment="1">
      <alignment wrapText="1"/>
    </xf>
    <xf numFmtId="0" fontId="0" fillId="0" borderId="17" xfId="0" quotePrefix="1" applyFont="1" applyBorder="1" applyAlignment="1">
      <alignment horizontal="center" vertical="center"/>
    </xf>
    <xf numFmtId="0" fontId="0" fillId="0" borderId="17" xfId="0" applyNumberFormat="1" applyFont="1" applyBorder="1" applyAlignment="1">
      <alignment horizontal="center" vertical="center"/>
    </xf>
    <xf numFmtId="49" fontId="0" fillId="0" borderId="0" xfId="0" applyNumberFormat="1" applyFont="1" applyBorder="1" applyAlignment="1">
      <alignment horizontal="center" vertical="center"/>
    </xf>
    <xf numFmtId="0" fontId="0" fillId="0" borderId="0" xfId="0" applyFont="1" applyAlignment="1">
      <alignment horizontal="center" vertical="center"/>
    </xf>
    <xf numFmtId="0" fontId="0" fillId="0" borderId="0" xfId="0" applyNumberFormat="1" applyFont="1" applyBorder="1" applyAlignment="1">
      <alignment horizontal="center" vertical="center"/>
    </xf>
    <xf numFmtId="0" fontId="0" fillId="0" borderId="0" xfId="0" applyFont="1" applyFill="1" applyBorder="1" applyAlignment="1">
      <alignment horizontal="left" vertical="top"/>
    </xf>
    <xf numFmtId="0" fontId="0" fillId="0" borderId="0" xfId="0" applyFont="1" applyBorder="1" applyAlignment="1">
      <alignment horizontal="left" vertical="center" wrapText="1"/>
    </xf>
    <xf numFmtId="0" fontId="0" fillId="0" borderId="0" xfId="0" applyFont="1" applyAlignment="1">
      <alignment horizontal="left" vertical="top" wrapText="1"/>
    </xf>
    <xf numFmtId="0" fontId="0" fillId="0" borderId="0" xfId="0" applyFont="1" applyFill="1" applyAlignment="1">
      <alignment horizontal="left" vertical="top"/>
    </xf>
    <xf numFmtId="0" fontId="0" fillId="0" borderId="46" xfId="0" quotePrefix="1" applyFont="1" applyBorder="1" applyAlignment="1">
      <alignment horizontal="center" vertical="center"/>
    </xf>
    <xf numFmtId="0" fontId="0" fillId="0" borderId="0" xfId="0" applyFont="1" applyAlignment="1">
      <alignment horizontal="left" vertical="top"/>
    </xf>
    <xf numFmtId="4" fontId="0" fillId="0" borderId="0" xfId="0" applyNumberFormat="1" applyFont="1" applyBorder="1" applyAlignment="1">
      <alignment horizontal="right" vertical="top"/>
    </xf>
    <xf numFmtId="0" fontId="0" fillId="0" borderId="0" xfId="0" applyFont="1" applyBorder="1" applyAlignment="1">
      <alignment vertical="top"/>
    </xf>
    <xf numFmtId="0" fontId="0" fillId="0" borderId="0" xfId="0" applyFont="1" applyBorder="1" applyAlignment="1">
      <alignment horizontal="left" vertical="top" wrapText="1"/>
    </xf>
    <xf numFmtId="4" fontId="0" fillId="0" borderId="0" xfId="0" applyNumberFormat="1" applyFont="1" applyAlignment="1">
      <alignment horizontal="right" vertical="top"/>
    </xf>
    <xf numFmtId="4" fontId="0" fillId="0" borderId="0" xfId="0" applyNumberFormat="1" applyFont="1" applyFill="1" applyAlignment="1">
      <alignment horizontal="left" vertical="top"/>
    </xf>
    <xf numFmtId="0" fontId="31" fillId="0" borderId="0" xfId="0" applyNumberFormat="1" applyFont="1" applyBorder="1" applyAlignment="1">
      <alignment horizontal="left" vertical="center"/>
    </xf>
    <xf numFmtId="4" fontId="27" fillId="0" borderId="28" xfId="2" applyNumberFormat="1" applyFont="1" applyBorder="1" applyAlignment="1">
      <alignment vertical="center"/>
    </xf>
    <xf numFmtId="4" fontId="26" fillId="0" borderId="28" xfId="2" applyNumberFormat="1" applyFont="1" applyBorder="1" applyAlignment="1">
      <alignment vertical="center"/>
    </xf>
    <xf numFmtId="0" fontId="26" fillId="0" borderId="0" xfId="0" applyFont="1"/>
    <xf numFmtId="166" fontId="9" fillId="0" borderId="0" xfId="2" applyNumberFormat="1" applyFont="1"/>
    <xf numFmtId="0" fontId="9" fillId="0" borderId="0" xfId="0" applyFont="1"/>
    <xf numFmtId="0" fontId="27" fillId="0" borderId="0" xfId="0" applyFont="1"/>
    <xf numFmtId="0" fontId="27" fillId="0" borderId="28" xfId="0" applyFont="1" applyBorder="1"/>
    <xf numFmtId="4" fontId="26" fillId="0" borderId="53" xfId="0" applyNumberFormat="1" applyFont="1" applyFill="1" applyBorder="1" applyAlignment="1">
      <alignment horizontal="right" vertical="center"/>
    </xf>
    <xf numFmtId="166" fontId="27" fillId="0" borderId="7" xfId="2" applyNumberFormat="1" applyFont="1" applyFill="1" applyBorder="1" applyAlignment="1">
      <alignment vertical="center"/>
    </xf>
    <xf numFmtId="4" fontId="27" fillId="0" borderId="7" xfId="0" applyNumberFormat="1" applyFont="1" applyFill="1" applyBorder="1" applyAlignment="1">
      <alignment horizontal="right" vertical="center"/>
    </xf>
    <xf numFmtId="166" fontId="9" fillId="0" borderId="52" xfId="2" applyNumberFormat="1" applyFont="1" applyBorder="1" applyAlignment="1">
      <alignment vertical="center"/>
    </xf>
    <xf numFmtId="4" fontId="26" fillId="0" borderId="54" xfId="2" applyNumberFormat="1" applyFont="1" applyBorder="1" applyAlignment="1">
      <alignment vertical="center"/>
    </xf>
    <xf numFmtId="4" fontId="26" fillId="0" borderId="27" xfId="2" applyNumberFormat="1" applyFont="1" applyBorder="1" applyAlignment="1">
      <alignment vertical="center"/>
    </xf>
    <xf numFmtId="166" fontId="27" fillId="0" borderId="28" xfId="2" applyNumberFormat="1" applyFont="1" applyFill="1" applyBorder="1" applyAlignment="1">
      <alignment vertical="center"/>
    </xf>
    <xf numFmtId="0" fontId="26" fillId="5" borderId="0" xfId="0" applyFont="1" applyFill="1"/>
    <xf numFmtId="166" fontId="9" fillId="0" borderId="51" xfId="2" applyNumberFormat="1" applyFont="1" applyBorder="1" applyAlignment="1">
      <alignment vertical="center"/>
    </xf>
    <xf numFmtId="4" fontId="26" fillId="0" borderId="54" xfId="0" applyNumberFormat="1" applyFont="1" applyFill="1" applyBorder="1" applyAlignment="1">
      <alignment horizontal="right" vertical="center"/>
    </xf>
    <xf numFmtId="4" fontId="26" fillId="0" borderId="1" xfId="0" applyNumberFormat="1" applyFont="1" applyFill="1" applyBorder="1" applyAlignment="1">
      <alignment horizontal="right" vertical="center"/>
    </xf>
    <xf numFmtId="4" fontId="26" fillId="0" borderId="51" xfId="0" applyNumberFormat="1" applyFont="1" applyFill="1" applyBorder="1" applyAlignment="1">
      <alignment horizontal="right" vertical="center"/>
    </xf>
    <xf numFmtId="4" fontId="27" fillId="0" borderId="28" xfId="0" applyNumberFormat="1" applyFont="1" applyFill="1" applyBorder="1" applyAlignment="1">
      <alignment horizontal="right" vertical="center"/>
    </xf>
    <xf numFmtId="4" fontId="26" fillId="0" borderId="28" xfId="0" applyNumberFormat="1" applyFont="1" applyFill="1" applyBorder="1" applyAlignment="1">
      <alignment horizontal="right" vertical="center"/>
    </xf>
    <xf numFmtId="4" fontId="27" fillId="0" borderId="51" xfId="0" applyNumberFormat="1" applyFont="1" applyFill="1" applyBorder="1" applyAlignment="1">
      <alignment horizontal="right" vertical="center"/>
    </xf>
    <xf numFmtId="4" fontId="27" fillId="0" borderId="5" xfId="0" applyNumberFormat="1" applyFont="1" applyFill="1" applyBorder="1" applyAlignment="1">
      <alignment horizontal="right" vertical="center"/>
    </xf>
    <xf numFmtId="166" fontId="27" fillId="0" borderId="7" xfId="2" applyNumberFormat="1" applyFont="1" applyBorder="1" applyAlignment="1">
      <alignment vertical="center"/>
    </xf>
    <xf numFmtId="166" fontId="9" fillId="0" borderId="7" xfId="2" applyNumberFormat="1" applyFont="1" applyBorder="1" applyAlignment="1">
      <alignment vertical="center"/>
    </xf>
    <xf numFmtId="4" fontId="27" fillId="0" borderId="1" xfId="0" applyNumberFormat="1" applyFont="1" applyFill="1" applyBorder="1" applyAlignment="1">
      <alignment horizontal="right" vertical="center"/>
    </xf>
    <xf numFmtId="43" fontId="26" fillId="0" borderId="53" xfId="1" applyFont="1" applyBorder="1" applyAlignment="1">
      <alignment horizontal="left" vertical="center" indent="1"/>
    </xf>
    <xf numFmtId="43" fontId="26" fillId="0" borderId="1" xfId="1" applyFont="1" applyBorder="1" applyAlignment="1">
      <alignment horizontal="left" vertical="center" indent="1"/>
    </xf>
    <xf numFmtId="43" fontId="26" fillId="0" borderId="7" xfId="1" applyFont="1" applyBorder="1" applyAlignment="1">
      <alignment horizontal="left" vertical="center" indent="1"/>
    </xf>
    <xf numFmtId="4" fontId="26" fillId="0" borderId="53" xfId="2" applyNumberFormat="1" applyFont="1" applyFill="1" applyBorder="1" applyAlignment="1">
      <alignment vertical="center"/>
    </xf>
    <xf numFmtId="49" fontId="26" fillId="0" borderId="1" xfId="0" applyNumberFormat="1" applyFont="1" applyBorder="1" applyAlignment="1">
      <alignment horizontal="center" vertical="center"/>
    </xf>
    <xf numFmtId="4" fontId="27" fillId="0" borderId="52" xfId="0" applyNumberFormat="1" applyFont="1" applyFill="1" applyBorder="1" applyAlignment="1">
      <alignment horizontal="right" vertical="center"/>
    </xf>
    <xf numFmtId="166" fontId="9" fillId="0" borderId="0" xfId="2" applyNumberFormat="1" applyFont="1" applyBorder="1"/>
    <xf numFmtId="39" fontId="27" fillId="0" borderId="7" xfId="0" applyNumberFormat="1" applyFont="1" applyFill="1" applyBorder="1" applyAlignment="1">
      <alignment horizontal="right" vertical="center"/>
    </xf>
    <xf numFmtId="4" fontId="26" fillId="0" borderId="27" xfId="0" applyNumberFormat="1" applyFont="1" applyFill="1" applyBorder="1" applyAlignment="1">
      <alignment horizontal="right" vertical="center"/>
    </xf>
    <xf numFmtId="49" fontId="26" fillId="0" borderId="1" xfId="0" applyNumberFormat="1" applyFont="1" applyFill="1" applyBorder="1" applyAlignment="1">
      <alignment horizontal="center" vertical="center"/>
    </xf>
    <xf numFmtId="166" fontId="26" fillId="0" borderId="28" xfId="2" applyNumberFormat="1" applyFont="1" applyFill="1" applyBorder="1" applyAlignment="1">
      <alignment vertical="center"/>
    </xf>
    <xf numFmtId="166" fontId="27" fillId="0" borderId="28" xfId="2" applyNumberFormat="1" applyFont="1" applyBorder="1" applyAlignment="1">
      <alignment vertical="center"/>
    </xf>
    <xf numFmtId="166" fontId="69" fillId="0" borderId="7" xfId="2" applyNumberFormat="1" applyFont="1" applyBorder="1"/>
    <xf numFmtId="166" fontId="69" fillId="0" borderId="5" xfId="2" applyNumberFormat="1" applyFont="1" applyBorder="1"/>
    <xf numFmtId="166" fontId="68" fillId="0" borderId="53" xfId="2" applyNumberFormat="1" applyFont="1" applyBorder="1"/>
    <xf numFmtId="166" fontId="0" fillId="0" borderId="7" xfId="2" applyNumberFormat="1" applyFont="1" applyBorder="1"/>
    <xf numFmtId="166" fontId="68" fillId="0" borderId="7" xfId="2" applyNumberFormat="1" applyFont="1" applyBorder="1"/>
    <xf numFmtId="0" fontId="68" fillId="0" borderId="0" xfId="0" applyFont="1" applyAlignment="1">
      <alignment wrapText="1"/>
    </xf>
    <xf numFmtId="166" fontId="68" fillId="0" borderId="68" xfId="2" applyNumberFormat="1" applyFont="1" applyBorder="1"/>
    <xf numFmtId="0" fontId="70" fillId="0" borderId="0" xfId="0" applyFont="1" applyAlignment="1">
      <alignment horizontal="center"/>
    </xf>
    <xf numFmtId="0" fontId="72" fillId="0" borderId="0" xfId="0" applyFont="1"/>
    <xf numFmtId="0" fontId="71" fillId="0" borderId="0" xfId="0" applyFont="1" applyAlignment="1">
      <alignment horizontal="left" vertical="center" wrapText="1"/>
    </xf>
    <xf numFmtId="166" fontId="73" fillId="0" borderId="1" xfId="11" applyNumberFormat="1" applyFont="1" applyBorder="1" applyAlignment="1">
      <alignment horizontal="center" vertical="center" wrapText="1"/>
    </xf>
    <xf numFmtId="166" fontId="73" fillId="0" borderId="40" xfId="11" applyNumberFormat="1" applyFont="1" applyBorder="1" applyAlignment="1">
      <alignment horizontal="center" vertical="center" wrapText="1"/>
    </xf>
    <xf numFmtId="4" fontId="73" fillId="0" borderId="40" xfId="11" applyNumberFormat="1" applyFont="1" applyBorder="1" applyAlignment="1">
      <alignment horizontal="center" vertical="center" wrapText="1"/>
    </xf>
    <xf numFmtId="0" fontId="71" fillId="0" borderId="0" xfId="0" applyFont="1"/>
    <xf numFmtId="0" fontId="12" fillId="0" borderId="17" xfId="0" quotePrefix="1" applyFont="1" applyBorder="1" applyAlignment="1">
      <alignment horizontal="center" vertical="center" wrapText="1"/>
    </xf>
    <xf numFmtId="49" fontId="74" fillId="0" borderId="17" xfId="0" applyNumberFormat="1" applyFont="1" applyBorder="1" applyAlignment="1">
      <alignment horizontal="center" vertical="center"/>
    </xf>
    <xf numFmtId="4" fontId="74" fillId="0" borderId="17" xfId="0" applyNumberFormat="1" applyFont="1" applyBorder="1" applyAlignment="1">
      <alignment horizontal="center" vertical="center"/>
    </xf>
    <xf numFmtId="49" fontId="74" fillId="0" borderId="22" xfId="0" applyNumberFormat="1" applyFont="1" applyBorder="1" applyAlignment="1">
      <alignment horizontal="center" vertical="center"/>
    </xf>
    <xf numFmtId="0" fontId="74" fillId="0" borderId="4" xfId="0" applyFont="1" applyBorder="1" applyAlignment="1">
      <alignment horizontal="center" vertical="center"/>
    </xf>
    <xf numFmtId="0" fontId="74" fillId="0" borderId="5" xfId="0" applyFont="1" applyBorder="1" applyAlignment="1">
      <alignment horizontal="center" vertical="center" wrapText="1"/>
    </xf>
    <xf numFmtId="0" fontId="74" fillId="0" borderId="5" xfId="0" applyFont="1" applyBorder="1"/>
    <xf numFmtId="0" fontId="75" fillId="0" borderId="5" xfId="0" applyFont="1" applyBorder="1"/>
    <xf numFmtId="0" fontId="74" fillId="0" borderId="23" xfId="0" applyFont="1" applyBorder="1"/>
    <xf numFmtId="49" fontId="73" fillId="0" borderId="7" xfId="0" applyNumberFormat="1" applyFont="1" applyBorder="1" applyAlignment="1">
      <alignment horizontal="center" vertical="center"/>
    </xf>
    <xf numFmtId="0" fontId="73" fillId="0" borderId="14" xfId="0" applyFont="1" applyBorder="1" applyAlignment="1">
      <alignment horizontal="left" vertical="center" wrapText="1"/>
    </xf>
    <xf numFmtId="166" fontId="73" fillId="0" borderId="1" xfId="11" applyNumberFormat="1" applyFont="1" applyFill="1" applyBorder="1" applyAlignment="1">
      <alignment vertical="center"/>
    </xf>
    <xf numFmtId="4" fontId="73" fillId="0" borderId="7" xfId="0" applyNumberFormat="1" applyFont="1" applyBorder="1"/>
    <xf numFmtId="0" fontId="73" fillId="0" borderId="48" xfId="0" applyFont="1" applyBorder="1"/>
    <xf numFmtId="0" fontId="76" fillId="0" borderId="0" xfId="0" applyFont="1"/>
    <xf numFmtId="0" fontId="73" fillId="0" borderId="4" xfId="0" applyFont="1" applyBorder="1" applyAlignment="1">
      <alignment horizontal="center" vertical="center"/>
    </xf>
    <xf numFmtId="0" fontId="11" fillId="0" borderId="53" xfId="0" applyFont="1" applyBorder="1" applyAlignment="1">
      <alignment vertical="top" wrapText="1"/>
    </xf>
    <xf numFmtId="39" fontId="11" fillId="0" borderId="53" xfId="0" applyNumberFormat="1" applyFont="1" applyBorder="1" applyAlignment="1">
      <alignment vertical="top"/>
    </xf>
    <xf numFmtId="0" fontId="73" fillId="0" borderId="24" xfId="0" applyFont="1" applyBorder="1"/>
    <xf numFmtId="41" fontId="76" fillId="0" borderId="0" xfId="11" applyFont="1"/>
    <xf numFmtId="0" fontId="11" fillId="0" borderId="1" xfId="0" applyFont="1" applyBorder="1" applyAlignment="1">
      <alignment vertical="top" wrapText="1"/>
    </xf>
    <xf numFmtId="39" fontId="11" fillId="0" borderId="68" xfId="0" applyNumberFormat="1" applyFont="1" applyBorder="1" applyAlignment="1">
      <alignment vertical="top"/>
    </xf>
    <xf numFmtId="4" fontId="73" fillId="0" borderId="5" xfId="0" applyNumberFormat="1" applyFont="1" applyBorder="1"/>
    <xf numFmtId="0" fontId="73" fillId="0" borderId="23" xfId="0" applyFont="1" applyBorder="1"/>
    <xf numFmtId="0" fontId="75" fillId="0" borderId="4" xfId="0" applyFont="1" applyBorder="1" applyAlignment="1">
      <alignment horizontal="center" vertical="center"/>
    </xf>
    <xf numFmtId="0" fontId="59" fillId="0" borderId="7" xfId="0" applyFont="1" applyBorder="1" applyAlignment="1">
      <alignment vertical="top" wrapText="1"/>
    </xf>
    <xf numFmtId="39" fontId="59" fillId="0" borderId="7" xfId="0" applyNumberFormat="1" applyFont="1" applyBorder="1" applyAlignment="1">
      <alignment vertical="top"/>
    </xf>
    <xf numFmtId="39" fontId="59" fillId="0" borderId="14" xfId="0" applyNumberFormat="1" applyFont="1" applyBorder="1" applyAlignment="1">
      <alignment vertical="top"/>
    </xf>
    <xf numFmtId="166" fontId="75" fillId="0" borderId="7" xfId="11" applyNumberFormat="1" applyFont="1" applyBorder="1"/>
    <xf numFmtId="4" fontId="75" fillId="0" borderId="5" xfId="0" applyNumberFormat="1" applyFont="1" applyBorder="1"/>
    <xf numFmtId="4" fontId="75" fillId="0" borderId="7" xfId="0" applyNumberFormat="1" applyFont="1" applyBorder="1"/>
    <xf numFmtId="0" fontId="75" fillId="0" borderId="23" xfId="0" applyFont="1" applyBorder="1"/>
    <xf numFmtId="0" fontId="78" fillId="0" borderId="0" xfId="0" applyFont="1"/>
    <xf numFmtId="0" fontId="11" fillId="0" borderId="7" xfId="0" applyFont="1" applyBorder="1" applyAlignment="1">
      <alignment vertical="top" wrapText="1"/>
    </xf>
    <xf numFmtId="39" fontId="11" fillId="0" borderId="7" xfId="0" applyNumberFormat="1" applyFont="1" applyBorder="1" applyAlignment="1">
      <alignment vertical="top"/>
    </xf>
    <xf numFmtId="0" fontId="12" fillId="0" borderId="1" xfId="0" applyFont="1" applyBorder="1" applyAlignment="1">
      <alignment vertical="top" wrapText="1"/>
    </xf>
    <xf numFmtId="39" fontId="12" fillId="0" borderId="1" xfId="0" applyNumberFormat="1" applyFont="1" applyBorder="1" applyAlignment="1">
      <alignment vertical="top"/>
    </xf>
    <xf numFmtId="0" fontId="74" fillId="0" borderId="1" xfId="0" applyFont="1" applyBorder="1"/>
    <xf numFmtId="166" fontId="74" fillId="0" borderId="1" xfId="11" applyNumberFormat="1" applyFont="1" applyBorder="1"/>
    <xf numFmtId="0" fontId="74" fillId="0" borderId="48" xfId="0" applyFont="1" applyBorder="1"/>
    <xf numFmtId="39" fontId="11" fillId="0" borderId="1" xfId="0" applyNumberFormat="1" applyFont="1" applyBorder="1" applyAlignment="1">
      <alignment vertical="top"/>
    </xf>
    <xf numFmtId="166" fontId="75" fillId="0" borderId="5" xfId="11" applyNumberFormat="1" applyFont="1" applyBorder="1"/>
    <xf numFmtId="39" fontId="59" fillId="0" borderId="1" xfId="0" applyNumberFormat="1" applyFont="1" applyBorder="1" applyAlignment="1">
      <alignment vertical="top"/>
    </xf>
    <xf numFmtId="2" fontId="75" fillId="0" borderId="5" xfId="0" applyNumberFormat="1" applyFont="1" applyBorder="1"/>
    <xf numFmtId="0" fontId="75" fillId="0" borderId="7" xfId="0" applyFont="1" applyBorder="1"/>
    <xf numFmtId="0" fontId="73" fillId="0" borderId="5" xfId="0" applyFont="1" applyBorder="1"/>
    <xf numFmtId="0" fontId="73" fillId="0" borderId="97" xfId="0" applyFont="1" applyBorder="1"/>
    <xf numFmtId="0" fontId="59" fillId="0" borderId="1" xfId="0" applyFont="1" applyBorder="1" applyAlignment="1">
      <alignment vertical="top" wrapText="1"/>
    </xf>
    <xf numFmtId="39" fontId="11" fillId="0" borderId="14" xfId="0" applyNumberFormat="1" applyFont="1" applyBorder="1" applyAlignment="1">
      <alignment vertical="top"/>
    </xf>
    <xf numFmtId="0" fontId="74" fillId="0" borderId="15" xfId="0" applyFont="1" applyBorder="1" applyAlignment="1">
      <alignment horizontal="center" vertical="center"/>
    </xf>
    <xf numFmtId="0" fontId="74" fillId="0" borderId="14" xfId="0" applyFont="1" applyBorder="1" applyAlignment="1">
      <alignment vertical="center" wrapText="1"/>
    </xf>
    <xf numFmtId="0" fontId="74" fillId="0" borderId="14" xfId="0" applyFont="1" applyBorder="1"/>
    <xf numFmtId="0" fontId="74" fillId="0" borderId="25" xfId="0" applyFont="1" applyBorder="1"/>
    <xf numFmtId="0" fontId="74" fillId="0" borderId="16" xfId="0" applyFont="1" applyBorder="1" applyAlignment="1">
      <alignment horizontal="center" vertical="center"/>
    </xf>
    <xf numFmtId="166" fontId="73" fillId="0" borderId="17" xfId="11" applyNumberFormat="1" applyFont="1" applyFill="1" applyBorder="1" applyAlignment="1">
      <alignment vertical="center"/>
    </xf>
    <xf numFmtId="0" fontId="74" fillId="0" borderId="22" xfId="0" applyFont="1" applyBorder="1"/>
    <xf numFmtId="0" fontId="79" fillId="0" borderId="103" xfId="0" applyFont="1" applyBorder="1" applyAlignment="1">
      <alignment horizontal="center" vertical="center"/>
    </xf>
    <xf numFmtId="0" fontId="79" fillId="0" borderId="86" xfId="0" applyFont="1" applyBorder="1" applyAlignment="1">
      <alignment wrapText="1"/>
    </xf>
    <xf numFmtId="0" fontId="74" fillId="0" borderId="86" xfId="0" applyFont="1" applyBorder="1"/>
    <xf numFmtId="0" fontId="74" fillId="0" borderId="94" xfId="0" applyFont="1" applyBorder="1"/>
    <xf numFmtId="0" fontId="74" fillId="0" borderId="65" xfId="0" applyFont="1" applyBorder="1" applyAlignment="1">
      <alignment horizontal="center" vertical="center"/>
    </xf>
    <xf numFmtId="0" fontId="74" fillId="0" borderId="0" xfId="0" applyFont="1" applyBorder="1" applyAlignment="1">
      <alignment wrapText="1"/>
    </xf>
    <xf numFmtId="0" fontId="74" fillId="0" borderId="0" xfId="0" applyFont="1" applyBorder="1"/>
    <xf numFmtId="0" fontId="74" fillId="0" borderId="95" xfId="0" applyFont="1" applyBorder="1"/>
    <xf numFmtId="0" fontId="74" fillId="0" borderId="0" xfId="0" applyFont="1" applyBorder="1" applyAlignment="1">
      <alignment vertical="top"/>
    </xf>
    <xf numFmtId="0" fontId="74" fillId="0" borderId="0" xfId="0" applyFont="1" applyBorder="1" applyAlignment="1">
      <alignment horizontal="left" vertical="top" wrapText="1"/>
    </xf>
    <xf numFmtId="166" fontId="80" fillId="0" borderId="0" xfId="11" applyNumberFormat="1" applyFont="1" applyAlignment="1">
      <alignment horizontal="center"/>
    </xf>
    <xf numFmtId="166" fontId="74" fillId="0" borderId="0" xfId="11" applyNumberFormat="1" applyFont="1" applyBorder="1" applyAlignment="1">
      <alignment vertical="top"/>
    </xf>
    <xf numFmtId="0" fontId="80" fillId="0" borderId="0" xfId="0" applyFont="1" applyAlignment="1">
      <alignment vertical="center"/>
    </xf>
    <xf numFmtId="0" fontId="80" fillId="0" borderId="0" xfId="0" applyFont="1" applyAlignment="1">
      <alignment horizontal="center" vertical="center"/>
    </xf>
    <xf numFmtId="0" fontId="74" fillId="0" borderId="82" xfId="0" applyFont="1" applyBorder="1" applyAlignment="1">
      <alignment horizontal="center" vertical="center"/>
    </xf>
    <xf numFmtId="0" fontId="74" fillId="0" borderId="75" xfId="0" applyFont="1" applyBorder="1" applyAlignment="1">
      <alignment wrapText="1"/>
    </xf>
    <xf numFmtId="0" fontId="74" fillId="0" borderId="75" xfId="0" applyFont="1" applyBorder="1"/>
    <xf numFmtId="0" fontId="80" fillId="0" borderId="75" xfId="0" applyFont="1" applyBorder="1" applyAlignment="1">
      <alignment horizontal="center"/>
    </xf>
    <xf numFmtId="0" fontId="74" fillId="0" borderId="96" xfId="0" applyFont="1" applyBorder="1"/>
    <xf numFmtId="0" fontId="70" fillId="0" borderId="0" xfId="0" applyFont="1" applyAlignment="1">
      <alignment horizontal="center" vertical="center"/>
    </xf>
    <xf numFmtId="0" fontId="70" fillId="0" borderId="0" xfId="0" applyFont="1" applyAlignment="1">
      <alignment wrapText="1"/>
    </xf>
    <xf numFmtId="166" fontId="27" fillId="0" borderId="52" xfId="2" applyNumberFormat="1" applyFont="1" applyFill="1" applyBorder="1" applyAlignment="1">
      <alignment vertical="center"/>
    </xf>
    <xf numFmtId="0" fontId="0" fillId="0" borderId="0" xfId="0"/>
    <xf numFmtId="0" fontId="11" fillId="0" borderId="53" xfId="0" applyFont="1" applyBorder="1" applyAlignment="1">
      <alignment horizontal="left" vertical="center" wrapText="1"/>
    </xf>
    <xf numFmtId="39" fontId="59" fillId="0" borderId="7" xfId="0" applyNumberFormat="1" applyFont="1" applyBorder="1" applyAlignment="1">
      <alignment horizontal="right" vertical="center"/>
    </xf>
    <xf numFmtId="0" fontId="75" fillId="0" borderId="48" xfId="0" applyFont="1" applyBorder="1"/>
    <xf numFmtId="166" fontId="75" fillId="0" borderId="1" xfId="11" applyNumberFormat="1" applyFont="1" applyBorder="1"/>
    <xf numFmtId="39" fontId="59" fillId="0" borderId="5" xfId="0" applyNumberFormat="1" applyFont="1" applyBorder="1" applyAlignment="1">
      <alignment vertical="top"/>
    </xf>
    <xf numFmtId="39" fontId="11" fillId="0" borderId="7" xfId="0" applyNumberFormat="1" applyFont="1" applyBorder="1" applyAlignment="1">
      <alignment horizontal="right" vertical="center"/>
    </xf>
    <xf numFmtId="0" fontId="0" fillId="0" borderId="0" xfId="0"/>
    <xf numFmtId="39" fontId="12" fillId="0" borderId="14" xfId="0" applyNumberFormat="1" applyFont="1" applyBorder="1" applyAlignment="1">
      <alignment vertical="top"/>
    </xf>
    <xf numFmtId="0" fontId="75" fillId="0" borderId="24" xfId="0" applyFont="1" applyBorder="1"/>
    <xf numFmtId="39" fontId="59" fillId="0" borderId="7" xfId="0" applyNumberFormat="1" applyFont="1" applyBorder="1" applyAlignment="1">
      <alignment vertical="center"/>
    </xf>
    <xf numFmtId="0" fontId="81" fillId="0" borderId="0" xfId="0" applyFont="1" applyAlignment="1">
      <alignment horizontal="left" vertical="center" wrapText="1"/>
    </xf>
    <xf numFmtId="0" fontId="12" fillId="0" borderId="14" xfId="0" applyFont="1" applyBorder="1" applyAlignment="1">
      <alignment vertical="top" wrapText="1"/>
    </xf>
    <xf numFmtId="0" fontId="59" fillId="0" borderId="5" xfId="0" applyFont="1" applyBorder="1" applyAlignment="1">
      <alignment vertical="top" wrapText="1"/>
    </xf>
    <xf numFmtId="0" fontId="73" fillId="0" borderId="17" xfId="0" applyFont="1" applyBorder="1" applyAlignment="1">
      <alignment horizontal="center" vertical="center" wrapText="1"/>
    </xf>
    <xf numFmtId="39" fontId="11" fillId="0" borderId="7" xfId="0" applyNumberFormat="1" applyFont="1" applyBorder="1" applyAlignment="1">
      <alignment vertical="center"/>
    </xf>
    <xf numFmtId="39" fontId="11" fillId="0" borderId="14" xfId="0" applyNumberFormat="1" applyFont="1" applyBorder="1" applyAlignment="1">
      <alignment vertical="center"/>
    </xf>
    <xf numFmtId="39" fontId="59" fillId="0" borderId="14" xfId="0" applyNumberFormat="1" applyFont="1" applyBorder="1" applyAlignment="1">
      <alignment vertical="center"/>
    </xf>
    <xf numFmtId="166" fontId="15" fillId="0" borderId="7" xfId="2" applyNumberFormat="1" applyFont="1" applyBorder="1"/>
    <xf numFmtId="0" fontId="0" fillId="0" borderId="0" xfId="0"/>
    <xf numFmtId="43" fontId="26" fillId="0" borderId="5" xfId="1" applyFont="1" applyBorder="1" applyAlignment="1">
      <alignment horizontal="left" vertical="center" indent="1"/>
    </xf>
    <xf numFmtId="49" fontId="0" fillId="0" borderId="5" xfId="0" applyNumberFormat="1" applyFont="1" applyBorder="1" applyAlignment="1">
      <alignment horizontal="center" vertical="center"/>
    </xf>
    <xf numFmtId="166" fontId="0" fillId="0" borderId="0" xfId="2" applyNumberFormat="1" applyFont="1"/>
    <xf numFmtId="166" fontId="68" fillId="0" borderId="5" xfId="2" applyNumberFormat="1" applyFont="1" applyBorder="1"/>
    <xf numFmtId="166" fontId="68" fillId="0" borderId="66" xfId="2" applyNumberFormat="1" applyFont="1" applyBorder="1"/>
    <xf numFmtId="49" fontId="31" fillId="0" borderId="66" xfId="0" applyNumberFormat="1" applyFont="1" applyBorder="1" applyAlignment="1">
      <alignment horizontal="center" vertical="center"/>
    </xf>
    <xf numFmtId="0" fontId="0" fillId="0" borderId="1" xfId="0" applyFont="1" applyBorder="1" applyAlignment="1">
      <alignment horizontal="left" vertical="center" wrapText="1"/>
    </xf>
    <xf numFmtId="0" fontId="82" fillId="0" borderId="0" xfId="0" applyFont="1"/>
    <xf numFmtId="0" fontId="83" fillId="0" borderId="0" xfId="0" applyFont="1"/>
    <xf numFmtId="0" fontId="68" fillId="0" borderId="53" xfId="0" applyFont="1" applyBorder="1" applyAlignment="1">
      <alignment horizontal="left" vertical="center" wrapText="1"/>
    </xf>
    <xf numFmtId="0" fontId="68" fillId="0" borderId="7" xfId="0" applyFont="1" applyBorder="1" applyAlignment="1">
      <alignment horizontal="left" vertical="top" wrapText="1"/>
    </xf>
    <xf numFmtId="0" fontId="69" fillId="0" borderId="7" xfId="0" applyFont="1" applyBorder="1" applyAlignment="1">
      <alignment horizontal="left" vertical="center" wrapText="1"/>
    </xf>
    <xf numFmtId="0" fontId="82" fillId="5" borderId="0" xfId="0" applyFont="1" applyFill="1"/>
    <xf numFmtId="4" fontId="82" fillId="0" borderId="1" xfId="0" applyNumberFormat="1" applyFont="1" applyFill="1" applyBorder="1" applyAlignment="1">
      <alignment horizontal="right" vertical="center"/>
    </xf>
    <xf numFmtId="4" fontId="83" fillId="0" borderId="7" xfId="0" applyNumberFormat="1" applyFont="1" applyFill="1" applyBorder="1" applyAlignment="1">
      <alignment horizontal="right" vertical="center"/>
    </xf>
    <xf numFmtId="43" fontId="69" fillId="0" borderId="7" xfId="1" applyFont="1" applyFill="1" applyBorder="1" applyAlignment="1">
      <alignment horizontal="left" vertical="center" indent="1"/>
    </xf>
    <xf numFmtId="43" fontId="69" fillId="0" borderId="5" xfId="1" applyFont="1" applyBorder="1" applyAlignment="1">
      <alignment horizontal="left" vertical="center" indent="1"/>
    </xf>
    <xf numFmtId="39" fontId="83" fillId="0" borderId="7" xfId="0" applyNumberFormat="1" applyFont="1" applyBorder="1" applyAlignment="1">
      <alignment vertical="top"/>
    </xf>
    <xf numFmtId="39" fontId="83" fillId="0" borderId="7" xfId="0" applyNumberFormat="1" applyFont="1" applyFill="1" applyBorder="1" applyAlignment="1">
      <alignment horizontal="right" vertical="center"/>
    </xf>
    <xf numFmtId="0" fontId="85" fillId="0" borderId="0" xfId="0" applyFont="1"/>
    <xf numFmtId="166" fontId="83" fillId="0" borderId="7" xfId="2" applyNumberFormat="1" applyFont="1" applyBorder="1" applyAlignment="1">
      <alignment horizontal="right" vertical="center"/>
    </xf>
    <xf numFmtId="0" fontId="69" fillId="0" borderId="14" xfId="0" applyFont="1" applyBorder="1" applyAlignment="1">
      <alignment horizontal="left" vertical="center" wrapText="1"/>
    </xf>
    <xf numFmtId="0" fontId="68" fillId="0" borderId="13" xfId="0" applyFont="1" applyBorder="1" applyAlignment="1">
      <alignment horizontal="left" vertical="center" wrapText="1"/>
    </xf>
    <xf numFmtId="0" fontId="69" fillId="0" borderId="13" xfId="0" applyFont="1" applyBorder="1" applyAlignment="1">
      <alignment horizontal="left" vertical="center" wrapText="1"/>
    </xf>
    <xf numFmtId="41" fontId="0" fillId="0" borderId="0" xfId="2" applyFont="1"/>
    <xf numFmtId="0" fontId="0" fillId="0" borderId="0" xfId="0"/>
    <xf numFmtId="0" fontId="0" fillId="0" borderId="0" xfId="0"/>
    <xf numFmtId="4" fontId="83" fillId="0" borderId="28" xfId="2" applyNumberFormat="1" applyFont="1" applyBorder="1" applyAlignment="1">
      <alignment vertical="center"/>
    </xf>
    <xf numFmtId="4" fontId="82" fillId="0" borderId="28" xfId="2" applyNumberFormat="1" applyFont="1" applyBorder="1" applyAlignment="1">
      <alignment vertical="center"/>
    </xf>
    <xf numFmtId="43" fontId="82" fillId="5" borderId="7" xfId="0" applyNumberFormat="1" applyFont="1" applyFill="1" applyBorder="1" applyAlignment="1">
      <alignment horizontal="left" vertical="center" indent="1"/>
    </xf>
    <xf numFmtId="4" fontId="83" fillId="0" borderId="27" xfId="0" applyNumberFormat="1" applyFont="1" applyFill="1" applyBorder="1" applyAlignment="1">
      <alignment horizontal="right" vertical="center"/>
    </xf>
    <xf numFmtId="4" fontId="82" fillId="0" borderId="7" xfId="2" applyNumberFormat="1" applyFont="1" applyFill="1" applyBorder="1" applyAlignment="1">
      <alignment vertical="center"/>
    </xf>
    <xf numFmtId="4" fontId="83" fillId="0" borderId="7" xfId="2" applyNumberFormat="1" applyFont="1" applyFill="1" applyBorder="1" applyAlignment="1">
      <alignment vertical="center"/>
    </xf>
    <xf numFmtId="166" fontId="82" fillId="0" borderId="7" xfId="2" applyNumberFormat="1" applyFont="1" applyBorder="1" applyAlignment="1">
      <alignment horizontal="right" vertical="center"/>
    </xf>
    <xf numFmtId="0" fontId="0" fillId="0" borderId="7" xfId="0" applyFont="1" applyBorder="1"/>
    <xf numFmtId="0" fontId="0" fillId="0" borderId="1" xfId="0" applyFont="1" applyBorder="1"/>
    <xf numFmtId="0" fontId="9" fillId="0" borderId="0" xfId="0" applyFont="1" applyAlignment="1">
      <alignment horizontal="center"/>
    </xf>
    <xf numFmtId="0" fontId="9" fillId="0" borderId="28" xfId="0" applyFont="1" applyBorder="1"/>
    <xf numFmtId="0" fontId="9" fillId="0" borderId="52" xfId="0" applyFont="1" applyBorder="1"/>
    <xf numFmtId="0" fontId="70" fillId="0" borderId="14" xfId="0" applyFont="1" applyBorder="1"/>
    <xf numFmtId="166" fontId="70" fillId="0" borderId="7" xfId="2" applyNumberFormat="1" applyFont="1" applyBorder="1"/>
    <xf numFmtId="0" fontId="70" fillId="0" borderId="52" xfId="0" applyFont="1" applyBorder="1"/>
    <xf numFmtId="0" fontId="70" fillId="0" borderId="17" xfId="0" applyFont="1" applyBorder="1"/>
    <xf numFmtId="43" fontId="68" fillId="0" borderId="7" xfId="1" applyFont="1" applyBorder="1" applyAlignment="1">
      <alignment horizontal="left" vertical="center" indent="1"/>
    </xf>
    <xf numFmtId="43" fontId="69" fillId="0" borderId="7" xfId="1" applyFont="1" applyBorder="1" applyAlignment="1">
      <alignment horizontal="left" vertical="center" indent="1"/>
    </xf>
    <xf numFmtId="43" fontId="69" fillId="0" borderId="1" xfId="1" applyFont="1" applyBorder="1" applyAlignment="1">
      <alignment horizontal="left" vertical="center" indent="1"/>
    </xf>
    <xf numFmtId="0" fontId="0" fillId="0" borderId="0" xfId="0"/>
    <xf numFmtId="0" fontId="70" fillId="0" borderId="0" xfId="0" applyFont="1"/>
    <xf numFmtId="4" fontId="26" fillId="0" borderId="7" xfId="0" applyNumberFormat="1" applyFont="1" applyFill="1" applyBorder="1" applyAlignment="1">
      <alignment horizontal="right" vertical="center"/>
    </xf>
    <xf numFmtId="0" fontId="0" fillId="0" borderId="0" xfId="0"/>
    <xf numFmtId="0" fontId="70" fillId="0" borderId="0" xfId="0" applyFont="1" applyAlignment="1">
      <alignment horizontal="right" vertical="center"/>
    </xf>
    <xf numFmtId="0" fontId="70" fillId="0" borderId="46" xfId="0" quotePrefix="1" applyFont="1" applyBorder="1" applyAlignment="1">
      <alignment horizontal="center" vertical="center"/>
    </xf>
    <xf numFmtId="0" fontId="26" fillId="0" borderId="54" xfId="0" applyFont="1" applyBorder="1"/>
    <xf numFmtId="0" fontId="26" fillId="0" borderId="27" xfId="0" applyFont="1" applyBorder="1"/>
    <xf numFmtId="166" fontId="26" fillId="0" borderId="28" xfId="2" applyNumberFormat="1" applyFont="1" applyBorder="1" applyAlignment="1">
      <alignment vertical="center"/>
    </xf>
    <xf numFmtId="0" fontId="26" fillId="0" borderId="28" xfId="0" applyFont="1" applyBorder="1"/>
    <xf numFmtId="0" fontId="70" fillId="0" borderId="28" xfId="0" applyFont="1" applyBorder="1"/>
    <xf numFmtId="166" fontId="26" fillId="0" borderId="54" xfId="2" applyNumberFormat="1" applyFont="1" applyBorder="1" applyAlignment="1">
      <alignment vertical="center"/>
    </xf>
    <xf numFmtId="166" fontId="26" fillId="0" borderId="27" xfId="2" applyNumberFormat="1" applyFont="1" applyBorder="1" applyAlignment="1">
      <alignment vertical="center"/>
    </xf>
    <xf numFmtId="166" fontId="9" fillId="0" borderId="28" xfId="2" applyNumberFormat="1" applyFont="1" applyBorder="1" applyAlignment="1">
      <alignment vertical="center"/>
    </xf>
    <xf numFmtId="166" fontId="26" fillId="0" borderId="51" xfId="2" applyNumberFormat="1" applyFont="1" applyBorder="1" applyAlignment="1">
      <alignment vertical="center"/>
    </xf>
    <xf numFmtId="166" fontId="9" fillId="0" borderId="51" xfId="2" applyNumberFormat="1" applyFont="1" applyFill="1" applyBorder="1" applyAlignment="1">
      <alignment vertical="center"/>
    </xf>
    <xf numFmtId="166" fontId="9" fillId="0" borderId="28" xfId="2" applyNumberFormat="1" applyFont="1" applyFill="1" applyBorder="1" applyAlignment="1">
      <alignment vertical="center"/>
    </xf>
    <xf numFmtId="166" fontId="9" fillId="0" borderId="52" xfId="2" applyNumberFormat="1" applyFont="1" applyFill="1" applyBorder="1" applyAlignment="1">
      <alignment vertical="center"/>
    </xf>
    <xf numFmtId="4" fontId="26" fillId="0" borderId="54" xfId="2" applyNumberFormat="1" applyFont="1" applyFill="1" applyBorder="1" applyAlignment="1">
      <alignment vertical="center"/>
    </xf>
    <xf numFmtId="4" fontId="26" fillId="0" borderId="27" xfId="2" applyNumberFormat="1" applyFont="1" applyFill="1" applyBorder="1" applyAlignment="1">
      <alignment vertical="center"/>
    </xf>
    <xf numFmtId="4" fontId="27" fillId="0" borderId="52" xfId="2" applyNumberFormat="1" applyFont="1" applyFill="1" applyBorder="1" applyAlignment="1">
      <alignment vertical="center"/>
    </xf>
    <xf numFmtId="166" fontId="9" fillId="0" borderId="58" xfId="2" applyNumberFormat="1" applyFont="1" applyBorder="1" applyAlignment="1">
      <alignment vertical="center"/>
    </xf>
    <xf numFmtId="4" fontId="27" fillId="0" borderId="28" xfId="2" applyNumberFormat="1" applyFont="1" applyFill="1" applyBorder="1" applyAlignment="1">
      <alignment vertical="center"/>
    </xf>
    <xf numFmtId="4" fontId="28" fillId="4" borderId="7" xfId="0" applyNumberFormat="1" applyFont="1" applyFill="1" applyBorder="1" applyAlignment="1">
      <alignment vertical="center"/>
    </xf>
    <xf numFmtId="4" fontId="29" fillId="4" borderId="7" xfId="0" applyNumberFormat="1" applyFont="1" applyFill="1" applyBorder="1" applyAlignment="1">
      <alignment vertical="center"/>
    </xf>
    <xf numFmtId="166" fontId="60" fillId="0" borderId="28" xfId="2" applyNumberFormat="1" applyFont="1" applyBorder="1" applyAlignment="1">
      <alignment vertical="center"/>
    </xf>
    <xf numFmtId="4" fontId="26" fillId="0" borderId="69" xfId="0" applyNumberFormat="1" applyFont="1" applyFill="1" applyBorder="1" applyAlignment="1">
      <alignment horizontal="right" vertical="center"/>
    </xf>
    <xf numFmtId="0" fontId="70" fillId="0" borderId="0" xfId="0" applyFont="1" applyBorder="1"/>
    <xf numFmtId="0" fontId="9" fillId="0" borderId="0" xfId="0" applyFont="1" applyAlignment="1">
      <alignment horizontal="left"/>
    </xf>
    <xf numFmtId="0" fontId="28" fillId="0" borderId="0" xfId="0" applyFont="1" applyAlignment="1">
      <alignment horizontal="right" vertical="center"/>
    </xf>
    <xf numFmtId="0" fontId="26" fillId="0" borderId="52" xfId="0" applyFont="1" applyBorder="1"/>
    <xf numFmtId="41" fontId="26" fillId="0" borderId="28" xfId="2" applyFont="1" applyFill="1" applyBorder="1"/>
    <xf numFmtId="166" fontId="26" fillId="0" borderId="54" xfId="2" applyNumberFormat="1" applyFont="1" applyFill="1" applyBorder="1" applyAlignment="1">
      <alignment vertical="center"/>
    </xf>
    <xf numFmtId="0" fontId="9" fillId="0" borderId="51" xfId="0" applyFont="1" applyBorder="1"/>
    <xf numFmtId="0" fontId="9" fillId="0" borderId="54" xfId="0" applyFont="1" applyBorder="1"/>
    <xf numFmtId="0" fontId="9" fillId="0" borderId="27" xfId="0" applyFont="1" applyBorder="1"/>
    <xf numFmtId="166" fontId="27" fillId="0" borderId="51" xfId="2" applyNumberFormat="1" applyFont="1" applyFill="1" applyBorder="1" applyAlignment="1">
      <alignment vertical="center"/>
    </xf>
    <xf numFmtId="4" fontId="9" fillId="0" borderId="28" xfId="2" applyNumberFormat="1" applyFont="1" applyBorder="1" applyAlignment="1">
      <alignment vertical="center"/>
    </xf>
    <xf numFmtId="4" fontId="9" fillId="0" borderId="52" xfId="2" applyNumberFormat="1" applyFont="1" applyBorder="1" applyAlignment="1">
      <alignment vertical="center"/>
    </xf>
    <xf numFmtId="4" fontId="26" fillId="0" borderId="52" xfId="0" applyNumberFormat="1" applyFont="1" applyFill="1" applyBorder="1" applyAlignment="1">
      <alignment horizontal="right" vertical="center"/>
    </xf>
    <xf numFmtId="0" fontId="9" fillId="0" borderId="53" xfId="0" applyFont="1" applyBorder="1"/>
    <xf numFmtId="0" fontId="9" fillId="0" borderId="14" xfId="0" applyFont="1" applyBorder="1" applyAlignment="1"/>
    <xf numFmtId="0" fontId="9" fillId="0" borderId="17" xfId="0" applyFont="1" applyBorder="1"/>
    <xf numFmtId="0" fontId="26" fillId="0" borderId="0" xfId="0" applyFont="1" applyAlignment="1"/>
    <xf numFmtId="0" fontId="70" fillId="0" borderId="0" xfId="0" applyFont="1"/>
    <xf numFmtId="0" fontId="0" fillId="0" borderId="0" xfId="0"/>
    <xf numFmtId="0" fontId="35" fillId="0" borderId="0" xfId="0" applyFont="1" applyAlignment="1">
      <alignment horizontal="left" vertical="center"/>
    </xf>
    <xf numFmtId="0" fontId="26" fillId="0" borderId="0" xfId="0" applyFont="1" applyAlignment="1">
      <alignment horizontal="center"/>
    </xf>
    <xf numFmtId="166" fontId="26" fillId="0" borderId="0" xfId="2" applyNumberFormat="1" applyFont="1" applyAlignment="1">
      <alignment horizontal="center"/>
    </xf>
    <xf numFmtId="166" fontId="69" fillId="0" borderId="7" xfId="2" applyNumberFormat="1" applyFont="1" applyBorder="1" applyAlignment="1">
      <alignment horizontal="left" vertical="center"/>
    </xf>
    <xf numFmtId="39" fontId="73" fillId="0" borderId="1" xfId="0" applyNumberFormat="1" applyFont="1" applyBorder="1" applyAlignment="1">
      <alignment vertical="center"/>
    </xf>
    <xf numFmtId="39" fontId="11" fillId="0" borderId="53" xfId="0" applyNumberFormat="1" applyFont="1" applyBorder="1" applyAlignment="1">
      <alignment vertical="center"/>
    </xf>
    <xf numFmtId="0" fontId="0" fillId="0" borderId="0" xfId="0" applyAlignment="1"/>
    <xf numFmtId="0" fontId="0" fillId="0" borderId="40" xfId="0" applyNumberFormat="1" applyFont="1" applyBorder="1" applyAlignment="1">
      <alignment horizontal="center" vertical="center"/>
    </xf>
    <xf numFmtId="0" fontId="41" fillId="0" borderId="40" xfId="0" applyFont="1" applyBorder="1"/>
    <xf numFmtId="166" fontId="26" fillId="0" borderId="0" xfId="2" applyNumberFormat="1" applyFont="1" applyAlignment="1">
      <alignment horizontal="center"/>
    </xf>
    <xf numFmtId="166" fontId="53" fillId="0" borderId="0" xfId="2" applyNumberFormat="1" applyFont="1" applyAlignment="1">
      <alignment horizontal="center"/>
    </xf>
    <xf numFmtId="0" fontId="53" fillId="0" borderId="0" xfId="0" applyFont="1" applyAlignment="1">
      <alignment horizontal="center"/>
    </xf>
    <xf numFmtId="0" fontId="74" fillId="0" borderId="0" xfId="0" applyFont="1" applyBorder="1" applyAlignment="1"/>
    <xf numFmtId="0" fontId="11" fillId="0" borderId="0" xfId="0" applyFont="1" applyAlignment="1">
      <alignment horizontal="center" vertical="center"/>
    </xf>
    <xf numFmtId="43" fontId="0" fillId="0" borderId="0" xfId="0" applyNumberFormat="1"/>
    <xf numFmtId="43" fontId="31" fillId="0" borderId="0" xfId="1" applyNumberFormat="1" applyFont="1"/>
    <xf numFmtId="43" fontId="31" fillId="0" borderId="0" xfId="1" applyFont="1" applyFill="1"/>
    <xf numFmtId="43" fontId="0" fillId="0" borderId="0" xfId="1" applyFont="1"/>
    <xf numFmtId="166" fontId="69" fillId="0" borderId="7" xfId="11" applyNumberFormat="1" applyFont="1" applyBorder="1" applyAlignment="1">
      <alignment vertical="center"/>
    </xf>
    <xf numFmtId="166" fontId="68" fillId="0" borderId="5" xfId="11" applyNumberFormat="1" applyFont="1" applyBorder="1" applyAlignment="1">
      <alignment vertical="center"/>
    </xf>
    <xf numFmtId="166" fontId="68" fillId="0" borderId="7" xfId="11" applyNumberFormat="1" applyFont="1" applyBorder="1" applyAlignment="1">
      <alignment horizontal="right" vertical="center"/>
    </xf>
    <xf numFmtId="166" fontId="69" fillId="0" borderId="1" xfId="2" applyNumberFormat="1" applyFont="1" applyBorder="1"/>
    <xf numFmtId="166" fontId="69" fillId="0" borderId="0" xfId="2" applyNumberFormat="1" applyFont="1"/>
    <xf numFmtId="166" fontId="68" fillId="0" borderId="7" xfId="11" applyNumberFormat="1" applyFont="1" applyBorder="1" applyAlignment="1">
      <alignment vertical="center"/>
    </xf>
    <xf numFmtId="166" fontId="68" fillId="0" borderId="53" xfId="11" applyNumberFormat="1" applyFont="1" applyBorder="1" applyAlignment="1">
      <alignment vertical="center"/>
    </xf>
    <xf numFmtId="0" fontId="0" fillId="0" borderId="0" xfId="0"/>
    <xf numFmtId="49" fontId="31" fillId="8" borderId="53" xfId="0" applyNumberFormat="1" applyFont="1" applyFill="1" applyBorder="1" applyAlignment="1">
      <alignment horizontal="center" vertical="center"/>
    </xf>
    <xf numFmtId="166" fontId="26" fillId="8" borderId="54" xfId="2" applyNumberFormat="1" applyFont="1" applyFill="1" applyBorder="1" applyAlignment="1">
      <alignment vertical="center"/>
    </xf>
    <xf numFmtId="39" fontId="83" fillId="0" borderId="7" xfId="0" applyNumberFormat="1" applyFont="1" applyBorder="1" applyAlignment="1">
      <alignment horizontal="right" vertical="top"/>
    </xf>
    <xf numFmtId="4" fontId="26" fillId="8" borderId="54" xfId="0" applyNumberFormat="1" applyFont="1" applyFill="1" applyBorder="1" applyAlignment="1">
      <alignment horizontal="right" vertical="center"/>
    </xf>
    <xf numFmtId="0" fontId="0" fillId="0" borderId="0" xfId="0"/>
    <xf numFmtId="166" fontId="68" fillId="0" borderId="7" xfId="13" applyNumberFormat="1" applyFont="1" applyBorder="1" applyAlignment="1">
      <alignment vertical="center" wrapText="1"/>
    </xf>
    <xf numFmtId="0" fontId="69" fillId="0" borderId="28" xfId="15" applyFont="1" applyBorder="1" applyAlignment="1">
      <alignment vertical="center" wrapText="1"/>
    </xf>
    <xf numFmtId="0" fontId="69" fillId="0" borderId="28" xfId="15" applyFont="1" applyFill="1" applyBorder="1" applyAlignment="1">
      <alignment vertical="center" wrapText="1"/>
    </xf>
    <xf numFmtId="166" fontId="69" fillId="0" borderId="7" xfId="16" applyNumberFormat="1" applyFont="1" applyBorder="1" applyAlignment="1">
      <alignment horizontal="left" vertical="center"/>
    </xf>
    <xf numFmtId="166" fontId="69" fillId="0" borderId="7" xfId="16" applyNumberFormat="1" applyFont="1" applyFill="1" applyBorder="1" applyAlignment="1">
      <alignment horizontal="left" vertical="center"/>
    </xf>
    <xf numFmtId="166" fontId="69" fillId="0" borderId="7" xfId="14" applyNumberFormat="1" applyFont="1" applyBorder="1" applyAlignment="1">
      <alignment horizontal="left" vertical="center"/>
    </xf>
    <xf numFmtId="166" fontId="68" fillId="0" borderId="5" xfId="13" applyNumberFormat="1" applyFont="1" applyBorder="1" applyAlignment="1">
      <alignment horizontal="left" vertical="center" wrapText="1"/>
    </xf>
    <xf numFmtId="166" fontId="68" fillId="0" borderId="68" xfId="15" applyNumberFormat="1" applyFont="1" applyBorder="1" applyAlignment="1">
      <alignment vertical="center" wrapText="1"/>
    </xf>
    <xf numFmtId="43" fontId="69" fillId="0" borderId="7" xfId="17" applyNumberFormat="1" applyFont="1" applyBorder="1" applyAlignment="1">
      <alignment vertical="center"/>
    </xf>
    <xf numFmtId="43" fontId="69" fillId="0" borderId="7" xfId="17" applyNumberFormat="1" applyFont="1" applyBorder="1" applyAlignment="1">
      <alignment horizontal="left" vertical="center"/>
    </xf>
    <xf numFmtId="43" fontId="69" fillId="0" borderId="7" xfId="2" applyNumberFormat="1" applyFont="1" applyBorder="1" applyAlignment="1">
      <alignment horizontal="left" vertical="center"/>
    </xf>
    <xf numFmtId="43" fontId="69" fillId="0" borderId="7" xfId="16" applyNumberFormat="1" applyFont="1" applyBorder="1" applyAlignment="1">
      <alignment horizontal="left" vertical="center"/>
    </xf>
    <xf numFmtId="43" fontId="68" fillId="0" borderId="68" xfId="13" applyNumberFormat="1" applyFont="1" applyBorder="1" applyAlignment="1">
      <alignment horizontal="left" vertical="center" wrapText="1"/>
    </xf>
    <xf numFmtId="43" fontId="68" fillId="0" borderId="7" xfId="13" applyNumberFormat="1" applyFont="1" applyBorder="1" applyAlignment="1">
      <alignment vertical="center" wrapText="1"/>
    </xf>
    <xf numFmtId="166" fontId="68" fillId="0" borderId="68" xfId="13" applyNumberFormat="1" applyFont="1" applyBorder="1" applyAlignment="1">
      <alignment vertical="center" wrapText="1"/>
    </xf>
    <xf numFmtId="166" fontId="68" fillId="0" borderId="68" xfId="15" applyNumberFormat="1" applyFont="1" applyBorder="1" applyAlignment="1">
      <alignment horizontal="right" vertical="center" wrapText="1"/>
    </xf>
    <xf numFmtId="0" fontId="69" fillId="0" borderId="18" xfId="5" applyFont="1" applyBorder="1" applyAlignment="1">
      <alignment vertical="center" wrapText="1"/>
    </xf>
    <xf numFmtId="166" fontId="69" fillId="0" borderId="14" xfId="2" applyNumberFormat="1" applyFont="1" applyBorder="1" applyAlignment="1">
      <alignment horizontal="left" vertical="center"/>
    </xf>
    <xf numFmtId="0" fontId="46" fillId="0" borderId="27" xfId="0" applyFont="1" applyBorder="1"/>
    <xf numFmtId="0" fontId="46" fillId="0" borderId="54" xfId="0" applyFont="1" applyBorder="1"/>
    <xf numFmtId="166" fontId="68" fillId="0" borderId="53" xfId="2" applyNumberFormat="1" applyFont="1" applyBorder="1" applyAlignment="1">
      <alignment horizontal="left" vertical="center"/>
    </xf>
    <xf numFmtId="166" fontId="68" fillId="0" borderId="1" xfId="2" applyNumberFormat="1" applyFont="1" applyBorder="1" applyAlignment="1">
      <alignment horizontal="left" vertical="center"/>
    </xf>
    <xf numFmtId="0" fontId="0" fillId="0" borderId="0" xfId="0"/>
    <xf numFmtId="166" fontId="26" fillId="0" borderId="27" xfId="2" applyNumberFormat="1" applyFont="1" applyFill="1" applyBorder="1" applyAlignment="1">
      <alignment vertical="center"/>
    </xf>
    <xf numFmtId="0" fontId="74" fillId="0" borderId="0" xfId="0" applyFont="1" applyBorder="1" applyAlignment="1">
      <alignment horizontal="center"/>
    </xf>
    <xf numFmtId="166" fontId="69" fillId="0" borderId="7" xfId="11" applyNumberFormat="1" applyFont="1" applyFill="1" applyBorder="1" applyAlignment="1">
      <alignment vertical="center"/>
    </xf>
    <xf numFmtId="0" fontId="68" fillId="0" borderId="5" xfId="0" applyFont="1" applyBorder="1" applyAlignment="1">
      <alignment horizontal="left" vertical="top" wrapText="1"/>
    </xf>
    <xf numFmtId="0" fontId="68" fillId="0" borderId="14" xfId="0" applyFont="1" applyBorder="1" applyAlignment="1">
      <alignment horizontal="left" vertical="center" wrapText="1"/>
    </xf>
    <xf numFmtId="0" fontId="69" fillId="0" borderId="0" xfId="0" applyFont="1" applyAlignment="1">
      <alignment wrapText="1"/>
    </xf>
    <xf numFmtId="0" fontId="68" fillId="0" borderId="55" xfId="0" applyFont="1" applyBorder="1" applyAlignment="1">
      <alignment wrapText="1"/>
    </xf>
    <xf numFmtId="0" fontId="0" fillId="0" borderId="14" xfId="0" applyFont="1" applyBorder="1"/>
    <xf numFmtId="0" fontId="69" fillId="0" borderId="43" xfId="0" applyFont="1" applyBorder="1" applyAlignment="1">
      <alignment horizontal="left" vertical="top" wrapText="1"/>
    </xf>
    <xf numFmtId="0" fontId="0" fillId="0" borderId="74" xfId="0" applyFont="1" applyBorder="1"/>
    <xf numFmtId="166" fontId="68" fillId="0" borderId="5" xfId="5" applyNumberFormat="1" applyFont="1" applyBorder="1" applyAlignment="1">
      <alignment vertical="center" wrapText="1"/>
    </xf>
    <xf numFmtId="166" fontId="68" fillId="0" borderId="7" xfId="5" applyNumberFormat="1" applyFont="1" applyBorder="1" applyAlignment="1">
      <alignment vertical="center" wrapText="1"/>
    </xf>
    <xf numFmtId="166" fontId="68" fillId="0" borderId="68" xfId="5" applyNumberFormat="1" applyFont="1" applyBorder="1" applyAlignment="1">
      <alignment vertical="center" wrapText="1"/>
    </xf>
    <xf numFmtId="166" fontId="69" fillId="0" borderId="27" xfId="14" applyNumberFormat="1" applyFont="1" applyBorder="1" applyAlignment="1">
      <alignment horizontal="left" vertical="center"/>
    </xf>
    <xf numFmtId="43" fontId="68" fillId="0" borderId="61" xfId="1" applyFont="1" applyBorder="1" applyAlignment="1">
      <alignment horizontal="left" vertical="center" indent="1"/>
    </xf>
    <xf numFmtId="43" fontId="69" fillId="0" borderId="61" xfId="1" applyFont="1" applyBorder="1" applyAlignment="1">
      <alignment horizontal="left" vertical="center" indent="1"/>
    </xf>
    <xf numFmtId="166" fontId="69" fillId="0" borderId="14" xfId="2" applyNumberFormat="1" applyFont="1" applyFill="1" applyBorder="1" applyAlignment="1">
      <alignment vertical="center"/>
    </xf>
    <xf numFmtId="43" fontId="68" fillId="0" borderId="52" xfId="1" applyFont="1" applyBorder="1" applyAlignment="1">
      <alignment horizontal="left" vertical="center" indent="1"/>
    </xf>
    <xf numFmtId="43" fontId="69" fillId="0" borderId="52" xfId="1" applyFont="1" applyBorder="1" applyAlignment="1">
      <alignment horizontal="left" vertical="center" indent="1"/>
    </xf>
    <xf numFmtId="43" fontId="69" fillId="0" borderId="7" xfId="1" applyFont="1" applyBorder="1" applyAlignment="1">
      <alignment vertical="center"/>
    </xf>
    <xf numFmtId="166" fontId="68" fillId="0" borderId="14" xfId="2" applyNumberFormat="1" applyFont="1" applyBorder="1"/>
    <xf numFmtId="166" fontId="68" fillId="0" borderId="1" xfId="2" applyNumberFormat="1" applyFont="1" applyBorder="1"/>
    <xf numFmtId="166" fontId="69" fillId="0" borderId="7" xfId="2" applyNumberFormat="1" applyFont="1" applyBorder="1" applyAlignment="1">
      <alignment vertical="center"/>
    </xf>
    <xf numFmtId="166" fontId="68" fillId="0" borderId="1" xfId="2" applyNumberFormat="1" applyFont="1" applyBorder="1" applyAlignment="1">
      <alignment vertical="center"/>
    </xf>
    <xf numFmtId="166" fontId="69" fillId="0" borderId="14" xfId="2" applyNumberFormat="1" applyFont="1" applyBorder="1"/>
    <xf numFmtId="166" fontId="68" fillId="0" borderId="53" xfId="2" applyNumberFormat="1" applyFont="1" applyBorder="1" applyAlignment="1">
      <alignment vertical="center"/>
    </xf>
    <xf numFmtId="166" fontId="68" fillId="0" borderId="53" xfId="2" applyNumberFormat="1" applyFont="1" applyBorder="1" applyAlignment="1">
      <alignment horizontal="center" vertical="center"/>
    </xf>
    <xf numFmtId="166" fontId="69" fillId="0" borderId="1" xfId="2" applyNumberFormat="1" applyFont="1" applyBorder="1" applyAlignment="1">
      <alignment vertical="center"/>
    </xf>
    <xf numFmtId="165" fontId="68" fillId="0" borderId="1" xfId="0" applyNumberFormat="1" applyFont="1" applyBorder="1"/>
    <xf numFmtId="166" fontId="68" fillId="0" borderId="7" xfId="2" applyNumberFormat="1" applyFont="1" applyBorder="1" applyAlignment="1">
      <alignment vertical="center"/>
    </xf>
    <xf numFmtId="166" fontId="0" fillId="0" borderId="1" xfId="2" applyNumberFormat="1" applyFont="1" applyBorder="1"/>
    <xf numFmtId="166" fontId="0" fillId="0" borderId="14" xfId="2" applyNumberFormat="1" applyFont="1" applyBorder="1"/>
    <xf numFmtId="166" fontId="0" fillId="0" borderId="7" xfId="11" applyNumberFormat="1" applyFont="1" applyBorder="1" applyAlignment="1">
      <alignment vertical="center"/>
    </xf>
    <xf numFmtId="0" fontId="0" fillId="0" borderId="5" xfId="0" applyFont="1" applyBorder="1"/>
    <xf numFmtId="166" fontId="83" fillId="0" borderId="28" xfId="2" applyNumberFormat="1" applyFont="1" applyBorder="1" applyAlignment="1">
      <alignment horizontal="right" vertical="center"/>
    </xf>
    <xf numFmtId="166" fontId="82" fillId="0" borderId="28" xfId="2" applyNumberFormat="1" applyFont="1" applyBorder="1" applyAlignment="1">
      <alignment horizontal="right" vertical="center"/>
    </xf>
    <xf numFmtId="166" fontId="68" fillId="8" borderId="9" xfId="2" applyNumberFormat="1" applyFont="1" applyFill="1" applyBorder="1"/>
    <xf numFmtId="165" fontId="68" fillId="8" borderId="9" xfId="0" applyNumberFormat="1" applyFont="1" applyFill="1" applyBorder="1"/>
    <xf numFmtId="166" fontId="68" fillId="0" borderId="43" xfId="0" applyNumberFormat="1" applyFont="1" applyBorder="1"/>
    <xf numFmtId="4" fontId="68" fillId="0" borderId="7" xfId="0" applyNumberFormat="1" applyFont="1" applyBorder="1"/>
    <xf numFmtId="39" fontId="83" fillId="0" borderId="7" xfId="0" applyNumberFormat="1" applyFont="1" applyBorder="1" applyAlignment="1">
      <alignment horizontal="right" vertical="center"/>
    </xf>
    <xf numFmtId="43" fontId="68" fillId="0" borderId="66" xfId="0" applyNumberFormat="1" applyFont="1" applyBorder="1"/>
    <xf numFmtId="0" fontId="0" fillId="0" borderId="57" xfId="0" applyFont="1" applyBorder="1"/>
    <xf numFmtId="43" fontId="69" fillId="0" borderId="7" xfId="1" applyFont="1" applyBorder="1"/>
    <xf numFmtId="166" fontId="68" fillId="0" borderId="1" xfId="2" applyNumberFormat="1" applyFont="1" applyBorder="1" applyAlignment="1">
      <alignment horizontal="center" vertical="center"/>
    </xf>
    <xf numFmtId="166" fontId="69" fillId="0" borderId="13" xfId="2" applyNumberFormat="1" applyFont="1" applyBorder="1"/>
    <xf numFmtId="166" fontId="0" fillId="0" borderId="13" xfId="2" applyNumberFormat="1" applyFont="1" applyBorder="1"/>
    <xf numFmtId="166" fontId="68" fillId="8" borderId="73" xfId="2" applyNumberFormat="1" applyFont="1" applyFill="1" applyBorder="1"/>
    <xf numFmtId="166" fontId="68" fillId="8" borderId="53" xfId="2" applyNumberFormat="1" applyFont="1" applyFill="1" applyBorder="1"/>
    <xf numFmtId="43" fontId="69" fillId="0" borderId="0" xfId="1" applyFont="1"/>
    <xf numFmtId="43" fontId="39" fillId="0" borderId="7" xfId="0" applyNumberFormat="1" applyFont="1" applyBorder="1" applyAlignment="1">
      <alignment horizontal="center" vertical="center"/>
    </xf>
    <xf numFmtId="0" fontId="0" fillId="0" borderId="0" xfId="0"/>
    <xf numFmtId="4" fontId="70" fillId="0" borderId="0" xfId="0" applyNumberFormat="1" applyFont="1" applyAlignment="1">
      <alignment vertical="center"/>
    </xf>
    <xf numFmtId="0" fontId="72" fillId="0" borderId="0" xfId="0" applyFont="1" applyAlignment="1">
      <alignment vertical="center"/>
    </xf>
    <xf numFmtId="4" fontId="74" fillId="0" borderId="5" xfId="0" applyNumberFormat="1" applyFont="1" applyBorder="1" applyAlignment="1">
      <alignment vertical="center"/>
    </xf>
    <xf numFmtId="0" fontId="75" fillId="0" borderId="5" xfId="0" applyFont="1" applyBorder="1" applyAlignment="1">
      <alignment vertical="center"/>
    </xf>
    <xf numFmtId="4" fontId="73" fillId="0" borderId="1" xfId="0" applyNumberFormat="1" applyFont="1" applyBorder="1" applyAlignment="1">
      <alignment vertical="center"/>
    </xf>
    <xf numFmtId="4" fontId="73" fillId="0" borderId="53" xfId="0" applyNumberFormat="1" applyFont="1" applyBorder="1" applyAlignment="1">
      <alignment vertical="center"/>
    </xf>
    <xf numFmtId="4" fontId="77" fillId="0" borderId="53" xfId="0" applyNumberFormat="1" applyFont="1" applyBorder="1" applyAlignment="1">
      <alignment vertical="center"/>
    </xf>
    <xf numFmtId="4" fontId="73" fillId="0" borderId="5" xfId="0" applyNumberFormat="1" applyFont="1" applyBorder="1" applyAlignment="1">
      <alignment vertical="center"/>
    </xf>
    <xf numFmtId="4" fontId="77" fillId="0" borderId="5" xfId="0" applyNumberFormat="1" applyFont="1" applyBorder="1" applyAlignment="1">
      <alignment vertical="center"/>
    </xf>
    <xf numFmtId="4" fontId="75" fillId="0" borderId="5" xfId="0" applyNumberFormat="1" applyFont="1" applyBorder="1" applyAlignment="1">
      <alignment vertical="center"/>
    </xf>
    <xf numFmtId="4" fontId="75" fillId="0" borderId="1" xfId="0" applyNumberFormat="1" applyFont="1" applyBorder="1" applyAlignment="1">
      <alignment vertical="center"/>
    </xf>
    <xf numFmtId="4" fontId="75" fillId="0" borderId="7" xfId="0" applyNumberFormat="1" applyFont="1" applyBorder="1" applyAlignment="1">
      <alignment vertical="center"/>
    </xf>
    <xf numFmtId="39" fontId="59" fillId="0" borderId="5" xfId="0" applyNumberFormat="1" applyFont="1" applyBorder="1" applyAlignment="1">
      <alignment vertical="center"/>
    </xf>
    <xf numFmtId="4" fontId="73" fillId="0" borderId="7" xfId="0" applyNumberFormat="1" applyFont="1" applyBorder="1" applyAlignment="1">
      <alignment vertical="center"/>
    </xf>
    <xf numFmtId="4" fontId="74" fillId="0" borderId="14" xfId="0" applyNumberFormat="1" applyFont="1" applyBorder="1" applyAlignment="1">
      <alignment vertical="center"/>
    </xf>
    <xf numFmtId="0" fontId="75" fillId="0" borderId="14" xfId="0" applyFont="1" applyBorder="1" applyAlignment="1">
      <alignment vertical="center"/>
    </xf>
    <xf numFmtId="4" fontId="73" fillId="0" borderId="17" xfId="0" applyNumberFormat="1" applyFont="1" applyBorder="1" applyAlignment="1">
      <alignment vertical="center"/>
    </xf>
    <xf numFmtId="39" fontId="73" fillId="0" borderId="17" xfId="0" applyNumberFormat="1" applyFont="1" applyBorder="1" applyAlignment="1">
      <alignment vertical="center"/>
    </xf>
    <xf numFmtId="4" fontId="74" fillId="0" borderId="86" xfId="0" applyNumberFormat="1" applyFont="1" applyBorder="1" applyAlignment="1">
      <alignment vertical="center"/>
    </xf>
    <xf numFmtId="0" fontId="75" fillId="0" borderId="86" xfId="0" applyFont="1" applyBorder="1" applyAlignment="1">
      <alignment vertical="center"/>
    </xf>
    <xf numFmtId="4" fontId="74" fillId="0" borderId="0" xfId="0" applyNumberFormat="1" applyFont="1" applyBorder="1" applyAlignment="1">
      <alignment vertical="center"/>
    </xf>
    <xf numFmtId="0" fontId="75" fillId="0" borderId="0" xfId="0" applyFont="1" applyBorder="1" applyAlignment="1">
      <alignment vertical="center"/>
    </xf>
    <xf numFmtId="0" fontId="75" fillId="0" borderId="0" xfId="0" applyFont="1" applyBorder="1" applyAlignment="1">
      <alignment horizontal="center" vertical="center"/>
    </xf>
    <xf numFmtId="4" fontId="74" fillId="0" borderId="75" xfId="0" applyNumberFormat="1" applyFont="1" applyBorder="1" applyAlignment="1">
      <alignment vertical="center"/>
    </xf>
    <xf numFmtId="0" fontId="75" fillId="0" borderId="75" xfId="0" applyFont="1" applyBorder="1" applyAlignment="1">
      <alignment vertical="center"/>
    </xf>
    <xf numFmtId="0" fontId="0" fillId="0" borderId="0" xfId="0"/>
    <xf numFmtId="166" fontId="68" fillId="0" borderId="0" xfId="2" applyNumberFormat="1" applyFont="1" applyAlignment="1">
      <alignment vertical="center"/>
    </xf>
    <xf numFmtId="166" fontId="68" fillId="0" borderId="7" xfId="2" applyNumberFormat="1" applyFont="1" applyBorder="1" applyAlignment="1">
      <alignment horizontal="right" vertical="center" indent="1"/>
    </xf>
    <xf numFmtId="0" fontId="0" fillId="0" borderId="0" xfId="0" applyFont="1" applyAlignment="1">
      <alignment horizontal="right"/>
    </xf>
    <xf numFmtId="0" fontId="0" fillId="0" borderId="0" xfId="0" applyFont="1" applyAlignment="1">
      <alignment horizontal="right" vertical="top"/>
    </xf>
    <xf numFmtId="166" fontId="82" fillId="0" borderId="53" xfId="2" applyNumberFormat="1" applyFont="1" applyBorder="1" applyAlignment="1">
      <alignment horizontal="right" vertical="center"/>
    </xf>
    <xf numFmtId="4" fontId="68" fillId="8" borderId="9" xfId="0" applyNumberFormat="1" applyFont="1" applyFill="1" applyBorder="1" applyAlignment="1">
      <alignment horizontal="right"/>
    </xf>
    <xf numFmtId="39" fontId="82" fillId="0" borderId="7" xfId="0" applyNumberFormat="1" applyFont="1" applyBorder="1" applyAlignment="1">
      <alignment horizontal="right" vertical="top"/>
    </xf>
    <xf numFmtId="0" fontId="0" fillId="0" borderId="7" xfId="0" applyFont="1" applyBorder="1" applyAlignment="1">
      <alignment horizontal="right"/>
    </xf>
    <xf numFmtId="166" fontId="0" fillId="0" borderId="7" xfId="2" applyNumberFormat="1" applyFont="1" applyBorder="1" applyAlignment="1">
      <alignment horizontal="right"/>
    </xf>
    <xf numFmtId="0" fontId="0" fillId="0" borderId="1" xfId="0" applyFont="1" applyBorder="1" applyAlignment="1">
      <alignment horizontal="right"/>
    </xf>
    <xf numFmtId="0" fontId="0" fillId="0" borderId="5" xfId="0" applyFont="1" applyBorder="1" applyAlignment="1">
      <alignment horizontal="right"/>
    </xf>
    <xf numFmtId="0" fontId="0" fillId="0" borderId="0" xfId="0" applyFont="1" applyBorder="1" applyAlignment="1">
      <alignment horizontal="right" vertical="top"/>
    </xf>
    <xf numFmtId="0" fontId="69" fillId="0" borderId="74" xfId="0" applyFont="1" applyBorder="1"/>
    <xf numFmtId="39" fontId="82" fillId="0" borderId="7" xfId="0" applyNumberFormat="1" applyFont="1" applyBorder="1" applyAlignment="1">
      <alignment horizontal="right" vertical="center"/>
    </xf>
    <xf numFmtId="10" fontId="15" fillId="0" borderId="7" xfId="2" applyNumberFormat="1" applyFont="1" applyBorder="1"/>
    <xf numFmtId="4" fontId="26" fillId="8" borderId="54" xfId="2" applyNumberFormat="1" applyFont="1" applyFill="1" applyBorder="1" applyAlignment="1">
      <alignment vertical="center"/>
    </xf>
    <xf numFmtId="166" fontId="26" fillId="8" borderId="53" xfId="2" applyNumberFormat="1" applyFont="1" applyFill="1" applyBorder="1" applyAlignment="1">
      <alignment vertical="center"/>
    </xf>
    <xf numFmtId="166" fontId="11" fillId="0" borderId="26" xfId="2" applyNumberFormat="1" applyFont="1" applyBorder="1" applyAlignment="1">
      <alignment horizontal="center" vertical="center" wrapText="1"/>
    </xf>
    <xf numFmtId="166" fontId="0" fillId="0" borderId="0" xfId="2" applyNumberFormat="1" applyFont="1" applyFill="1"/>
    <xf numFmtId="0" fontId="68" fillId="0" borderId="13" xfId="0" applyFont="1" applyBorder="1" applyAlignment="1">
      <alignment wrapText="1"/>
    </xf>
    <xf numFmtId="41" fontId="35" fillId="0" borderId="0" xfId="2" applyFont="1" applyAlignment="1">
      <alignment horizontal="left" vertical="center" wrapText="1"/>
    </xf>
    <xf numFmtId="43" fontId="68" fillId="0" borderId="53" xfId="0" applyNumberFormat="1" applyFont="1" applyFill="1" applyBorder="1" applyAlignment="1">
      <alignment horizontal="left" vertical="center" indent="1"/>
    </xf>
    <xf numFmtId="166" fontId="68" fillId="0" borderId="1" xfId="2" applyNumberFormat="1" applyFont="1" applyFill="1" applyBorder="1" applyAlignment="1">
      <alignment horizontal="center" vertical="center" wrapText="1"/>
    </xf>
    <xf numFmtId="4" fontId="68" fillId="0" borderId="2" xfId="2" applyNumberFormat="1" applyFont="1" applyFill="1" applyBorder="1" applyAlignment="1">
      <alignment horizontal="center" vertical="center" wrapText="1"/>
    </xf>
    <xf numFmtId="49" fontId="0" fillId="0" borderId="17" xfId="2" quotePrefix="1" applyNumberFormat="1" applyFont="1" applyFill="1" applyBorder="1" applyAlignment="1">
      <alignment horizontal="center" vertical="center"/>
    </xf>
    <xf numFmtId="4" fontId="0" fillId="0" borderId="17" xfId="2" quotePrefix="1" applyNumberFormat="1" applyFont="1" applyFill="1" applyBorder="1" applyAlignment="1">
      <alignment horizontal="center" vertical="center"/>
    </xf>
    <xf numFmtId="166" fontId="76" fillId="5" borderId="14" xfId="2" applyNumberFormat="1" applyFont="1" applyFill="1" applyBorder="1" applyAlignment="1">
      <alignment vertical="center"/>
    </xf>
    <xf numFmtId="166" fontId="68" fillId="5" borderId="14" xfId="2" applyNumberFormat="1" applyFont="1" applyFill="1" applyBorder="1" applyAlignment="1">
      <alignment vertical="center"/>
    </xf>
    <xf numFmtId="43" fontId="76" fillId="0" borderId="53" xfId="2" applyNumberFormat="1" applyFont="1" applyFill="1" applyBorder="1" applyAlignment="1">
      <alignment horizontal="left" vertical="center" indent="1"/>
    </xf>
    <xf numFmtId="43" fontId="68" fillId="0" borderId="53" xfId="2" applyNumberFormat="1" applyFont="1" applyFill="1" applyBorder="1" applyAlignment="1">
      <alignment horizontal="left" vertical="center" indent="1"/>
    </xf>
    <xf numFmtId="43" fontId="76" fillId="0" borderId="5" xfId="0" applyNumberFormat="1" applyFont="1" applyFill="1" applyBorder="1" applyAlignment="1">
      <alignment horizontal="left" vertical="center" indent="1"/>
    </xf>
    <xf numFmtId="4" fontId="68" fillId="0" borderId="7" xfId="0" applyNumberFormat="1" applyFont="1" applyFill="1" applyBorder="1" applyAlignment="1">
      <alignment horizontal="right" vertical="center"/>
    </xf>
    <xf numFmtId="4" fontId="72" fillId="0" borderId="0" xfId="0" applyNumberFormat="1" applyFont="1" applyAlignment="1">
      <alignment horizontal="right" vertical="center" wrapText="1"/>
    </xf>
    <xf numFmtId="4" fontId="69" fillId="0" borderId="7" xfId="0" applyNumberFormat="1" applyFont="1" applyFill="1" applyBorder="1" applyAlignment="1">
      <alignment horizontal="right" vertical="center"/>
    </xf>
    <xf numFmtId="0" fontId="72" fillId="0" borderId="28" xfId="0" applyFont="1" applyBorder="1"/>
    <xf numFmtId="0" fontId="69" fillId="0" borderId="28" xfId="0" applyFont="1" applyBorder="1"/>
    <xf numFmtId="43" fontId="76" fillId="0" borderId="7" xfId="0" applyNumberFormat="1" applyFont="1" applyFill="1" applyBorder="1" applyAlignment="1">
      <alignment horizontal="left" vertical="center" indent="1"/>
    </xf>
    <xf numFmtId="43" fontId="72" fillId="0" borderId="7" xfId="0" applyNumberFormat="1" applyFont="1" applyFill="1" applyBorder="1" applyAlignment="1">
      <alignment horizontal="left" vertical="center" indent="1"/>
    </xf>
    <xf numFmtId="43" fontId="69" fillId="0" borderId="7" xfId="0" applyNumberFormat="1" applyFont="1" applyFill="1" applyBorder="1" applyAlignment="1">
      <alignment horizontal="left" vertical="center" indent="1"/>
    </xf>
    <xf numFmtId="43" fontId="68" fillId="0" borderId="7" xfId="0" applyNumberFormat="1" applyFont="1" applyFill="1" applyBorder="1" applyAlignment="1">
      <alignment horizontal="left" vertical="center" indent="1"/>
    </xf>
    <xf numFmtId="43" fontId="70" fillId="0" borderId="14" xfId="2" applyNumberFormat="1" applyFont="1" applyFill="1" applyBorder="1" applyAlignment="1">
      <alignment vertical="center"/>
    </xf>
    <xf numFmtId="43" fontId="0" fillId="0" borderId="14" xfId="2" applyNumberFormat="1" applyFont="1" applyFill="1" applyBorder="1" applyAlignment="1">
      <alignment vertical="center"/>
    </xf>
    <xf numFmtId="43" fontId="76" fillId="0" borderId="53" xfId="0" applyNumberFormat="1" applyFont="1" applyFill="1" applyBorder="1" applyAlignment="1">
      <alignment horizontal="left" vertical="center" indent="1"/>
    </xf>
    <xf numFmtId="4" fontId="68" fillId="0" borderId="53" xfId="0" applyNumberFormat="1" applyFont="1" applyFill="1" applyBorder="1" applyAlignment="1">
      <alignment horizontal="right" vertical="center"/>
    </xf>
    <xf numFmtId="4" fontId="68" fillId="0" borderId="5" xfId="0" applyNumberFormat="1" applyFont="1" applyFill="1" applyBorder="1" applyAlignment="1">
      <alignment horizontal="right" vertical="center"/>
    </xf>
    <xf numFmtId="166" fontId="76" fillId="0" borderId="7" xfId="2" applyNumberFormat="1" applyFont="1" applyFill="1" applyBorder="1" applyAlignment="1">
      <alignment vertical="center"/>
    </xf>
    <xf numFmtId="166" fontId="68" fillId="0" borderId="7" xfId="2" applyNumberFormat="1" applyFont="1" applyFill="1" applyBorder="1" applyAlignment="1">
      <alignment vertical="center"/>
    </xf>
    <xf numFmtId="43" fontId="72" fillId="0" borderId="7" xfId="4" applyFont="1" applyFill="1" applyBorder="1" applyAlignment="1">
      <alignment horizontal="left" vertical="center" indent="1"/>
    </xf>
    <xf numFmtId="43" fontId="76" fillId="0" borderId="7" xfId="4" applyFont="1" applyFill="1" applyBorder="1" applyAlignment="1">
      <alignment horizontal="left" vertical="center" indent="1"/>
    </xf>
    <xf numFmtId="166" fontId="72" fillId="0" borderId="7" xfId="2" applyNumberFormat="1" applyFont="1" applyFill="1" applyBorder="1" applyAlignment="1">
      <alignment vertical="center"/>
    </xf>
    <xf numFmtId="43" fontId="76" fillId="0" borderId="53" xfId="4" applyFont="1" applyFill="1" applyBorder="1" applyAlignment="1">
      <alignment horizontal="left" vertical="center" indent="1"/>
    </xf>
    <xf numFmtId="43" fontId="68" fillId="0" borderId="53" xfId="4" applyFont="1" applyFill="1" applyBorder="1" applyAlignment="1">
      <alignment horizontal="left" vertical="center" indent="1"/>
    </xf>
    <xf numFmtId="43" fontId="76" fillId="0" borderId="5" xfId="4" applyFont="1" applyFill="1" applyBorder="1" applyAlignment="1">
      <alignment horizontal="left" vertical="center" indent="1"/>
    </xf>
    <xf numFmtId="166" fontId="76" fillId="0" borderId="52" xfId="2" applyNumberFormat="1" applyFont="1" applyBorder="1" applyAlignment="1">
      <alignment vertical="center"/>
    </xf>
    <xf numFmtId="166" fontId="70" fillId="0" borderId="14" xfId="2" applyNumberFormat="1" applyFont="1" applyFill="1" applyBorder="1" applyAlignment="1">
      <alignment vertical="center"/>
    </xf>
    <xf numFmtId="166" fontId="0" fillId="0" borderId="14" xfId="2" applyNumberFormat="1" applyFont="1" applyFill="1" applyBorder="1" applyAlignment="1">
      <alignment vertical="center"/>
    </xf>
    <xf numFmtId="43" fontId="72" fillId="0" borderId="5" xfId="0" applyNumberFormat="1" applyFont="1" applyFill="1" applyBorder="1" applyAlignment="1">
      <alignment horizontal="left" vertical="center" indent="1"/>
    </xf>
    <xf numFmtId="43" fontId="68" fillId="0" borderId="5" xfId="0" applyNumberFormat="1" applyFont="1" applyFill="1" applyBorder="1" applyAlignment="1">
      <alignment horizontal="left" vertical="center" indent="1"/>
    </xf>
    <xf numFmtId="166" fontId="69" fillId="0" borderId="7" xfId="2" applyNumberFormat="1" applyFont="1" applyFill="1" applyBorder="1" applyAlignment="1">
      <alignment vertical="center"/>
    </xf>
    <xf numFmtId="166" fontId="72" fillId="0" borderId="14" xfId="2" applyNumberFormat="1" applyFont="1" applyFill="1" applyBorder="1" applyAlignment="1">
      <alignment vertical="center"/>
    </xf>
    <xf numFmtId="4" fontId="69" fillId="0" borderId="5" xfId="0" applyNumberFormat="1" applyFont="1" applyFill="1" applyBorder="1" applyAlignment="1">
      <alignment horizontal="right" vertical="center"/>
    </xf>
    <xf numFmtId="166" fontId="72" fillId="0" borderId="52" xfId="2" applyNumberFormat="1" applyFont="1" applyFill="1" applyBorder="1" applyAlignment="1">
      <alignment vertical="center"/>
    </xf>
    <xf numFmtId="166" fontId="69" fillId="0" borderId="52" xfId="2" applyNumberFormat="1" applyFont="1" applyFill="1" applyBorder="1" applyAlignment="1">
      <alignment vertical="center"/>
    </xf>
    <xf numFmtId="166" fontId="76" fillId="0" borderId="52" xfId="2" applyNumberFormat="1" applyFont="1" applyFill="1" applyBorder="1" applyAlignment="1">
      <alignment vertical="center"/>
    </xf>
    <xf numFmtId="166" fontId="68" fillId="0" borderId="52" xfId="2" applyNumberFormat="1" applyFont="1" applyFill="1" applyBorder="1" applyAlignment="1">
      <alignment vertical="center"/>
    </xf>
    <xf numFmtId="43" fontId="68" fillId="5" borderId="7" xfId="0" applyNumberFormat="1" applyFont="1" applyFill="1" applyBorder="1" applyAlignment="1">
      <alignment horizontal="left" vertical="center" indent="1"/>
    </xf>
    <xf numFmtId="166" fontId="0" fillId="0" borderId="14" xfId="2" applyNumberFormat="1" applyFont="1" applyBorder="1" applyAlignment="1">
      <alignment vertical="center"/>
    </xf>
    <xf numFmtId="43" fontId="68" fillId="2" borderId="53" xfId="0" applyNumberFormat="1" applyFont="1" applyFill="1" applyBorder="1" applyAlignment="1">
      <alignment horizontal="left" vertical="center" indent="1"/>
    </xf>
    <xf numFmtId="4" fontId="68" fillId="0" borderId="51" xfId="0" applyNumberFormat="1" applyFont="1" applyFill="1" applyBorder="1" applyAlignment="1">
      <alignment vertical="center"/>
    </xf>
    <xf numFmtId="166" fontId="0" fillId="0" borderId="51" xfId="2" applyNumberFormat="1" applyFont="1" applyBorder="1" applyAlignment="1">
      <alignment vertical="center"/>
    </xf>
    <xf numFmtId="43" fontId="68" fillId="0" borderId="1" xfId="0" applyNumberFormat="1" applyFont="1" applyFill="1" applyBorder="1" applyAlignment="1">
      <alignment horizontal="left" vertical="center" indent="1"/>
    </xf>
    <xf numFmtId="4" fontId="68" fillId="0" borderId="51" xfId="0" applyNumberFormat="1" applyFont="1" applyFill="1" applyBorder="1" applyAlignment="1">
      <alignment horizontal="right" vertical="center"/>
    </xf>
    <xf numFmtId="3" fontId="68" fillId="0" borderId="7" xfId="0" applyNumberFormat="1" applyFont="1" applyFill="1" applyBorder="1" applyAlignment="1">
      <alignment horizontal="right" vertical="center"/>
    </xf>
    <xf numFmtId="4" fontId="68" fillId="0" borderId="1" xfId="0" applyNumberFormat="1" applyFont="1" applyFill="1" applyBorder="1" applyAlignment="1">
      <alignment horizontal="right" vertical="center"/>
    </xf>
    <xf numFmtId="43" fontId="69" fillId="0" borderId="14" xfId="0" applyNumberFormat="1" applyFont="1" applyFill="1" applyBorder="1" applyAlignment="1">
      <alignment horizontal="left" vertical="center" indent="1"/>
    </xf>
    <xf numFmtId="166" fontId="69" fillId="0" borderId="1" xfId="0" applyNumberFormat="1" applyFont="1" applyFill="1" applyBorder="1" applyAlignment="1">
      <alignment horizontal="right" vertical="center"/>
    </xf>
    <xf numFmtId="4" fontId="69" fillId="0" borderId="14" xfId="0" applyNumberFormat="1" applyFont="1" applyFill="1" applyBorder="1" applyAlignment="1">
      <alignment horizontal="right" vertical="center"/>
    </xf>
    <xf numFmtId="166" fontId="69" fillId="0" borderId="1" xfId="2" applyNumberFormat="1" applyFont="1" applyFill="1" applyBorder="1" applyAlignment="1">
      <alignment vertical="center"/>
    </xf>
    <xf numFmtId="43" fontId="69" fillId="0" borderId="57" xfId="0" applyNumberFormat="1" applyFont="1" applyFill="1" applyBorder="1" applyAlignment="1">
      <alignment horizontal="left" vertical="center" indent="1"/>
    </xf>
    <xf numFmtId="166" fontId="0" fillId="0" borderId="1" xfId="2" applyNumberFormat="1" applyFont="1" applyFill="1" applyBorder="1" applyAlignment="1">
      <alignment vertical="center"/>
    </xf>
    <xf numFmtId="4" fontId="69" fillId="0" borderId="28" xfId="0" applyNumberFormat="1" applyFont="1" applyFill="1" applyBorder="1" applyAlignment="1">
      <alignment horizontal="right" vertical="center"/>
    </xf>
    <xf numFmtId="4" fontId="68" fillId="0" borderId="28" xfId="0" applyNumberFormat="1" applyFont="1" applyFill="1" applyBorder="1" applyAlignment="1">
      <alignment horizontal="right" vertical="center"/>
    </xf>
    <xf numFmtId="4" fontId="69" fillId="0" borderId="51" xfId="0" applyNumberFormat="1" applyFont="1" applyFill="1" applyBorder="1" applyAlignment="1">
      <alignment horizontal="right" vertical="center"/>
    </xf>
    <xf numFmtId="4" fontId="69" fillId="0" borderId="52" xfId="0" applyNumberFormat="1" applyFont="1" applyFill="1" applyBorder="1" applyAlignment="1">
      <alignment horizontal="right" vertical="center"/>
    </xf>
    <xf numFmtId="43" fontId="68" fillId="0" borderId="53" xfId="1" applyFont="1" applyFill="1" applyBorder="1" applyAlignment="1">
      <alignment horizontal="right" vertical="center"/>
    </xf>
    <xf numFmtId="4" fontId="68" fillId="0" borderId="54" xfId="0" applyNumberFormat="1" applyFont="1" applyFill="1" applyBorder="1" applyAlignment="1">
      <alignment horizontal="right" vertical="center"/>
    </xf>
    <xf numFmtId="43" fontId="69" fillId="0" borderId="1" xfId="0" applyNumberFormat="1" applyFont="1" applyFill="1" applyBorder="1" applyAlignment="1">
      <alignment horizontal="left" vertical="center" indent="1"/>
    </xf>
    <xf numFmtId="166" fontId="0" fillId="0" borderId="7" xfId="2" applyNumberFormat="1" applyFont="1" applyFill="1" applyBorder="1" applyAlignment="1">
      <alignment vertical="center"/>
    </xf>
    <xf numFmtId="166" fontId="69" fillId="0" borderId="1" xfId="0" applyNumberFormat="1" applyFont="1" applyFill="1" applyBorder="1" applyAlignment="1">
      <alignment horizontal="left" vertical="center" indent="1"/>
    </xf>
    <xf numFmtId="166" fontId="68" fillId="0" borderId="1" xfId="2" applyNumberFormat="1" applyFont="1" applyBorder="1" applyAlignment="1">
      <alignment horizontal="right" vertical="center"/>
    </xf>
    <xf numFmtId="43" fontId="69" fillId="0" borderId="7" xfId="1" applyFont="1" applyBorder="1" applyAlignment="1">
      <alignment horizontal="right" vertical="center" indent="1"/>
    </xf>
    <xf numFmtId="43" fontId="69" fillId="0" borderId="7" xfId="1" applyFont="1" applyBorder="1" applyAlignment="1">
      <alignment horizontal="right" vertical="center" wrapText="1"/>
    </xf>
    <xf numFmtId="43" fontId="69" fillId="0" borderId="14" xfId="1" applyFont="1" applyBorder="1" applyAlignment="1">
      <alignment horizontal="right" vertical="center" wrapText="1"/>
    </xf>
    <xf numFmtId="43" fontId="0" fillId="0" borderId="1" xfId="1" applyFont="1" applyBorder="1" applyAlignment="1">
      <alignment horizontal="right" vertical="center" wrapText="1"/>
    </xf>
    <xf numFmtId="43" fontId="68" fillId="0" borderId="7" xfId="1" applyFont="1" applyBorder="1" applyAlignment="1">
      <alignment horizontal="right" vertical="center" wrapText="1"/>
    </xf>
    <xf numFmtId="43" fontId="69" fillId="0" borderId="59" xfId="1" applyFont="1" applyBorder="1" applyAlignment="1">
      <alignment horizontal="right" vertical="center" wrapText="1"/>
    </xf>
    <xf numFmtId="39" fontId="69" fillId="0" borderId="14" xfId="12" applyNumberFormat="1" applyFont="1" applyBorder="1" applyAlignment="1">
      <alignment horizontal="right" vertical="top"/>
    </xf>
    <xf numFmtId="39" fontId="69" fillId="0" borderId="7" xfId="12" applyNumberFormat="1" applyFont="1" applyBorder="1" applyAlignment="1">
      <alignment horizontal="right" vertical="top"/>
    </xf>
    <xf numFmtId="39" fontId="69" fillId="0" borderId="5" xfId="12" applyNumberFormat="1" applyFont="1" applyBorder="1" applyAlignment="1">
      <alignment horizontal="right" vertical="top"/>
    </xf>
    <xf numFmtId="43" fontId="69" fillId="0" borderId="102" xfId="1" applyFont="1" applyBorder="1" applyAlignment="1">
      <alignment horizontal="right" vertical="center" wrapText="1"/>
    </xf>
    <xf numFmtId="43" fontId="68" fillId="0" borderId="14" xfId="0" applyNumberFormat="1" applyFont="1" applyFill="1" applyBorder="1" applyAlignment="1">
      <alignment horizontal="left" vertical="center" indent="1"/>
    </xf>
    <xf numFmtId="43" fontId="69" fillId="0" borderId="62" xfId="1" applyFont="1" applyBorder="1" applyAlignment="1">
      <alignment horizontal="right" vertical="center" wrapText="1"/>
    </xf>
    <xf numFmtId="43" fontId="69" fillId="0" borderId="51" xfId="1" applyFont="1" applyBorder="1" applyAlignment="1">
      <alignment horizontal="right" vertical="center" wrapText="1"/>
    </xf>
    <xf numFmtId="43" fontId="68" fillId="0" borderId="28" xfId="1" applyFont="1" applyBorder="1" applyAlignment="1">
      <alignment horizontal="right" vertical="center" wrapText="1"/>
    </xf>
    <xf numFmtId="43" fontId="69" fillId="0" borderId="28" xfId="1" applyFont="1" applyBorder="1" applyAlignment="1">
      <alignment horizontal="right" vertical="center" wrapText="1"/>
    </xf>
    <xf numFmtId="4" fontId="69" fillId="0" borderId="1" xfId="0" applyNumberFormat="1" applyFont="1" applyFill="1" applyBorder="1" applyAlignment="1">
      <alignment horizontal="right" vertical="center"/>
    </xf>
    <xf numFmtId="43" fontId="69" fillId="0" borderId="42" xfId="1" applyFont="1" applyBorder="1" applyAlignment="1">
      <alignment horizontal="left" vertical="center" indent="1"/>
    </xf>
    <xf numFmtId="43" fontId="68" fillId="0" borderId="42" xfId="1" applyFont="1" applyBorder="1" applyAlignment="1">
      <alignment horizontal="left" vertical="center" indent="1"/>
    </xf>
    <xf numFmtId="43" fontId="69" fillId="0" borderId="42" xfId="0" applyNumberFormat="1" applyFont="1" applyFill="1" applyBorder="1" applyAlignment="1">
      <alignment horizontal="left" vertical="center" indent="1"/>
    </xf>
    <xf numFmtId="43" fontId="68" fillId="0" borderId="64" xfId="1" applyFont="1" applyBorder="1" applyAlignment="1">
      <alignment horizontal="left" vertical="center" indent="1"/>
    </xf>
    <xf numFmtId="43" fontId="68" fillId="0" borderId="53" xfId="0" applyNumberFormat="1" applyFont="1" applyBorder="1" applyAlignment="1">
      <alignment horizontal="left" vertical="center" indent="1"/>
    </xf>
    <xf numFmtId="43" fontId="68" fillId="0" borderId="65" xfId="1" applyFont="1" applyBorder="1" applyAlignment="1">
      <alignment horizontal="left" vertical="center" indent="1"/>
    </xf>
    <xf numFmtId="43" fontId="68" fillId="0" borderId="68" xfId="1" applyFont="1" applyBorder="1" applyAlignment="1">
      <alignment horizontal="left" vertical="center" indent="1"/>
    </xf>
    <xf numFmtId="43" fontId="69" fillId="0" borderId="14" xfId="0" applyNumberFormat="1" applyFont="1" applyBorder="1" applyAlignment="1">
      <alignment horizontal="left" vertical="center" indent="1"/>
    </xf>
    <xf numFmtId="43" fontId="68" fillId="0" borderId="1" xfId="0" applyNumberFormat="1" applyFont="1" applyBorder="1" applyAlignment="1">
      <alignment horizontal="left" vertical="center" indent="1"/>
    </xf>
    <xf numFmtId="43" fontId="0" fillId="0" borderId="61" xfId="1" applyFont="1" applyBorder="1" applyAlignment="1">
      <alignment horizontal="left" vertical="center" indent="1"/>
    </xf>
    <xf numFmtId="43" fontId="69" fillId="0" borderId="7" xfId="0" applyNumberFormat="1" applyFont="1" applyBorder="1" applyAlignment="1">
      <alignment horizontal="left" vertical="center" indent="1"/>
    </xf>
    <xf numFmtId="43" fontId="68" fillId="0" borderId="7" xfId="0" applyNumberFormat="1" applyFont="1" applyBorder="1" applyAlignment="1">
      <alignment horizontal="left" vertical="center" indent="1"/>
    </xf>
    <xf numFmtId="43" fontId="69" fillId="0" borderId="1" xfId="0" applyNumberFormat="1" applyFont="1" applyBorder="1" applyAlignment="1">
      <alignment horizontal="left" vertical="center" indent="1"/>
    </xf>
    <xf numFmtId="43" fontId="69" fillId="0" borderId="98" xfId="1" applyFont="1" applyBorder="1" applyAlignment="1">
      <alignment horizontal="left" vertical="center" indent="1"/>
    </xf>
    <xf numFmtId="43" fontId="69" fillId="0" borderId="0" xfId="1" applyFont="1" applyBorder="1" applyAlignment="1">
      <alignment horizontal="left" vertical="center" indent="1"/>
    </xf>
    <xf numFmtId="43" fontId="68" fillId="0" borderId="14" xfId="0" applyNumberFormat="1" applyFont="1" applyBorder="1" applyAlignment="1">
      <alignment horizontal="left" vertical="center" indent="1"/>
    </xf>
    <xf numFmtId="165" fontId="68" fillId="0" borderId="67" xfId="1" applyNumberFormat="1" applyFont="1" applyBorder="1" applyAlignment="1">
      <alignment horizontal="left" vertical="center" indent="1"/>
    </xf>
    <xf numFmtId="43" fontId="68" fillId="0" borderId="66" xfId="1" applyFont="1" applyBorder="1" applyAlignment="1">
      <alignment horizontal="left" vertical="center" indent="1"/>
    </xf>
    <xf numFmtId="43" fontId="69" fillId="0" borderId="64" xfId="1" applyFont="1" applyBorder="1" applyAlignment="1">
      <alignment horizontal="left" vertical="center" indent="1"/>
    </xf>
    <xf numFmtId="43" fontId="68" fillId="0" borderId="53" xfId="1" applyFont="1" applyBorder="1" applyAlignment="1">
      <alignment horizontal="left" vertical="center" indent="1"/>
    </xf>
    <xf numFmtId="43" fontId="69" fillId="0" borderId="28" xfId="1" applyFont="1" applyBorder="1" applyAlignment="1">
      <alignment horizontal="left" vertical="center" indent="1"/>
    </xf>
    <xf numFmtId="4" fontId="0" fillId="0" borderId="7" xfId="0" applyNumberFormat="1" applyFont="1" applyFill="1" applyBorder="1" applyAlignment="1">
      <alignment horizontal="right" vertical="center"/>
    </xf>
    <xf numFmtId="43" fontId="68" fillId="0" borderId="54" xfId="1" applyFont="1" applyBorder="1" applyAlignment="1">
      <alignment horizontal="left" vertical="center" indent="1"/>
    </xf>
    <xf numFmtId="43" fontId="68" fillId="0" borderId="27" xfId="1" applyFont="1" applyBorder="1" applyAlignment="1">
      <alignment horizontal="left" vertical="center" indent="1"/>
    </xf>
    <xf numFmtId="43" fontId="69" fillId="0" borderId="74" xfId="0" applyNumberFormat="1" applyFont="1" applyBorder="1" applyAlignment="1">
      <alignment horizontal="left" vertical="center" indent="1"/>
    </xf>
    <xf numFmtId="4" fontId="69" fillId="0" borderId="74" xfId="0" applyNumberFormat="1" applyFont="1" applyFill="1" applyBorder="1" applyAlignment="1">
      <alignment horizontal="right" vertical="center"/>
    </xf>
    <xf numFmtId="43" fontId="68" fillId="0" borderId="5" xfId="0" applyNumberFormat="1" applyFont="1" applyBorder="1" applyAlignment="1">
      <alignment horizontal="left" vertical="center" indent="1"/>
    </xf>
    <xf numFmtId="43" fontId="68" fillId="0" borderId="53" xfId="12" applyNumberFormat="1" applyFont="1" applyBorder="1" applyAlignment="1">
      <alignment vertical="top" wrapText="1"/>
    </xf>
    <xf numFmtId="43" fontId="68" fillId="0" borderId="51" xfId="1" applyFont="1" applyBorder="1" applyAlignment="1">
      <alignment horizontal="right" vertical="center" wrapText="1"/>
    </xf>
    <xf numFmtId="4" fontId="68" fillId="0" borderId="14" xfId="0" applyNumberFormat="1" applyFont="1" applyFill="1" applyBorder="1" applyAlignment="1">
      <alignment horizontal="right" vertical="center"/>
    </xf>
    <xf numFmtId="43" fontId="68" fillId="0" borderId="53" xfId="1" applyFont="1" applyBorder="1" applyAlignment="1">
      <alignment horizontal="right" vertical="center" wrapText="1"/>
    </xf>
    <xf numFmtId="4" fontId="0" fillId="0" borderId="1" xfId="0" applyNumberFormat="1" applyFont="1" applyFill="1" applyBorder="1" applyAlignment="1">
      <alignment horizontal="right" vertical="center"/>
    </xf>
    <xf numFmtId="43" fontId="68" fillId="0" borderId="68" xfId="1" applyFont="1" applyBorder="1" applyAlignment="1">
      <alignment horizontal="right" vertical="center" wrapText="1"/>
    </xf>
    <xf numFmtId="4" fontId="89" fillId="0" borderId="14" xfId="0" applyNumberFormat="1" applyFont="1" applyFill="1" applyBorder="1" applyAlignment="1">
      <alignment horizontal="right" vertical="center"/>
    </xf>
    <xf numFmtId="43" fontId="89" fillId="0" borderId="7" xfId="0" applyNumberFormat="1" applyFont="1" applyFill="1" applyBorder="1" applyAlignment="1">
      <alignment horizontal="left" vertical="center" indent="1"/>
    </xf>
    <xf numFmtId="43" fontId="68" fillId="0" borderId="53" xfId="12" applyNumberFormat="1" applyFont="1" applyBorder="1" applyAlignment="1">
      <alignment horizontal="right" vertical="top" wrapText="1"/>
    </xf>
    <xf numFmtId="166" fontId="69" fillId="0" borderId="14" xfId="2" applyNumberFormat="1" applyFont="1" applyFill="1" applyBorder="1" applyAlignment="1">
      <alignment horizontal="right" vertical="center"/>
    </xf>
    <xf numFmtId="4" fontId="69" fillId="0" borderId="14" xfId="0" applyNumberFormat="1" applyFont="1" applyFill="1" applyBorder="1" applyAlignment="1">
      <alignment vertical="center"/>
    </xf>
    <xf numFmtId="43" fontId="68" fillId="0" borderId="53" xfId="1" applyFont="1" applyBorder="1" applyAlignment="1">
      <alignment horizontal="right" vertical="center"/>
    </xf>
    <xf numFmtId="43" fontId="68" fillId="0" borderId="1" xfId="1" applyFont="1" applyBorder="1" applyAlignment="1">
      <alignment horizontal="left" vertical="center" indent="1"/>
    </xf>
    <xf numFmtId="166" fontId="69" fillId="0" borderId="14" xfId="2" applyNumberFormat="1" applyFont="1" applyBorder="1" applyAlignment="1">
      <alignment vertical="center"/>
    </xf>
    <xf numFmtId="43" fontId="0" fillId="0" borderId="7" xfId="1" applyFont="1" applyBorder="1" applyAlignment="1">
      <alignment horizontal="left" vertical="center" indent="1"/>
    </xf>
    <xf numFmtId="43" fontId="69" fillId="0" borderId="74" xfId="1" applyFont="1" applyBorder="1" applyAlignment="1">
      <alignment horizontal="left" vertical="center" indent="1"/>
    </xf>
    <xf numFmtId="43" fontId="68" fillId="0" borderId="5" xfId="1" applyFont="1" applyBorder="1" applyAlignment="1">
      <alignment vertical="center"/>
    </xf>
    <xf numFmtId="43" fontId="69" fillId="0" borderId="14" xfId="1" applyFont="1" applyBorder="1" applyAlignment="1">
      <alignment vertical="center"/>
    </xf>
    <xf numFmtId="43" fontId="0" fillId="0" borderId="14" xfId="1" applyFont="1" applyBorder="1" applyAlignment="1">
      <alignment horizontal="left" vertical="center" indent="1"/>
    </xf>
    <xf numFmtId="43" fontId="68" fillId="0" borderId="5" xfId="1" applyFont="1" applyBorder="1" applyAlignment="1">
      <alignment horizontal="left" vertical="center" indent="1"/>
    </xf>
    <xf numFmtId="43" fontId="69" fillId="0" borderId="42" xfId="1" applyFont="1" applyBorder="1" applyAlignment="1">
      <alignment vertical="center"/>
    </xf>
    <xf numFmtId="43" fontId="68" fillId="0" borderId="57" xfId="0" applyNumberFormat="1" applyFont="1" applyBorder="1" applyAlignment="1">
      <alignment horizontal="left" vertical="center" indent="1"/>
    </xf>
    <xf numFmtId="4" fontId="68" fillId="0" borderId="7" xfId="2" applyNumberFormat="1" applyFont="1" applyFill="1" applyBorder="1" applyAlignment="1">
      <alignment vertical="center"/>
    </xf>
    <xf numFmtId="4" fontId="69" fillId="0" borderId="7" xfId="2" applyNumberFormat="1" applyFont="1" applyFill="1" applyBorder="1" applyAlignment="1">
      <alignment vertical="center"/>
    </xf>
    <xf numFmtId="166" fontId="69" fillId="0" borderId="7" xfId="0" applyNumberFormat="1" applyFont="1" applyBorder="1" applyAlignment="1">
      <alignment horizontal="right" vertical="center"/>
    </xf>
    <xf numFmtId="166" fontId="69" fillId="0" borderId="7" xfId="2" applyNumberFormat="1" applyFont="1" applyBorder="1" applyAlignment="1">
      <alignment horizontal="right" vertical="center"/>
    </xf>
    <xf numFmtId="166" fontId="69" fillId="0" borderId="7" xfId="2" applyNumberFormat="1" applyFont="1" applyBorder="1" applyAlignment="1">
      <alignment horizontal="left" vertical="center" indent="1"/>
    </xf>
    <xf numFmtId="4" fontId="69" fillId="0" borderId="14" xfId="2" applyNumberFormat="1" applyFont="1" applyFill="1" applyBorder="1" applyAlignment="1">
      <alignment vertical="center"/>
    </xf>
    <xf numFmtId="4" fontId="69" fillId="0" borderId="5" xfId="2" applyNumberFormat="1" applyFont="1" applyFill="1" applyBorder="1" applyAlignment="1">
      <alignment vertical="center"/>
    </xf>
    <xf numFmtId="4" fontId="68" fillId="0" borderId="68" xfId="2" applyNumberFormat="1" applyFont="1" applyFill="1" applyBorder="1" applyAlignment="1">
      <alignment vertical="center"/>
    </xf>
    <xf numFmtId="166" fontId="69" fillId="0" borderId="5" xfId="2" applyNumberFormat="1" applyFont="1" applyBorder="1" applyAlignment="1">
      <alignment horizontal="right" vertical="center"/>
    </xf>
    <xf numFmtId="166" fontId="69" fillId="0" borderId="1" xfId="2" applyNumberFormat="1" applyFont="1" applyBorder="1" applyAlignment="1">
      <alignment horizontal="right" vertical="center"/>
    </xf>
    <xf numFmtId="4" fontId="69" fillId="0" borderId="1" xfId="2" applyNumberFormat="1" applyFont="1" applyFill="1" applyBorder="1" applyAlignment="1">
      <alignment vertical="center"/>
    </xf>
    <xf numFmtId="4" fontId="68" fillId="0" borderId="53" xfId="2" applyNumberFormat="1" applyFont="1" applyFill="1" applyBorder="1" applyAlignment="1">
      <alignment vertical="center"/>
    </xf>
    <xf numFmtId="166" fontId="68" fillId="0" borderId="5" xfId="2" applyNumberFormat="1" applyFont="1" applyBorder="1" applyAlignment="1">
      <alignment vertical="center"/>
    </xf>
    <xf numFmtId="4" fontId="68" fillId="0" borderId="5" xfId="2" applyNumberFormat="1" applyFont="1" applyFill="1" applyBorder="1" applyAlignment="1">
      <alignment vertical="center"/>
    </xf>
    <xf numFmtId="166" fontId="69" fillId="0" borderId="14" xfId="2" applyNumberFormat="1" applyFont="1" applyBorder="1" applyAlignment="1">
      <alignment horizontal="left" vertical="center" indent="1"/>
    </xf>
    <xf numFmtId="43" fontId="69" fillId="0" borderId="5" xfId="0" applyNumberFormat="1" applyFont="1" applyBorder="1" applyAlignment="1">
      <alignment horizontal="left" vertical="center" indent="1"/>
    </xf>
    <xf numFmtId="4" fontId="69" fillId="0" borderId="57" xfId="2" applyNumberFormat="1" applyFont="1" applyFill="1" applyBorder="1" applyAlignment="1">
      <alignment vertical="center"/>
    </xf>
    <xf numFmtId="166" fontId="0" fillId="0" borderId="7" xfId="2" applyNumberFormat="1" applyFont="1" applyBorder="1" applyAlignment="1">
      <alignment vertical="center"/>
    </xf>
    <xf numFmtId="4" fontId="93" fillId="0" borderId="7" xfId="2" applyNumberFormat="1" applyFont="1" applyFill="1" applyBorder="1" applyAlignment="1">
      <alignment vertical="center"/>
    </xf>
    <xf numFmtId="4" fontId="68" fillId="0" borderId="1" xfId="2" applyNumberFormat="1" applyFont="1" applyFill="1" applyBorder="1" applyAlignment="1">
      <alignment vertical="center"/>
    </xf>
    <xf numFmtId="166" fontId="69" fillId="0" borderId="74" xfId="2" applyNumberFormat="1" applyFont="1" applyFill="1" applyBorder="1" applyAlignment="1">
      <alignment vertical="center"/>
    </xf>
    <xf numFmtId="4" fontId="69" fillId="0" borderId="74" xfId="2" applyNumberFormat="1" applyFont="1" applyFill="1" applyBorder="1" applyAlignment="1">
      <alignment vertical="center"/>
    </xf>
    <xf numFmtId="4" fontId="0" fillId="0" borderId="7" xfId="2" applyNumberFormat="1" applyFont="1" applyFill="1" applyBorder="1" applyAlignment="1">
      <alignment vertical="center"/>
    </xf>
    <xf numFmtId="166" fontId="68" fillId="0" borderId="53" xfId="11" applyNumberFormat="1" applyFont="1" applyBorder="1" applyAlignment="1">
      <alignment horizontal="center" vertical="center"/>
    </xf>
    <xf numFmtId="166" fontId="68" fillId="0" borderId="5" xfId="11" applyNumberFormat="1" applyFont="1" applyBorder="1" applyAlignment="1">
      <alignment horizontal="center" vertical="center"/>
    </xf>
    <xf numFmtId="166" fontId="68" fillId="0" borderId="7" xfId="11" applyNumberFormat="1" applyFont="1" applyBorder="1" applyAlignment="1">
      <alignment horizontal="center" vertical="center"/>
    </xf>
    <xf numFmtId="166" fontId="68" fillId="0" borderId="53" xfId="7" applyNumberFormat="1" applyFont="1" applyBorder="1" applyAlignment="1">
      <alignment vertical="center"/>
    </xf>
    <xf numFmtId="166" fontId="68" fillId="0" borderId="5" xfId="7" applyNumberFormat="1" applyFont="1" applyBorder="1" applyAlignment="1">
      <alignment vertical="center"/>
    </xf>
    <xf numFmtId="4" fontId="0" fillId="0" borderId="0" xfId="2" applyNumberFormat="1" applyFont="1" applyFill="1"/>
    <xf numFmtId="166" fontId="68" fillId="0" borderId="53" xfId="11" applyNumberFormat="1" applyFont="1" applyBorder="1" applyAlignment="1">
      <alignment horizontal="right" vertical="center"/>
    </xf>
    <xf numFmtId="166" fontId="68" fillId="0" borderId="5" xfId="11" applyNumberFormat="1" applyFont="1" applyBorder="1" applyAlignment="1">
      <alignment horizontal="right" vertical="center"/>
    </xf>
    <xf numFmtId="166" fontId="68" fillId="0" borderId="7" xfId="0" applyNumberFormat="1" applyFont="1" applyBorder="1" applyAlignment="1">
      <alignment vertical="center"/>
    </xf>
    <xf numFmtId="166" fontId="89" fillId="0" borderId="7" xfId="0" applyNumberFormat="1" applyFont="1" applyBorder="1" applyAlignment="1">
      <alignment vertical="center"/>
    </xf>
    <xf numFmtId="166" fontId="68" fillId="6" borderId="53" xfId="11" applyNumberFormat="1" applyFont="1" applyFill="1" applyBorder="1" applyAlignment="1">
      <alignment horizontal="right" vertical="center" wrapText="1"/>
    </xf>
    <xf numFmtId="166" fontId="89" fillId="6" borderId="5" xfId="11" applyNumberFormat="1" applyFont="1" applyFill="1" applyBorder="1" applyAlignment="1">
      <alignment horizontal="right" vertical="center" wrapText="1"/>
    </xf>
    <xf numFmtId="166" fontId="69" fillId="4" borderId="59" xfId="0" applyNumberFormat="1" applyFont="1" applyFill="1" applyBorder="1" applyAlignment="1">
      <alignment horizontal="right" vertical="center"/>
    </xf>
    <xf numFmtId="4" fontId="69" fillId="0" borderId="7" xfId="2" applyNumberFormat="1" applyFont="1" applyFill="1" applyBorder="1"/>
    <xf numFmtId="166" fontId="69" fillId="4" borderId="42" xfId="0" applyNumberFormat="1" applyFont="1" applyFill="1" applyBorder="1" applyAlignment="1">
      <alignment horizontal="right" vertical="center"/>
    </xf>
    <xf numFmtId="4" fontId="69" fillId="0" borderId="14" xfId="2" applyNumberFormat="1" applyFont="1" applyFill="1" applyBorder="1"/>
    <xf numFmtId="166" fontId="68" fillId="4" borderId="42" xfId="0" applyNumberFormat="1" applyFont="1" applyFill="1" applyBorder="1" applyAlignment="1">
      <alignment horizontal="right" vertical="center"/>
    </xf>
    <xf numFmtId="166" fontId="68" fillId="4" borderId="7" xfId="0" applyNumberFormat="1" applyFont="1" applyFill="1" applyBorder="1" applyAlignment="1">
      <alignment horizontal="right" vertical="center"/>
    </xf>
    <xf numFmtId="166" fontId="69" fillId="4" borderId="99" xfId="0" applyNumberFormat="1" applyFont="1" applyFill="1" applyBorder="1" applyAlignment="1">
      <alignment horizontal="right" vertical="center"/>
    </xf>
    <xf numFmtId="4" fontId="68" fillId="0" borderId="14" xfId="2" applyNumberFormat="1" applyFont="1" applyFill="1" applyBorder="1"/>
    <xf numFmtId="166" fontId="68" fillId="0" borderId="43" xfId="0" applyNumberFormat="1" applyFont="1" applyBorder="1" applyAlignment="1">
      <alignment horizontal="right" vertical="center"/>
    </xf>
    <xf numFmtId="166" fontId="69" fillId="0" borderId="99" xfId="0" applyNumberFormat="1" applyFont="1" applyBorder="1" applyAlignment="1">
      <alignment horizontal="right" vertical="center"/>
    </xf>
    <xf numFmtId="166" fontId="69" fillId="0" borderId="42" xfId="0" applyNumberFormat="1" applyFont="1" applyBorder="1" applyAlignment="1">
      <alignment horizontal="right" vertical="center"/>
    </xf>
    <xf numFmtId="0" fontId="0" fillId="0" borderId="14" xfId="0" applyFont="1" applyBorder="1" applyAlignment="1">
      <alignment horizontal="left" vertical="center"/>
    </xf>
    <xf numFmtId="166" fontId="69" fillId="0" borderId="7" xfId="0" applyNumberFormat="1" applyFont="1" applyFill="1" applyBorder="1" applyAlignment="1">
      <alignment horizontal="right" vertical="center"/>
    </xf>
    <xf numFmtId="166" fontId="68" fillId="0" borderId="7" xfId="0" applyNumberFormat="1" applyFont="1" applyFill="1" applyBorder="1" applyAlignment="1">
      <alignment horizontal="right" vertical="center"/>
    </xf>
    <xf numFmtId="166" fontId="0" fillId="0" borderId="7" xfId="0" applyNumberFormat="1" applyFont="1" applyFill="1" applyBorder="1" applyAlignment="1">
      <alignment horizontal="right" vertical="center"/>
    </xf>
    <xf numFmtId="166" fontId="68" fillId="0" borderId="7" xfId="0" applyNumberFormat="1" applyFont="1" applyBorder="1" applyAlignment="1">
      <alignment horizontal="right" vertical="center"/>
    </xf>
    <xf numFmtId="166" fontId="68" fillId="0" borderId="7" xfId="0" applyNumberFormat="1" applyFont="1" applyBorder="1" applyAlignment="1">
      <alignment vertical="center" wrapText="1"/>
    </xf>
    <xf numFmtId="166" fontId="68" fillId="0" borderId="43" xfId="0" applyNumberFormat="1" applyFont="1" applyBorder="1" applyAlignment="1">
      <alignment vertical="center" wrapText="1"/>
    </xf>
    <xf numFmtId="166" fontId="0" fillId="0" borderId="43" xfId="0" applyNumberFormat="1" applyFont="1" applyBorder="1" applyAlignment="1">
      <alignment horizontal="right" vertical="center"/>
    </xf>
    <xf numFmtId="166" fontId="69" fillId="0" borderId="7" xfId="0" applyNumberFormat="1" applyFont="1" applyBorder="1" applyAlignment="1">
      <alignment horizontal="right" vertical="center" wrapText="1"/>
    </xf>
    <xf numFmtId="166" fontId="69" fillId="4" borderId="7" xfId="0" applyNumberFormat="1" applyFont="1" applyFill="1" applyBorder="1" applyAlignment="1">
      <alignment horizontal="right" vertical="center"/>
    </xf>
    <xf numFmtId="41" fontId="69" fillId="0" borderId="7" xfId="0" applyNumberFormat="1" applyFont="1" applyBorder="1" applyAlignment="1">
      <alignment horizontal="right" vertical="center"/>
    </xf>
    <xf numFmtId="4" fontId="69" fillId="0" borderId="52" xfId="2" applyNumberFormat="1" applyFont="1" applyFill="1" applyBorder="1" applyAlignment="1">
      <alignment vertical="center"/>
    </xf>
    <xf numFmtId="166" fontId="68" fillId="0" borderId="53" xfId="0" applyNumberFormat="1" applyFont="1" applyBorder="1" applyAlignment="1">
      <alignment vertical="center"/>
    </xf>
    <xf numFmtId="166" fontId="68" fillId="0" borderId="5" xfId="0" applyNumberFormat="1" applyFont="1" applyBorder="1" applyAlignment="1">
      <alignment horizontal="right" vertical="center"/>
    </xf>
    <xf numFmtId="4" fontId="69" fillId="0" borderId="27" xfId="0" applyNumberFormat="1" applyFont="1" applyFill="1" applyBorder="1" applyAlignment="1">
      <alignment horizontal="right" vertical="center"/>
    </xf>
    <xf numFmtId="4" fontId="68" fillId="0" borderId="7" xfId="0" applyNumberFormat="1" applyFont="1" applyBorder="1" applyAlignment="1">
      <alignment vertical="center" wrapText="1"/>
    </xf>
    <xf numFmtId="4" fontId="69" fillId="0" borderId="7" xfId="0" applyNumberFormat="1" applyFont="1" applyBorder="1" applyAlignment="1">
      <alignment horizontal="right" vertical="center"/>
    </xf>
    <xf numFmtId="4" fontId="69" fillId="0" borderId="58" xfId="0" applyNumberFormat="1" applyFont="1" applyFill="1" applyBorder="1" applyAlignment="1">
      <alignment horizontal="right" vertical="center"/>
    </xf>
    <xf numFmtId="166" fontId="68" fillId="0" borderId="99" xfId="0" applyNumberFormat="1" applyFont="1" applyBorder="1" applyAlignment="1">
      <alignment vertical="center" wrapText="1"/>
    </xf>
    <xf numFmtId="43" fontId="69" fillId="0" borderId="59" xfId="0" applyNumberFormat="1" applyFont="1" applyBorder="1" applyAlignment="1">
      <alignment horizontal="right" vertical="center"/>
    </xf>
    <xf numFmtId="43" fontId="0" fillId="0" borderId="0" xfId="2" applyNumberFormat="1" applyFont="1"/>
    <xf numFmtId="166" fontId="69" fillId="0" borderId="59" xfId="0" applyNumberFormat="1" applyFont="1" applyBorder="1" applyAlignment="1">
      <alignment horizontal="right" vertical="center"/>
    </xf>
    <xf numFmtId="166" fontId="89" fillId="0" borderId="66" xfId="0" applyNumberFormat="1" applyFont="1" applyBorder="1" applyAlignment="1">
      <alignment vertical="center" wrapText="1"/>
    </xf>
    <xf numFmtId="166" fontId="69" fillId="0" borderId="1" xfId="0" applyNumberFormat="1" applyFont="1" applyBorder="1" applyAlignment="1">
      <alignment horizontal="right" vertical="center"/>
    </xf>
    <xf numFmtId="166" fontId="69" fillId="0" borderId="60" xfId="0" applyNumberFormat="1" applyFont="1" applyBorder="1" applyAlignment="1">
      <alignment horizontal="right" vertical="center"/>
    </xf>
    <xf numFmtId="4" fontId="69" fillId="0" borderId="43" xfId="0" applyNumberFormat="1" applyFont="1" applyFill="1" applyBorder="1" applyAlignment="1">
      <alignment horizontal="right" vertical="center"/>
    </xf>
    <xf numFmtId="4" fontId="68" fillId="0" borderId="43" xfId="0" applyNumberFormat="1" applyFont="1" applyFill="1" applyBorder="1" applyAlignment="1">
      <alignment horizontal="right" vertical="center"/>
    </xf>
    <xf numFmtId="166" fontId="69" fillId="0" borderId="43" xfId="0" applyNumberFormat="1" applyFont="1" applyBorder="1" applyAlignment="1">
      <alignment horizontal="right" vertical="center"/>
    </xf>
    <xf numFmtId="4" fontId="0" fillId="0" borderId="0" xfId="0" applyNumberFormat="1" applyFont="1" applyFill="1" applyBorder="1" applyAlignment="1">
      <alignment horizontal="right" vertical="center"/>
    </xf>
    <xf numFmtId="166" fontId="68" fillId="0" borderId="13" xfId="0" applyNumberFormat="1" applyFont="1" applyBorder="1" applyAlignment="1">
      <alignment vertical="center" wrapText="1"/>
    </xf>
    <xf numFmtId="4" fontId="0" fillId="0" borderId="13" xfId="0" applyNumberFormat="1" applyFont="1" applyFill="1" applyBorder="1" applyAlignment="1">
      <alignment horizontal="right" vertical="center"/>
    </xf>
    <xf numFmtId="4" fontId="68" fillId="0" borderId="13" xfId="0" applyNumberFormat="1" applyFont="1" applyFill="1" applyBorder="1" applyAlignment="1">
      <alignment horizontal="right" vertical="center"/>
    </xf>
    <xf numFmtId="166" fontId="68" fillId="0" borderId="7" xfId="0" applyNumberFormat="1" applyFont="1" applyBorder="1" applyAlignment="1">
      <alignment horizontal="right" vertical="center" wrapText="1"/>
    </xf>
    <xf numFmtId="166" fontId="69" fillId="0" borderId="64" xfId="0" applyNumberFormat="1" applyFont="1" applyBorder="1" applyAlignment="1">
      <alignment horizontal="right" vertical="center"/>
    </xf>
    <xf numFmtId="4" fontId="69" fillId="0" borderId="66" xfId="0" applyNumberFormat="1" applyFont="1" applyFill="1" applyBorder="1" applyAlignment="1">
      <alignment horizontal="right" vertical="center"/>
    </xf>
    <xf numFmtId="43" fontId="89" fillId="0" borderId="7" xfId="0" applyNumberFormat="1" applyFont="1" applyBorder="1" applyAlignment="1">
      <alignment horizontal="left" vertical="center" indent="1"/>
    </xf>
    <xf numFmtId="4" fontId="69" fillId="0" borderId="7" xfId="1" applyNumberFormat="1" applyFont="1" applyFill="1" applyBorder="1" applyAlignment="1">
      <alignment horizontal="right"/>
    </xf>
    <xf numFmtId="4" fontId="68" fillId="0" borderId="66" xfId="2" applyNumberFormat="1" applyFont="1" applyFill="1" applyBorder="1" applyAlignment="1">
      <alignment vertical="center"/>
    </xf>
    <xf numFmtId="43" fontId="68" fillId="8" borderId="9" xfId="0" applyNumberFormat="1" applyFont="1" applyFill="1" applyBorder="1" applyAlignment="1">
      <alignment horizontal="left" vertical="center" indent="1"/>
    </xf>
    <xf numFmtId="39" fontId="68" fillId="0" borderId="68" xfId="0" applyNumberFormat="1" applyFont="1" applyBorder="1" applyAlignment="1">
      <alignment vertical="top" wrapText="1"/>
    </xf>
    <xf numFmtId="39" fontId="69" fillId="0" borderId="7" xfId="0" applyNumberFormat="1" applyFont="1" applyBorder="1" applyAlignment="1">
      <alignment vertical="top"/>
    </xf>
    <xf numFmtId="39" fontId="69" fillId="0" borderId="99" xfId="0" applyNumberFormat="1" applyFont="1" applyBorder="1" applyAlignment="1">
      <alignment horizontal="right" vertical="top"/>
    </xf>
    <xf numFmtId="39" fontId="68" fillId="0" borderId="7" xfId="0" applyNumberFormat="1" applyFont="1" applyBorder="1" applyAlignment="1">
      <alignment vertical="top"/>
    </xf>
    <xf numFmtId="39" fontId="68" fillId="0" borderId="7" xfId="0" applyNumberFormat="1" applyFont="1" applyBorder="1" applyAlignment="1">
      <alignment horizontal="right" vertical="top"/>
    </xf>
    <xf numFmtId="39" fontId="69" fillId="0" borderId="7" xfId="0" applyNumberFormat="1" applyFont="1" applyBorder="1" applyAlignment="1">
      <alignment horizontal="right" vertical="top"/>
    </xf>
    <xf numFmtId="39" fontId="68" fillId="0" borderId="7" xfId="0" applyNumberFormat="1" applyFont="1" applyBorder="1" applyAlignment="1">
      <alignment vertical="top" wrapText="1"/>
    </xf>
    <xf numFmtId="166" fontId="0" fillId="0" borderId="1" xfId="2" applyNumberFormat="1" applyFont="1" applyBorder="1" applyAlignment="1">
      <alignment vertical="center"/>
    </xf>
    <xf numFmtId="39" fontId="68" fillId="0" borderId="42" xfId="0" applyNumberFormat="1" applyFont="1" applyBorder="1" applyAlignment="1">
      <alignment vertical="top"/>
    </xf>
    <xf numFmtId="39" fontId="69" fillId="0" borderId="7" xfId="0" applyNumberFormat="1" applyFont="1" applyBorder="1" applyAlignment="1">
      <alignment horizontal="right" vertical="center"/>
    </xf>
    <xf numFmtId="39" fontId="69" fillId="0" borderId="1" xfId="0" applyNumberFormat="1" applyFont="1" applyBorder="1" applyAlignment="1">
      <alignment horizontal="right" vertical="top"/>
    </xf>
    <xf numFmtId="166" fontId="0" fillId="0" borderId="74" xfId="2" applyNumberFormat="1" applyFont="1" applyBorder="1" applyAlignment="1">
      <alignment vertical="center"/>
    </xf>
    <xf numFmtId="43" fontId="68" fillId="0" borderId="53" xfId="0" applyNumberFormat="1" applyFont="1" applyBorder="1" applyAlignment="1">
      <alignment vertical="top" wrapText="1"/>
    </xf>
    <xf numFmtId="39" fontId="68" fillId="0" borderId="68" xfId="0" applyNumberFormat="1" applyFont="1" applyBorder="1" applyAlignment="1">
      <alignment vertical="top"/>
    </xf>
    <xf numFmtId="166" fontId="69" fillId="0" borderId="14" xfId="2" applyNumberFormat="1" applyFont="1" applyBorder="1" applyAlignment="1">
      <alignment vertical="top"/>
    </xf>
    <xf numFmtId="39" fontId="0" fillId="0" borderId="1" xfId="0" applyNumberFormat="1" applyFont="1" applyBorder="1" applyAlignment="1">
      <alignment vertical="top"/>
    </xf>
    <xf numFmtId="39" fontId="69" fillId="0" borderId="5" xfId="0" applyNumberFormat="1" applyFont="1" applyBorder="1" applyAlignment="1">
      <alignment horizontal="right" vertical="top"/>
    </xf>
    <xf numFmtId="39" fontId="69" fillId="0" borderId="1" xfId="0" applyNumberFormat="1" applyFont="1" applyBorder="1" applyAlignment="1">
      <alignment vertical="top"/>
    </xf>
    <xf numFmtId="39" fontId="68" fillId="0" borderId="53" xfId="0" applyNumberFormat="1" applyFont="1" applyBorder="1" applyAlignment="1">
      <alignment vertical="top"/>
    </xf>
    <xf numFmtId="39" fontId="68" fillId="0" borderId="93" xfId="0" applyNumberFormat="1" applyFont="1" applyBorder="1" applyAlignment="1">
      <alignment vertical="top"/>
    </xf>
    <xf numFmtId="39" fontId="69" fillId="0" borderId="14" xfId="0" applyNumberFormat="1" applyFont="1" applyBorder="1" applyAlignment="1">
      <alignment vertical="top"/>
    </xf>
    <xf numFmtId="39" fontId="68" fillId="0" borderId="14" xfId="0" applyNumberFormat="1" applyFont="1" applyBorder="1" applyAlignment="1">
      <alignment vertical="top"/>
    </xf>
    <xf numFmtId="39" fontId="68" fillId="0" borderId="60" xfId="0" applyNumberFormat="1" applyFont="1" applyBorder="1" applyAlignment="1">
      <alignment vertical="top"/>
    </xf>
    <xf numFmtId="39" fontId="69" fillId="0" borderId="14" xfId="0" applyNumberFormat="1" applyFont="1" applyBorder="1" applyAlignment="1">
      <alignment horizontal="right" vertical="top"/>
    </xf>
    <xf numFmtId="39" fontId="68" fillId="0" borderId="66" xfId="0" applyNumberFormat="1" applyFont="1" applyBorder="1" applyAlignment="1">
      <alignment vertical="top"/>
    </xf>
    <xf numFmtId="39" fontId="68" fillId="0" borderId="72" xfId="0" applyNumberFormat="1" applyFont="1" applyBorder="1" applyAlignment="1">
      <alignment vertical="top"/>
    </xf>
    <xf numFmtId="39" fontId="0" fillId="0" borderId="1" xfId="0" applyNumberFormat="1" applyFont="1" applyBorder="1" applyAlignment="1">
      <alignment horizontal="right" vertical="top"/>
    </xf>
    <xf numFmtId="166" fontId="0" fillId="0" borderId="5" xfId="2" applyNumberFormat="1" applyFont="1" applyBorder="1"/>
    <xf numFmtId="39" fontId="69" fillId="0" borderId="0" xfId="0" applyNumberFormat="1" applyFont="1" applyBorder="1" applyAlignment="1">
      <alignment vertical="top"/>
    </xf>
    <xf numFmtId="43" fontId="68" fillId="0" borderId="55" xfId="0" applyNumberFormat="1" applyFont="1" applyBorder="1" applyAlignment="1">
      <alignment horizontal="right" vertical="center"/>
    </xf>
    <xf numFmtId="43" fontId="68" fillId="0" borderId="53" xfId="0" applyNumberFormat="1" applyFont="1" applyBorder="1" applyAlignment="1">
      <alignment horizontal="right" vertical="center"/>
    </xf>
    <xf numFmtId="39" fontId="68" fillId="0" borderId="0" xfId="0" applyNumberFormat="1" applyFont="1" applyBorder="1" applyAlignment="1">
      <alignment vertical="top"/>
    </xf>
    <xf numFmtId="39" fontId="68" fillId="0" borderId="5" xfId="0" applyNumberFormat="1" applyFont="1" applyBorder="1" applyAlignment="1">
      <alignment vertical="top"/>
    </xf>
    <xf numFmtId="166" fontId="69" fillId="0" borderId="14" xfId="2" applyNumberFormat="1" applyFont="1" applyBorder="1" applyAlignment="1">
      <alignment horizontal="right" vertical="center"/>
    </xf>
    <xf numFmtId="39" fontId="68" fillId="0" borderId="73" xfId="0" applyNumberFormat="1" applyFont="1" applyBorder="1" applyAlignment="1">
      <alignment vertical="top"/>
    </xf>
    <xf numFmtId="39" fontId="68" fillId="0" borderId="70" xfId="0" applyNumberFormat="1" applyFont="1" applyBorder="1" applyAlignment="1">
      <alignment vertical="top"/>
    </xf>
    <xf numFmtId="39" fontId="68" fillId="0" borderId="53" xfId="0" applyNumberFormat="1" applyFont="1" applyBorder="1" applyAlignment="1">
      <alignment horizontal="right" vertical="top"/>
    </xf>
    <xf numFmtId="39" fontId="68" fillId="0" borderId="1" xfId="0" applyNumberFormat="1" applyFont="1" applyBorder="1" applyAlignment="1">
      <alignment horizontal="right" vertical="top"/>
    </xf>
    <xf numFmtId="39" fontId="69" fillId="4" borderId="5" xfId="0" applyNumberFormat="1" applyFont="1" applyFill="1" applyBorder="1" applyAlignment="1">
      <alignment vertical="top"/>
    </xf>
    <xf numFmtId="39" fontId="69" fillId="0" borderId="42" xfId="0" applyNumberFormat="1" applyFont="1" applyBorder="1" applyAlignment="1">
      <alignment vertical="top"/>
    </xf>
    <xf numFmtId="39" fontId="68" fillId="8" borderId="90" xfId="0" applyNumberFormat="1" applyFont="1" applyFill="1" applyBorder="1" applyAlignment="1">
      <alignment vertical="top"/>
    </xf>
    <xf numFmtId="39" fontId="68" fillId="8" borderId="9" xfId="0" applyNumberFormat="1" applyFont="1" applyFill="1" applyBorder="1" applyAlignment="1">
      <alignment vertical="top"/>
    </xf>
    <xf numFmtId="4" fontId="68" fillId="0" borderId="56" xfId="0" applyNumberFormat="1" applyFont="1" applyFill="1" applyBorder="1" applyAlignment="1">
      <alignment horizontal="right" vertical="center"/>
    </xf>
    <xf numFmtId="39" fontId="69" fillId="0" borderId="7" xfId="0" applyNumberFormat="1" applyFont="1" applyFill="1" applyBorder="1" applyAlignment="1">
      <alignment horizontal="right" vertical="center"/>
    </xf>
    <xf numFmtId="39" fontId="68" fillId="0" borderId="7" xfId="0" applyNumberFormat="1" applyFont="1" applyFill="1" applyBorder="1" applyAlignment="1">
      <alignment horizontal="right" vertical="center"/>
    </xf>
    <xf numFmtId="4" fontId="69" fillId="0" borderId="0" xfId="0" applyNumberFormat="1" applyFont="1" applyFill="1" applyBorder="1" applyAlignment="1">
      <alignment horizontal="right" vertical="center"/>
    </xf>
    <xf numFmtId="39" fontId="69" fillId="0" borderId="0" xfId="0" applyNumberFormat="1" applyFont="1" applyFill="1" applyBorder="1" applyAlignment="1">
      <alignment vertical="top"/>
    </xf>
    <xf numFmtId="41" fontId="69" fillId="0" borderId="7" xfId="2" applyFont="1" applyBorder="1" applyAlignment="1">
      <alignment horizontal="left" vertical="center" indent="1"/>
    </xf>
    <xf numFmtId="166" fontId="69" fillId="0" borderId="0" xfId="2" applyNumberFormat="1" applyFont="1" applyBorder="1" applyAlignment="1">
      <alignment horizontal="left" vertical="center" indent="1"/>
    </xf>
    <xf numFmtId="166" fontId="68" fillId="0" borderId="13" xfId="2" applyNumberFormat="1" applyFont="1" applyBorder="1" applyAlignment="1">
      <alignment horizontal="left" vertical="center" indent="1"/>
    </xf>
    <xf numFmtId="4" fontId="68" fillId="0" borderId="27" xfId="0" applyNumberFormat="1" applyFont="1" applyFill="1" applyBorder="1" applyAlignment="1">
      <alignment horizontal="right" vertical="center"/>
    </xf>
    <xf numFmtId="4" fontId="68" fillId="0" borderId="5" xfId="0" applyNumberFormat="1" applyFont="1" applyFill="1" applyBorder="1" applyAlignment="1">
      <alignment vertical="center"/>
    </xf>
    <xf numFmtId="4" fontId="69" fillId="0" borderId="7" xfId="0" applyNumberFormat="1" applyFont="1" applyFill="1" applyBorder="1" applyAlignment="1">
      <alignment vertical="center"/>
    </xf>
    <xf numFmtId="41" fontId="69" fillId="0" borderId="52" xfId="2" applyFont="1" applyBorder="1" applyAlignment="1">
      <alignment horizontal="left" vertical="center" indent="1"/>
    </xf>
    <xf numFmtId="4" fontId="68" fillId="0" borderId="73" xfId="0" applyNumberFormat="1" applyFont="1" applyFill="1" applyBorder="1" applyAlignment="1">
      <alignment horizontal="right" vertical="center"/>
    </xf>
    <xf numFmtId="166" fontId="68" fillId="0" borderId="7" xfId="2" applyNumberFormat="1" applyFont="1" applyBorder="1" applyAlignment="1">
      <alignment horizontal="left" vertical="center" indent="1"/>
    </xf>
    <xf numFmtId="4" fontId="68" fillId="0" borderId="52" xfId="0" applyNumberFormat="1" applyFont="1" applyFill="1" applyBorder="1" applyAlignment="1">
      <alignment horizontal="right" vertical="center"/>
    </xf>
    <xf numFmtId="39" fontId="69" fillId="0" borderId="74" xfId="0" applyNumberFormat="1" applyFont="1" applyFill="1" applyBorder="1" applyAlignment="1">
      <alignment vertical="top"/>
    </xf>
    <xf numFmtId="39" fontId="68" fillId="0" borderId="75" xfId="0" applyNumberFormat="1" applyFont="1" applyFill="1" applyBorder="1" applyAlignment="1">
      <alignment vertical="top"/>
    </xf>
    <xf numFmtId="39" fontId="68" fillId="0" borderId="57" xfId="0" applyNumberFormat="1" applyFont="1" applyFill="1" applyBorder="1" applyAlignment="1">
      <alignment vertical="top"/>
    </xf>
    <xf numFmtId="4" fontId="68" fillId="0" borderId="57" xfId="0" applyNumberFormat="1" applyFont="1" applyFill="1" applyBorder="1" applyAlignment="1">
      <alignment horizontal="right" vertical="center"/>
    </xf>
    <xf numFmtId="4" fontId="68" fillId="0" borderId="5" xfId="0" applyNumberFormat="1" applyFont="1" applyBorder="1" applyAlignment="1">
      <alignment horizontal="right" vertical="center"/>
    </xf>
    <xf numFmtId="169" fontId="69" fillId="0" borderId="7" xfId="2" applyNumberFormat="1" applyFont="1" applyBorder="1" applyAlignment="1">
      <alignment vertical="center"/>
    </xf>
    <xf numFmtId="4" fontId="68" fillId="0" borderId="7" xfId="0" applyNumberFormat="1" applyFont="1" applyBorder="1" applyAlignment="1">
      <alignment horizontal="right" vertical="center"/>
    </xf>
    <xf numFmtId="4" fontId="68" fillId="0" borderId="14" xfId="0" applyNumberFormat="1" applyFont="1" applyBorder="1" applyAlignment="1">
      <alignment horizontal="right" vertical="center"/>
    </xf>
    <xf numFmtId="169" fontId="69" fillId="0" borderId="5" xfId="2" applyNumberFormat="1" applyFont="1" applyBorder="1" applyAlignment="1">
      <alignment vertical="center"/>
    </xf>
    <xf numFmtId="169" fontId="0" fillId="0" borderId="5" xfId="2" applyNumberFormat="1" applyFont="1" applyBorder="1" applyAlignment="1">
      <alignment vertical="center"/>
    </xf>
    <xf numFmtId="4" fontId="68" fillId="0" borderId="1" xfId="0" applyNumberFormat="1" applyFont="1" applyBorder="1" applyAlignment="1">
      <alignment horizontal="right" vertical="center"/>
    </xf>
    <xf numFmtId="4" fontId="68" fillId="4" borderId="53" xfId="0" applyNumberFormat="1" applyFont="1" applyFill="1" applyBorder="1" applyAlignment="1">
      <alignment horizontal="right" vertical="center"/>
    </xf>
    <xf numFmtId="4" fontId="68" fillId="4" borderId="1" xfId="0" applyNumberFormat="1" applyFont="1" applyFill="1" applyBorder="1" applyAlignment="1">
      <alignment horizontal="right" vertical="center"/>
    </xf>
    <xf numFmtId="169" fontId="68" fillId="0" borderId="1" xfId="2" applyNumberFormat="1" applyFont="1" applyBorder="1" applyAlignment="1">
      <alignment vertical="center"/>
    </xf>
    <xf numFmtId="4" fontId="68" fillId="4" borderId="7" xfId="0" applyNumberFormat="1" applyFont="1" applyFill="1" applyBorder="1" applyAlignment="1">
      <alignment horizontal="right" vertical="center"/>
    </xf>
    <xf numFmtId="169" fontId="68" fillId="0" borderId="5" xfId="2" applyNumberFormat="1" applyFont="1" applyBorder="1" applyAlignment="1">
      <alignment vertical="center"/>
    </xf>
    <xf numFmtId="4" fontId="68" fillId="4" borderId="14" xfId="0" applyNumberFormat="1" applyFont="1" applyFill="1" applyBorder="1" applyAlignment="1">
      <alignment horizontal="right" vertical="center"/>
    </xf>
    <xf numFmtId="39" fontId="69" fillId="0" borderId="13" xfId="0" applyNumberFormat="1" applyFont="1" applyBorder="1" applyAlignment="1">
      <alignment vertical="top"/>
    </xf>
    <xf numFmtId="169" fontId="68" fillId="0" borderId="7" xfId="2" applyNumberFormat="1" applyFont="1" applyBorder="1" applyAlignment="1">
      <alignment vertical="center"/>
    </xf>
    <xf numFmtId="4" fontId="69" fillId="0" borderId="1" xfId="0" applyNumberFormat="1" applyFont="1" applyBorder="1" applyAlignment="1">
      <alignment horizontal="right" vertical="center"/>
    </xf>
    <xf numFmtId="4" fontId="68" fillId="0" borderId="53" xfId="0" applyNumberFormat="1" applyFont="1" applyBorder="1" applyAlignment="1">
      <alignment horizontal="right" vertical="center"/>
    </xf>
    <xf numFmtId="169" fontId="69" fillId="0" borderId="14" xfId="2" applyNumberFormat="1" applyFont="1" applyBorder="1" applyAlignment="1">
      <alignment vertical="center"/>
    </xf>
    <xf numFmtId="169" fontId="69" fillId="0" borderId="13" xfId="2" applyNumberFormat="1" applyFont="1" applyBorder="1" applyAlignment="1">
      <alignment vertical="center"/>
    </xf>
    <xf numFmtId="169" fontId="0" fillId="0" borderId="1" xfId="2" applyNumberFormat="1" applyFont="1" applyBorder="1" applyAlignment="1">
      <alignment vertical="center"/>
    </xf>
    <xf numFmtId="4" fontId="69" fillId="4" borderId="7" xfId="0" applyNumberFormat="1" applyFont="1" applyFill="1" applyBorder="1" applyAlignment="1">
      <alignment horizontal="right" vertical="center"/>
    </xf>
    <xf numFmtId="39" fontId="0" fillId="0" borderId="7" xfId="0" applyNumberFormat="1" applyFont="1" applyBorder="1" applyAlignment="1">
      <alignment vertical="top"/>
    </xf>
    <xf numFmtId="4" fontId="69" fillId="4" borderId="1" xfId="0" applyNumberFormat="1" applyFont="1" applyFill="1" applyBorder="1" applyAlignment="1">
      <alignment horizontal="right" vertical="center"/>
    </xf>
    <xf numFmtId="4" fontId="68" fillId="4" borderId="5" xfId="0" applyNumberFormat="1" applyFont="1" applyFill="1" applyBorder="1" applyAlignment="1">
      <alignment horizontal="right" vertical="center"/>
    </xf>
    <xf numFmtId="4" fontId="68" fillId="0" borderId="14" xfId="2" applyNumberFormat="1" applyFont="1" applyBorder="1" applyAlignment="1">
      <alignment horizontal="right" vertical="center"/>
    </xf>
    <xf numFmtId="4" fontId="68" fillId="4" borderId="14" xfId="2" applyNumberFormat="1" applyFont="1" applyFill="1" applyBorder="1" applyAlignment="1">
      <alignment horizontal="right" vertical="center"/>
    </xf>
    <xf numFmtId="169" fontId="0" fillId="4" borderId="1" xfId="2" applyNumberFormat="1" applyFont="1" applyFill="1" applyBorder="1" applyAlignment="1">
      <alignment vertical="center"/>
    </xf>
    <xf numFmtId="4" fontId="68" fillId="0" borderId="53" xfId="2" applyNumberFormat="1" applyFont="1" applyBorder="1" applyAlignment="1">
      <alignment horizontal="right" vertical="center"/>
    </xf>
    <xf numFmtId="4" fontId="68" fillId="0" borderId="1" xfId="2" applyNumberFormat="1" applyFont="1" applyBorder="1" applyAlignment="1">
      <alignment horizontal="right" vertical="center"/>
    </xf>
    <xf numFmtId="4" fontId="68" fillId="0" borderId="7" xfId="2" applyNumberFormat="1" applyFont="1" applyBorder="1" applyAlignment="1">
      <alignment horizontal="right" vertical="center"/>
    </xf>
    <xf numFmtId="4" fontId="69" fillId="0" borderId="14" xfId="2" applyNumberFormat="1" applyFont="1" applyBorder="1" applyAlignment="1">
      <alignment horizontal="right" vertical="center"/>
    </xf>
    <xf numFmtId="4" fontId="69" fillId="4" borderId="14" xfId="2" applyNumberFormat="1" applyFont="1" applyFill="1" applyBorder="1" applyAlignment="1">
      <alignment horizontal="right" vertical="center"/>
    </xf>
    <xf numFmtId="4" fontId="68" fillId="4" borderId="53" xfId="2" applyNumberFormat="1" applyFont="1" applyFill="1" applyBorder="1" applyAlignment="1">
      <alignment horizontal="right" vertical="center"/>
    </xf>
    <xf numFmtId="4" fontId="68" fillId="4" borderId="1" xfId="2" applyNumberFormat="1" applyFont="1" applyFill="1" applyBorder="1" applyAlignment="1">
      <alignment horizontal="right" vertical="center"/>
    </xf>
    <xf numFmtId="4" fontId="69" fillId="4" borderId="7" xfId="2" applyNumberFormat="1" applyFont="1" applyFill="1" applyBorder="1" applyAlignment="1">
      <alignment horizontal="right" vertical="center"/>
    </xf>
    <xf numFmtId="4" fontId="68" fillId="4" borderId="7" xfId="2" applyNumberFormat="1" applyFont="1" applyFill="1" applyBorder="1" applyAlignment="1">
      <alignment horizontal="right" vertical="center"/>
    </xf>
    <xf numFmtId="4" fontId="69" fillId="4" borderId="13" xfId="2" applyNumberFormat="1" applyFont="1" applyFill="1" applyBorder="1" applyAlignment="1">
      <alignment horizontal="right" vertical="center"/>
    </xf>
    <xf numFmtId="4" fontId="69" fillId="4" borderId="18" xfId="2" applyNumberFormat="1" applyFont="1" applyFill="1" applyBorder="1" applyAlignment="1">
      <alignment horizontal="right" vertical="center"/>
    </xf>
    <xf numFmtId="4" fontId="68" fillId="4" borderId="18" xfId="2" applyNumberFormat="1" applyFont="1" applyFill="1" applyBorder="1" applyAlignment="1">
      <alignment horizontal="right" vertical="center"/>
    </xf>
    <xf numFmtId="170" fontId="68" fillId="0" borderId="7" xfId="1" applyNumberFormat="1" applyFont="1" applyBorder="1" applyAlignment="1">
      <alignment vertical="top"/>
    </xf>
    <xf numFmtId="169" fontId="69" fillId="4" borderId="7" xfId="2" applyNumberFormat="1" applyFont="1" applyFill="1" applyBorder="1" applyAlignment="1">
      <alignment vertical="center"/>
    </xf>
    <xf numFmtId="43" fontId="68" fillId="0" borderId="7" xfId="1" applyNumberFormat="1" applyFont="1" applyBorder="1" applyAlignment="1">
      <alignment horizontal="right" vertical="center"/>
    </xf>
    <xf numFmtId="4" fontId="69" fillId="0" borderId="57" xfId="0" applyNumberFormat="1" applyFont="1" applyFill="1" applyBorder="1" applyAlignment="1">
      <alignment horizontal="right" vertical="center"/>
    </xf>
    <xf numFmtId="4" fontId="68" fillId="8" borderId="73" xfId="0" applyNumberFormat="1" applyFont="1" applyFill="1" applyBorder="1" applyAlignment="1">
      <alignment horizontal="right" vertical="center"/>
    </xf>
    <xf numFmtId="4" fontId="68" fillId="8" borderId="53" xfId="0" applyNumberFormat="1" applyFont="1" applyFill="1" applyBorder="1" applyAlignment="1">
      <alignment horizontal="right" vertical="center"/>
    </xf>
    <xf numFmtId="43" fontId="69" fillId="0" borderId="13" xfId="1" applyFont="1" applyFill="1" applyBorder="1" applyAlignment="1">
      <alignment vertical="center" wrapText="1"/>
    </xf>
    <xf numFmtId="43" fontId="69" fillId="0" borderId="7" xfId="1" applyFont="1" applyFill="1" applyBorder="1" applyAlignment="1">
      <alignment vertical="center" wrapText="1"/>
    </xf>
    <xf numFmtId="4" fontId="69" fillId="0" borderId="5" xfId="0" applyNumberFormat="1" applyFont="1" applyBorder="1" applyAlignment="1">
      <alignment horizontal="right" vertical="center"/>
    </xf>
    <xf numFmtId="4" fontId="69" fillId="0" borderId="74" xfId="0" applyNumberFormat="1" applyFont="1" applyBorder="1" applyAlignment="1">
      <alignment horizontal="right" vertical="center"/>
    </xf>
    <xf numFmtId="169" fontId="69" fillId="0" borderId="74" xfId="2" applyNumberFormat="1" applyFont="1" applyBorder="1" applyAlignment="1">
      <alignment vertical="center"/>
    </xf>
    <xf numFmtId="43" fontId="69" fillId="0" borderId="13" xfId="1" applyFont="1" applyFill="1" applyBorder="1" applyAlignment="1">
      <alignment horizontal="right" vertical="center" wrapText="1"/>
    </xf>
    <xf numFmtId="43" fontId="69" fillId="0" borderId="7" xfId="1" applyFont="1" applyFill="1" applyBorder="1" applyAlignment="1">
      <alignment horizontal="right" vertical="center" wrapText="1"/>
    </xf>
    <xf numFmtId="4" fontId="68" fillId="0" borderId="53" xfId="2" applyNumberFormat="1" applyFont="1" applyFill="1" applyBorder="1" applyAlignment="1">
      <alignment horizontal="right" vertical="center"/>
    </xf>
    <xf numFmtId="43" fontId="69" fillId="0" borderId="7" xfId="1" applyFont="1" applyFill="1" applyBorder="1" applyAlignment="1">
      <alignment horizontal="left" vertical="center" wrapText="1" indent="1"/>
    </xf>
    <xf numFmtId="43" fontId="68" fillId="0" borderId="57" xfId="1" applyFont="1" applyBorder="1" applyAlignment="1">
      <alignment horizontal="left" vertical="center" indent="1"/>
    </xf>
    <xf numFmtId="166" fontId="69" fillId="0" borderId="119" xfId="2" applyNumberFormat="1" applyFont="1" applyFill="1" applyBorder="1" applyAlignment="1">
      <alignment vertical="center" wrapText="1"/>
    </xf>
    <xf numFmtId="41" fontId="69" fillId="0" borderId="119" xfId="2" applyFont="1" applyFill="1" applyBorder="1" applyAlignment="1">
      <alignment vertical="center" wrapText="1"/>
    </xf>
    <xf numFmtId="166" fontId="69" fillId="0" borderId="7" xfId="11" applyNumberFormat="1" applyFont="1" applyFill="1" applyBorder="1" applyAlignment="1">
      <alignment horizontal="right" vertical="center" wrapText="1"/>
    </xf>
    <xf numFmtId="166" fontId="69" fillId="0" borderId="119" xfId="2" applyNumberFormat="1" applyFont="1" applyFill="1" applyBorder="1" applyAlignment="1">
      <alignment horizontal="right" vertical="center" wrapText="1"/>
    </xf>
    <xf numFmtId="166" fontId="68" fillId="0" borderId="122" xfId="2" applyNumberFormat="1" applyFont="1" applyFill="1" applyBorder="1" applyAlignment="1">
      <alignment horizontal="right" vertical="center" wrapText="1"/>
    </xf>
    <xf numFmtId="166" fontId="69" fillId="0" borderId="122" xfId="2" applyNumberFormat="1" applyFont="1" applyFill="1" applyBorder="1" applyAlignment="1">
      <alignment horizontal="right" vertical="center" wrapText="1"/>
    </xf>
    <xf numFmtId="166" fontId="0" fillId="0" borderId="122" xfId="2" applyNumberFormat="1" applyFont="1" applyFill="1" applyBorder="1" applyAlignment="1">
      <alignment horizontal="right" vertical="center" wrapText="1"/>
    </xf>
    <xf numFmtId="41" fontId="0" fillId="0" borderId="122" xfId="2" applyFont="1" applyFill="1" applyBorder="1" applyAlignment="1">
      <alignment horizontal="right" vertical="center" wrapText="1"/>
    </xf>
    <xf numFmtId="43" fontId="68" fillId="0" borderId="13" xfId="1" applyFont="1" applyBorder="1" applyAlignment="1">
      <alignment horizontal="left" vertical="center" indent="1"/>
    </xf>
    <xf numFmtId="4" fontId="69" fillId="0" borderId="122" xfId="0" applyNumberFormat="1" applyFont="1" applyFill="1" applyBorder="1" applyAlignment="1">
      <alignment horizontal="right" vertical="center" wrapText="1"/>
    </xf>
    <xf numFmtId="4" fontId="69" fillId="0" borderId="122" xfId="0" applyNumberFormat="1" applyFont="1" applyFill="1" applyBorder="1" applyAlignment="1">
      <alignment vertical="center" wrapText="1"/>
    </xf>
    <xf numFmtId="43" fontId="69" fillId="0" borderId="13" xfId="1" applyFont="1" applyBorder="1" applyAlignment="1">
      <alignment horizontal="left" vertical="center" indent="1"/>
    </xf>
    <xf numFmtId="43" fontId="68" fillId="0" borderId="120" xfId="1" applyFont="1" applyBorder="1" applyAlignment="1">
      <alignment horizontal="left" vertical="center" indent="1"/>
    </xf>
    <xf numFmtId="43" fontId="69" fillId="0" borderId="8" xfId="1" applyFont="1" applyBorder="1" applyAlignment="1">
      <alignment horizontal="left" vertical="center" indent="1"/>
    </xf>
    <xf numFmtId="4" fontId="69" fillId="0" borderId="7" xfId="0" applyNumberFormat="1" applyFont="1" applyFill="1" applyBorder="1" applyAlignment="1">
      <alignment vertical="center" wrapText="1"/>
    </xf>
    <xf numFmtId="4" fontId="89" fillId="0" borderId="7" xfId="0" applyNumberFormat="1" applyFont="1" applyFill="1" applyBorder="1" applyAlignment="1">
      <alignment vertical="center" wrapText="1"/>
    </xf>
    <xf numFmtId="166" fontId="69" fillId="0" borderId="74" xfId="2" applyNumberFormat="1" applyFont="1" applyBorder="1" applyAlignment="1">
      <alignment vertical="center"/>
    </xf>
    <xf numFmtId="166" fontId="69" fillId="0" borderId="7" xfId="0" applyNumberFormat="1" applyFont="1" applyFill="1" applyBorder="1" applyAlignment="1">
      <alignment horizontal="right" vertical="center" wrapText="1"/>
    </xf>
    <xf numFmtId="4" fontId="68" fillId="0" borderId="7" xfId="0" applyNumberFormat="1" applyFont="1" applyFill="1" applyBorder="1" applyAlignment="1">
      <alignment vertical="center" wrapText="1"/>
    </xf>
    <xf numFmtId="43" fontId="68" fillId="0" borderId="68" xfId="1" applyFont="1" applyBorder="1" applyAlignment="1">
      <alignment horizontal="right" vertical="center"/>
    </xf>
    <xf numFmtId="4" fontId="69" fillId="0" borderId="7" xfId="1" applyNumberFormat="1" applyFont="1" applyBorder="1" applyAlignment="1">
      <alignment horizontal="left" vertical="center" indent="1"/>
    </xf>
    <xf numFmtId="4" fontId="68" fillId="0" borderId="7" xfId="1" applyNumberFormat="1" applyFont="1" applyBorder="1" applyAlignment="1">
      <alignment horizontal="right" vertical="center"/>
    </xf>
    <xf numFmtId="4" fontId="68" fillId="0" borderId="7" xfId="1" applyNumberFormat="1" applyFont="1" applyBorder="1" applyAlignment="1">
      <alignment vertical="center"/>
    </xf>
    <xf numFmtId="4" fontId="68" fillId="0" borderId="68" xfId="0" applyNumberFormat="1" applyFont="1" applyFill="1" applyBorder="1" applyAlignment="1">
      <alignment vertical="center" wrapText="1"/>
    </xf>
    <xf numFmtId="4" fontId="0" fillId="0" borderId="7" xfId="0" applyNumberFormat="1" applyFont="1" applyFill="1" applyBorder="1" applyAlignment="1">
      <alignment vertical="center" wrapText="1"/>
    </xf>
    <xf numFmtId="166" fontId="69" fillId="0" borderId="8" xfId="2" applyNumberFormat="1" applyFont="1" applyBorder="1" applyAlignment="1">
      <alignment vertical="center"/>
    </xf>
    <xf numFmtId="43" fontId="89" fillId="0" borderId="7" xfId="1" applyFont="1" applyBorder="1" applyAlignment="1">
      <alignment horizontal="left" vertical="center" indent="1"/>
    </xf>
    <xf numFmtId="166" fontId="89" fillId="0" borderId="1" xfId="2" applyNumberFormat="1" applyFont="1" applyBorder="1" applyAlignment="1">
      <alignment vertical="center"/>
    </xf>
    <xf numFmtId="43" fontId="0" fillId="0" borderId="7" xfId="1" applyFont="1" applyBorder="1" applyAlignment="1">
      <alignment vertical="center"/>
    </xf>
    <xf numFmtId="4" fontId="68" fillId="0" borderId="53" xfId="2" applyNumberFormat="1" applyFont="1" applyBorder="1" applyAlignment="1">
      <alignment vertical="center"/>
    </xf>
    <xf numFmtId="4" fontId="69" fillId="0" borderId="27" xfId="2" applyNumberFormat="1" applyFont="1" applyBorder="1" applyAlignment="1">
      <alignment vertical="center"/>
    </xf>
    <xf numFmtId="4" fontId="69" fillId="0" borderId="28" xfId="2" applyNumberFormat="1" applyFont="1" applyBorder="1" applyAlignment="1">
      <alignment vertical="center"/>
    </xf>
    <xf numFmtId="4" fontId="68" fillId="0" borderId="28" xfId="2" applyNumberFormat="1" applyFont="1" applyBorder="1" applyAlignment="1">
      <alignment vertical="center"/>
    </xf>
    <xf numFmtId="166" fontId="69" fillId="0" borderId="28" xfId="2" applyNumberFormat="1" applyFont="1" applyBorder="1" applyAlignment="1">
      <alignment vertical="center"/>
    </xf>
    <xf numFmtId="43" fontId="68" fillId="0" borderId="7" xfId="1" applyFont="1" applyBorder="1" applyAlignment="1">
      <alignment vertical="center"/>
    </xf>
    <xf numFmtId="43" fontId="0" fillId="0" borderId="14" xfId="1" applyFont="1" applyBorder="1" applyAlignment="1">
      <alignment vertical="center"/>
    </xf>
    <xf numFmtId="43" fontId="69" fillId="0" borderId="14" xfId="1" applyFont="1" applyBorder="1" applyAlignment="1">
      <alignment horizontal="left" vertical="center" indent="1"/>
    </xf>
    <xf numFmtId="4" fontId="68" fillId="0" borderId="68" xfId="0" applyNumberFormat="1" applyFont="1" applyFill="1" applyBorder="1" applyAlignment="1">
      <alignment horizontal="right" vertical="center"/>
    </xf>
    <xf numFmtId="4" fontId="89" fillId="0" borderId="28" xfId="0" applyNumberFormat="1" applyFont="1" applyFill="1" applyBorder="1" applyAlignment="1">
      <alignment horizontal="right" vertical="center"/>
    </xf>
    <xf numFmtId="4" fontId="89" fillId="0" borderId="28" xfId="2" applyNumberFormat="1" applyFont="1" applyBorder="1" applyAlignment="1">
      <alignment vertical="center"/>
    </xf>
    <xf numFmtId="4" fontId="68" fillId="0" borderId="7" xfId="2" applyNumberFormat="1" applyFont="1" applyBorder="1" applyAlignment="1">
      <alignment vertical="center"/>
    </xf>
    <xf numFmtId="166" fontId="0" fillId="0" borderId="18" xfId="2" applyNumberFormat="1" applyFont="1" applyBorder="1" applyAlignment="1">
      <alignment vertical="center"/>
    </xf>
    <xf numFmtId="4" fontId="68" fillId="0" borderId="27" xfId="2" applyNumberFormat="1" applyFont="1" applyBorder="1" applyAlignment="1">
      <alignment vertical="center"/>
    </xf>
    <xf numFmtId="4" fontId="69" fillId="0" borderId="7" xfId="2" applyNumberFormat="1" applyFont="1" applyBorder="1" applyAlignment="1">
      <alignment vertical="center"/>
    </xf>
    <xf numFmtId="4" fontId="0" fillId="0" borderId="28" xfId="0" applyNumberFormat="1" applyFont="1" applyFill="1" applyBorder="1" applyAlignment="1">
      <alignment horizontal="right" vertical="center"/>
    </xf>
    <xf numFmtId="4" fontId="69" fillId="0" borderId="13" xfId="0" applyNumberFormat="1" applyFont="1" applyFill="1" applyBorder="1" applyAlignment="1">
      <alignment horizontal="right" vertical="center"/>
    </xf>
    <xf numFmtId="39" fontId="68" fillId="0" borderId="14" xfId="0" applyNumberFormat="1" applyFont="1" applyFill="1" applyBorder="1" applyAlignment="1">
      <alignment horizontal="right" vertical="center"/>
    </xf>
    <xf numFmtId="39" fontId="89" fillId="0" borderId="7" xfId="0" applyNumberFormat="1" applyFont="1" applyFill="1" applyBorder="1" applyAlignment="1">
      <alignment horizontal="right" vertical="center"/>
    </xf>
    <xf numFmtId="166" fontId="69" fillId="0" borderId="7" xfId="2" applyNumberFormat="1" applyFont="1" applyFill="1" applyBorder="1" applyAlignment="1">
      <alignment horizontal="right" vertical="center"/>
    </xf>
    <xf numFmtId="166" fontId="0" fillId="0" borderId="45" xfId="2" applyNumberFormat="1" applyFont="1" applyFill="1" applyBorder="1" applyAlignment="1">
      <alignment vertical="center"/>
    </xf>
    <xf numFmtId="165" fontId="35" fillId="0" borderId="0" xfId="0" applyNumberFormat="1" applyFont="1" applyAlignment="1">
      <alignment horizontal="left" vertical="center"/>
    </xf>
    <xf numFmtId="4" fontId="0" fillId="0" borderId="0" xfId="2" applyNumberFormat="1" applyFont="1" applyAlignment="1">
      <alignment horizontal="right"/>
    </xf>
    <xf numFmtId="0" fontId="68" fillId="5" borderId="14" xfId="0" applyFont="1" applyFill="1" applyBorder="1" applyAlignment="1">
      <alignment horizontal="left" vertical="center" wrapText="1"/>
    </xf>
    <xf numFmtId="0" fontId="68" fillId="0" borderId="5" xfId="0" applyFont="1" applyBorder="1" applyAlignment="1">
      <alignment horizontal="left" vertical="center" wrapText="1"/>
    </xf>
    <xf numFmtId="0" fontId="68" fillId="0" borderId="7" xfId="0" applyFont="1" applyBorder="1" applyAlignment="1">
      <alignment horizontal="left" vertical="center" wrapText="1"/>
    </xf>
    <xf numFmtId="0" fontId="69" fillId="0" borderId="0" xfId="0" applyFont="1" applyAlignment="1">
      <alignment horizontal="left" vertical="center" wrapText="1"/>
    </xf>
    <xf numFmtId="0" fontId="68" fillId="0" borderId="14" xfId="0" applyFont="1" applyBorder="1" applyAlignment="1">
      <alignment horizontal="left" vertical="top" wrapText="1"/>
    </xf>
    <xf numFmtId="0" fontId="68" fillId="5" borderId="7" xfId="0" applyFont="1" applyFill="1" applyBorder="1" applyAlignment="1">
      <alignment horizontal="left" vertical="center" wrapText="1"/>
    </xf>
    <xf numFmtId="2" fontId="68" fillId="0" borderId="1" xfId="0" applyNumberFormat="1" applyFont="1" applyFill="1" applyBorder="1" applyAlignment="1">
      <alignment horizontal="right" vertical="center"/>
    </xf>
    <xf numFmtId="2" fontId="69" fillId="0" borderId="1" xfId="0" applyNumberFormat="1" applyFont="1" applyFill="1" applyBorder="1" applyAlignment="1">
      <alignment horizontal="right" vertical="center"/>
    </xf>
    <xf numFmtId="2" fontId="69" fillId="0" borderId="7" xfId="0" applyNumberFormat="1" applyFont="1" applyFill="1" applyBorder="1" applyAlignment="1">
      <alignment horizontal="right" vertical="center"/>
    </xf>
    <xf numFmtId="2" fontId="68" fillId="0" borderId="7" xfId="0" applyNumberFormat="1" applyFont="1" applyFill="1" applyBorder="1" applyAlignment="1">
      <alignment horizontal="right" vertical="center"/>
    </xf>
    <xf numFmtId="167" fontId="69" fillId="0" borderId="7" xfId="0" applyNumberFormat="1" applyFont="1" applyFill="1" applyBorder="1" applyAlignment="1">
      <alignment horizontal="right" vertical="center"/>
    </xf>
    <xf numFmtId="0" fontId="69" fillId="0" borderId="95" xfId="12" applyFont="1" applyBorder="1" applyAlignment="1">
      <alignment horizontal="left" vertical="top" wrapText="1"/>
    </xf>
    <xf numFmtId="0" fontId="69" fillId="0" borderId="13" xfId="12" applyFont="1" applyBorder="1" applyAlignment="1">
      <alignment horizontal="left" vertical="top" wrapText="1"/>
    </xf>
    <xf numFmtId="0" fontId="69" fillId="0" borderId="0" xfId="12" applyFont="1" applyBorder="1" applyAlignment="1">
      <alignment horizontal="left" vertical="top" wrapText="1"/>
    </xf>
    <xf numFmtId="0" fontId="0" fillId="0" borderId="7" xfId="0" applyFont="1" applyBorder="1" applyAlignment="1">
      <alignment horizontal="left" vertical="center" wrapText="1"/>
    </xf>
    <xf numFmtId="0" fontId="69" fillId="0" borderId="7" xfId="12" applyFont="1" applyBorder="1" applyAlignment="1">
      <alignment horizontal="left" vertical="top" wrapText="1"/>
    </xf>
    <xf numFmtId="0" fontId="69" fillId="0" borderId="1" xfId="0" applyFont="1" applyBorder="1" applyAlignment="1">
      <alignment horizontal="left" vertical="center" wrapText="1"/>
    </xf>
    <xf numFmtId="0" fontId="68" fillId="0" borderId="1" xfId="0" applyFont="1" applyBorder="1" applyAlignment="1">
      <alignment horizontal="left" vertical="center" wrapText="1"/>
    </xf>
    <xf numFmtId="0" fontId="69" fillId="0" borderId="74" xfId="0" applyFont="1" applyBorder="1" applyAlignment="1">
      <alignment horizontal="left" vertical="center" wrapText="1"/>
    </xf>
    <xf numFmtId="0" fontId="68" fillId="0" borderId="53" xfId="12" applyFont="1" applyBorder="1" applyAlignment="1">
      <alignment vertical="top" wrapText="1"/>
    </xf>
    <xf numFmtId="0" fontId="69" fillId="0" borderId="1" xfId="0" applyFont="1" applyFill="1" applyBorder="1" applyAlignment="1">
      <alignment horizontal="left" vertical="center" wrapText="1"/>
    </xf>
    <xf numFmtId="0" fontId="69" fillId="0" borderId="8" xfId="0" applyFont="1" applyBorder="1" applyAlignment="1">
      <alignment horizontal="left" vertical="center" wrapText="1"/>
    </xf>
    <xf numFmtId="0" fontId="69" fillId="0" borderId="5" xfId="0" applyFont="1" applyBorder="1" applyAlignment="1">
      <alignment horizontal="left" vertical="center" wrapText="1"/>
    </xf>
    <xf numFmtId="0" fontId="68" fillId="0" borderId="57" xfId="0" applyFont="1" applyBorder="1" applyAlignment="1">
      <alignment horizontal="left" vertical="center" wrapText="1"/>
    </xf>
    <xf numFmtId="0" fontId="69" fillId="0" borderId="13" xfId="0" applyFont="1" applyBorder="1" applyAlignment="1">
      <alignment vertical="center" wrapText="1"/>
    </xf>
    <xf numFmtId="0" fontId="69" fillId="0" borderId="18" xfId="0" applyFont="1" applyBorder="1" applyAlignment="1">
      <alignment horizontal="left" vertical="center" wrapText="1"/>
    </xf>
    <xf numFmtId="0" fontId="68" fillId="0" borderId="55" xfId="0" applyFont="1" applyBorder="1" applyAlignment="1">
      <alignment horizontal="left" vertical="center" wrapText="1"/>
    </xf>
    <xf numFmtId="0" fontId="69" fillId="0" borderId="18" xfId="0" applyFont="1" applyBorder="1" applyAlignment="1">
      <alignment vertical="center" wrapText="1"/>
    </xf>
    <xf numFmtId="4" fontId="0" fillId="0" borderId="14" xfId="2" applyNumberFormat="1" applyFont="1" applyBorder="1" applyAlignment="1">
      <alignment horizontal="right" vertical="center"/>
    </xf>
    <xf numFmtId="4" fontId="68" fillId="0" borderId="5" xfId="2" applyNumberFormat="1" applyFont="1" applyBorder="1" applyAlignment="1">
      <alignment horizontal="right" vertical="center"/>
    </xf>
    <xf numFmtId="4" fontId="69" fillId="0" borderId="5" xfId="2" applyNumberFormat="1" applyFont="1" applyBorder="1" applyAlignment="1">
      <alignment horizontal="right" vertical="center"/>
    </xf>
    <xf numFmtId="4" fontId="0" fillId="0" borderId="7" xfId="2" applyNumberFormat="1" applyFont="1" applyBorder="1" applyAlignment="1">
      <alignment horizontal="right" vertical="center"/>
    </xf>
    <xf numFmtId="4" fontId="69" fillId="0" borderId="7" xfId="2" applyNumberFormat="1" applyFont="1" applyBorder="1" applyAlignment="1">
      <alignment horizontal="right" vertical="center"/>
    </xf>
    <xf numFmtId="4" fontId="89" fillId="0" borderId="5" xfId="2" applyNumberFormat="1" applyFont="1" applyBorder="1" applyAlignment="1">
      <alignment horizontal="right" vertical="center"/>
    </xf>
    <xf numFmtId="4" fontId="0" fillId="0" borderId="1" xfId="2" applyNumberFormat="1" applyFont="1" applyBorder="1" applyAlignment="1">
      <alignment horizontal="right" vertical="center"/>
    </xf>
    <xf numFmtId="4" fontId="0" fillId="0" borderId="74" xfId="2" applyNumberFormat="1" applyFont="1" applyBorder="1" applyAlignment="1">
      <alignment horizontal="right" vertical="center"/>
    </xf>
    <xf numFmtId="4" fontId="68" fillId="0" borderId="7" xfId="2" applyNumberFormat="1" applyFont="1" applyFill="1" applyBorder="1" applyAlignment="1">
      <alignment horizontal="right" vertical="center"/>
    </xf>
    <xf numFmtId="4" fontId="69" fillId="0" borderId="7" xfId="2" applyNumberFormat="1" applyFont="1" applyFill="1" applyBorder="1" applyAlignment="1">
      <alignment horizontal="right" vertical="center"/>
    </xf>
    <xf numFmtId="4" fontId="69" fillId="0" borderId="5" xfId="2" applyNumberFormat="1" applyFont="1" applyFill="1" applyBorder="1" applyAlignment="1">
      <alignment horizontal="right" vertical="center"/>
    </xf>
    <xf numFmtId="0" fontId="69" fillId="0" borderId="7" xfId="0" applyFont="1" applyBorder="1" applyAlignment="1">
      <alignment vertical="center" wrapText="1"/>
    </xf>
    <xf numFmtId="0" fontId="69" fillId="0" borderId="14" xfId="0" applyFont="1" applyBorder="1" applyAlignment="1">
      <alignment vertical="center" wrapText="1"/>
    </xf>
    <xf numFmtId="4" fontId="0" fillId="0" borderId="14" xfId="2" applyNumberFormat="1" applyFont="1" applyFill="1" applyBorder="1" applyAlignment="1">
      <alignment horizontal="right" vertical="center"/>
    </xf>
    <xf numFmtId="0" fontId="68" fillId="0" borderId="14" xfId="0" applyFont="1" applyBorder="1" applyAlignment="1">
      <alignment vertical="center" wrapText="1"/>
    </xf>
    <xf numFmtId="4" fontId="68" fillId="0" borderId="5" xfId="2" applyNumberFormat="1" applyFont="1" applyFill="1" applyBorder="1" applyAlignment="1">
      <alignment horizontal="right" vertical="center"/>
    </xf>
    <xf numFmtId="0" fontId="68" fillId="0" borderId="7" xfId="0" applyFont="1" applyBorder="1" applyAlignment="1">
      <alignment vertical="center" wrapText="1"/>
    </xf>
    <xf numFmtId="166" fontId="68" fillId="0" borderId="99" xfId="0" applyNumberFormat="1" applyFont="1" applyBorder="1" applyAlignment="1">
      <alignment horizontal="right" vertical="center"/>
    </xf>
    <xf numFmtId="4" fontId="0" fillId="0" borderId="1" xfId="2" applyNumberFormat="1" applyFont="1" applyFill="1" applyBorder="1" applyAlignment="1">
      <alignment horizontal="right" vertical="center"/>
    </xf>
    <xf numFmtId="4" fontId="0" fillId="0" borderId="7" xfId="2" applyNumberFormat="1" applyFont="1" applyFill="1" applyBorder="1" applyAlignment="1">
      <alignment horizontal="right" vertical="center"/>
    </xf>
    <xf numFmtId="4" fontId="68" fillId="0" borderId="1" xfId="2" applyNumberFormat="1" applyFont="1" applyFill="1" applyBorder="1" applyAlignment="1">
      <alignment horizontal="right" vertical="center"/>
    </xf>
    <xf numFmtId="4" fontId="89" fillId="0" borderId="5" xfId="0" applyNumberFormat="1" applyFont="1" applyFill="1" applyBorder="1" applyAlignment="1">
      <alignment horizontal="right" vertical="center"/>
    </xf>
    <xf numFmtId="0" fontId="68" fillId="0" borderId="53" xfId="0" applyFont="1" applyFill="1" applyBorder="1" applyAlignment="1">
      <alignment horizontal="left" vertical="center" wrapText="1"/>
    </xf>
    <xf numFmtId="166" fontId="69" fillId="0" borderId="0" xfId="0" applyNumberFormat="1" applyFont="1" applyBorder="1" applyAlignment="1">
      <alignment horizontal="right" vertical="center"/>
    </xf>
    <xf numFmtId="0" fontId="0" fillId="0" borderId="7" xfId="0" applyFont="1" applyBorder="1" applyAlignment="1">
      <alignment vertical="center" wrapText="1"/>
    </xf>
    <xf numFmtId="0" fontId="69" fillId="0" borderId="7" xfId="0" applyFont="1" applyFill="1" applyBorder="1" applyAlignment="1">
      <alignment horizontal="left" vertical="center" wrapText="1"/>
    </xf>
    <xf numFmtId="0" fontId="0" fillId="0" borderId="74" xfId="0" applyFont="1" applyBorder="1" applyAlignment="1">
      <alignment horizontal="left" vertical="center" wrapText="1"/>
    </xf>
    <xf numFmtId="0" fontId="68" fillId="0" borderId="43" xfId="0" applyFont="1" applyBorder="1" applyAlignment="1">
      <alignment vertical="top" wrapText="1"/>
    </xf>
    <xf numFmtId="0" fontId="69" fillId="0" borderId="0" xfId="0" applyFont="1" applyAlignment="1">
      <alignment horizontal="left" vertical="top" wrapText="1"/>
    </xf>
    <xf numFmtId="0" fontId="89" fillId="0" borderId="43" xfId="0" applyFont="1" applyBorder="1" applyAlignment="1">
      <alignment vertical="top" wrapText="1"/>
    </xf>
    <xf numFmtId="0" fontId="69" fillId="0" borderId="0" xfId="0" applyFont="1" applyBorder="1" applyAlignment="1">
      <alignment horizontal="left" vertical="top" wrapText="1"/>
    </xf>
    <xf numFmtId="0" fontId="69" fillId="0" borderId="7" xfId="0" applyFont="1" applyBorder="1" applyAlignment="1">
      <alignment horizontal="left" vertical="top" wrapText="1"/>
    </xf>
    <xf numFmtId="43" fontId="69" fillId="0" borderId="7" xfId="2" applyNumberFormat="1" applyFont="1" applyBorder="1" applyAlignment="1">
      <alignment vertical="center"/>
    </xf>
    <xf numFmtId="0" fontId="89" fillId="0" borderId="0" xfId="0" applyFont="1" applyBorder="1" applyAlignment="1">
      <alignment vertical="top" wrapText="1"/>
    </xf>
    <xf numFmtId="0" fontId="68" fillId="0" borderId="79" xfId="0" applyFont="1" applyBorder="1" applyAlignment="1">
      <alignment vertical="top" wrapText="1"/>
    </xf>
    <xf numFmtId="0" fontId="69" fillId="0" borderId="28" xfId="5" applyFont="1" applyBorder="1" applyAlignment="1">
      <alignment vertical="center" wrapText="1"/>
    </xf>
    <xf numFmtId="0" fontId="68" fillId="0" borderId="7" xfId="0" applyFont="1" applyFill="1" applyBorder="1" applyAlignment="1">
      <alignment horizontal="left" vertical="center" wrapText="1"/>
    </xf>
    <xf numFmtId="0" fontId="69" fillId="0" borderId="52" xfId="5" applyFont="1" applyBorder="1" applyAlignment="1">
      <alignment vertical="center" wrapText="1"/>
    </xf>
    <xf numFmtId="168" fontId="69" fillId="0" borderId="7" xfId="0" applyNumberFormat="1" applyFont="1" applyBorder="1" applyAlignment="1">
      <alignment horizontal="left" vertical="center" wrapText="1"/>
    </xf>
    <xf numFmtId="4" fontId="89" fillId="0" borderId="53" xfId="0" applyNumberFormat="1" applyFont="1" applyBorder="1" applyAlignment="1">
      <alignment horizontal="right" vertical="center"/>
    </xf>
    <xf numFmtId="4" fontId="89" fillId="0" borderId="1" xfId="0" applyNumberFormat="1" applyFont="1" applyBorder="1" applyAlignment="1">
      <alignment horizontal="right" vertical="center"/>
    </xf>
    <xf numFmtId="168" fontId="68" fillId="4" borderId="5" xfId="0" applyNumberFormat="1" applyFont="1" applyFill="1" applyBorder="1" applyAlignment="1">
      <alignment horizontal="left" vertical="center" wrapText="1"/>
    </xf>
    <xf numFmtId="168" fontId="68" fillId="0" borderId="7" xfId="0" applyNumberFormat="1" applyFont="1" applyBorder="1" applyAlignment="1">
      <alignment horizontal="left" vertical="center" wrapText="1"/>
    </xf>
    <xf numFmtId="4" fontId="69" fillId="0" borderId="14" xfId="0" applyNumberFormat="1" applyFont="1" applyBorder="1" applyAlignment="1">
      <alignment horizontal="right" vertical="center"/>
    </xf>
    <xf numFmtId="168" fontId="68" fillId="0" borderId="5" xfId="0" applyNumberFormat="1" applyFont="1" applyBorder="1" applyAlignment="1">
      <alignment horizontal="left" vertical="center" wrapText="1"/>
    </xf>
    <xf numFmtId="4" fontId="0" fillId="0" borderId="1" xfId="0" applyNumberFormat="1" applyFont="1" applyBorder="1" applyAlignment="1">
      <alignment horizontal="right" vertical="center"/>
    </xf>
    <xf numFmtId="168" fontId="68" fillId="4" borderId="7" xfId="0" applyNumberFormat="1" applyFont="1" applyFill="1" applyBorder="1" applyAlignment="1">
      <alignment horizontal="left" vertical="center" wrapText="1"/>
    </xf>
    <xf numFmtId="4" fontId="69" fillId="4" borderId="1" xfId="2" applyNumberFormat="1" applyFont="1" applyFill="1" applyBorder="1" applyAlignment="1">
      <alignment horizontal="right" vertical="center"/>
    </xf>
    <xf numFmtId="4" fontId="0" fillId="4" borderId="14" xfId="2" applyNumberFormat="1" applyFont="1" applyFill="1" applyBorder="1" applyAlignment="1">
      <alignment horizontal="right" vertical="center"/>
    </xf>
    <xf numFmtId="2" fontId="69" fillId="0" borderId="7" xfId="0" applyNumberFormat="1" applyFont="1" applyFill="1" applyBorder="1" applyAlignment="1">
      <alignment horizontal="right" vertical="center" wrapText="1"/>
    </xf>
    <xf numFmtId="0" fontId="68" fillId="0" borderId="7" xfId="0" applyFont="1" applyBorder="1" applyAlignment="1">
      <alignment vertical="top" wrapText="1"/>
    </xf>
    <xf numFmtId="0" fontId="68" fillId="0" borderId="56" xfId="0" applyFont="1" applyFill="1" applyBorder="1" applyAlignment="1">
      <alignment vertical="center" wrapText="1"/>
    </xf>
    <xf numFmtId="0" fontId="68" fillId="0" borderId="8" xfId="0" applyFont="1" applyBorder="1" applyAlignment="1">
      <alignment horizontal="left" vertical="center" wrapText="1"/>
    </xf>
    <xf numFmtId="0" fontId="68" fillId="0" borderId="13" xfId="0" applyFont="1" applyFill="1" applyBorder="1" applyAlignment="1">
      <alignment horizontal="left" vertical="center" wrapText="1"/>
    </xf>
    <xf numFmtId="0" fontId="69" fillId="0" borderId="13" xfId="0" applyFont="1" applyFill="1" applyBorder="1" applyAlignment="1">
      <alignment horizontal="left" vertical="center" wrapText="1"/>
    </xf>
    <xf numFmtId="0" fontId="0" fillId="0" borderId="7" xfId="0" applyFont="1" applyFill="1" applyBorder="1" applyAlignment="1">
      <alignment horizontal="left" vertical="center" wrapText="1"/>
    </xf>
    <xf numFmtId="0" fontId="69" fillId="0" borderId="0" xfId="0" applyFont="1" applyBorder="1" applyAlignment="1">
      <alignment horizontal="left" vertical="center" wrapText="1"/>
    </xf>
    <xf numFmtId="165" fontId="0" fillId="0" borderId="1" xfId="0" applyNumberFormat="1" applyBorder="1"/>
    <xf numFmtId="4" fontId="0" fillId="0" borderId="1" xfId="0" applyNumberFormat="1" applyBorder="1"/>
    <xf numFmtId="165" fontId="0" fillId="9" borderId="1" xfId="0" applyNumberFormat="1" applyFill="1" applyBorder="1"/>
    <xf numFmtId="166" fontId="0" fillId="9" borderId="1" xfId="2" applyNumberFormat="1" applyFont="1" applyFill="1" applyBorder="1"/>
    <xf numFmtId="4" fontId="0" fillId="9" borderId="1" xfId="0" applyNumberFormat="1" applyFill="1" applyBorder="1"/>
    <xf numFmtId="0" fontId="0" fillId="0" borderId="1" xfId="0" applyBorder="1"/>
    <xf numFmtId="43" fontId="0" fillId="0" borderId="17" xfId="0" applyNumberFormat="1" applyBorder="1"/>
    <xf numFmtId="4" fontId="0" fillId="0" borderId="17" xfId="0" applyNumberFormat="1" applyBorder="1"/>
    <xf numFmtId="166" fontId="40" fillId="0" borderId="14" xfId="2" applyNumberFormat="1" applyFont="1" applyBorder="1" applyAlignment="1">
      <alignment vertical="center"/>
    </xf>
    <xf numFmtId="10" fontId="40" fillId="0" borderId="14" xfId="2" applyNumberFormat="1" applyFont="1" applyBorder="1"/>
    <xf numFmtId="43" fontId="28" fillId="8" borderId="53" xfId="0" applyNumberFormat="1" applyFont="1" applyFill="1" applyBorder="1" applyAlignment="1">
      <alignment horizontal="left" vertical="center" indent="1"/>
    </xf>
    <xf numFmtId="4" fontId="26" fillId="0" borderId="123" xfId="2" applyNumberFormat="1" applyFont="1" applyBorder="1"/>
    <xf numFmtId="166" fontId="11" fillId="0" borderId="0" xfId="2" applyNumberFormat="1" applyFont="1" applyAlignment="1">
      <alignment horizontal="center"/>
    </xf>
    <xf numFmtId="166" fontId="73" fillId="0" borderId="0" xfId="11" applyNumberFormat="1" applyFont="1" applyBorder="1" applyAlignment="1">
      <alignment horizontal="center"/>
    </xf>
    <xf numFmtId="0" fontId="11" fillId="0" borderId="0" xfId="0" applyFont="1" applyAlignment="1">
      <alignment vertical="center"/>
    </xf>
    <xf numFmtId="166" fontId="69" fillId="10" borderId="59" xfId="0" applyNumberFormat="1" applyFont="1" applyFill="1" applyBorder="1"/>
    <xf numFmtId="166" fontId="69" fillId="10" borderId="59" xfId="0" applyNumberFormat="1" applyFont="1" applyFill="1" applyBorder="1" applyAlignment="1">
      <alignment horizontal="center"/>
    </xf>
    <xf numFmtId="166" fontId="69" fillId="0" borderId="59" xfId="0" applyNumberFormat="1" applyFont="1" applyBorder="1" applyAlignment="1">
      <alignment horizontal="center"/>
    </xf>
    <xf numFmtId="166" fontId="69" fillId="0" borderId="59" xfId="0" applyNumberFormat="1" applyFont="1" applyBorder="1"/>
    <xf numFmtId="166" fontId="69" fillId="10" borderId="71" xfId="0" applyNumberFormat="1" applyFont="1" applyFill="1" applyBorder="1"/>
    <xf numFmtId="43" fontId="76" fillId="0" borderId="53" xfId="0" applyNumberFormat="1" applyFont="1" applyBorder="1"/>
    <xf numFmtId="0" fontId="70" fillId="0" borderId="0" xfId="0" applyFont="1"/>
    <xf numFmtId="0" fontId="0" fillId="0" borderId="0" xfId="0"/>
    <xf numFmtId="39" fontId="69" fillId="0" borderId="7" xfId="0" applyNumberFormat="1" applyFont="1" applyBorder="1" applyAlignment="1">
      <alignment vertical="center"/>
    </xf>
    <xf numFmtId="0" fontId="18" fillId="0" borderId="28" xfId="0" applyFont="1" applyFill="1" applyBorder="1"/>
    <xf numFmtId="0" fontId="86" fillId="0" borderId="0" xfId="0" applyFont="1" applyFill="1"/>
    <xf numFmtId="0" fontId="0" fillId="0" borderId="0" xfId="0"/>
    <xf numFmtId="49" fontId="76" fillId="0" borderId="1" xfId="0" applyNumberFormat="1" applyFont="1" applyBorder="1" applyAlignment="1">
      <alignment horizontal="center" vertical="center"/>
    </xf>
    <xf numFmtId="166" fontId="0" fillId="0" borderId="14" xfId="2" applyNumberFormat="1" applyFont="1" applyBorder="1" applyAlignment="1">
      <alignment vertical="top"/>
    </xf>
    <xf numFmtId="166" fontId="0" fillId="0" borderId="5" xfId="2" applyNumberFormat="1" applyFont="1" applyBorder="1" applyAlignment="1">
      <alignment vertical="top"/>
    </xf>
    <xf numFmtId="39" fontId="68" fillId="0" borderId="68" xfId="0" applyNumberFormat="1" applyFont="1" applyBorder="1" applyAlignment="1">
      <alignment vertical="center"/>
    </xf>
    <xf numFmtId="39" fontId="68" fillId="0" borderId="68" xfId="0" applyNumberFormat="1" applyFont="1" applyBorder="1" applyAlignment="1">
      <alignment horizontal="right" vertical="center"/>
    </xf>
    <xf numFmtId="0" fontId="9" fillId="0" borderId="43" xfId="0" applyFont="1" applyBorder="1"/>
    <xf numFmtId="0" fontId="0" fillId="0" borderId="43" xfId="0" applyBorder="1"/>
    <xf numFmtId="0" fontId="70" fillId="0" borderId="0" xfId="0" applyFont="1"/>
    <xf numFmtId="0" fontId="0" fillId="0" borderId="0" xfId="0"/>
    <xf numFmtId="39" fontId="69" fillId="0" borderId="74" xfId="0" applyNumberFormat="1" applyFont="1" applyBorder="1" applyAlignment="1">
      <alignment vertical="top"/>
    </xf>
    <xf numFmtId="39" fontId="69" fillId="4" borderId="7" xfId="0" applyNumberFormat="1" applyFont="1" applyFill="1" applyBorder="1" applyAlignment="1">
      <alignment horizontal="right" vertical="center"/>
    </xf>
    <xf numFmtId="0" fontId="68" fillId="2" borderId="53" xfId="0" applyFont="1" applyFill="1" applyBorder="1" applyAlignment="1">
      <alignment horizontal="left" vertical="center" wrapText="1"/>
    </xf>
    <xf numFmtId="0" fontId="68" fillId="0" borderId="1" xfId="0" applyFont="1" applyFill="1" applyBorder="1" applyAlignment="1">
      <alignment horizontal="left" vertical="center" wrapText="1"/>
    </xf>
    <xf numFmtId="0" fontId="69" fillId="0" borderId="5" xfId="0" applyFont="1" applyFill="1" applyBorder="1" applyAlignment="1">
      <alignment horizontal="left" vertical="center" wrapText="1"/>
    </xf>
    <xf numFmtId="0" fontId="68" fillId="0" borderId="14" xfId="0" applyFont="1" applyFill="1" applyBorder="1" applyAlignment="1">
      <alignment horizontal="left" vertical="center" wrapText="1"/>
    </xf>
    <xf numFmtId="0" fontId="68" fillId="0" borderId="55" xfId="0" applyFont="1" applyFill="1" applyBorder="1" applyAlignment="1">
      <alignment horizontal="left" vertical="center" wrapText="1"/>
    </xf>
    <xf numFmtId="0" fontId="68" fillId="0" borderId="43" xfId="13" applyFont="1" applyBorder="1" applyAlignment="1">
      <alignment horizontal="left" vertical="center" wrapText="1"/>
    </xf>
    <xf numFmtId="0" fontId="69" fillId="0" borderId="74" xfId="0" applyFont="1" applyFill="1" applyBorder="1" applyAlignment="1">
      <alignment horizontal="left" vertical="center" wrapText="1"/>
    </xf>
    <xf numFmtId="0" fontId="68" fillId="0" borderId="8" xfId="0" applyFont="1" applyFill="1" applyBorder="1" applyAlignment="1">
      <alignment horizontal="left" vertical="center" wrapText="1"/>
    </xf>
    <xf numFmtId="0" fontId="68" fillId="0" borderId="74" xfId="0" applyFont="1" applyFill="1" applyBorder="1" applyAlignment="1">
      <alignment horizontal="left" vertical="center" wrapText="1"/>
    </xf>
    <xf numFmtId="0" fontId="69" fillId="0" borderId="1" xfId="0" applyFont="1" applyBorder="1" applyAlignment="1">
      <alignment horizontal="left" wrapText="1"/>
    </xf>
    <xf numFmtId="0" fontId="69" fillId="0" borderId="7" xfId="0" applyFont="1" applyBorder="1" applyAlignment="1">
      <alignment horizontal="left" wrapText="1"/>
    </xf>
    <xf numFmtId="166" fontId="68" fillId="0" borderId="55" xfId="2" applyNumberFormat="1" applyFont="1" applyBorder="1" applyAlignment="1">
      <alignment wrapText="1"/>
    </xf>
    <xf numFmtId="0" fontId="68" fillId="0" borderId="57" xfId="0" applyFont="1" applyFill="1" applyBorder="1" applyAlignment="1">
      <alignment vertical="center" wrapText="1"/>
    </xf>
    <xf numFmtId="0" fontId="69" fillId="4" borderId="7" xfId="0" applyFont="1" applyFill="1" applyBorder="1" applyAlignment="1">
      <alignment horizontal="left" vertical="center" wrapText="1"/>
    </xf>
    <xf numFmtId="0" fontId="69" fillId="4" borderId="14" xfId="0" applyFont="1" applyFill="1" applyBorder="1" applyAlignment="1">
      <alignment horizontal="left" vertical="center" wrapText="1"/>
    </xf>
    <xf numFmtId="0" fontId="89" fillId="0" borderId="66" xfId="0" applyFont="1" applyBorder="1" applyAlignment="1">
      <alignment horizontal="left" vertical="center" wrapText="1"/>
    </xf>
    <xf numFmtId="20" fontId="68" fillId="0" borderId="7" xfId="0" applyNumberFormat="1" applyFont="1" applyFill="1" applyBorder="1" applyAlignment="1">
      <alignment horizontal="left" vertical="center" wrapText="1"/>
    </xf>
    <xf numFmtId="0" fontId="69" fillId="4" borderId="7" xfId="0" applyFont="1" applyFill="1" applyBorder="1" applyAlignment="1">
      <alignment vertical="center" wrapText="1"/>
    </xf>
    <xf numFmtId="0" fontId="69" fillId="0" borderId="14" xfId="0" applyFont="1" applyFill="1" applyBorder="1" applyAlignment="1">
      <alignment horizontal="left" vertical="center" wrapText="1"/>
    </xf>
    <xf numFmtId="0" fontId="0" fillId="0" borderId="1" xfId="0" applyFont="1" applyFill="1" applyBorder="1" applyAlignment="1">
      <alignment horizontal="left" vertical="center" wrapText="1"/>
    </xf>
    <xf numFmtId="0" fontId="89" fillId="0" borderId="7" xfId="0" applyFont="1" applyBorder="1" applyAlignment="1">
      <alignment horizontal="left" vertical="center" wrapText="1"/>
    </xf>
    <xf numFmtId="43" fontId="69" fillId="0" borderId="43" xfId="1" applyFont="1" applyFill="1" applyBorder="1" applyAlignment="1">
      <alignment horizontal="left" vertical="top" wrapText="1"/>
    </xf>
    <xf numFmtId="43" fontId="69" fillId="0" borderId="43" xfId="1" applyFont="1" applyFill="1" applyBorder="1" applyAlignment="1">
      <alignment horizontal="left" wrapText="1"/>
    </xf>
    <xf numFmtId="0" fontId="68" fillId="8" borderId="9" xfId="0" applyFont="1" applyFill="1" applyBorder="1" applyAlignment="1">
      <alignment horizontal="left" vertical="center" wrapText="1"/>
    </xf>
    <xf numFmtId="0" fontId="69" fillId="0" borderId="43" xfId="0" applyFont="1" applyBorder="1" applyAlignment="1">
      <alignment horizontal="left" vertical="center" wrapText="1"/>
    </xf>
    <xf numFmtId="0" fontId="68" fillId="0" borderId="43" xfId="0" applyFont="1" applyBorder="1" applyAlignment="1">
      <alignment horizontal="left" vertical="center" wrapText="1"/>
    </xf>
    <xf numFmtId="0" fontId="69" fillId="0" borderId="42" xfId="0" applyFont="1" applyBorder="1" applyAlignment="1">
      <alignment horizontal="left" vertical="center" wrapText="1"/>
    </xf>
    <xf numFmtId="0" fontId="69" fillId="4" borderId="43" xfId="0" applyFont="1" applyFill="1" applyBorder="1" applyAlignment="1">
      <alignment vertical="top" wrapText="1"/>
    </xf>
    <xf numFmtId="0" fontId="69" fillId="4" borderId="0" xfId="0" applyFont="1" applyFill="1" applyAlignment="1">
      <alignment vertical="top" wrapText="1"/>
    </xf>
    <xf numFmtId="0" fontId="68" fillId="0" borderId="5" xfId="0" applyFont="1" applyFill="1" applyBorder="1" applyAlignment="1">
      <alignment horizontal="left" vertical="center" wrapText="1"/>
    </xf>
    <xf numFmtId="0" fontId="68" fillId="0" borderId="52" xfId="5" applyFont="1" applyBorder="1" applyAlignment="1">
      <alignment vertical="center" wrapText="1"/>
    </xf>
    <xf numFmtId="168" fontId="68" fillId="0" borderId="57" xfId="0" applyNumberFormat="1" applyFont="1" applyFill="1" applyBorder="1" applyAlignment="1">
      <alignment horizontal="left" vertical="center" wrapText="1"/>
    </xf>
    <xf numFmtId="168" fontId="68" fillId="4" borderId="53" xfId="0" applyNumberFormat="1" applyFont="1" applyFill="1" applyBorder="1" applyAlignment="1">
      <alignment horizontal="left" vertical="center" wrapText="1"/>
    </xf>
    <xf numFmtId="168" fontId="68" fillId="4" borderId="1" xfId="0" applyNumberFormat="1" applyFont="1" applyFill="1" applyBorder="1" applyAlignment="1">
      <alignment horizontal="left" vertical="center" wrapText="1"/>
    </xf>
    <xf numFmtId="168" fontId="69" fillId="0" borderId="5" xfId="0" applyNumberFormat="1" applyFont="1" applyBorder="1" applyAlignment="1">
      <alignment horizontal="left" vertical="center" wrapText="1"/>
    </xf>
    <xf numFmtId="168" fontId="69" fillId="0" borderId="14" xfId="0" applyNumberFormat="1" applyFont="1" applyBorder="1" applyAlignment="1">
      <alignment horizontal="left" vertical="center" wrapText="1"/>
    </xf>
    <xf numFmtId="168" fontId="68" fillId="0" borderId="53" xfId="0" applyNumberFormat="1" applyFont="1" applyBorder="1" applyAlignment="1">
      <alignment horizontal="left" vertical="center" wrapText="1"/>
    </xf>
    <xf numFmtId="168" fontId="68" fillId="0" borderId="1" xfId="0" applyNumberFormat="1" applyFont="1" applyBorder="1" applyAlignment="1">
      <alignment horizontal="left" vertical="center" wrapText="1"/>
    </xf>
    <xf numFmtId="168" fontId="69" fillId="4" borderId="7" xfId="0" applyNumberFormat="1" applyFont="1" applyFill="1" applyBorder="1" applyAlignment="1">
      <alignment horizontal="left" vertical="center" wrapText="1"/>
    </xf>
    <xf numFmtId="168" fontId="69" fillId="0" borderId="1" xfId="0" applyNumberFormat="1" applyFont="1" applyBorder="1" applyAlignment="1">
      <alignment horizontal="left" vertical="center" wrapText="1"/>
    </xf>
    <xf numFmtId="168" fontId="68" fillId="4" borderId="14" xfId="0" applyNumberFormat="1" applyFont="1" applyFill="1" applyBorder="1" applyAlignment="1">
      <alignment horizontal="left" vertical="center" wrapText="1"/>
    </xf>
    <xf numFmtId="168" fontId="69" fillId="4" borderId="14" xfId="0" applyNumberFormat="1" applyFont="1" applyFill="1" applyBorder="1" applyAlignment="1">
      <alignment horizontal="left" vertical="center" wrapText="1"/>
    </xf>
    <xf numFmtId="168" fontId="89" fillId="4" borderId="14" xfId="0" applyNumberFormat="1" applyFont="1" applyFill="1" applyBorder="1" applyAlignment="1">
      <alignment horizontal="left" vertical="center" wrapText="1"/>
    </xf>
    <xf numFmtId="168" fontId="89" fillId="4" borderId="1" xfId="0" applyNumberFormat="1" applyFont="1" applyFill="1" applyBorder="1" applyAlignment="1">
      <alignment horizontal="left" vertical="center" wrapText="1"/>
    </xf>
    <xf numFmtId="0" fontId="68" fillId="8" borderId="53" xfId="0" applyFont="1" applyFill="1" applyBorder="1" applyAlignment="1">
      <alignment horizontal="left" vertical="center" wrapText="1"/>
    </xf>
    <xf numFmtId="168" fontId="68" fillId="0" borderId="53" xfId="0" applyNumberFormat="1" applyFont="1" applyFill="1" applyBorder="1" applyAlignment="1">
      <alignment horizontal="left" vertical="center" wrapText="1"/>
    </xf>
    <xf numFmtId="0" fontId="89" fillId="0" borderId="7" xfId="0" applyFont="1" applyBorder="1" applyAlignment="1">
      <alignment vertical="top" wrapText="1"/>
    </xf>
    <xf numFmtId="0" fontId="68" fillId="8" borderId="11" xfId="0" applyFont="1" applyFill="1" applyBorder="1" applyAlignment="1">
      <alignment wrapText="1"/>
    </xf>
    <xf numFmtId="0" fontId="68" fillId="0" borderId="54" xfId="0" applyFont="1" applyBorder="1" applyAlignment="1">
      <alignment wrapText="1"/>
    </xf>
    <xf numFmtId="0" fontId="68" fillId="0" borderId="0" xfId="0" applyFont="1" applyFill="1" applyAlignment="1">
      <alignment wrapText="1"/>
    </xf>
    <xf numFmtId="0" fontId="68" fillId="0" borderId="53" xfId="0" applyFont="1" applyFill="1" applyBorder="1" applyAlignment="1">
      <alignment vertical="center" wrapText="1"/>
    </xf>
    <xf numFmtId="0" fontId="69" fillId="4" borderId="7" xfId="0" applyFont="1" applyFill="1" applyBorder="1" applyAlignment="1">
      <alignment vertical="top" wrapText="1"/>
    </xf>
    <xf numFmtId="49" fontId="76" fillId="0" borderId="53" xfId="0" applyNumberFormat="1" applyFont="1" applyBorder="1" applyAlignment="1">
      <alignment horizontal="center" vertical="center"/>
    </xf>
    <xf numFmtId="166" fontId="68" fillId="0" borderId="54" xfId="2" applyNumberFormat="1" applyFont="1" applyBorder="1" applyAlignment="1">
      <alignment horizontal="right" vertical="center"/>
    </xf>
    <xf numFmtId="166" fontId="76" fillId="0" borderId="54" xfId="2" applyNumberFormat="1" applyFont="1" applyBorder="1" applyAlignment="1">
      <alignment vertical="center"/>
    </xf>
    <xf numFmtId="166" fontId="68" fillId="0" borderId="28" xfId="2" applyNumberFormat="1" applyFont="1" applyBorder="1" applyAlignment="1">
      <alignment horizontal="right" vertical="center"/>
    </xf>
    <xf numFmtId="166" fontId="68" fillId="0" borderId="27" xfId="2" applyNumberFormat="1" applyFont="1" applyBorder="1" applyAlignment="1">
      <alignment vertical="center"/>
    </xf>
    <xf numFmtId="166" fontId="69" fillId="0" borderId="28" xfId="2" applyNumberFormat="1" applyFont="1" applyBorder="1" applyAlignment="1">
      <alignment horizontal="right" vertical="center"/>
    </xf>
    <xf numFmtId="166" fontId="70" fillId="0" borderId="28" xfId="2" applyNumberFormat="1" applyFont="1" applyBorder="1" applyAlignment="1">
      <alignment vertical="center"/>
    </xf>
    <xf numFmtId="166" fontId="72" fillId="0" borderId="28" xfId="2" applyNumberFormat="1" applyFont="1" applyBorder="1" applyAlignment="1">
      <alignment vertical="center"/>
    </xf>
    <xf numFmtId="166" fontId="0" fillId="0" borderId="1" xfId="2" applyNumberFormat="1" applyFont="1" applyBorder="1" applyAlignment="1">
      <alignment horizontal="right"/>
    </xf>
    <xf numFmtId="166" fontId="0" fillId="0" borderId="28" xfId="2" applyNumberFormat="1" applyFont="1" applyBorder="1" applyAlignment="1">
      <alignment vertical="center"/>
    </xf>
    <xf numFmtId="166" fontId="70" fillId="0" borderId="7" xfId="2" applyNumberFormat="1" applyFont="1" applyBorder="1" applyAlignment="1">
      <alignment vertical="center"/>
    </xf>
    <xf numFmtId="166" fontId="68" fillId="0" borderId="28" xfId="2" applyNumberFormat="1" applyFont="1" applyBorder="1" applyAlignment="1">
      <alignment vertical="center"/>
    </xf>
    <xf numFmtId="0" fontId="0" fillId="0" borderId="0" xfId="0"/>
    <xf numFmtId="0" fontId="0" fillId="0" borderId="0" xfId="0"/>
    <xf numFmtId="4" fontId="68" fillId="0" borderId="1" xfId="0" applyNumberFormat="1" applyFont="1" applyBorder="1"/>
    <xf numFmtId="165" fontId="0" fillId="0" borderId="0" xfId="0" applyNumberFormat="1" applyBorder="1"/>
    <xf numFmtId="165" fontId="68" fillId="0" borderId="0" xfId="0" applyNumberFormat="1" applyFont="1" applyBorder="1"/>
    <xf numFmtId="43" fontId="0" fillId="0" borderId="19" xfId="0" applyNumberFormat="1" applyBorder="1"/>
    <xf numFmtId="166" fontId="72" fillId="0" borderId="52" xfId="2" applyNumberFormat="1" applyFont="1" applyBorder="1" applyAlignment="1">
      <alignment vertical="center"/>
    </xf>
    <xf numFmtId="166" fontId="69" fillId="0" borderId="52" xfId="2" applyNumberFormat="1" applyFont="1" applyBorder="1" applyAlignment="1">
      <alignment vertical="center"/>
    </xf>
    <xf numFmtId="39" fontId="68" fillId="0" borderId="53" xfId="0" applyNumberFormat="1" applyFont="1" applyBorder="1" applyAlignment="1">
      <alignment vertical="center"/>
    </xf>
    <xf numFmtId="166" fontId="69" fillId="0" borderId="74" xfId="2" applyNumberFormat="1" applyFont="1" applyFill="1" applyBorder="1" applyAlignment="1">
      <alignment horizontal="right" vertical="center"/>
    </xf>
    <xf numFmtId="39" fontId="69" fillId="0" borderId="58" xfId="0" applyNumberFormat="1" applyFont="1" applyFill="1" applyBorder="1" applyAlignment="1">
      <alignment vertical="top"/>
    </xf>
    <xf numFmtId="39" fontId="83" fillId="0" borderId="7" xfId="0" applyNumberFormat="1" applyFont="1" applyBorder="1" applyAlignment="1">
      <alignment vertical="center"/>
    </xf>
    <xf numFmtId="39" fontId="68" fillId="0" borderId="7" xfId="0" applyNumberFormat="1" applyFont="1" applyBorder="1" applyAlignment="1">
      <alignment vertical="center"/>
    </xf>
    <xf numFmtId="39" fontId="69" fillId="0" borderId="13" xfId="0" applyNumberFormat="1" applyFont="1" applyBorder="1" applyAlignment="1">
      <alignment horizontal="right" vertical="center"/>
    </xf>
    <xf numFmtId="39" fontId="69" fillId="0" borderId="13" xfId="0" applyNumberFormat="1" applyFont="1" applyBorder="1" applyAlignment="1">
      <alignment vertical="center"/>
    </xf>
    <xf numFmtId="169" fontId="69" fillId="0" borderId="60" xfId="19" applyNumberFormat="1" applyFont="1" applyBorder="1" applyAlignment="1">
      <alignment horizontal="right" vertical="center"/>
    </xf>
    <xf numFmtId="169" fontId="69" fillId="0" borderId="60" xfId="0" applyNumberFormat="1" applyFont="1" applyBorder="1" applyAlignment="1">
      <alignment horizontal="right" vertical="center"/>
    </xf>
    <xf numFmtId="169" fontId="69" fillId="0" borderId="7" xfId="19" applyNumberFormat="1" applyFont="1" applyBorder="1" applyAlignment="1">
      <alignment horizontal="right" vertical="center"/>
    </xf>
    <xf numFmtId="169" fontId="69" fillId="0" borderId="7" xfId="0" applyNumberFormat="1" applyFont="1" applyBorder="1" applyAlignment="1">
      <alignment horizontal="right" vertical="center"/>
    </xf>
    <xf numFmtId="169" fontId="69" fillId="0" borderId="7" xfId="0" applyNumberFormat="1" applyFont="1" applyBorder="1" applyAlignment="1">
      <alignment horizontal="center" vertical="center"/>
    </xf>
    <xf numFmtId="0" fontId="69" fillId="10" borderId="99" xfId="0" applyFont="1" applyFill="1" applyBorder="1" applyAlignment="1">
      <alignment vertical="center" wrapText="1"/>
    </xf>
    <xf numFmtId="0" fontId="0" fillId="0" borderId="0" xfId="0"/>
    <xf numFmtId="0" fontId="0" fillId="0" borderId="1" xfId="0" applyFont="1" applyBorder="1" applyAlignment="1">
      <alignment vertical="center" wrapText="1"/>
    </xf>
    <xf numFmtId="43" fontId="69" fillId="0" borderId="0" xfId="0" applyNumberFormat="1" applyFont="1" applyBorder="1" applyAlignment="1">
      <alignment horizontal="right" vertical="center"/>
    </xf>
    <xf numFmtId="0" fontId="69" fillId="10" borderId="79" xfId="19" applyFont="1" applyFill="1" applyBorder="1" applyAlignment="1">
      <alignment vertical="center" wrapText="1"/>
    </xf>
    <xf numFmtId="43" fontId="69" fillId="0" borderId="1" xfId="0" applyNumberFormat="1" applyFont="1" applyBorder="1" applyAlignment="1">
      <alignment horizontal="right" vertical="center"/>
    </xf>
    <xf numFmtId="43" fontId="69" fillId="0" borderId="7" xfId="0" applyNumberFormat="1" applyFont="1" applyBorder="1" applyAlignment="1">
      <alignment horizontal="right" vertical="center"/>
    </xf>
    <xf numFmtId="0" fontId="0" fillId="0" borderId="0" xfId="0"/>
    <xf numFmtId="0" fontId="0" fillId="0" borderId="0" xfId="0"/>
    <xf numFmtId="169" fontId="69" fillId="10" borderId="14" xfId="0" applyNumberFormat="1" applyFont="1" applyFill="1" applyBorder="1" applyAlignment="1">
      <alignment horizontal="right" vertical="center"/>
    </xf>
    <xf numFmtId="166" fontId="68" fillId="4" borderId="14" xfId="0" applyNumberFormat="1" applyFont="1" applyFill="1" applyBorder="1" applyAlignment="1">
      <alignment horizontal="right" vertical="center"/>
    </xf>
    <xf numFmtId="0" fontId="0" fillId="0" borderId="0" xfId="0" applyFont="1" applyBorder="1" applyAlignment="1">
      <alignment vertical="top" wrapText="1"/>
    </xf>
    <xf numFmtId="166" fontId="26" fillId="0" borderId="14" xfId="2" applyNumberFormat="1" applyFont="1" applyBorder="1" applyAlignment="1">
      <alignment horizontal="center" vertical="center"/>
    </xf>
    <xf numFmtId="4" fontId="82" fillId="0" borderId="7" xfId="0" applyNumberFormat="1" applyFont="1" applyFill="1" applyBorder="1" applyAlignment="1">
      <alignment horizontal="right" vertical="center"/>
    </xf>
    <xf numFmtId="0" fontId="0" fillId="0" borderId="0" xfId="0"/>
    <xf numFmtId="169" fontId="69" fillId="0" borderId="7" xfId="105" applyNumberFormat="1" applyFont="1" applyBorder="1" applyAlignment="1">
      <alignment vertical="center"/>
    </xf>
    <xf numFmtId="164" fontId="74" fillId="0" borderId="7" xfId="105" applyNumberFormat="1" applyFont="1" applyBorder="1" applyAlignment="1">
      <alignment vertical="center"/>
    </xf>
    <xf numFmtId="169" fontId="69" fillId="0" borderId="7" xfId="109" applyNumberFormat="1" applyFont="1" applyBorder="1" applyAlignment="1">
      <alignment vertical="center"/>
    </xf>
    <xf numFmtId="169" fontId="69" fillId="0" borderId="14" xfId="109" applyNumberFormat="1" applyFont="1" applyBorder="1" applyAlignment="1">
      <alignment vertical="center"/>
    </xf>
    <xf numFmtId="43" fontId="40" fillId="0" borderId="5" xfId="2" applyNumberFormat="1" applyFont="1" applyBorder="1"/>
    <xf numFmtId="0" fontId="0" fillId="0" borderId="31" xfId="0" applyBorder="1"/>
    <xf numFmtId="0" fontId="68" fillId="0" borderId="9" xfId="0" applyFont="1" applyBorder="1" applyAlignment="1">
      <alignment horizontal="center" vertical="center"/>
    </xf>
    <xf numFmtId="0" fontId="0" fillId="0" borderId="3" xfId="0" applyBorder="1"/>
    <xf numFmtId="0" fontId="0" fillId="0" borderId="2" xfId="0" applyBorder="1"/>
    <xf numFmtId="0" fontId="68" fillId="0" borderId="1" xfId="0" applyFont="1" applyBorder="1"/>
    <xf numFmtId="166" fontId="66" fillId="0" borderId="1" xfId="2" applyNumberFormat="1" applyFont="1" applyBorder="1"/>
    <xf numFmtId="43" fontId="85" fillId="0" borderId="1" xfId="0" applyNumberFormat="1" applyFont="1" applyFill="1" applyBorder="1" applyAlignment="1">
      <alignment horizontal="left" vertical="center" indent="1"/>
    </xf>
    <xf numFmtId="4" fontId="0" fillId="0" borderId="1" xfId="0" applyNumberFormat="1" applyFill="1" applyBorder="1"/>
    <xf numFmtId="166" fontId="66" fillId="0" borderId="1" xfId="2" applyNumberFormat="1" applyFont="1" applyFill="1" applyBorder="1"/>
    <xf numFmtId="166" fontId="0" fillId="0" borderId="1" xfId="2" applyNumberFormat="1" applyFont="1" applyFill="1" applyBorder="1"/>
    <xf numFmtId="165" fontId="0" fillId="0" borderId="1" xfId="0" applyNumberFormat="1" applyFill="1" applyBorder="1"/>
    <xf numFmtId="43" fontId="86" fillId="9" borderId="1" xfId="0" applyNumberFormat="1" applyFont="1" applyFill="1" applyBorder="1" applyAlignment="1">
      <alignment horizontal="left" vertical="center" indent="1"/>
    </xf>
    <xf numFmtId="0" fontId="68" fillId="0" borderId="31" xfId="0" applyFont="1" applyBorder="1"/>
    <xf numFmtId="166" fontId="68" fillId="0" borderId="31" xfId="2" applyNumberFormat="1" applyFont="1" applyBorder="1"/>
    <xf numFmtId="166" fontId="0" fillId="0" borderId="31" xfId="2" applyNumberFormat="1" applyFont="1" applyBorder="1"/>
    <xf numFmtId="0" fontId="68" fillId="0" borderId="90" xfId="0" applyFont="1" applyBorder="1" applyAlignment="1">
      <alignment horizontal="center"/>
    </xf>
    <xf numFmtId="0" fontId="68" fillId="0" borderId="53" xfId="0" applyFont="1" applyBorder="1"/>
    <xf numFmtId="166" fontId="0" fillId="0" borderId="53" xfId="2" applyNumberFormat="1" applyFont="1" applyBorder="1"/>
    <xf numFmtId="0" fontId="0" fillId="0" borderId="53" xfId="0" applyBorder="1"/>
    <xf numFmtId="0" fontId="68" fillId="0" borderId="53" xfId="0" applyFont="1" applyBorder="1" applyAlignment="1">
      <alignment horizontal="left"/>
    </xf>
    <xf numFmtId="0" fontId="0" fillId="0" borderId="91" xfId="0" applyBorder="1" applyAlignment="1">
      <alignment horizontal="center"/>
    </xf>
    <xf numFmtId="0" fontId="0" fillId="0" borderId="0" xfId="0"/>
    <xf numFmtId="39" fontId="68" fillId="0" borderId="7" xfId="0" applyNumberFormat="1" applyFont="1" applyBorder="1" applyAlignment="1">
      <alignment horizontal="right" vertical="center"/>
    </xf>
    <xf numFmtId="39" fontId="0" fillId="0" borderId="7" xfId="0" applyNumberFormat="1" applyFont="1" applyBorder="1" applyAlignment="1">
      <alignment horizontal="right" vertical="center"/>
    </xf>
    <xf numFmtId="43" fontId="68" fillId="0" borderId="7" xfId="0" applyNumberFormat="1" applyFont="1" applyBorder="1" applyAlignment="1">
      <alignment vertical="center"/>
    </xf>
    <xf numFmtId="4" fontId="69" fillId="0" borderId="80" xfId="0" applyNumberFormat="1" applyFont="1" applyFill="1" applyBorder="1" applyAlignment="1">
      <alignment horizontal="right" vertical="center"/>
    </xf>
    <xf numFmtId="0" fontId="70" fillId="0" borderId="0" xfId="0" applyFont="1"/>
    <xf numFmtId="4" fontId="68" fillId="4" borderId="55" xfId="2" applyNumberFormat="1" applyFont="1" applyFill="1" applyBorder="1" applyAlignment="1">
      <alignment horizontal="right" vertical="center"/>
    </xf>
    <xf numFmtId="166" fontId="68" fillId="0" borderId="7" xfId="0" applyNumberFormat="1" applyFont="1" applyBorder="1"/>
    <xf numFmtId="169" fontId="69" fillId="0" borderId="7" xfId="111" applyNumberFormat="1" applyFont="1" applyFill="1" applyBorder="1" applyAlignment="1">
      <alignment vertical="center"/>
    </xf>
    <xf numFmtId="165" fontId="76" fillId="8" borderId="9" xfId="0" applyNumberFormat="1" applyFont="1" applyFill="1" applyBorder="1"/>
    <xf numFmtId="4" fontId="0" fillId="0" borderId="0" xfId="0" applyNumberFormat="1" applyFont="1" applyFill="1" applyAlignment="1">
      <alignment horizontal="right"/>
    </xf>
    <xf numFmtId="166" fontId="76" fillId="0" borderId="14" xfId="2" applyNumberFormat="1" applyFont="1" applyBorder="1" applyAlignment="1">
      <alignment horizontal="right"/>
    </xf>
    <xf numFmtId="166" fontId="76" fillId="0" borderId="7" xfId="2" applyNumberFormat="1" applyFont="1" applyBorder="1" applyAlignment="1">
      <alignment horizontal="right"/>
    </xf>
    <xf numFmtId="166" fontId="76" fillId="0" borderId="1" xfId="2" applyNumberFormat="1" applyFont="1" applyBorder="1" applyAlignment="1">
      <alignment horizontal="right"/>
    </xf>
    <xf numFmtId="39" fontId="68" fillId="0" borderId="7" xfId="0" applyNumberFormat="1" applyFont="1" applyBorder="1" applyAlignment="1">
      <alignment horizontal="right" vertical="top" wrapText="1"/>
    </xf>
    <xf numFmtId="166" fontId="0" fillId="0" borderId="1" xfId="2" applyNumberFormat="1" applyFont="1" applyBorder="1" applyAlignment="1">
      <alignment horizontal="right" vertical="center"/>
    </xf>
    <xf numFmtId="43" fontId="68" fillId="0" borderId="5" xfId="0" applyNumberFormat="1" applyFont="1" applyBorder="1" applyAlignment="1">
      <alignment horizontal="right" vertical="center"/>
    </xf>
    <xf numFmtId="166" fontId="69" fillId="0" borderId="7" xfId="11" applyNumberFormat="1" applyFont="1" applyFill="1" applyBorder="1" applyAlignment="1">
      <alignment horizontal="right" vertical="center"/>
    </xf>
    <xf numFmtId="166" fontId="72" fillId="0" borderId="0" xfId="2" applyNumberFormat="1" applyFont="1" applyAlignment="1">
      <alignment horizontal="right"/>
    </xf>
    <xf numFmtId="166" fontId="70" fillId="0" borderId="7" xfId="2" applyNumberFormat="1" applyFont="1" applyBorder="1" applyAlignment="1">
      <alignment horizontal="right"/>
    </xf>
    <xf numFmtId="166" fontId="72" fillId="0" borderId="7" xfId="2" applyNumberFormat="1" applyFont="1" applyBorder="1" applyAlignment="1">
      <alignment horizontal="right"/>
    </xf>
    <xf numFmtId="0" fontId="70" fillId="0" borderId="7" xfId="0" applyFont="1" applyBorder="1" applyAlignment="1">
      <alignment horizontal="right"/>
    </xf>
    <xf numFmtId="0" fontId="70" fillId="0" borderId="57" xfId="0" applyFont="1" applyBorder="1" applyAlignment="1">
      <alignment horizontal="right"/>
    </xf>
    <xf numFmtId="43" fontId="72" fillId="0" borderId="14" xfId="1" applyFont="1" applyBorder="1" applyAlignment="1">
      <alignment horizontal="right"/>
    </xf>
    <xf numFmtId="166" fontId="69" fillId="0" borderId="7" xfId="11" applyNumberFormat="1" applyFont="1" applyBorder="1" applyAlignment="1">
      <alignment horizontal="right" vertical="center"/>
    </xf>
    <xf numFmtId="0" fontId="70" fillId="0" borderId="14" xfId="0" applyFont="1" applyBorder="1" applyAlignment="1">
      <alignment horizontal="right"/>
    </xf>
    <xf numFmtId="0" fontId="70" fillId="0" borderId="1" xfId="0" applyFont="1" applyBorder="1" applyAlignment="1">
      <alignment horizontal="right"/>
    </xf>
    <xf numFmtId="0" fontId="0" fillId="0" borderId="0" xfId="0" applyFont="1" applyFill="1" applyAlignment="1">
      <alignment horizontal="right"/>
    </xf>
    <xf numFmtId="166" fontId="69" fillId="0" borderId="7" xfId="14" applyNumberFormat="1" applyFont="1" applyBorder="1" applyAlignment="1">
      <alignment horizontal="right" vertical="center"/>
    </xf>
    <xf numFmtId="166" fontId="69" fillId="0" borderId="7" xfId="16" applyNumberFormat="1" applyFont="1" applyBorder="1" applyAlignment="1">
      <alignment horizontal="right" vertical="center"/>
    </xf>
    <xf numFmtId="43" fontId="72" fillId="0" borderId="7" xfId="1" applyFont="1" applyFill="1" applyBorder="1" applyAlignment="1">
      <alignment horizontal="right" vertical="center"/>
    </xf>
    <xf numFmtId="43" fontId="72" fillId="0" borderId="7" xfId="1" applyFont="1" applyBorder="1" applyAlignment="1">
      <alignment horizontal="right" vertical="center"/>
    </xf>
    <xf numFmtId="0" fontId="89" fillId="0" borderId="1" xfId="0" applyFont="1" applyBorder="1" applyAlignment="1">
      <alignment horizontal="right" vertical="top" wrapText="1"/>
    </xf>
    <xf numFmtId="39" fontId="69" fillId="4" borderId="5" xfId="0" applyNumberFormat="1" applyFont="1" applyFill="1" applyBorder="1" applyAlignment="1">
      <alignment horizontal="right" vertical="top"/>
    </xf>
    <xf numFmtId="166" fontId="69" fillId="0" borderId="1" xfId="2" applyNumberFormat="1" applyFont="1" applyBorder="1" applyAlignment="1">
      <alignment horizontal="right"/>
    </xf>
    <xf numFmtId="43" fontId="68" fillId="0" borderId="7" xfId="0" applyNumberFormat="1" applyFont="1" applyBorder="1" applyAlignment="1">
      <alignment horizontal="right" vertical="center"/>
    </xf>
    <xf numFmtId="166" fontId="68" fillId="0" borderId="14" xfId="2" applyNumberFormat="1" applyFont="1" applyBorder="1" applyAlignment="1">
      <alignment horizontal="right"/>
    </xf>
    <xf numFmtId="166" fontId="68" fillId="0" borderId="7" xfId="2" applyNumberFormat="1" applyFont="1" applyBorder="1" applyAlignment="1">
      <alignment horizontal="right" vertical="center"/>
    </xf>
    <xf numFmtId="166" fontId="68" fillId="0" borderId="7" xfId="2" applyNumberFormat="1" applyFont="1" applyBorder="1" applyAlignment="1">
      <alignment horizontal="right"/>
    </xf>
    <xf numFmtId="166" fontId="68" fillId="0" borderId="1" xfId="2" applyNumberFormat="1" applyFont="1" applyBorder="1" applyAlignment="1">
      <alignment horizontal="right"/>
    </xf>
    <xf numFmtId="166" fontId="69" fillId="0" borderId="5" xfId="2" applyNumberFormat="1" applyFont="1" applyBorder="1" applyAlignment="1">
      <alignment horizontal="right"/>
    </xf>
    <xf numFmtId="39" fontId="68" fillId="0" borderId="68" xfId="0" applyNumberFormat="1" applyFont="1" applyBorder="1" applyAlignment="1">
      <alignment horizontal="right" vertical="top" wrapText="1"/>
    </xf>
    <xf numFmtId="169" fontId="69" fillId="0" borderId="7" xfId="105" applyNumberFormat="1" applyFont="1" applyBorder="1" applyAlignment="1">
      <alignment horizontal="right" vertical="center"/>
    </xf>
    <xf numFmtId="164" fontId="74" fillId="0" borderId="7" xfId="105" applyNumberFormat="1" applyFont="1" applyBorder="1" applyAlignment="1">
      <alignment horizontal="right" vertical="center"/>
    </xf>
    <xf numFmtId="169" fontId="69" fillId="0" borderId="14" xfId="109" applyNumberFormat="1" applyFont="1" applyBorder="1" applyAlignment="1">
      <alignment horizontal="right" vertical="center"/>
    </xf>
    <xf numFmtId="39" fontId="68" fillId="0" borderId="68" xfId="0" applyNumberFormat="1" applyFont="1" applyBorder="1" applyAlignment="1">
      <alignment horizontal="right" vertical="top"/>
    </xf>
    <xf numFmtId="166" fontId="68" fillId="8" borderId="53" xfId="2" applyNumberFormat="1" applyFont="1" applyFill="1" applyBorder="1" applyAlignment="1">
      <alignment horizontal="right"/>
    </xf>
    <xf numFmtId="43" fontId="69" fillId="10" borderId="59" xfId="0" applyNumberFormat="1" applyFont="1" applyFill="1" applyBorder="1" applyAlignment="1">
      <alignment horizontal="right"/>
    </xf>
    <xf numFmtId="43" fontId="68" fillId="0" borderId="7" xfId="1" applyFont="1" applyBorder="1" applyAlignment="1">
      <alignment horizontal="right" vertical="center"/>
    </xf>
    <xf numFmtId="166" fontId="69" fillId="10" borderId="59" xfId="0" applyNumberFormat="1" applyFont="1" applyFill="1" applyBorder="1" applyAlignment="1">
      <alignment horizontal="right"/>
    </xf>
    <xf numFmtId="166" fontId="69" fillId="10" borderId="61" xfId="0" applyNumberFormat="1" applyFont="1" applyFill="1" applyBorder="1" applyAlignment="1">
      <alignment horizontal="right"/>
    </xf>
    <xf numFmtId="43" fontId="69" fillId="0" borderId="7" xfId="1" applyFont="1" applyBorder="1" applyAlignment="1">
      <alignment horizontal="right" vertical="center"/>
    </xf>
    <xf numFmtId="166" fontId="69" fillId="0" borderId="59" xfId="0" applyNumberFormat="1" applyFont="1" applyBorder="1" applyAlignment="1">
      <alignment horizontal="right"/>
    </xf>
    <xf numFmtId="166" fontId="76" fillId="5" borderId="1" xfId="2" applyNumberFormat="1" applyFont="1" applyFill="1" applyBorder="1" applyAlignment="1">
      <alignment horizontal="right" vertical="center"/>
    </xf>
    <xf numFmtId="4" fontId="76" fillId="0" borderId="53" xfId="2" applyNumberFormat="1" applyFont="1" applyBorder="1" applyAlignment="1">
      <alignment horizontal="right" vertical="center"/>
    </xf>
    <xf numFmtId="4" fontId="76" fillId="0" borderId="5" xfId="2" applyNumberFormat="1" applyFont="1" applyBorder="1" applyAlignment="1">
      <alignment horizontal="right" vertical="center"/>
    </xf>
    <xf numFmtId="4" fontId="72" fillId="0" borderId="7" xfId="0" applyNumberFormat="1" applyFont="1" applyBorder="1" applyAlignment="1">
      <alignment horizontal="right" vertical="center"/>
    </xf>
    <xf numFmtId="4" fontId="76" fillId="0" borderId="7" xfId="0" applyNumberFormat="1" applyFont="1" applyBorder="1" applyAlignment="1">
      <alignment horizontal="right" vertical="center"/>
    </xf>
    <xf numFmtId="4" fontId="72" fillId="0" borderId="14" xfId="0" applyNumberFormat="1" applyFont="1" applyBorder="1" applyAlignment="1">
      <alignment horizontal="right" vertical="center"/>
    </xf>
    <xf numFmtId="4" fontId="76" fillId="0" borderId="53" xfId="0" applyNumberFormat="1" applyFont="1" applyBorder="1" applyAlignment="1">
      <alignment horizontal="right" vertical="center"/>
    </xf>
    <xf numFmtId="4" fontId="76" fillId="0" borderId="5" xfId="0" applyNumberFormat="1" applyFont="1" applyBorder="1" applyAlignment="1">
      <alignment horizontal="right" vertical="center"/>
    </xf>
    <xf numFmtId="4" fontId="72" fillId="0" borderId="5" xfId="0" applyNumberFormat="1" applyFont="1" applyBorder="1" applyAlignment="1">
      <alignment horizontal="right" vertical="center"/>
    </xf>
    <xf numFmtId="4" fontId="76" fillId="0" borderId="1" xfId="0" applyNumberFormat="1" applyFont="1" applyBorder="1" applyAlignment="1">
      <alignment horizontal="right" vertical="center"/>
    </xf>
    <xf numFmtId="4" fontId="76" fillId="0" borderId="66" xfId="0" applyNumberFormat="1" applyFont="1" applyBorder="1" applyAlignment="1">
      <alignment horizontal="right" vertical="center"/>
    </xf>
    <xf numFmtId="166" fontId="68" fillId="5" borderId="1" xfId="2" applyNumberFormat="1" applyFont="1" applyFill="1" applyBorder="1" applyAlignment="1">
      <alignment horizontal="right" vertical="center"/>
    </xf>
    <xf numFmtId="166" fontId="0" fillId="0" borderId="14" xfId="2" applyNumberFormat="1" applyFont="1" applyBorder="1" applyAlignment="1">
      <alignment horizontal="right" vertical="center"/>
    </xf>
    <xf numFmtId="166" fontId="68" fillId="2" borderId="53" xfId="2" applyNumberFormat="1" applyFont="1" applyFill="1" applyBorder="1" applyAlignment="1">
      <alignment horizontal="right" vertical="center"/>
    </xf>
    <xf numFmtId="166" fontId="68" fillId="0" borderId="53" xfId="2" applyNumberFormat="1" applyFont="1" applyFill="1" applyBorder="1" applyAlignment="1">
      <alignment horizontal="right" vertical="center"/>
    </xf>
    <xf numFmtId="166" fontId="68" fillId="0" borderId="1" xfId="2" applyNumberFormat="1" applyFont="1" applyFill="1" applyBorder="1" applyAlignment="1">
      <alignment horizontal="right" vertical="center"/>
    </xf>
    <xf numFmtId="166" fontId="68" fillId="0" borderId="7" xfId="2" applyNumberFormat="1" applyFont="1" applyFill="1" applyBorder="1" applyAlignment="1">
      <alignment horizontal="right" vertical="center"/>
    </xf>
    <xf numFmtId="166" fontId="0" fillId="0" borderId="14" xfId="2" applyNumberFormat="1" applyFont="1" applyFill="1" applyBorder="1" applyAlignment="1">
      <alignment horizontal="right" vertical="center"/>
    </xf>
    <xf numFmtId="166" fontId="0" fillId="0" borderId="1" xfId="2" applyNumberFormat="1" applyFont="1" applyFill="1" applyBorder="1" applyAlignment="1">
      <alignment horizontal="right" vertical="center"/>
    </xf>
    <xf numFmtId="166" fontId="69" fillId="0" borderId="1" xfId="2" applyNumberFormat="1" applyFont="1" applyFill="1" applyBorder="1" applyAlignment="1">
      <alignment horizontal="right" vertical="center"/>
    </xf>
    <xf numFmtId="166" fontId="0" fillId="0" borderId="7" xfId="2" applyNumberFormat="1" applyFont="1" applyFill="1" applyBorder="1" applyAlignment="1">
      <alignment horizontal="right" vertical="center"/>
    </xf>
    <xf numFmtId="166" fontId="0" fillId="0" borderId="5" xfId="2" applyNumberFormat="1" applyFont="1" applyFill="1" applyBorder="1" applyAlignment="1">
      <alignment horizontal="right" vertical="center"/>
    </xf>
    <xf numFmtId="166" fontId="68" fillId="0" borderId="14" xfId="2" applyNumberFormat="1" applyFont="1" applyFill="1" applyBorder="1" applyAlignment="1">
      <alignment horizontal="right" vertical="center"/>
    </xf>
    <xf numFmtId="43" fontId="69" fillId="0" borderId="5" xfId="0" applyNumberFormat="1" applyFont="1" applyBorder="1" applyAlignment="1">
      <alignment horizontal="right" vertical="center"/>
    </xf>
    <xf numFmtId="43" fontId="68" fillId="0" borderId="1" xfId="0" applyNumberFormat="1" applyFont="1" applyBorder="1" applyAlignment="1">
      <alignment horizontal="right" vertical="center"/>
    </xf>
    <xf numFmtId="4" fontId="68" fillId="0" borderId="57" xfId="2" applyNumberFormat="1" applyFont="1" applyBorder="1" applyAlignment="1">
      <alignment horizontal="right" vertical="center"/>
    </xf>
    <xf numFmtId="4" fontId="89" fillId="0" borderId="7" xfId="2" applyNumberFormat="1" applyFont="1" applyBorder="1" applyAlignment="1">
      <alignment horizontal="right" vertical="center"/>
    </xf>
    <xf numFmtId="4" fontId="69" fillId="0" borderId="1" xfId="2" applyNumberFormat="1" applyFont="1" applyBorder="1" applyAlignment="1">
      <alignment horizontal="right" vertical="center"/>
    </xf>
    <xf numFmtId="4" fontId="0" fillId="0" borderId="5" xfId="2" applyNumberFormat="1" applyFont="1" applyBorder="1" applyAlignment="1">
      <alignment horizontal="right" vertical="center"/>
    </xf>
    <xf numFmtId="166" fontId="68" fillId="8" borderId="9" xfId="2" applyNumberFormat="1" applyFont="1" applyFill="1" applyBorder="1" applyAlignment="1">
      <alignment horizontal="right" vertical="center"/>
    </xf>
    <xf numFmtId="166" fontId="68" fillId="0" borderId="5" xfId="2" applyNumberFormat="1" applyFont="1" applyBorder="1" applyAlignment="1">
      <alignment horizontal="right" vertical="center"/>
    </xf>
    <xf numFmtId="166" fontId="68" fillId="0" borderId="53" xfId="2" applyNumberFormat="1" applyFont="1" applyBorder="1" applyAlignment="1">
      <alignment horizontal="right" vertical="center"/>
    </xf>
    <xf numFmtId="166" fontId="0" fillId="0" borderId="7" xfId="2" applyNumberFormat="1" applyFont="1" applyBorder="1" applyAlignment="1">
      <alignment horizontal="right" vertical="center"/>
    </xf>
    <xf numFmtId="166" fontId="68" fillId="0" borderId="14" xfId="2" applyNumberFormat="1" applyFont="1" applyBorder="1" applyAlignment="1">
      <alignment horizontal="right" vertical="center"/>
    </xf>
    <xf numFmtId="166" fontId="68" fillId="0" borderId="74" xfId="2" applyNumberFormat="1" applyFont="1" applyBorder="1" applyAlignment="1">
      <alignment horizontal="right" vertical="center"/>
    </xf>
    <xf numFmtId="43" fontId="69" fillId="0" borderId="7" xfId="2" applyNumberFormat="1" applyFont="1" applyBorder="1" applyAlignment="1">
      <alignment horizontal="right" vertical="center"/>
    </xf>
    <xf numFmtId="166" fontId="89" fillId="0" borderId="7" xfId="2" applyNumberFormat="1" applyFont="1" applyBorder="1" applyAlignment="1">
      <alignment horizontal="right" vertical="center"/>
    </xf>
    <xf numFmtId="166" fontId="68" fillId="0" borderId="57" xfId="2" applyNumberFormat="1" applyFont="1" applyFill="1" applyBorder="1" applyAlignment="1">
      <alignment horizontal="right" vertical="center"/>
    </xf>
    <xf numFmtId="166" fontId="68" fillId="0" borderId="5" xfId="2" applyNumberFormat="1" applyFont="1" applyFill="1" applyBorder="1" applyAlignment="1">
      <alignment horizontal="right" vertical="center"/>
    </xf>
    <xf numFmtId="166" fontId="69" fillId="0" borderId="5" xfId="2" applyNumberFormat="1" applyFont="1" applyFill="1" applyBorder="1" applyAlignment="1">
      <alignment horizontal="right" vertical="center"/>
    </xf>
    <xf numFmtId="166" fontId="68" fillId="8" borderId="53" xfId="2" applyNumberFormat="1" applyFont="1" applyFill="1" applyBorder="1" applyAlignment="1">
      <alignment horizontal="right" vertical="center"/>
    </xf>
    <xf numFmtId="166" fontId="69" fillId="0" borderId="27" xfId="2" applyNumberFormat="1" applyFont="1" applyFill="1" applyBorder="1" applyAlignment="1">
      <alignment horizontal="right" vertical="center"/>
    </xf>
    <xf numFmtId="166" fontId="68" fillId="0" borderId="28" xfId="2" applyNumberFormat="1" applyFont="1" applyFill="1" applyBorder="1" applyAlignment="1">
      <alignment horizontal="right" vertical="center"/>
    </xf>
    <xf numFmtId="166" fontId="69" fillId="0" borderId="28" xfId="2" applyNumberFormat="1" applyFont="1" applyFill="1" applyBorder="1" applyAlignment="1">
      <alignment horizontal="right" vertical="center"/>
    </xf>
    <xf numFmtId="166" fontId="89" fillId="0" borderId="7" xfId="2" applyNumberFormat="1" applyFont="1" applyFill="1" applyBorder="1" applyAlignment="1">
      <alignment horizontal="right" vertical="center"/>
    </xf>
    <xf numFmtId="165" fontId="68" fillId="8" borderId="9" xfId="0" applyNumberFormat="1" applyFont="1" applyFill="1" applyBorder="1" applyAlignment="1">
      <alignment horizontal="right"/>
    </xf>
    <xf numFmtId="4" fontId="68" fillId="0" borderId="57" xfId="0" applyNumberFormat="1" applyFont="1" applyBorder="1" applyAlignment="1">
      <alignment horizontal="right" vertical="center"/>
    </xf>
    <xf numFmtId="0" fontId="0" fillId="0" borderId="43" xfId="0" applyFont="1" applyBorder="1" applyAlignment="1">
      <alignment horizontal="right"/>
    </xf>
    <xf numFmtId="4" fontId="68" fillId="0" borderId="54" xfId="0" applyNumberFormat="1" applyFont="1" applyBorder="1" applyAlignment="1">
      <alignment horizontal="right" vertical="center"/>
    </xf>
    <xf numFmtId="0" fontId="0" fillId="0" borderId="14" xfId="0" applyFont="1" applyBorder="1" applyAlignment="1">
      <alignment horizontal="right"/>
    </xf>
    <xf numFmtId="165" fontId="69" fillId="0" borderId="7" xfId="0" applyNumberFormat="1" applyFont="1" applyBorder="1" applyAlignment="1">
      <alignment horizontal="right"/>
    </xf>
    <xf numFmtId="165" fontId="69" fillId="0" borderId="43" xfId="0" applyNumberFormat="1" applyFont="1" applyBorder="1" applyAlignment="1">
      <alignment horizontal="right"/>
    </xf>
    <xf numFmtId="165" fontId="69" fillId="0" borderId="28" xfId="0" applyNumberFormat="1" applyFont="1" applyBorder="1" applyAlignment="1">
      <alignment horizontal="right"/>
    </xf>
    <xf numFmtId="165" fontId="69" fillId="0" borderId="1" xfId="0" applyNumberFormat="1" applyFont="1" applyBorder="1" applyAlignment="1">
      <alignment horizontal="right"/>
    </xf>
    <xf numFmtId="165" fontId="68" fillId="0" borderId="7" xfId="0" applyNumberFormat="1" applyFont="1" applyBorder="1" applyAlignment="1">
      <alignment horizontal="right"/>
    </xf>
    <xf numFmtId="4" fontId="68" fillId="0" borderId="66" xfId="0" applyNumberFormat="1" applyFont="1" applyBorder="1" applyAlignment="1">
      <alignment horizontal="right" vertical="center"/>
    </xf>
    <xf numFmtId="4" fontId="69" fillId="0" borderId="27" xfId="0" applyNumberFormat="1" applyFont="1" applyBorder="1" applyAlignment="1">
      <alignment horizontal="right" vertical="center"/>
    </xf>
    <xf numFmtId="4" fontId="68" fillId="0" borderId="27" xfId="0" applyNumberFormat="1" applyFont="1" applyBorder="1" applyAlignment="1">
      <alignment horizontal="right" vertical="center"/>
    </xf>
    <xf numFmtId="4" fontId="68" fillId="0" borderId="28" xfId="0" applyNumberFormat="1" applyFont="1" applyBorder="1" applyAlignment="1">
      <alignment horizontal="right" vertical="center"/>
    </xf>
    <xf numFmtId="0" fontId="0" fillId="0" borderId="74" xfId="0" applyFont="1" applyBorder="1" applyAlignment="1">
      <alignment horizontal="right"/>
    </xf>
    <xf numFmtId="165" fontId="68" fillId="8" borderId="53" xfId="0" applyNumberFormat="1" applyFont="1" applyFill="1" applyBorder="1" applyAlignment="1">
      <alignment horizontal="right"/>
    </xf>
    <xf numFmtId="166" fontId="69" fillId="0" borderId="7" xfId="2" applyNumberFormat="1" applyFont="1" applyBorder="1" applyAlignment="1">
      <alignment horizontal="right"/>
    </xf>
    <xf numFmtId="165" fontId="68" fillId="0" borderId="43" xfId="0" applyNumberFormat="1" applyFont="1" applyBorder="1" applyAlignment="1">
      <alignment horizontal="right"/>
    </xf>
    <xf numFmtId="166" fontId="0" fillId="0" borderId="0" xfId="2" applyNumberFormat="1" applyFont="1" applyAlignment="1">
      <alignment horizontal="right"/>
    </xf>
    <xf numFmtId="166" fontId="76" fillId="5" borderId="14" xfId="2" applyNumberFormat="1" applyFont="1" applyFill="1" applyBorder="1" applyAlignment="1">
      <alignment horizontal="right" vertical="center"/>
    </xf>
    <xf numFmtId="43" fontId="76" fillId="0" borderId="53" xfId="2" applyNumberFormat="1" applyFont="1" applyFill="1" applyBorder="1" applyAlignment="1">
      <alignment horizontal="right" vertical="center" indent="1"/>
    </xf>
    <xf numFmtId="43" fontId="76" fillId="0" borderId="5" xfId="0" applyNumberFormat="1" applyFont="1" applyFill="1" applyBorder="1" applyAlignment="1">
      <alignment horizontal="right" vertical="center" indent="1"/>
    </xf>
    <xf numFmtId="0" fontId="72" fillId="0" borderId="28" xfId="0" applyFont="1" applyBorder="1" applyAlignment="1">
      <alignment horizontal="right"/>
    </xf>
    <xf numFmtId="43" fontId="76" fillId="0" borderId="7" xfId="0" applyNumberFormat="1" applyFont="1" applyFill="1" applyBorder="1" applyAlignment="1">
      <alignment horizontal="right" vertical="center" indent="1"/>
    </xf>
    <xf numFmtId="43" fontId="72" fillId="0" borderId="7" xfId="0" applyNumberFormat="1" applyFont="1" applyFill="1" applyBorder="1" applyAlignment="1">
      <alignment horizontal="right" vertical="center" indent="1"/>
    </xf>
    <xf numFmtId="0" fontId="70" fillId="0" borderId="28" xfId="0" applyFont="1" applyBorder="1" applyAlignment="1">
      <alignment horizontal="right"/>
    </xf>
    <xf numFmtId="43" fontId="76" fillId="0" borderId="53" xfId="0" applyNumberFormat="1" applyFont="1" applyFill="1" applyBorder="1" applyAlignment="1">
      <alignment horizontal="right" vertical="center" indent="1"/>
    </xf>
    <xf numFmtId="166" fontId="76" fillId="0" borderId="7" xfId="2" applyNumberFormat="1" applyFont="1" applyFill="1" applyBorder="1" applyAlignment="1">
      <alignment horizontal="right" vertical="center"/>
    </xf>
    <xf numFmtId="43" fontId="72" fillId="0" borderId="7" xfId="4" applyFont="1" applyFill="1" applyBorder="1" applyAlignment="1">
      <alignment horizontal="right" vertical="center" indent="1"/>
    </xf>
    <xf numFmtId="43" fontId="72" fillId="0" borderId="28" xfId="4" applyFont="1" applyFill="1" applyBorder="1" applyAlignment="1">
      <alignment horizontal="right" vertical="center" indent="1"/>
    </xf>
    <xf numFmtId="43" fontId="76" fillId="0" borderId="7" xfId="4" applyFont="1" applyFill="1" applyBorder="1" applyAlignment="1">
      <alignment horizontal="right" vertical="center" indent="1"/>
    </xf>
    <xf numFmtId="166" fontId="72" fillId="0" borderId="7" xfId="2" applyNumberFormat="1" applyFont="1" applyFill="1" applyBorder="1" applyAlignment="1">
      <alignment horizontal="right" vertical="center"/>
    </xf>
    <xf numFmtId="43" fontId="76" fillId="0" borderId="53" xfId="4" applyFont="1" applyFill="1" applyBorder="1" applyAlignment="1">
      <alignment horizontal="right" vertical="center" indent="1"/>
    </xf>
    <xf numFmtId="43" fontId="76" fillId="0" borderId="5" xfId="4" applyFont="1" applyFill="1" applyBorder="1" applyAlignment="1">
      <alignment horizontal="right" vertical="center" indent="1"/>
    </xf>
    <xf numFmtId="166" fontId="72" fillId="0" borderId="52" xfId="2" applyNumberFormat="1" applyFont="1" applyBorder="1" applyAlignment="1">
      <alignment horizontal="right" vertical="center"/>
    </xf>
    <xf numFmtId="43" fontId="72" fillId="0" borderId="5" xfId="0" applyNumberFormat="1" applyFont="1" applyFill="1" applyBorder="1" applyAlignment="1">
      <alignment horizontal="right" vertical="center" indent="1"/>
    </xf>
    <xf numFmtId="166" fontId="70" fillId="0" borderId="14" xfId="2" applyNumberFormat="1" applyFont="1" applyFill="1" applyBorder="1" applyAlignment="1">
      <alignment horizontal="right" vertical="center"/>
    </xf>
    <xf numFmtId="166" fontId="72" fillId="0" borderId="52" xfId="2" applyNumberFormat="1" applyFont="1" applyFill="1" applyBorder="1" applyAlignment="1">
      <alignment horizontal="right" vertical="center"/>
    </xf>
    <xf numFmtId="166" fontId="70" fillId="0" borderId="52" xfId="2" applyNumberFormat="1" applyFont="1" applyBorder="1" applyAlignment="1">
      <alignment horizontal="right" vertical="center"/>
    </xf>
    <xf numFmtId="43" fontId="68" fillId="5" borderId="7" xfId="0" applyNumberFormat="1" applyFont="1" applyFill="1" applyBorder="1" applyAlignment="1">
      <alignment horizontal="right" vertical="center" indent="1"/>
    </xf>
    <xf numFmtId="43" fontId="69" fillId="0" borderId="14" xfId="0" applyNumberFormat="1" applyFont="1" applyBorder="1" applyAlignment="1">
      <alignment horizontal="right" vertical="center" indent="1"/>
    </xf>
    <xf numFmtId="43" fontId="68" fillId="2" borderId="53" xfId="0" applyNumberFormat="1" applyFont="1" applyFill="1" applyBorder="1" applyAlignment="1">
      <alignment horizontal="right" vertical="center" indent="1"/>
    </xf>
    <xf numFmtId="43" fontId="68" fillId="0" borderId="53" xfId="0" applyNumberFormat="1" applyFont="1" applyFill="1" applyBorder="1" applyAlignment="1">
      <alignment horizontal="right" vertical="center" indent="1"/>
    </xf>
    <xf numFmtId="43" fontId="68" fillId="0" borderId="1" xfId="0" applyNumberFormat="1" applyFont="1" applyFill="1" applyBorder="1" applyAlignment="1">
      <alignment horizontal="right" vertical="center" indent="1"/>
    </xf>
    <xf numFmtId="43" fontId="69" fillId="0" borderId="14" xfId="0" applyNumberFormat="1" applyFont="1" applyFill="1" applyBorder="1" applyAlignment="1">
      <alignment horizontal="right" vertical="center" indent="1"/>
    </xf>
    <xf numFmtId="166" fontId="68" fillId="0" borderId="5" xfId="5" applyNumberFormat="1" applyFont="1" applyBorder="1" applyAlignment="1">
      <alignment horizontal="right" vertical="center" wrapText="1"/>
    </xf>
    <xf numFmtId="166" fontId="68" fillId="0" borderId="7" xfId="13" applyNumberFormat="1" applyFont="1" applyBorder="1" applyAlignment="1">
      <alignment horizontal="right" vertical="center" wrapText="1"/>
    </xf>
    <xf numFmtId="166" fontId="69" fillId="0" borderId="7" xfId="16" applyNumberFormat="1" applyFont="1" applyFill="1" applyBorder="1" applyAlignment="1">
      <alignment horizontal="right" vertical="center"/>
    </xf>
    <xf numFmtId="166" fontId="68" fillId="0" borderId="7" xfId="5" applyNumberFormat="1" applyFont="1" applyBorder="1" applyAlignment="1">
      <alignment horizontal="right" vertical="center" wrapText="1"/>
    </xf>
    <xf numFmtId="166" fontId="68" fillId="0" borderId="68" xfId="5" applyNumberFormat="1" applyFont="1" applyBorder="1" applyAlignment="1">
      <alignment horizontal="right" vertical="center" wrapText="1"/>
    </xf>
    <xf numFmtId="43" fontId="69" fillId="0" borderId="57" xfId="0" applyNumberFormat="1" applyFont="1" applyFill="1" applyBorder="1" applyAlignment="1">
      <alignment horizontal="right" vertical="center" indent="1"/>
    </xf>
    <xf numFmtId="166" fontId="68" fillId="0" borderId="5" xfId="13" applyNumberFormat="1" applyFont="1" applyBorder="1" applyAlignment="1">
      <alignment horizontal="right" vertical="center" wrapText="1"/>
    </xf>
    <xf numFmtId="43" fontId="69" fillId="0" borderId="1" xfId="0" applyNumberFormat="1" applyFont="1" applyFill="1" applyBorder="1" applyAlignment="1">
      <alignment horizontal="right" vertical="center" indent="1"/>
    </xf>
    <xf numFmtId="43" fontId="68" fillId="0" borderId="68" xfId="13" applyNumberFormat="1" applyFont="1" applyBorder="1" applyAlignment="1">
      <alignment horizontal="right" vertical="center" wrapText="1"/>
    </xf>
    <xf numFmtId="43" fontId="69" fillId="0" borderId="7" xfId="17" applyNumberFormat="1" applyFont="1" applyBorder="1" applyAlignment="1">
      <alignment horizontal="right" vertical="center"/>
    </xf>
    <xf numFmtId="43" fontId="68" fillId="0" borderId="7" xfId="13" applyNumberFormat="1" applyFont="1" applyBorder="1" applyAlignment="1">
      <alignment horizontal="right" vertical="center" wrapText="1"/>
    </xf>
    <xf numFmtId="43" fontId="69" fillId="0" borderId="7" xfId="16" applyNumberFormat="1" applyFont="1" applyBorder="1" applyAlignment="1">
      <alignment horizontal="right" vertical="center"/>
    </xf>
    <xf numFmtId="166" fontId="68" fillId="0" borderId="68" xfId="13" applyNumberFormat="1" applyFont="1" applyBorder="1" applyAlignment="1">
      <alignment horizontal="right" vertical="center" wrapText="1"/>
    </xf>
    <xf numFmtId="166" fontId="69" fillId="0" borderId="1" xfId="0" applyNumberFormat="1" applyFont="1" applyFill="1" applyBorder="1" applyAlignment="1">
      <alignment horizontal="right" vertical="center" indent="1"/>
    </xf>
    <xf numFmtId="166" fontId="69" fillId="0" borderId="14" xfId="16" applyNumberFormat="1" applyFont="1" applyBorder="1" applyAlignment="1">
      <alignment horizontal="right" vertical="center"/>
    </xf>
    <xf numFmtId="43" fontId="69" fillId="0" borderId="74" xfId="0" applyNumberFormat="1" applyFont="1" applyFill="1" applyBorder="1" applyAlignment="1">
      <alignment horizontal="right" vertical="center" indent="1"/>
    </xf>
    <xf numFmtId="166" fontId="69" fillId="0" borderId="0" xfId="2" applyNumberFormat="1" applyFont="1" applyAlignment="1">
      <alignment horizontal="right"/>
    </xf>
    <xf numFmtId="43" fontId="69" fillId="0" borderId="7" xfId="0" applyNumberFormat="1" applyFont="1" applyFill="1" applyBorder="1" applyAlignment="1">
      <alignment horizontal="right" vertical="center" indent="1"/>
    </xf>
    <xf numFmtId="43" fontId="68" fillId="0" borderId="7" xfId="0" applyNumberFormat="1" applyFont="1" applyFill="1" applyBorder="1" applyAlignment="1">
      <alignment horizontal="right" vertical="center" indent="1"/>
    </xf>
    <xf numFmtId="43" fontId="69" fillId="0" borderId="61" xfId="1" applyFont="1" applyBorder="1" applyAlignment="1">
      <alignment horizontal="right" vertical="center" indent="1"/>
    </xf>
    <xf numFmtId="43" fontId="68" fillId="0" borderId="14" xfId="0" applyNumberFormat="1" applyFont="1" applyFill="1" applyBorder="1" applyAlignment="1">
      <alignment horizontal="right" vertical="center" indent="1"/>
    </xf>
    <xf numFmtId="43" fontId="69" fillId="0" borderId="42" xfId="1" applyFont="1" applyBorder="1" applyAlignment="1">
      <alignment horizontal="right" vertical="center" indent="1"/>
    </xf>
    <xf numFmtId="43" fontId="68" fillId="0" borderId="42" xfId="1" applyFont="1" applyBorder="1" applyAlignment="1">
      <alignment horizontal="right" vertical="center" indent="1"/>
    </xf>
    <xf numFmtId="43" fontId="69" fillId="0" borderId="42" xfId="0" applyNumberFormat="1" applyFont="1" applyFill="1" applyBorder="1" applyAlignment="1">
      <alignment horizontal="right" vertical="center" indent="1"/>
    </xf>
    <xf numFmtId="43" fontId="68" fillId="0" borderId="61" xfId="1" applyFont="1" applyBorder="1" applyAlignment="1">
      <alignment horizontal="right" vertical="center" indent="1"/>
    </xf>
    <xf numFmtId="43" fontId="68" fillId="0" borderId="53" xfId="0" applyNumberFormat="1" applyFont="1" applyBorder="1" applyAlignment="1">
      <alignment horizontal="right" vertical="center" indent="1"/>
    </xf>
    <xf numFmtId="43" fontId="68" fillId="0" borderId="1" xfId="0" applyNumberFormat="1" applyFont="1" applyBorder="1" applyAlignment="1">
      <alignment horizontal="right" vertical="center" indent="1"/>
    </xf>
    <xf numFmtId="43" fontId="69" fillId="0" borderId="7" xfId="0" applyNumberFormat="1" applyFont="1" applyBorder="1" applyAlignment="1">
      <alignment horizontal="right" vertical="center" indent="1"/>
    </xf>
    <xf numFmtId="43" fontId="68" fillId="0" borderId="7" xfId="0" applyNumberFormat="1" applyFont="1" applyBorder="1" applyAlignment="1">
      <alignment horizontal="right" vertical="center" indent="1"/>
    </xf>
    <xf numFmtId="43" fontId="69" fillId="0" borderId="1" xfId="0" applyNumberFormat="1" applyFont="1" applyBorder="1" applyAlignment="1">
      <alignment horizontal="right" vertical="center" indent="1"/>
    </xf>
    <xf numFmtId="43" fontId="68" fillId="0" borderId="14" xfId="0" applyNumberFormat="1" applyFont="1" applyBorder="1" applyAlignment="1">
      <alignment horizontal="right" vertical="center" indent="1"/>
    </xf>
    <xf numFmtId="43" fontId="68" fillId="0" borderId="53" xfId="1" applyFont="1" applyBorder="1" applyAlignment="1">
      <alignment horizontal="right" vertical="center" indent="1"/>
    </xf>
    <xf numFmtId="43" fontId="69" fillId="0" borderId="74" xfId="0" applyNumberFormat="1" applyFont="1" applyBorder="1" applyAlignment="1">
      <alignment horizontal="right" vertical="center" indent="1"/>
    </xf>
    <xf numFmtId="43" fontId="68" fillId="0" borderId="5" xfId="0" applyNumberFormat="1" applyFont="1" applyBorder="1" applyAlignment="1">
      <alignment horizontal="right" vertical="center" indent="1"/>
    </xf>
    <xf numFmtId="43" fontId="89" fillId="0" borderId="7" xfId="0" applyNumberFormat="1" applyFont="1" applyFill="1" applyBorder="1" applyAlignment="1">
      <alignment horizontal="right" vertical="center" indent="1"/>
    </xf>
    <xf numFmtId="43" fontId="68" fillId="0" borderId="1" xfId="1" applyFont="1" applyBorder="1" applyAlignment="1">
      <alignment horizontal="right" vertical="center" indent="1"/>
    </xf>
    <xf numFmtId="43" fontId="68" fillId="0" borderId="7" xfId="1" applyFont="1" applyBorder="1" applyAlignment="1">
      <alignment horizontal="right" vertical="center" indent="1"/>
    </xf>
    <xf numFmtId="43" fontId="69" fillId="0" borderId="1" xfId="1" applyFont="1" applyBorder="1" applyAlignment="1">
      <alignment horizontal="right" vertical="center" indent="1"/>
    </xf>
    <xf numFmtId="43" fontId="0" fillId="0" borderId="1" xfId="1" applyFont="1" applyBorder="1" applyAlignment="1">
      <alignment horizontal="right" vertical="center" indent="1"/>
    </xf>
    <xf numFmtId="43" fontId="0" fillId="0" borderId="7" xfId="1" applyFont="1" applyBorder="1" applyAlignment="1">
      <alignment horizontal="right" vertical="center" indent="1"/>
    </xf>
    <xf numFmtId="43" fontId="69" fillId="0" borderId="74" xfId="1" applyFont="1" applyBorder="1" applyAlignment="1">
      <alignment horizontal="right" vertical="center" indent="1"/>
    </xf>
    <xf numFmtId="43" fontId="68" fillId="0" borderId="5" xfId="1" applyFont="1" applyBorder="1" applyAlignment="1">
      <alignment horizontal="right" vertical="center"/>
    </xf>
    <xf numFmtId="43" fontId="69" fillId="0" borderId="14" xfId="1" applyFont="1" applyBorder="1" applyAlignment="1">
      <alignment horizontal="right" vertical="center"/>
    </xf>
    <xf numFmtId="43" fontId="0" fillId="0" borderId="14" xfId="1" applyFont="1" applyBorder="1" applyAlignment="1">
      <alignment horizontal="right" vertical="center" indent="1"/>
    </xf>
    <xf numFmtId="43" fontId="69" fillId="0" borderId="7" xfId="1" applyFont="1" applyFill="1" applyBorder="1" applyAlignment="1">
      <alignment horizontal="right" vertical="center" indent="1"/>
    </xf>
    <xf numFmtId="43" fontId="69" fillId="0" borderId="5" xfId="1" applyFont="1" applyBorder="1" applyAlignment="1">
      <alignment horizontal="right" vertical="center" indent="1"/>
    </xf>
    <xf numFmtId="43" fontId="68" fillId="0" borderId="5" xfId="1" applyFont="1" applyBorder="1" applyAlignment="1">
      <alignment horizontal="right" vertical="center" indent="1"/>
    </xf>
    <xf numFmtId="43" fontId="68" fillId="0" borderId="57" xfId="0" applyNumberFormat="1" applyFont="1" applyBorder="1" applyAlignment="1">
      <alignment horizontal="right" vertical="center" indent="1"/>
    </xf>
    <xf numFmtId="166" fontId="69" fillId="0" borderId="7" xfId="2" applyNumberFormat="1" applyFont="1" applyBorder="1" applyAlignment="1">
      <alignment horizontal="right" vertical="center" indent="1"/>
    </xf>
    <xf numFmtId="166" fontId="69" fillId="0" borderId="14" xfId="2" applyNumberFormat="1" applyFont="1" applyBorder="1" applyAlignment="1">
      <alignment horizontal="right" vertical="center" indent="1"/>
    </xf>
    <xf numFmtId="166" fontId="68" fillId="0" borderId="53" xfId="2" applyNumberFormat="1" applyFont="1" applyBorder="1" applyAlignment="1">
      <alignment horizontal="right"/>
    </xf>
    <xf numFmtId="166" fontId="69" fillId="0" borderId="14" xfId="2" applyNumberFormat="1" applyFont="1" applyBorder="1" applyAlignment="1">
      <alignment horizontal="right"/>
    </xf>
    <xf numFmtId="166" fontId="0" fillId="0" borderId="74" xfId="2" applyNumberFormat="1" applyFont="1" applyBorder="1" applyAlignment="1">
      <alignment horizontal="right"/>
    </xf>
    <xf numFmtId="165" fontId="68" fillId="0" borderId="1" xfId="0" applyNumberFormat="1" applyFont="1" applyBorder="1" applyAlignment="1">
      <alignment horizontal="right"/>
    </xf>
    <xf numFmtId="166" fontId="68" fillId="0" borderId="68" xfId="2" applyNumberFormat="1" applyFont="1" applyBorder="1" applyAlignment="1">
      <alignment horizontal="right"/>
    </xf>
    <xf numFmtId="166" fontId="0" fillId="0" borderId="14" xfId="2" applyNumberFormat="1" applyFont="1" applyBorder="1" applyAlignment="1">
      <alignment horizontal="right"/>
    </xf>
    <xf numFmtId="166" fontId="69" fillId="0" borderId="1" xfId="2" applyNumberFormat="1" applyFont="1" applyBorder="1" applyAlignment="1">
      <alignment horizontal="right" vertical="center" indent="1"/>
    </xf>
    <xf numFmtId="4" fontId="69" fillId="0" borderId="14" xfId="2" applyNumberFormat="1" applyFont="1" applyFill="1" applyBorder="1" applyAlignment="1">
      <alignment horizontal="right"/>
    </xf>
    <xf numFmtId="166" fontId="69" fillId="0" borderId="14" xfId="0" applyNumberFormat="1" applyFont="1" applyBorder="1" applyAlignment="1">
      <alignment horizontal="right" vertical="center" indent="1"/>
    </xf>
    <xf numFmtId="166" fontId="68" fillId="0" borderId="53" xfId="0" applyNumberFormat="1" applyFont="1" applyBorder="1" applyAlignment="1">
      <alignment horizontal="right" vertical="center"/>
    </xf>
    <xf numFmtId="4" fontId="68" fillId="0" borderId="7" xfId="0" applyNumberFormat="1" applyFont="1" applyBorder="1" applyAlignment="1">
      <alignment horizontal="right" vertical="center" wrapText="1"/>
    </xf>
    <xf numFmtId="43" fontId="89" fillId="0" borderId="7" xfId="0" applyNumberFormat="1" applyFont="1" applyBorder="1" applyAlignment="1">
      <alignment horizontal="right" vertical="center" indent="1"/>
    </xf>
    <xf numFmtId="43" fontId="69" fillId="0" borderId="5" xfId="0" applyNumberFormat="1" applyFont="1" applyBorder="1" applyAlignment="1">
      <alignment horizontal="right" vertical="center" indent="1"/>
    </xf>
    <xf numFmtId="43" fontId="68" fillId="0" borderId="53" xfId="0" applyNumberFormat="1" applyFont="1" applyBorder="1" applyAlignment="1">
      <alignment horizontal="right" vertical="top" wrapText="1"/>
    </xf>
    <xf numFmtId="39" fontId="68" fillId="0" borderId="5" xfId="0" applyNumberFormat="1" applyFont="1" applyBorder="1" applyAlignment="1">
      <alignment horizontal="right" vertical="top"/>
    </xf>
    <xf numFmtId="0" fontId="68" fillId="0" borderId="1" xfId="0" applyFont="1" applyBorder="1" applyAlignment="1">
      <alignment horizontal="right" vertical="top" wrapText="1"/>
    </xf>
    <xf numFmtId="39" fontId="68" fillId="0" borderId="53" xfId="0" applyNumberFormat="1" applyFont="1" applyBorder="1" applyAlignment="1">
      <alignment horizontal="right" vertical="center"/>
    </xf>
    <xf numFmtId="39" fontId="68" fillId="0" borderId="66" xfId="0" applyNumberFormat="1" applyFont="1" applyBorder="1" applyAlignment="1">
      <alignment horizontal="right" vertical="top"/>
    </xf>
    <xf numFmtId="39" fontId="69" fillId="0" borderId="0" xfId="0" applyNumberFormat="1" applyFont="1" applyBorder="1" applyAlignment="1">
      <alignment horizontal="right" vertical="top"/>
    </xf>
    <xf numFmtId="39" fontId="68" fillId="0" borderId="73" xfId="0" applyNumberFormat="1" applyFont="1" applyBorder="1" applyAlignment="1">
      <alignment horizontal="right" vertical="top"/>
    </xf>
    <xf numFmtId="41" fontId="0" fillId="0" borderId="7" xfId="0" applyNumberFormat="1" applyFont="1" applyBorder="1" applyAlignment="1">
      <alignment horizontal="right"/>
    </xf>
    <xf numFmtId="39" fontId="69" fillId="0" borderId="0" xfId="0" applyNumberFormat="1" applyFont="1" applyFill="1" applyBorder="1" applyAlignment="1">
      <alignment horizontal="right" vertical="top"/>
    </xf>
    <xf numFmtId="41" fontId="69" fillId="0" borderId="7" xfId="2" applyFont="1" applyBorder="1" applyAlignment="1">
      <alignment horizontal="right" vertical="center" indent="1"/>
    </xf>
    <xf numFmtId="39" fontId="69" fillId="0" borderId="74" xfId="0" applyNumberFormat="1" applyFont="1" applyFill="1" applyBorder="1" applyAlignment="1">
      <alignment horizontal="right" vertical="top"/>
    </xf>
    <xf numFmtId="166" fontId="68" fillId="0" borderId="0" xfId="2" applyNumberFormat="1" applyFont="1" applyAlignment="1">
      <alignment horizontal="right" vertical="center"/>
    </xf>
    <xf numFmtId="41" fontId="69" fillId="0" borderId="119" xfId="2" applyFont="1" applyFill="1" applyBorder="1" applyAlignment="1">
      <alignment horizontal="right" vertical="center" wrapText="1"/>
    </xf>
    <xf numFmtId="166" fontId="68" fillId="0" borderId="43" xfId="0" applyNumberFormat="1" applyFont="1" applyBorder="1" applyAlignment="1">
      <alignment horizontal="right"/>
    </xf>
    <xf numFmtId="43" fontId="68" fillId="0" borderId="13" xfId="1" applyFont="1" applyBorder="1" applyAlignment="1">
      <alignment horizontal="right" vertical="center" indent="1"/>
    </xf>
    <xf numFmtId="43" fontId="69" fillId="0" borderId="13" xfId="1" applyFont="1" applyBorder="1" applyAlignment="1">
      <alignment horizontal="right" vertical="center" indent="1"/>
    </xf>
    <xf numFmtId="43" fontId="68" fillId="0" borderId="120" xfId="1" applyFont="1" applyBorder="1" applyAlignment="1">
      <alignment horizontal="right" vertical="center" indent="1"/>
    </xf>
    <xf numFmtId="4" fontId="68" fillId="0" borderId="7" xfId="0" applyNumberFormat="1" applyFont="1" applyBorder="1" applyAlignment="1">
      <alignment horizontal="right"/>
    </xf>
    <xf numFmtId="4" fontId="69" fillId="0" borderId="7" xfId="0" applyNumberFormat="1" applyFont="1" applyFill="1" applyBorder="1" applyAlignment="1">
      <alignment horizontal="right" vertical="center" wrapText="1"/>
    </xf>
    <xf numFmtId="4" fontId="69" fillId="0" borderId="1" xfId="0" applyNumberFormat="1" applyFont="1" applyFill="1" applyBorder="1" applyAlignment="1">
      <alignment horizontal="right" vertical="center" wrapText="1"/>
    </xf>
    <xf numFmtId="4" fontId="89" fillId="0" borderId="7" xfId="0" applyNumberFormat="1" applyFont="1" applyFill="1" applyBorder="1" applyAlignment="1">
      <alignment horizontal="right" vertical="center" wrapText="1"/>
    </xf>
    <xf numFmtId="4" fontId="68" fillId="0" borderId="7" xfId="0" applyNumberFormat="1" applyFont="1" applyFill="1" applyBorder="1" applyAlignment="1">
      <alignment horizontal="right" vertical="center" wrapText="1"/>
    </xf>
    <xf numFmtId="4" fontId="69" fillId="0" borderId="7" xfId="1" applyNumberFormat="1" applyFont="1" applyBorder="1" applyAlignment="1">
      <alignment horizontal="right" vertical="center" indent="1"/>
    </xf>
    <xf numFmtId="4" fontId="68" fillId="0" borderId="68" xfId="0" applyNumberFormat="1" applyFont="1" applyFill="1" applyBorder="1" applyAlignment="1">
      <alignment horizontal="right" vertical="center" wrapText="1"/>
    </xf>
    <xf numFmtId="4" fontId="0" fillId="0" borderId="7" xfId="0" applyNumberFormat="1" applyFont="1" applyFill="1" applyBorder="1" applyAlignment="1">
      <alignment horizontal="right" vertical="center" wrapText="1"/>
    </xf>
    <xf numFmtId="43" fontId="69" fillId="0" borderId="14" xfId="1" applyFont="1" applyBorder="1" applyAlignment="1">
      <alignment horizontal="right" vertical="center" indent="1"/>
    </xf>
    <xf numFmtId="166" fontId="68" fillId="0" borderId="66" xfId="2" applyNumberFormat="1" applyFont="1" applyBorder="1" applyAlignment="1">
      <alignment horizontal="right"/>
    </xf>
    <xf numFmtId="0" fontId="0" fillId="0" borderId="57" xfId="0" applyFont="1" applyBorder="1" applyAlignment="1">
      <alignment horizontal="right"/>
    </xf>
    <xf numFmtId="43" fontId="68" fillId="8" borderId="53" xfId="0" applyNumberFormat="1" applyFont="1" applyFill="1" applyBorder="1" applyAlignment="1">
      <alignment horizontal="right" vertical="center" indent="1"/>
    </xf>
    <xf numFmtId="166" fontId="68" fillId="0" borderId="5" xfId="2" applyNumberFormat="1" applyFont="1" applyBorder="1" applyAlignment="1">
      <alignment horizontal="right"/>
    </xf>
    <xf numFmtId="39" fontId="69" fillId="0" borderId="14" xfId="0" applyNumberFormat="1" applyFont="1" applyFill="1" applyBorder="1" applyAlignment="1">
      <alignment horizontal="right" vertical="top"/>
    </xf>
    <xf numFmtId="43" fontId="69" fillId="0" borderId="0" xfId="0" applyNumberFormat="1" applyFont="1" applyBorder="1" applyAlignment="1">
      <alignment horizontal="right" vertical="center" indent="1"/>
    </xf>
    <xf numFmtId="166" fontId="69" fillId="0" borderId="7" xfId="0" applyNumberFormat="1" applyFont="1" applyBorder="1" applyAlignment="1">
      <alignment vertical="center"/>
    </xf>
    <xf numFmtId="43" fontId="68" fillId="0" borderId="68" xfId="0" applyNumberFormat="1" applyFont="1" applyBorder="1" applyAlignment="1">
      <alignment horizontal="left" vertical="center" indent="1"/>
    </xf>
    <xf numFmtId="4" fontId="68" fillId="0" borderId="69" xfId="2" applyNumberFormat="1" applyFont="1" applyBorder="1" applyAlignment="1">
      <alignment vertical="center"/>
    </xf>
    <xf numFmtId="165" fontId="69" fillId="0" borderId="7" xfId="144" applyFont="1" applyBorder="1" applyAlignment="1">
      <alignment vertical="center"/>
    </xf>
    <xf numFmtId="165" fontId="69" fillId="0" borderId="7" xfId="145" applyFont="1" applyBorder="1" applyAlignment="1">
      <alignment vertical="center"/>
    </xf>
    <xf numFmtId="165" fontId="69" fillId="0" borderId="7" xfId="146" applyFont="1" applyBorder="1" applyAlignment="1">
      <alignment vertical="center"/>
    </xf>
    <xf numFmtId="165" fontId="69" fillId="0" borderId="7" xfId="147" applyFont="1" applyBorder="1" applyAlignment="1">
      <alignment vertical="center"/>
    </xf>
    <xf numFmtId="165" fontId="69" fillId="0" borderId="7" xfId="148" applyFont="1" applyBorder="1" applyAlignment="1">
      <alignment vertical="center"/>
    </xf>
    <xf numFmtId="4" fontId="68" fillId="0" borderId="66" xfId="0" applyNumberFormat="1" applyFont="1" applyFill="1" applyBorder="1" applyAlignment="1">
      <alignment horizontal="right" vertical="center"/>
    </xf>
    <xf numFmtId="165" fontId="69" fillId="0" borderId="7" xfId="149" applyFont="1" applyBorder="1" applyAlignment="1">
      <alignment vertical="center"/>
    </xf>
    <xf numFmtId="165" fontId="69" fillId="0" borderId="7" xfId="150" applyFont="1" applyBorder="1" applyAlignment="1">
      <alignment vertical="center"/>
    </xf>
    <xf numFmtId="165" fontId="69" fillId="0" borderId="7" xfId="151" applyFont="1" applyBorder="1" applyAlignment="1">
      <alignment vertical="center"/>
    </xf>
    <xf numFmtId="165" fontId="69" fillId="0" borderId="7" xfId="152" applyFont="1" applyBorder="1" applyAlignment="1">
      <alignment vertical="center"/>
    </xf>
    <xf numFmtId="165" fontId="69" fillId="0" borderId="7" xfId="153" applyFont="1" applyBorder="1" applyAlignment="1">
      <alignment vertical="center"/>
    </xf>
    <xf numFmtId="165" fontId="69" fillId="0" borderId="7" xfId="154" applyFont="1" applyBorder="1" applyAlignment="1">
      <alignment vertical="center"/>
    </xf>
    <xf numFmtId="165" fontId="69" fillId="0" borderId="7" xfId="155" applyFont="1" applyBorder="1" applyAlignment="1">
      <alignment vertical="center"/>
    </xf>
    <xf numFmtId="165" fontId="69" fillId="0" borderId="7" xfId="156" applyFont="1" applyBorder="1" applyAlignment="1">
      <alignment vertical="center"/>
    </xf>
    <xf numFmtId="165" fontId="69" fillId="0" borderId="7" xfId="157" applyFont="1" applyBorder="1" applyAlignment="1">
      <alignment vertical="center"/>
    </xf>
    <xf numFmtId="0" fontId="0" fillId="0" borderId="0" xfId="0"/>
    <xf numFmtId="165" fontId="69" fillId="0" borderId="7" xfId="158" applyFont="1" applyBorder="1" applyAlignment="1">
      <alignment vertical="center"/>
    </xf>
    <xf numFmtId="165" fontId="69" fillId="0" borderId="7" xfId="160" applyFont="1" applyBorder="1" applyAlignment="1">
      <alignment vertical="center"/>
    </xf>
    <xf numFmtId="0" fontId="99" fillId="0" borderId="0" xfId="0" applyFont="1"/>
    <xf numFmtId="0" fontId="99" fillId="0" borderId="28" xfId="0" applyFont="1" applyBorder="1"/>
    <xf numFmtId="0" fontId="98" fillId="0" borderId="0" xfId="0" applyFont="1"/>
    <xf numFmtId="49" fontId="100" fillId="0" borderId="1" xfId="0" applyNumberFormat="1" applyFont="1" applyBorder="1" applyAlignment="1">
      <alignment horizontal="center" vertical="center"/>
    </xf>
    <xf numFmtId="165" fontId="69" fillId="0" borderId="7" xfId="163" applyFont="1" applyBorder="1" applyAlignment="1">
      <alignment vertical="center"/>
    </xf>
    <xf numFmtId="0" fontId="0" fillId="0" borderId="0" xfId="0"/>
    <xf numFmtId="165" fontId="69" fillId="0" borderId="7" xfId="164" applyFont="1" applyBorder="1" applyAlignment="1">
      <alignment vertical="center"/>
    </xf>
    <xf numFmtId="166" fontId="0" fillId="0" borderId="57" xfId="2" applyNumberFormat="1" applyFont="1" applyBorder="1" applyAlignment="1">
      <alignment vertical="center"/>
    </xf>
    <xf numFmtId="166" fontId="68" fillId="0" borderId="54" xfId="2" applyNumberFormat="1" applyFont="1" applyBorder="1" applyAlignment="1">
      <alignment vertical="center"/>
    </xf>
    <xf numFmtId="4" fontId="68" fillId="0" borderId="28" xfId="2" applyNumberFormat="1" applyFont="1" applyBorder="1" applyAlignment="1">
      <alignment horizontal="right" vertical="center"/>
    </xf>
    <xf numFmtId="4" fontId="69" fillId="0" borderId="28" xfId="2" applyNumberFormat="1" applyFont="1" applyBorder="1" applyAlignment="1">
      <alignment horizontal="right" vertical="center"/>
    </xf>
    <xf numFmtId="4" fontId="72" fillId="0" borderId="28" xfId="0" applyNumberFormat="1" applyFont="1" applyFill="1" applyBorder="1" applyAlignment="1">
      <alignment horizontal="right" vertical="center"/>
    </xf>
    <xf numFmtId="4" fontId="72" fillId="0" borderId="51" xfId="0" applyNumberFormat="1" applyFont="1" applyFill="1" applyBorder="1" applyAlignment="1">
      <alignment horizontal="right" vertical="center"/>
    </xf>
    <xf numFmtId="166" fontId="76" fillId="0" borderId="28" xfId="2" applyNumberFormat="1" applyFont="1" applyBorder="1" applyAlignment="1">
      <alignment vertical="center"/>
    </xf>
    <xf numFmtId="166" fontId="0" fillId="0" borderId="52" xfId="2" applyNumberFormat="1" applyFont="1" applyBorder="1" applyAlignment="1">
      <alignment vertical="center"/>
    </xf>
    <xf numFmtId="165" fontId="69" fillId="0" borderId="7" xfId="166" applyFont="1" applyBorder="1" applyAlignment="1">
      <alignment vertical="center"/>
    </xf>
    <xf numFmtId="165" fontId="69" fillId="0" borderId="7" xfId="168" applyFont="1" applyBorder="1" applyAlignment="1">
      <alignment vertical="center"/>
    </xf>
    <xf numFmtId="165" fontId="69" fillId="0" borderId="7" xfId="170" applyFont="1" applyBorder="1" applyAlignment="1">
      <alignment vertical="center"/>
    </xf>
    <xf numFmtId="49" fontId="70" fillId="0" borderId="53" xfId="0" applyNumberFormat="1" applyFont="1" applyBorder="1" applyAlignment="1">
      <alignment horizontal="center" vertical="center"/>
    </xf>
    <xf numFmtId="4" fontId="76" fillId="0" borderId="54" xfId="0" applyNumberFormat="1" applyFont="1" applyFill="1" applyBorder="1" applyAlignment="1">
      <alignment horizontal="right" vertical="center"/>
    </xf>
    <xf numFmtId="165" fontId="69" fillId="0" borderId="7" xfId="171" applyFont="1" applyBorder="1" applyAlignment="1">
      <alignment vertical="center"/>
    </xf>
    <xf numFmtId="165" fontId="69" fillId="0" borderId="7" xfId="172" applyFont="1" applyBorder="1" applyAlignment="1">
      <alignment vertical="center"/>
    </xf>
    <xf numFmtId="166" fontId="76" fillId="0" borderId="27" xfId="2" applyNumberFormat="1" applyFont="1" applyBorder="1" applyAlignment="1">
      <alignment vertical="center"/>
    </xf>
    <xf numFmtId="166" fontId="69" fillId="0" borderId="27" xfId="2" applyNumberFormat="1" applyFont="1" applyBorder="1" applyAlignment="1">
      <alignment vertical="center"/>
    </xf>
    <xf numFmtId="166" fontId="68" fillId="0" borderId="27" xfId="2" applyNumberFormat="1" applyFont="1" applyBorder="1" applyAlignment="1">
      <alignment horizontal="right" vertical="center"/>
    </xf>
    <xf numFmtId="4" fontId="68" fillId="0" borderId="27" xfId="2" applyNumberFormat="1" applyFont="1" applyBorder="1" applyAlignment="1">
      <alignment horizontal="right" vertical="center"/>
    </xf>
    <xf numFmtId="165" fontId="69" fillId="0" borderId="7" xfId="173" applyFont="1" applyBorder="1" applyAlignment="1">
      <alignment vertical="center"/>
    </xf>
    <xf numFmtId="165" fontId="69" fillId="0" borderId="7" xfId="178" applyFont="1" applyBorder="1" applyAlignment="1">
      <alignment vertical="center"/>
    </xf>
    <xf numFmtId="165" fontId="69" fillId="0" borderId="7" xfId="179" applyFont="1" applyBorder="1" applyAlignment="1">
      <alignment vertical="center"/>
    </xf>
    <xf numFmtId="165" fontId="69" fillId="0" borderId="7" xfId="180" applyFont="1" applyBorder="1" applyAlignment="1">
      <alignment vertical="center"/>
    </xf>
    <xf numFmtId="165" fontId="69" fillId="0" borderId="7" xfId="181" applyFont="1" applyBorder="1" applyAlignment="1">
      <alignment vertical="center"/>
    </xf>
    <xf numFmtId="4" fontId="72" fillId="0" borderId="5" xfId="0" applyNumberFormat="1" applyFont="1" applyFill="1" applyBorder="1" applyAlignment="1">
      <alignment horizontal="right" vertical="center"/>
    </xf>
    <xf numFmtId="165" fontId="69" fillId="0" borderId="7" xfId="182" applyFont="1" applyBorder="1" applyAlignment="1">
      <alignment vertical="center"/>
    </xf>
    <xf numFmtId="4" fontId="72" fillId="0" borderId="27" xfId="0" applyNumberFormat="1" applyFont="1" applyFill="1" applyBorder="1" applyAlignment="1">
      <alignment horizontal="right" vertical="center"/>
    </xf>
    <xf numFmtId="166" fontId="76" fillId="0" borderId="51" xfId="2" applyNumberFormat="1" applyFont="1" applyBorder="1" applyAlignment="1">
      <alignment vertical="center"/>
    </xf>
    <xf numFmtId="0" fontId="0" fillId="0" borderId="0" xfId="0"/>
    <xf numFmtId="165" fontId="69" fillId="0" borderId="7" xfId="186" applyFont="1" applyBorder="1" applyAlignment="1">
      <alignment vertical="center"/>
    </xf>
    <xf numFmtId="166" fontId="69" fillId="0" borderId="13" xfId="2" applyNumberFormat="1" applyFont="1" applyBorder="1" applyAlignment="1">
      <alignment vertical="center"/>
    </xf>
    <xf numFmtId="165" fontId="69" fillId="0" borderId="7" xfId="189" applyFont="1" applyBorder="1" applyAlignment="1">
      <alignment vertical="center"/>
    </xf>
    <xf numFmtId="165" fontId="69" fillId="0" borderId="7" xfId="190" applyFont="1" applyBorder="1" applyAlignment="1">
      <alignment vertical="center"/>
    </xf>
    <xf numFmtId="165" fontId="69" fillId="0" borderId="7" xfId="191" applyFont="1" applyBorder="1" applyAlignment="1">
      <alignment vertical="center"/>
    </xf>
    <xf numFmtId="0" fontId="0" fillId="0" borderId="0" xfId="0"/>
    <xf numFmtId="165" fontId="69" fillId="0" borderId="7" xfId="192" applyFont="1" applyBorder="1" applyAlignment="1">
      <alignment vertical="center"/>
    </xf>
    <xf numFmtId="165" fontId="69" fillId="0" borderId="7" xfId="194" applyFont="1" applyBorder="1" applyAlignment="1">
      <alignment vertical="center"/>
    </xf>
    <xf numFmtId="165" fontId="69" fillId="0" borderId="7" xfId="195" applyFont="1" applyFill="1" applyBorder="1" applyAlignment="1">
      <alignment vertical="center"/>
    </xf>
    <xf numFmtId="165" fontId="69" fillId="0" borderId="7" xfId="196" applyFont="1" applyFill="1" applyBorder="1" applyAlignment="1">
      <alignment vertical="center"/>
    </xf>
    <xf numFmtId="165" fontId="69" fillId="0" borderId="7" xfId="198" applyFont="1" applyBorder="1" applyAlignment="1">
      <alignment vertical="center"/>
    </xf>
    <xf numFmtId="165" fontId="69" fillId="0" borderId="7" xfId="199" applyFont="1" applyBorder="1" applyAlignment="1">
      <alignment vertical="center"/>
    </xf>
    <xf numFmtId="165" fontId="69" fillId="0" borderId="7" xfId="200" applyFont="1" applyBorder="1" applyAlignment="1">
      <alignment vertical="center"/>
    </xf>
    <xf numFmtId="165" fontId="69" fillId="0" borderId="7" xfId="201" applyFont="1" applyBorder="1" applyAlignment="1">
      <alignment vertical="center"/>
    </xf>
    <xf numFmtId="165" fontId="69" fillId="0" borderId="7" xfId="202" applyFont="1" applyBorder="1" applyAlignment="1">
      <alignment vertical="center"/>
    </xf>
    <xf numFmtId="165" fontId="69" fillId="0" borderId="7" xfId="204" applyFont="1" applyBorder="1" applyAlignment="1">
      <alignment vertical="center"/>
    </xf>
    <xf numFmtId="165" fontId="69" fillId="0" borderId="7" xfId="203" applyFont="1" applyBorder="1" applyAlignment="1">
      <alignment vertical="center"/>
    </xf>
    <xf numFmtId="165" fontId="69" fillId="0" borderId="7" xfId="206" applyFont="1" applyBorder="1" applyAlignment="1">
      <alignment vertical="center"/>
    </xf>
    <xf numFmtId="165" fontId="69" fillId="0" borderId="7" xfId="208" applyFont="1" applyBorder="1" applyAlignment="1">
      <alignment vertical="center"/>
    </xf>
    <xf numFmtId="165" fontId="69" fillId="0" borderId="7" xfId="210" applyFont="1" applyBorder="1" applyAlignment="1">
      <alignment vertical="center"/>
    </xf>
    <xf numFmtId="165" fontId="69" fillId="0" borderId="7" xfId="209" applyFont="1" applyBorder="1" applyAlignment="1">
      <alignment vertical="center"/>
    </xf>
    <xf numFmtId="165" fontId="69" fillId="0" borderId="7" xfId="207" applyFont="1" applyBorder="1" applyAlignment="1">
      <alignment vertical="center"/>
    </xf>
    <xf numFmtId="0" fontId="0" fillId="0" borderId="0" xfId="0"/>
    <xf numFmtId="0" fontId="68" fillId="0" borderId="0" xfId="0" applyFont="1"/>
    <xf numFmtId="165" fontId="69" fillId="0" borderId="7" xfId="211" applyFont="1" applyBorder="1" applyAlignment="1">
      <alignment vertical="center"/>
    </xf>
    <xf numFmtId="0" fontId="0" fillId="0" borderId="0" xfId="0"/>
    <xf numFmtId="165" fontId="0" fillId="0" borderId="0" xfId="0" applyNumberFormat="1"/>
    <xf numFmtId="165" fontId="69" fillId="0" borderId="7" xfId="213" applyFont="1" applyBorder="1" applyAlignment="1">
      <alignment vertical="center"/>
    </xf>
    <xf numFmtId="166" fontId="68" fillId="0" borderId="68" xfId="2" applyNumberFormat="1" applyFont="1" applyBorder="1" applyAlignment="1">
      <alignment horizontal="right" vertical="center"/>
    </xf>
    <xf numFmtId="166" fontId="68" fillId="0" borderId="68" xfId="2" applyNumberFormat="1" applyFont="1" applyBorder="1" applyAlignment="1">
      <alignment vertical="center"/>
    </xf>
    <xf numFmtId="166" fontId="72" fillId="0" borderId="51" xfId="2" applyNumberFormat="1" applyFont="1" applyBorder="1" applyAlignment="1">
      <alignment vertical="center"/>
    </xf>
    <xf numFmtId="166" fontId="76" fillId="0" borderId="28" xfId="2" applyNumberFormat="1" applyFont="1" applyBorder="1" applyAlignment="1">
      <alignment horizontal="right" vertical="center"/>
    </xf>
    <xf numFmtId="166" fontId="72" fillId="0" borderId="27" xfId="2" applyNumberFormat="1" applyFont="1" applyBorder="1" applyAlignment="1">
      <alignment vertical="center"/>
    </xf>
    <xf numFmtId="4" fontId="76" fillId="0" borderId="28" xfId="0" applyNumberFormat="1" applyFont="1" applyFill="1" applyBorder="1" applyAlignment="1">
      <alignment horizontal="right" vertical="center"/>
    </xf>
    <xf numFmtId="43" fontId="68" fillId="0" borderId="53" xfId="0" applyNumberFormat="1" applyFont="1" applyBorder="1" applyAlignment="1">
      <alignment horizontal="right" vertical="center" indent="2"/>
    </xf>
    <xf numFmtId="166" fontId="66" fillId="0" borderId="0" xfId="2" applyNumberFormat="1" applyFont="1" applyBorder="1"/>
    <xf numFmtId="0" fontId="0" fillId="0" borderId="0" xfId="0" applyFont="1" applyAlignment="1"/>
    <xf numFmtId="166" fontId="66" fillId="12" borderId="1" xfId="2" applyNumberFormat="1" applyFont="1" applyFill="1" applyBorder="1"/>
    <xf numFmtId="165" fontId="66" fillId="12" borderId="1" xfId="0" applyNumberFormat="1" applyFont="1" applyFill="1" applyBorder="1"/>
    <xf numFmtId="43" fontId="66" fillId="0" borderId="1" xfId="0" applyNumberFormat="1" applyFont="1" applyFill="1" applyBorder="1" applyAlignment="1">
      <alignment horizontal="left" vertical="center" indent="1"/>
    </xf>
    <xf numFmtId="166" fontId="68" fillId="0" borderId="56" xfId="2" applyNumberFormat="1" applyFont="1" applyBorder="1" applyAlignment="1">
      <alignment vertical="center"/>
    </xf>
    <xf numFmtId="0" fontId="70" fillId="0" borderId="0" xfId="0" applyFont="1"/>
    <xf numFmtId="49" fontId="100" fillId="0" borderId="53" xfId="0" applyNumberFormat="1" applyFont="1" applyBorder="1" applyAlignment="1">
      <alignment horizontal="center" vertical="center"/>
    </xf>
    <xf numFmtId="4" fontId="72" fillId="0" borderId="7" xfId="0" applyNumberFormat="1" applyFont="1" applyFill="1" applyBorder="1" applyAlignment="1">
      <alignment horizontal="right" vertical="center"/>
    </xf>
    <xf numFmtId="166" fontId="72" fillId="0" borderId="7" xfId="2" applyNumberFormat="1" applyFont="1" applyBorder="1" applyAlignment="1">
      <alignment vertical="center"/>
    </xf>
    <xf numFmtId="43" fontId="68" fillId="0" borderId="0" xfId="1" applyFont="1" applyBorder="1" applyAlignment="1">
      <alignment horizontal="left" vertical="center" indent="1"/>
    </xf>
    <xf numFmtId="43" fontId="69" fillId="0" borderId="43" xfId="1" applyFont="1" applyBorder="1" applyAlignment="1">
      <alignment horizontal="left" vertical="center" indent="1"/>
    </xf>
    <xf numFmtId="43" fontId="0" fillId="0" borderId="43" xfId="1" applyFont="1" applyBorder="1" applyAlignment="1">
      <alignment horizontal="left" vertical="center" indent="1"/>
    </xf>
    <xf numFmtId="43" fontId="68" fillId="0" borderId="43" xfId="1" applyFont="1" applyBorder="1" applyAlignment="1">
      <alignment horizontal="left" vertical="center" indent="1"/>
    </xf>
    <xf numFmtId="4" fontId="72" fillId="0" borderId="14" xfId="0" applyNumberFormat="1" applyFont="1" applyFill="1" applyBorder="1" applyAlignment="1">
      <alignment horizontal="right" vertical="center"/>
    </xf>
    <xf numFmtId="39" fontId="68" fillId="0" borderId="60" xfId="12" applyNumberFormat="1" applyFont="1" applyBorder="1" applyAlignment="1">
      <alignment horizontal="right" vertical="center"/>
    </xf>
    <xf numFmtId="165" fontId="68" fillId="0" borderId="53" xfId="12" applyNumberFormat="1" applyFont="1" applyBorder="1" applyAlignment="1">
      <alignment horizontal="right" vertical="top" wrapText="1"/>
    </xf>
    <xf numFmtId="165" fontId="68" fillId="0" borderId="53" xfId="12" applyNumberFormat="1" applyFont="1" applyBorder="1" applyAlignment="1">
      <alignment vertical="top" wrapText="1"/>
    </xf>
    <xf numFmtId="4" fontId="76" fillId="0" borderId="53" xfId="0" applyNumberFormat="1" applyFont="1" applyFill="1" applyBorder="1" applyAlignment="1">
      <alignment horizontal="right" vertical="center"/>
    </xf>
    <xf numFmtId="39" fontId="69" fillId="0" borderId="43" xfId="0" applyNumberFormat="1" applyFont="1" applyBorder="1" applyAlignment="1">
      <alignment horizontal="right" vertical="center"/>
    </xf>
    <xf numFmtId="4" fontId="76" fillId="0" borderId="5" xfId="0" applyNumberFormat="1" applyFont="1" applyFill="1" applyBorder="1" applyAlignment="1">
      <alignment horizontal="right" vertical="center"/>
    </xf>
    <xf numFmtId="4" fontId="76" fillId="0" borderId="7" xfId="0" applyNumberFormat="1" applyFont="1" applyFill="1" applyBorder="1" applyAlignment="1">
      <alignment horizontal="right" vertical="center"/>
    </xf>
    <xf numFmtId="4" fontId="76" fillId="0" borderId="66" xfId="0" applyNumberFormat="1" applyFont="1" applyFill="1" applyBorder="1" applyAlignment="1">
      <alignment horizontal="right" vertical="center"/>
    </xf>
    <xf numFmtId="166" fontId="101" fillId="0" borderId="7" xfId="2" applyNumberFormat="1" applyFont="1" applyBorder="1" applyAlignment="1">
      <alignment vertical="center"/>
    </xf>
    <xf numFmtId="43" fontId="69" fillId="0" borderId="7" xfId="1" applyFont="1" applyFill="1" applyBorder="1" applyAlignment="1">
      <alignment horizontal="left" vertical="center" wrapText="1"/>
    </xf>
    <xf numFmtId="165" fontId="69" fillId="0" borderId="7" xfId="205" applyFont="1" applyBorder="1" applyAlignment="1">
      <alignment vertical="center"/>
    </xf>
    <xf numFmtId="166" fontId="68" fillId="0" borderId="13" xfId="0" applyNumberFormat="1" applyFont="1" applyBorder="1" applyAlignment="1">
      <alignment vertical="center"/>
    </xf>
    <xf numFmtId="0" fontId="70" fillId="0" borderId="28" xfId="0" applyFont="1" applyFill="1" applyBorder="1"/>
    <xf numFmtId="0" fontId="0" fillId="0" borderId="0" xfId="0"/>
    <xf numFmtId="166" fontId="76" fillId="5" borderId="14" xfId="18" applyNumberFormat="1" applyFont="1" applyFill="1" applyBorder="1" applyAlignment="1">
      <alignment vertical="center"/>
    </xf>
    <xf numFmtId="4" fontId="76" fillId="0" borderId="53" xfId="18" applyNumberFormat="1" applyFont="1" applyFill="1" applyBorder="1" applyAlignment="1">
      <alignment horizontal="right" vertical="center" indent="1"/>
    </xf>
    <xf numFmtId="4" fontId="72" fillId="0" borderId="7" xfId="0" applyNumberFormat="1" applyFont="1" applyBorder="1" applyAlignment="1">
      <alignment horizontal="right" vertical="center" wrapText="1"/>
    </xf>
    <xf numFmtId="4" fontId="76" fillId="0" borderId="7" xfId="0" applyNumberFormat="1" applyFont="1" applyFill="1" applyBorder="1" applyAlignment="1">
      <alignment horizontal="right" vertical="center" indent="1"/>
    </xf>
    <xf numFmtId="166" fontId="72" fillId="0" borderId="14" xfId="18" applyNumberFormat="1" applyFont="1" applyFill="1" applyBorder="1" applyAlignment="1">
      <alignment vertical="center"/>
    </xf>
    <xf numFmtId="43" fontId="76" fillId="0" borderId="7" xfId="0" applyNumberFormat="1" applyFont="1" applyFill="1" applyBorder="1" applyAlignment="1">
      <alignment horizontal="right" vertical="center"/>
    </xf>
    <xf numFmtId="166" fontId="69" fillId="0" borderId="7" xfId="18" applyNumberFormat="1" applyFont="1" applyFill="1" applyBorder="1" applyAlignment="1">
      <alignment vertical="center"/>
    </xf>
    <xf numFmtId="166" fontId="82" fillId="5" borderId="14" xfId="18" applyNumberFormat="1" applyFont="1" applyFill="1" applyBorder="1" applyAlignment="1">
      <alignment vertical="center"/>
    </xf>
    <xf numFmtId="4" fontId="76" fillId="0" borderId="53" xfId="0" applyNumberFormat="1" applyFont="1" applyFill="1" applyBorder="1" applyAlignment="1">
      <alignment vertical="center"/>
    </xf>
    <xf numFmtId="4" fontId="76" fillId="0" borderId="5" xfId="0" applyNumberFormat="1" applyFont="1" applyFill="1" applyBorder="1" applyAlignment="1">
      <alignment vertical="center"/>
    </xf>
    <xf numFmtId="4" fontId="76" fillId="0" borderId="7" xfId="0" applyNumberFormat="1" applyFont="1" applyFill="1" applyBorder="1" applyAlignment="1">
      <alignment vertical="center"/>
    </xf>
    <xf numFmtId="4" fontId="72" fillId="0" borderId="7" xfId="18" applyNumberFormat="1" applyFont="1" applyFill="1" applyBorder="1" applyAlignment="1">
      <alignment vertical="center"/>
    </xf>
    <xf numFmtId="4" fontId="70" fillId="0" borderId="14" xfId="18" applyNumberFormat="1" applyFont="1" applyFill="1" applyBorder="1" applyAlignment="1">
      <alignment vertical="center"/>
    </xf>
    <xf numFmtId="4" fontId="76" fillId="0" borderId="53" xfId="18" applyNumberFormat="1" applyFont="1" applyFill="1" applyBorder="1" applyAlignment="1">
      <alignment vertical="center"/>
    </xf>
    <xf numFmtId="4" fontId="72" fillId="0" borderId="7" xfId="0" applyNumberFormat="1" applyFont="1" applyBorder="1" applyAlignment="1">
      <alignment vertical="center" wrapText="1"/>
    </xf>
    <xf numFmtId="4" fontId="72" fillId="0" borderId="28" xfId="0" applyNumberFormat="1" applyFont="1" applyBorder="1" applyAlignment="1"/>
    <xf numFmtId="4" fontId="72" fillId="0" borderId="7" xfId="0" applyNumberFormat="1" applyFont="1" applyFill="1" applyBorder="1" applyAlignment="1">
      <alignment vertical="center"/>
    </xf>
    <xf numFmtId="4" fontId="72" fillId="10" borderId="7" xfId="0" applyNumberFormat="1" applyFont="1" applyFill="1" applyBorder="1" applyAlignment="1">
      <alignment vertical="center"/>
    </xf>
    <xf numFmtId="4" fontId="70" fillId="0" borderId="28" xfId="0" applyNumberFormat="1" applyFont="1" applyBorder="1" applyAlignment="1"/>
    <xf numFmtId="4" fontId="72" fillId="0" borderId="7" xfId="4" applyNumberFormat="1" applyFont="1" applyFill="1" applyBorder="1" applyAlignment="1">
      <alignment vertical="center"/>
    </xf>
    <xf numFmtId="4" fontId="76" fillId="0" borderId="7" xfId="4" applyNumberFormat="1" applyFont="1" applyFill="1" applyBorder="1" applyAlignment="1">
      <alignment vertical="center"/>
    </xf>
    <xf numFmtId="4" fontId="70" fillId="0" borderId="52" xfId="0" applyNumberFormat="1" applyFont="1" applyBorder="1" applyAlignment="1"/>
    <xf numFmtId="4" fontId="76" fillId="0" borderId="53" xfId="4" applyNumberFormat="1" applyFont="1" applyFill="1" applyBorder="1" applyAlignment="1">
      <alignment vertical="center"/>
    </xf>
    <xf numFmtId="4" fontId="76" fillId="0" borderId="5" xfId="4" applyNumberFormat="1" applyFont="1" applyFill="1" applyBorder="1" applyAlignment="1">
      <alignment vertical="center"/>
    </xf>
    <xf numFmtId="4" fontId="72" fillId="0" borderId="52" xfId="18" applyNumberFormat="1" applyFont="1" applyBorder="1" applyAlignment="1">
      <alignment vertical="center"/>
    </xf>
    <xf numFmtId="4" fontId="72" fillId="0" borderId="5" xfId="0" applyNumberFormat="1" applyFont="1" applyFill="1" applyBorder="1" applyAlignment="1">
      <alignment vertical="center"/>
    </xf>
    <xf numFmtId="4" fontId="72" fillId="0" borderId="14" xfId="18" applyNumberFormat="1" applyFont="1" applyFill="1" applyBorder="1" applyAlignment="1">
      <alignment vertical="center"/>
    </xf>
    <xf numFmtId="4" fontId="72" fillId="0" borderId="52" xfId="18" applyNumberFormat="1" applyFont="1" applyFill="1" applyBorder="1" applyAlignment="1">
      <alignment vertical="center"/>
    </xf>
    <xf numFmtId="4" fontId="76" fillId="0" borderId="52" xfId="18" applyNumberFormat="1" applyFont="1" applyFill="1" applyBorder="1" applyAlignment="1">
      <alignment vertical="center"/>
    </xf>
    <xf numFmtId="43" fontId="76" fillId="0" borderId="53" xfId="0" applyNumberFormat="1" applyFont="1" applyFill="1" applyBorder="1" applyAlignment="1">
      <alignment vertical="center"/>
    </xf>
    <xf numFmtId="43" fontId="76" fillId="0" borderId="5" xfId="0" applyNumberFormat="1" applyFont="1" applyFill="1" applyBorder="1" applyAlignment="1">
      <alignment vertical="center"/>
    </xf>
    <xf numFmtId="43" fontId="68" fillId="5" borderId="7" xfId="0" applyNumberFormat="1" applyFont="1" applyFill="1" applyBorder="1" applyAlignment="1">
      <alignment vertical="center"/>
    </xf>
    <xf numFmtId="43" fontId="68" fillId="2" borderId="53" xfId="0" applyNumberFormat="1" applyFont="1" applyFill="1" applyBorder="1" applyAlignment="1">
      <alignment vertical="center"/>
    </xf>
    <xf numFmtId="43" fontId="68" fillId="0" borderId="53" xfId="0" applyNumberFormat="1" applyFont="1" applyFill="1" applyBorder="1" applyAlignment="1">
      <alignment vertical="center"/>
    </xf>
    <xf numFmtId="4" fontId="68" fillId="0" borderId="1" xfId="0" applyNumberFormat="1" applyFont="1" applyFill="1" applyBorder="1" applyAlignment="1">
      <alignment vertical="center"/>
    </xf>
    <xf numFmtId="4" fontId="68" fillId="0" borderId="7" xfId="0" applyNumberFormat="1" applyFont="1" applyFill="1" applyBorder="1" applyAlignment="1">
      <alignment vertical="center"/>
    </xf>
    <xf numFmtId="4" fontId="68" fillId="0" borderId="53" xfId="0" applyNumberFormat="1" applyFont="1" applyFill="1" applyBorder="1" applyAlignment="1">
      <alignment vertical="center"/>
    </xf>
    <xf numFmtId="166" fontId="69" fillId="0" borderId="7" xfId="16" applyNumberFormat="1" applyFont="1" applyBorder="1" applyAlignment="1">
      <alignment vertical="center"/>
    </xf>
    <xf numFmtId="166" fontId="69" fillId="0" borderId="7" xfId="14" applyNumberFormat="1" applyFont="1" applyBorder="1" applyAlignment="1">
      <alignment vertical="center"/>
    </xf>
    <xf numFmtId="166" fontId="69" fillId="0" borderId="7" xfId="16" applyNumberFormat="1" applyFont="1" applyFill="1" applyBorder="1" applyAlignment="1">
      <alignment vertical="center"/>
    </xf>
    <xf numFmtId="166" fontId="69" fillId="0" borderId="1" xfId="0" applyNumberFormat="1" applyFont="1" applyFill="1" applyBorder="1" applyAlignment="1">
      <alignment vertical="center"/>
    </xf>
    <xf numFmtId="166" fontId="69" fillId="0" borderId="27" xfId="14" applyNumberFormat="1" applyFont="1" applyBorder="1" applyAlignment="1">
      <alignment vertical="center"/>
    </xf>
    <xf numFmtId="43" fontId="68" fillId="0" borderId="53" xfId="1" applyFont="1" applyFill="1" applyBorder="1" applyAlignment="1">
      <alignment vertical="center"/>
    </xf>
    <xf numFmtId="166" fontId="68" fillId="0" borderId="5" xfId="13" applyNumberFormat="1" applyFont="1" applyBorder="1" applyAlignment="1">
      <alignment vertical="center" wrapText="1"/>
    </xf>
    <xf numFmtId="4" fontId="68" fillId="0" borderId="54" xfId="0" applyNumberFormat="1" applyFont="1" applyFill="1" applyBorder="1" applyAlignment="1">
      <alignment vertical="center"/>
    </xf>
    <xf numFmtId="41" fontId="0" fillId="0" borderId="51" xfId="14" applyFont="1" applyBorder="1" applyAlignment="1">
      <alignment vertical="center"/>
    </xf>
    <xf numFmtId="43" fontId="68" fillId="0" borderId="68" xfId="13" applyNumberFormat="1" applyFont="1" applyBorder="1" applyAlignment="1">
      <alignment vertical="center" wrapText="1"/>
    </xf>
    <xf numFmtId="43" fontId="69" fillId="0" borderId="7" xfId="16" applyNumberFormat="1" applyFont="1" applyBorder="1" applyAlignment="1">
      <alignment vertical="center"/>
    </xf>
    <xf numFmtId="43" fontId="69" fillId="0" borderId="1" xfId="0" applyNumberFormat="1" applyFont="1" applyFill="1" applyBorder="1" applyAlignment="1">
      <alignment vertical="center"/>
    </xf>
    <xf numFmtId="43" fontId="69" fillId="0" borderId="7" xfId="1" applyFont="1" applyBorder="1" applyAlignment="1">
      <alignment vertical="center" wrapText="1"/>
    </xf>
    <xf numFmtId="43" fontId="69" fillId="0" borderId="14" xfId="1" applyFont="1" applyBorder="1" applyAlignment="1">
      <alignment vertical="center" wrapText="1"/>
    </xf>
    <xf numFmtId="43" fontId="0" fillId="0" borderId="1" xfId="1" applyFont="1" applyBorder="1" applyAlignment="1">
      <alignment vertical="center" wrapText="1"/>
    </xf>
    <xf numFmtId="43" fontId="68" fillId="0" borderId="7" xfId="1" applyFont="1" applyBorder="1" applyAlignment="1">
      <alignment vertical="center" wrapText="1"/>
    </xf>
    <xf numFmtId="43" fontId="69" fillId="0" borderId="59" xfId="1" applyFont="1" applyBorder="1" applyAlignment="1">
      <alignment vertical="center" wrapText="1"/>
    </xf>
    <xf numFmtId="166" fontId="69" fillId="0" borderId="0" xfId="2" applyNumberFormat="1" applyFont="1" applyAlignment="1"/>
    <xf numFmtId="43" fontId="69" fillId="0" borderId="7" xfId="0" applyNumberFormat="1" applyFont="1" applyFill="1" applyBorder="1" applyAlignment="1">
      <alignment vertical="center"/>
    </xf>
    <xf numFmtId="43" fontId="68" fillId="0" borderId="7" xfId="0" applyNumberFormat="1" applyFont="1" applyFill="1" applyBorder="1" applyAlignment="1">
      <alignment vertical="center"/>
    </xf>
    <xf numFmtId="39" fontId="69" fillId="0" borderId="14" xfId="12" applyNumberFormat="1" applyFont="1" applyBorder="1" applyAlignment="1">
      <alignment vertical="top"/>
    </xf>
    <xf numFmtId="39" fontId="69" fillId="0" borderId="7" xfId="12" applyNumberFormat="1" applyFont="1" applyBorder="1" applyAlignment="1">
      <alignment vertical="top"/>
    </xf>
    <xf numFmtId="39" fontId="69" fillId="0" borderId="5" xfId="12" applyNumberFormat="1" applyFont="1" applyBorder="1" applyAlignment="1">
      <alignment vertical="top"/>
    </xf>
    <xf numFmtId="43" fontId="69" fillId="0" borderId="61" xfId="1" applyFont="1" applyBorder="1" applyAlignment="1">
      <alignment vertical="center"/>
    </xf>
    <xf numFmtId="43" fontId="69" fillId="0" borderId="102" xfId="1" applyFont="1" applyBorder="1" applyAlignment="1">
      <alignment vertical="center" wrapText="1"/>
    </xf>
    <xf numFmtId="43" fontId="69" fillId="0" borderId="14" xfId="0" applyNumberFormat="1" applyFont="1" applyFill="1" applyBorder="1" applyAlignment="1">
      <alignment vertical="center"/>
    </xf>
    <xf numFmtId="43" fontId="68" fillId="0" borderId="14" xfId="0" applyNumberFormat="1" applyFont="1" applyFill="1" applyBorder="1" applyAlignment="1">
      <alignment vertical="center"/>
    </xf>
    <xf numFmtId="43" fontId="69" fillId="0" borderId="62" xfId="1" applyFont="1" applyBorder="1" applyAlignment="1">
      <alignment vertical="center" wrapText="1"/>
    </xf>
    <xf numFmtId="43" fontId="69" fillId="0" borderId="51" xfId="1" applyFont="1" applyBorder="1" applyAlignment="1">
      <alignment vertical="center" wrapText="1"/>
    </xf>
    <xf numFmtId="43" fontId="68" fillId="0" borderId="28" xfId="1" applyFont="1" applyBorder="1" applyAlignment="1">
      <alignment vertical="center" wrapText="1"/>
    </xf>
    <xf numFmtId="43" fontId="69" fillId="0" borderId="28" xfId="1" applyFont="1" applyBorder="1" applyAlignment="1">
      <alignment vertical="center" wrapText="1"/>
    </xf>
    <xf numFmtId="43" fontId="68" fillId="0" borderId="1" xfId="0" applyNumberFormat="1" applyFont="1" applyFill="1" applyBorder="1" applyAlignment="1">
      <alignment vertical="center"/>
    </xf>
    <xf numFmtId="166" fontId="0" fillId="0" borderId="0" xfId="2" applyNumberFormat="1" applyFont="1" applyAlignment="1"/>
    <xf numFmtId="43" fontId="68" fillId="0" borderId="42" xfId="1" applyFont="1" applyBorder="1" applyAlignment="1">
      <alignment vertical="center"/>
    </xf>
    <xf numFmtId="43" fontId="69" fillId="0" borderId="18" xfId="0" applyNumberFormat="1" applyFont="1" applyFill="1" applyBorder="1" applyAlignment="1">
      <alignment vertical="center"/>
    </xf>
    <xf numFmtId="43" fontId="69" fillId="0" borderId="42" xfId="0" applyNumberFormat="1" applyFont="1" applyFill="1" applyBorder="1" applyAlignment="1">
      <alignment vertical="center"/>
    </xf>
    <xf numFmtId="43" fontId="68" fillId="0" borderId="64" xfId="1" applyFont="1" applyBorder="1" applyAlignment="1">
      <alignment vertical="center"/>
    </xf>
    <xf numFmtId="43" fontId="69" fillId="0" borderId="64" xfId="1" applyFont="1" applyBorder="1" applyAlignment="1">
      <alignment vertical="center"/>
    </xf>
    <xf numFmtId="43" fontId="68" fillId="0" borderId="61" xfId="1" applyFont="1" applyBorder="1" applyAlignment="1">
      <alignment vertical="center"/>
    </xf>
    <xf numFmtId="43" fontId="68" fillId="0" borderId="53" xfId="0" applyNumberFormat="1" applyFont="1" applyBorder="1" applyAlignment="1">
      <alignment vertical="center"/>
    </xf>
    <xf numFmtId="43" fontId="68" fillId="0" borderId="65" xfId="1" applyFont="1" applyBorder="1" applyAlignment="1">
      <alignment vertical="center"/>
    </xf>
    <xf numFmtId="43" fontId="69" fillId="0" borderId="14" xfId="0" applyNumberFormat="1" applyFont="1" applyBorder="1" applyAlignment="1">
      <alignment vertical="center"/>
    </xf>
    <xf numFmtId="43" fontId="68" fillId="0" borderId="1" xfId="0" applyNumberFormat="1" applyFont="1" applyBorder="1" applyAlignment="1">
      <alignment vertical="center"/>
    </xf>
    <xf numFmtId="43" fontId="0" fillId="0" borderId="61" xfId="1" applyFont="1" applyBorder="1" applyAlignment="1">
      <alignment vertical="center"/>
    </xf>
    <xf numFmtId="43" fontId="69" fillId="0" borderId="7" xfId="0" applyNumberFormat="1" applyFont="1" applyBorder="1" applyAlignment="1">
      <alignment vertical="center"/>
    </xf>
    <xf numFmtId="43" fontId="69" fillId="0" borderId="1" xfId="0" applyNumberFormat="1" applyFont="1" applyBorder="1" applyAlignment="1">
      <alignment vertical="center"/>
    </xf>
    <xf numFmtId="43" fontId="69" fillId="0" borderId="98" xfId="1" applyFont="1" applyBorder="1" applyAlignment="1">
      <alignment vertical="center"/>
    </xf>
    <xf numFmtId="43" fontId="69" fillId="0" borderId="74" xfId="1" applyFont="1" applyBorder="1" applyAlignment="1">
      <alignment vertical="center"/>
    </xf>
    <xf numFmtId="43" fontId="68" fillId="0" borderId="14" xfId="0" applyNumberFormat="1" applyFont="1" applyBorder="1" applyAlignment="1">
      <alignment vertical="center"/>
    </xf>
    <xf numFmtId="165" fontId="68" fillId="0" borderId="67" xfId="1" applyNumberFormat="1" applyFont="1" applyBorder="1" applyAlignment="1">
      <alignment vertical="center"/>
    </xf>
    <xf numFmtId="43" fontId="68" fillId="0" borderId="53" xfId="1" applyFont="1" applyBorder="1" applyAlignment="1">
      <alignment vertical="center"/>
    </xf>
    <xf numFmtId="43" fontId="68" fillId="0" borderId="0" xfId="1" applyFont="1" applyBorder="1" applyAlignment="1">
      <alignment vertical="center"/>
    </xf>
    <xf numFmtId="43" fontId="69" fillId="0" borderId="28" xfId="1" applyFont="1" applyBorder="1" applyAlignment="1">
      <alignment vertical="center"/>
    </xf>
    <xf numFmtId="43" fontId="69" fillId="0" borderId="43" xfId="1" applyFont="1" applyBorder="1" applyAlignment="1">
      <alignment vertical="center"/>
    </xf>
    <xf numFmtId="39" fontId="68" fillId="0" borderId="60" xfId="12" applyNumberFormat="1" applyFont="1" applyBorder="1" applyAlignment="1">
      <alignment vertical="center"/>
    </xf>
    <xf numFmtId="43" fontId="0" fillId="0" borderId="43" xfId="1" applyFont="1" applyBorder="1" applyAlignment="1">
      <alignment vertical="center"/>
    </xf>
    <xf numFmtId="43" fontId="68" fillId="0" borderId="43" xfId="1" applyFont="1" applyBorder="1" applyAlignment="1">
      <alignment vertical="center"/>
    </xf>
    <xf numFmtId="43" fontId="69" fillId="0" borderId="0" xfId="1" applyFont="1" applyBorder="1" applyAlignment="1">
      <alignment vertical="center"/>
    </xf>
    <xf numFmtId="43" fontId="68" fillId="0" borderId="54" xfId="1" applyFont="1" applyBorder="1" applyAlignment="1">
      <alignment vertical="center"/>
    </xf>
    <xf numFmtId="43" fontId="68" fillId="0" borderId="27" xfId="1" applyFont="1" applyBorder="1" applyAlignment="1">
      <alignment vertical="center"/>
    </xf>
    <xf numFmtId="43" fontId="69" fillId="0" borderId="52" xfId="1" applyFont="1" applyBorder="1" applyAlignment="1">
      <alignment vertical="center"/>
    </xf>
    <xf numFmtId="43" fontId="69" fillId="0" borderId="74" xfId="0" applyNumberFormat="1" applyFont="1" applyBorder="1" applyAlignment="1">
      <alignment vertical="center"/>
    </xf>
    <xf numFmtId="43" fontId="68" fillId="0" borderId="5" xfId="0" applyNumberFormat="1" applyFont="1" applyBorder="1" applyAlignment="1">
      <alignment vertical="center"/>
    </xf>
    <xf numFmtId="43" fontId="68" fillId="0" borderId="51" xfId="1" applyFont="1" applyBorder="1" applyAlignment="1">
      <alignment vertical="center" wrapText="1"/>
    </xf>
    <xf numFmtId="43" fontId="68" fillId="0" borderId="53" xfId="1" applyFont="1" applyBorder="1" applyAlignment="1">
      <alignment vertical="center" wrapText="1"/>
    </xf>
    <xf numFmtId="43" fontId="68" fillId="0" borderId="68" xfId="1" applyFont="1" applyBorder="1" applyAlignment="1">
      <alignment vertical="center" wrapText="1"/>
    </xf>
    <xf numFmtId="43" fontId="68" fillId="0" borderId="1" xfId="1" applyFont="1" applyBorder="1" applyAlignment="1">
      <alignment vertical="center"/>
    </xf>
    <xf numFmtId="43" fontId="69" fillId="0" borderId="1" xfId="1" applyFont="1" applyBorder="1" applyAlignment="1">
      <alignment vertical="center"/>
    </xf>
    <xf numFmtId="43" fontId="69" fillId="0" borderId="7" xfId="1" applyFont="1" applyFill="1" applyBorder="1" applyAlignment="1">
      <alignment vertical="center"/>
    </xf>
    <xf numFmtId="43" fontId="69" fillId="0" borderId="5" xfId="1" applyFont="1" applyBorder="1" applyAlignment="1">
      <alignment vertical="center"/>
    </xf>
    <xf numFmtId="43" fontId="68" fillId="0" borderId="57" xfId="0" applyNumberFormat="1" applyFont="1" applyBorder="1" applyAlignment="1">
      <alignment vertical="center"/>
    </xf>
    <xf numFmtId="166" fontId="68" fillId="0" borderId="14" xfId="2" applyNumberFormat="1" applyFont="1" applyBorder="1" applyAlignment="1"/>
    <xf numFmtId="166" fontId="69" fillId="0" borderId="7" xfId="2" applyNumberFormat="1" applyFont="1" applyBorder="1" applyAlignment="1"/>
    <xf numFmtId="166" fontId="68" fillId="0" borderId="1" xfId="2" applyNumberFormat="1" applyFont="1" applyBorder="1" applyAlignment="1"/>
    <xf numFmtId="166" fontId="69" fillId="0" borderId="5" xfId="2" applyNumberFormat="1" applyFont="1" applyBorder="1" applyAlignment="1"/>
    <xf numFmtId="166" fontId="0" fillId="0" borderId="7" xfId="2" applyNumberFormat="1" applyFont="1" applyBorder="1" applyAlignment="1"/>
    <xf numFmtId="0" fontId="0" fillId="0" borderId="14" xfId="0" applyFont="1" applyBorder="1" applyAlignment="1"/>
    <xf numFmtId="166" fontId="68" fillId="0" borderId="7" xfId="2" applyNumberFormat="1" applyFont="1" applyBorder="1" applyAlignment="1"/>
    <xf numFmtId="166" fontId="69" fillId="0" borderId="1" xfId="2" applyNumberFormat="1" applyFont="1" applyBorder="1" applyAlignment="1"/>
    <xf numFmtId="166" fontId="68" fillId="0" borderId="53" xfId="2" applyNumberFormat="1" applyFont="1" applyBorder="1" applyAlignment="1"/>
    <xf numFmtId="0" fontId="0" fillId="0" borderId="1" xfId="0" applyFont="1" applyBorder="1" applyAlignment="1"/>
    <xf numFmtId="166" fontId="69" fillId="0" borderId="5" xfId="2" applyNumberFormat="1" applyFont="1" applyBorder="1" applyAlignment="1">
      <alignment vertical="center"/>
    </xf>
    <xf numFmtId="166" fontId="69" fillId="0" borderId="14" xfId="2" applyNumberFormat="1" applyFont="1" applyBorder="1" applyAlignment="1"/>
    <xf numFmtId="166" fontId="68" fillId="0" borderId="68" xfId="2" applyNumberFormat="1" applyFont="1" applyBorder="1" applyAlignment="1"/>
    <xf numFmtId="166" fontId="0" fillId="0" borderId="14" xfId="2" applyNumberFormat="1" applyFont="1" applyBorder="1" applyAlignment="1"/>
    <xf numFmtId="0" fontId="0" fillId="0" borderId="5" xfId="0" applyFont="1" applyBorder="1" applyAlignment="1"/>
    <xf numFmtId="169" fontId="69" fillId="0" borderId="60" xfId="19" applyNumberFormat="1" applyFont="1" applyBorder="1" applyAlignment="1">
      <alignment vertical="center"/>
    </xf>
    <xf numFmtId="169" fontId="69" fillId="0" borderId="60" xfId="0" applyNumberFormat="1" applyFont="1" applyBorder="1" applyAlignment="1">
      <alignment vertical="center"/>
    </xf>
    <xf numFmtId="166" fontId="68" fillId="4" borderId="7" xfId="0" applyNumberFormat="1" applyFont="1" applyFill="1" applyBorder="1" applyAlignment="1">
      <alignment vertical="center"/>
    </xf>
    <xf numFmtId="169" fontId="69" fillId="0" borderId="7" xfId="0" applyNumberFormat="1" applyFont="1" applyBorder="1" applyAlignment="1">
      <alignment vertical="center"/>
    </xf>
    <xf numFmtId="164" fontId="97" fillId="0" borderId="60" xfId="0" applyNumberFormat="1" applyFont="1" applyBorder="1" applyAlignment="1">
      <alignment vertical="center"/>
    </xf>
    <xf numFmtId="166" fontId="68" fillId="0" borderId="43" xfId="0" applyNumberFormat="1" applyFont="1" applyBorder="1" applyAlignment="1">
      <alignment vertical="center"/>
    </xf>
    <xf numFmtId="166" fontId="68" fillId="0" borderId="68" xfId="0" applyNumberFormat="1" applyFont="1" applyBorder="1" applyAlignment="1">
      <alignment vertical="center"/>
    </xf>
    <xf numFmtId="169" fontId="69" fillId="10" borderId="7" xfId="0" applyNumberFormat="1" applyFont="1" applyFill="1" applyBorder="1" applyAlignment="1">
      <alignment vertical="center" wrapText="1"/>
    </xf>
    <xf numFmtId="166" fontId="68" fillId="0" borderId="7" xfId="0" applyNumberFormat="1" applyFont="1" applyFill="1" applyBorder="1" applyAlignment="1">
      <alignment vertical="center"/>
    </xf>
    <xf numFmtId="166" fontId="69" fillId="0" borderId="43" xfId="0" applyNumberFormat="1" applyFont="1" applyBorder="1" applyAlignment="1">
      <alignment vertical="center"/>
    </xf>
    <xf numFmtId="166" fontId="69" fillId="4" borderId="7" xfId="0" applyNumberFormat="1" applyFont="1" applyFill="1" applyBorder="1" applyAlignment="1">
      <alignment vertical="center"/>
    </xf>
    <xf numFmtId="169" fontId="69" fillId="10" borderId="7" xfId="0" applyNumberFormat="1" applyFont="1" applyFill="1" applyBorder="1" applyAlignment="1">
      <alignment vertical="center"/>
    </xf>
    <xf numFmtId="4" fontId="68" fillId="0" borderId="28" xfId="0" applyNumberFormat="1" applyFont="1" applyFill="1" applyBorder="1" applyAlignment="1">
      <alignment vertical="center"/>
    </xf>
    <xf numFmtId="4" fontId="69" fillId="0" borderId="52" xfId="0" applyNumberFormat="1" applyFont="1" applyFill="1" applyBorder="1" applyAlignment="1">
      <alignment vertical="center"/>
    </xf>
    <xf numFmtId="166" fontId="68" fillId="0" borderId="5" xfId="0" applyNumberFormat="1" applyFont="1" applyBorder="1" applyAlignment="1">
      <alignment vertical="center"/>
    </xf>
    <xf numFmtId="169" fontId="69" fillId="10" borderId="60" xfId="19" applyNumberFormat="1" applyFont="1" applyFill="1" applyBorder="1" applyAlignment="1">
      <alignment vertical="center"/>
    </xf>
    <xf numFmtId="4" fontId="68" fillId="0" borderId="8" xfId="0" applyNumberFormat="1" applyFont="1" applyFill="1" applyBorder="1" applyAlignment="1">
      <alignment vertical="center"/>
    </xf>
    <xf numFmtId="166" fontId="69" fillId="0" borderId="13" xfId="0" applyNumberFormat="1" applyFont="1" applyBorder="1" applyAlignment="1">
      <alignment vertical="center"/>
    </xf>
    <xf numFmtId="169" fontId="69" fillId="10" borderId="60" xfId="0" applyNumberFormat="1" applyFont="1" applyFill="1" applyBorder="1" applyAlignment="1">
      <alignment vertical="center"/>
    </xf>
    <xf numFmtId="43" fontId="0" fillId="0" borderId="1" xfId="2" applyNumberFormat="1" applyFont="1" applyBorder="1" applyAlignment="1"/>
    <xf numFmtId="166" fontId="69" fillId="0" borderId="60" xfId="0" applyNumberFormat="1" applyFont="1" applyBorder="1" applyAlignment="1">
      <alignment vertical="center"/>
    </xf>
    <xf numFmtId="4" fontId="68" fillId="0" borderId="43" xfId="0" applyNumberFormat="1" applyFont="1" applyFill="1" applyBorder="1" applyAlignment="1">
      <alignment vertical="center"/>
    </xf>
    <xf numFmtId="4" fontId="68" fillId="0" borderId="13" xfId="0" applyNumberFormat="1" applyFont="1" applyFill="1" applyBorder="1" applyAlignment="1">
      <alignment vertical="center"/>
    </xf>
    <xf numFmtId="166" fontId="69" fillId="0" borderId="7" xfId="0" applyNumberFormat="1" applyFont="1" applyBorder="1" applyAlignment="1">
      <alignment vertical="center" wrapText="1"/>
    </xf>
    <xf numFmtId="169" fontId="69" fillId="10" borderId="66" xfId="0" applyNumberFormat="1" applyFont="1" applyFill="1" applyBorder="1" applyAlignment="1">
      <alignment vertical="center"/>
    </xf>
    <xf numFmtId="169" fontId="69" fillId="10" borderId="14" xfId="0" applyNumberFormat="1" applyFont="1" applyFill="1" applyBorder="1" applyAlignment="1">
      <alignment vertical="center"/>
    </xf>
    <xf numFmtId="43" fontId="89" fillId="0" borderId="7" xfId="0" applyNumberFormat="1" applyFont="1" applyBorder="1" applyAlignment="1">
      <alignment vertical="center"/>
    </xf>
    <xf numFmtId="4" fontId="69" fillId="0" borderId="7" xfId="1" applyNumberFormat="1" applyFont="1" applyFill="1" applyBorder="1" applyAlignment="1"/>
    <xf numFmtId="43" fontId="69" fillId="0" borderId="5" xfId="0" applyNumberFormat="1" applyFont="1" applyBorder="1" applyAlignment="1">
      <alignment vertical="center"/>
    </xf>
    <xf numFmtId="43" fontId="68" fillId="8" borderId="9" xfId="0" applyNumberFormat="1" applyFont="1" applyFill="1" applyBorder="1" applyAlignment="1">
      <alignment vertical="center"/>
    </xf>
    <xf numFmtId="39" fontId="69" fillId="0" borderId="5" xfId="0" applyNumberFormat="1" applyFont="1" applyBorder="1" applyAlignment="1">
      <alignment vertical="top"/>
    </xf>
    <xf numFmtId="4" fontId="69" fillId="0" borderId="5" xfId="0" applyNumberFormat="1" applyFont="1" applyFill="1" applyBorder="1" applyAlignment="1">
      <alignment vertical="center"/>
    </xf>
    <xf numFmtId="39" fontId="69" fillId="0" borderId="28" xfId="0" applyNumberFormat="1" applyFont="1" applyBorder="1" applyAlignment="1">
      <alignment vertical="top"/>
    </xf>
    <xf numFmtId="166" fontId="70" fillId="0" borderId="0" xfId="2" applyNumberFormat="1" applyFont="1" applyBorder="1" applyAlignment="1"/>
    <xf numFmtId="39" fontId="68" fillId="0" borderId="1" xfId="0" applyNumberFormat="1" applyFont="1" applyBorder="1" applyAlignment="1">
      <alignment vertical="top"/>
    </xf>
    <xf numFmtId="39" fontId="69" fillId="4" borderId="7" xfId="0" applyNumberFormat="1" applyFont="1" applyFill="1" applyBorder="1" applyAlignment="1">
      <alignment vertical="center"/>
    </xf>
    <xf numFmtId="4" fontId="68" fillId="0" borderId="56" xfId="0" applyNumberFormat="1" applyFont="1" applyFill="1" applyBorder="1" applyAlignment="1">
      <alignment vertical="center"/>
    </xf>
    <xf numFmtId="39" fontId="68" fillId="0" borderId="7" xfId="0" applyNumberFormat="1" applyFont="1" applyFill="1" applyBorder="1" applyAlignment="1">
      <alignment vertical="center"/>
    </xf>
    <xf numFmtId="173" fontId="69" fillId="0" borderId="7" xfId="2" applyNumberFormat="1" applyFont="1" applyBorder="1" applyAlignment="1">
      <alignment vertical="center"/>
    </xf>
    <xf numFmtId="172" fontId="69" fillId="0" borderId="7" xfId="105" applyNumberFormat="1" applyFont="1" applyBorder="1" applyAlignment="1">
      <alignment vertical="center"/>
    </xf>
    <xf numFmtId="41" fontId="69" fillId="0" borderId="7" xfId="2" applyFont="1" applyBorder="1" applyAlignment="1">
      <alignment vertical="center"/>
    </xf>
    <xf numFmtId="166" fontId="69" fillId="0" borderId="0" xfId="2" applyNumberFormat="1" applyFont="1" applyBorder="1" applyAlignment="1">
      <alignment vertical="center"/>
    </xf>
    <xf numFmtId="166" fontId="68" fillId="0" borderId="13" xfId="2" applyNumberFormat="1" applyFont="1" applyBorder="1" applyAlignment="1">
      <alignment vertical="center"/>
    </xf>
    <xf numFmtId="4" fontId="68" fillId="0" borderId="27" xfId="0" applyNumberFormat="1" applyFont="1" applyFill="1" applyBorder="1" applyAlignment="1">
      <alignment vertical="center"/>
    </xf>
    <xf numFmtId="4" fontId="69" fillId="0" borderId="28" xfId="0" applyNumberFormat="1" applyFont="1" applyFill="1" applyBorder="1" applyAlignment="1">
      <alignment vertical="center"/>
    </xf>
    <xf numFmtId="41" fontId="69" fillId="0" borderId="52" xfId="2" applyFont="1" applyBorder="1" applyAlignment="1">
      <alignment vertical="center"/>
    </xf>
    <xf numFmtId="4" fontId="68" fillId="0" borderId="73" xfId="0" applyNumberFormat="1" applyFont="1" applyFill="1" applyBorder="1" applyAlignment="1">
      <alignment vertical="center"/>
    </xf>
    <xf numFmtId="4" fontId="68" fillId="0" borderId="57" xfId="0" applyNumberFormat="1" applyFont="1" applyFill="1" applyBorder="1" applyAlignment="1">
      <alignment vertical="center"/>
    </xf>
    <xf numFmtId="4" fontId="68" fillId="0" borderId="5" xfId="0" applyNumberFormat="1" applyFont="1" applyBorder="1" applyAlignment="1">
      <alignment vertical="center"/>
    </xf>
    <xf numFmtId="4" fontId="69" fillId="0" borderId="7" xfId="0" applyNumberFormat="1" applyFont="1" applyBorder="1" applyAlignment="1">
      <alignment vertical="center"/>
    </xf>
    <xf numFmtId="4" fontId="68" fillId="0" borderId="7" xfId="0" applyNumberFormat="1" applyFont="1" applyBorder="1" applyAlignment="1">
      <alignment vertical="center"/>
    </xf>
    <xf numFmtId="4" fontId="68" fillId="4" borderId="53" xfId="0" applyNumberFormat="1" applyFont="1" applyFill="1" applyBorder="1" applyAlignment="1">
      <alignment vertical="center"/>
    </xf>
    <xf numFmtId="4" fontId="68" fillId="4" borderId="7" xfId="0" applyNumberFormat="1" applyFont="1" applyFill="1" applyBorder="1" applyAlignment="1">
      <alignment vertical="center"/>
    </xf>
    <xf numFmtId="4" fontId="68" fillId="0" borderId="53" xfId="0" applyNumberFormat="1" applyFont="1" applyBorder="1" applyAlignment="1">
      <alignment vertical="center"/>
    </xf>
    <xf numFmtId="4" fontId="69" fillId="4" borderId="7" xfId="0" applyNumberFormat="1" applyFont="1" applyFill="1" applyBorder="1" applyAlignment="1">
      <alignment vertical="center"/>
    </xf>
    <xf numFmtId="4" fontId="68" fillId="4" borderId="5" xfId="0" applyNumberFormat="1" applyFont="1" applyFill="1" applyBorder="1" applyAlignment="1">
      <alignment vertical="center"/>
    </xf>
    <xf numFmtId="4" fontId="69" fillId="0" borderId="14" xfId="2" applyNumberFormat="1" applyFont="1" applyBorder="1" applyAlignment="1">
      <alignment vertical="center"/>
    </xf>
    <xf numFmtId="4" fontId="69" fillId="4" borderId="14" xfId="2" applyNumberFormat="1" applyFont="1" applyFill="1" applyBorder="1" applyAlignment="1">
      <alignment vertical="center"/>
    </xf>
    <xf numFmtId="4" fontId="68" fillId="4" borderId="14" xfId="2" applyNumberFormat="1" applyFont="1" applyFill="1" applyBorder="1" applyAlignment="1">
      <alignment vertical="center"/>
    </xf>
    <xf numFmtId="4" fontId="68" fillId="4" borderId="53" xfId="2" applyNumberFormat="1" applyFont="1" applyFill="1" applyBorder="1" applyAlignment="1">
      <alignment vertical="center"/>
    </xf>
    <xf numFmtId="4" fontId="69" fillId="4" borderId="7" xfId="2" applyNumberFormat="1" applyFont="1" applyFill="1" applyBorder="1" applyAlignment="1">
      <alignment vertical="center"/>
    </xf>
    <xf numFmtId="4" fontId="68" fillId="4" borderId="7" xfId="2" applyNumberFormat="1" applyFont="1" applyFill="1" applyBorder="1" applyAlignment="1">
      <alignment vertical="center"/>
    </xf>
    <xf numFmtId="166" fontId="68" fillId="0" borderId="42" xfId="2" applyNumberFormat="1" applyFont="1" applyBorder="1" applyAlignment="1"/>
    <xf numFmtId="4" fontId="69" fillId="4" borderId="13" xfId="2" applyNumberFormat="1" applyFont="1" applyFill="1" applyBorder="1" applyAlignment="1">
      <alignment vertical="center"/>
    </xf>
    <xf numFmtId="4" fontId="69" fillId="4" borderId="18" xfId="2" applyNumberFormat="1" applyFont="1" applyFill="1" applyBorder="1" applyAlignment="1">
      <alignment vertical="center"/>
    </xf>
    <xf numFmtId="4" fontId="68" fillId="4" borderId="18" xfId="2" applyNumberFormat="1" applyFont="1" applyFill="1" applyBorder="1" applyAlignment="1">
      <alignment vertical="center"/>
    </xf>
    <xf numFmtId="4" fontId="68" fillId="8" borderId="73" xfId="0" applyNumberFormat="1" applyFont="1" applyFill="1" applyBorder="1" applyAlignment="1">
      <alignment vertical="center"/>
    </xf>
    <xf numFmtId="4" fontId="69" fillId="0" borderId="1" xfId="0" applyNumberFormat="1" applyFont="1" applyFill="1" applyBorder="1" applyAlignment="1">
      <alignment vertical="center"/>
    </xf>
    <xf numFmtId="4" fontId="69" fillId="0" borderId="1" xfId="0" applyNumberFormat="1" applyFont="1" applyBorder="1" applyAlignment="1">
      <alignment vertical="center"/>
    </xf>
    <xf numFmtId="4" fontId="69" fillId="0" borderId="5" xfId="0" applyNumberFormat="1" applyFont="1" applyBorder="1" applyAlignment="1">
      <alignment vertical="center"/>
    </xf>
    <xf numFmtId="4" fontId="68" fillId="0" borderId="1" xfId="2" applyNumberFormat="1" applyFont="1" applyBorder="1" applyAlignment="1">
      <alignment vertical="center"/>
    </xf>
    <xf numFmtId="4" fontId="68" fillId="0" borderId="14" xfId="2" applyNumberFormat="1" applyFont="1" applyBorder="1" applyAlignment="1">
      <alignment vertical="center"/>
    </xf>
    <xf numFmtId="166" fontId="68" fillId="8" borderId="9" xfId="2" applyNumberFormat="1" applyFont="1" applyFill="1" applyBorder="1" applyAlignment="1"/>
    <xf numFmtId="43" fontId="68" fillId="0" borderId="57" xfId="1" applyFont="1" applyBorder="1" applyAlignment="1">
      <alignment vertical="center"/>
    </xf>
    <xf numFmtId="166" fontId="68" fillId="0" borderId="43" xfId="0" applyNumberFormat="1" applyFont="1" applyBorder="1" applyAlignment="1"/>
    <xf numFmtId="166" fontId="68" fillId="0" borderId="122" xfId="2" applyNumberFormat="1" applyFont="1" applyFill="1" applyBorder="1" applyAlignment="1">
      <alignment vertical="center" wrapText="1"/>
    </xf>
    <xf numFmtId="43" fontId="68" fillId="0" borderId="13" xfId="1" applyFont="1" applyBorder="1" applyAlignment="1">
      <alignment vertical="center"/>
    </xf>
    <xf numFmtId="43" fontId="68" fillId="0" borderId="120" xfId="1" applyFont="1" applyBorder="1" applyAlignment="1">
      <alignment vertical="center"/>
    </xf>
    <xf numFmtId="4" fontId="68" fillId="0" borderId="7" xfId="0" applyNumberFormat="1" applyFont="1" applyBorder="1" applyAlignment="1"/>
    <xf numFmtId="43" fontId="68" fillId="0" borderId="68" xfId="1" applyFont="1" applyBorder="1" applyAlignment="1">
      <alignment vertical="center"/>
    </xf>
    <xf numFmtId="43" fontId="89" fillId="0" borderId="7" xfId="1" applyFont="1" applyBorder="1" applyAlignment="1">
      <alignment vertical="center"/>
    </xf>
    <xf numFmtId="43" fontId="68" fillId="0" borderId="66" xfId="0" applyNumberFormat="1" applyFont="1" applyBorder="1" applyAlignment="1"/>
    <xf numFmtId="166" fontId="68" fillId="0" borderId="66" xfId="2" applyNumberFormat="1" applyFont="1" applyBorder="1" applyAlignment="1"/>
    <xf numFmtId="43" fontId="68" fillId="8" borderId="53" xfId="0" applyNumberFormat="1" applyFont="1" applyFill="1" applyBorder="1" applyAlignment="1">
      <alignment vertical="center"/>
    </xf>
    <xf numFmtId="43" fontId="68" fillId="0" borderId="68" xfId="0" applyNumberFormat="1" applyFont="1" applyBorder="1" applyAlignment="1">
      <alignment vertical="center"/>
    </xf>
    <xf numFmtId="4" fontId="68" fillId="0" borderId="14" xfId="0" applyNumberFormat="1" applyFont="1" applyFill="1" applyBorder="1" applyAlignment="1">
      <alignment vertical="center"/>
    </xf>
    <xf numFmtId="4" fontId="68" fillId="0" borderId="66" xfId="0" applyNumberFormat="1" applyFont="1" applyFill="1" applyBorder="1" applyAlignment="1">
      <alignment vertical="center"/>
    </xf>
    <xf numFmtId="4" fontId="68" fillId="0" borderId="68" xfId="0" applyNumberFormat="1" applyFont="1" applyFill="1" applyBorder="1" applyAlignment="1">
      <alignment vertical="center"/>
    </xf>
    <xf numFmtId="43" fontId="72" fillId="0" borderId="5" xfId="0" applyNumberFormat="1" applyFont="1" applyBorder="1" applyAlignment="1">
      <alignment vertical="center"/>
    </xf>
    <xf numFmtId="43" fontId="76" fillId="0" borderId="5" xfId="0" applyNumberFormat="1" applyFont="1" applyBorder="1" applyAlignment="1">
      <alignment vertical="center"/>
    </xf>
    <xf numFmtId="43" fontId="76" fillId="0" borderId="1" xfId="0" applyNumberFormat="1" applyFont="1" applyBorder="1" applyAlignment="1">
      <alignment vertical="center"/>
    </xf>
    <xf numFmtId="43" fontId="72" fillId="0" borderId="7" xfId="0" applyNumberFormat="1" applyFont="1" applyBorder="1" applyAlignment="1">
      <alignment vertical="center"/>
    </xf>
    <xf numFmtId="4" fontId="68" fillId="0" borderId="52" xfId="0" applyNumberFormat="1" applyFont="1" applyFill="1" applyBorder="1" applyAlignment="1">
      <alignment vertical="center"/>
    </xf>
    <xf numFmtId="39" fontId="72" fillId="0" borderId="51" xfId="0" applyNumberFormat="1" applyFont="1" applyFill="1" applyBorder="1" applyAlignment="1">
      <alignment vertical="center"/>
    </xf>
    <xf numFmtId="43" fontId="68" fillId="0" borderId="66" xfId="0" applyNumberFormat="1" applyFont="1" applyBorder="1" applyAlignment="1">
      <alignment vertical="center"/>
    </xf>
    <xf numFmtId="39" fontId="69" fillId="0" borderId="43" xfId="0" applyNumberFormat="1" applyFont="1" applyBorder="1" applyAlignment="1">
      <alignment vertical="center"/>
    </xf>
    <xf numFmtId="43" fontId="68" fillId="0" borderId="52" xfId="1" applyFont="1" applyBorder="1" applyAlignment="1">
      <alignment vertical="center" wrapText="1"/>
    </xf>
    <xf numFmtId="43" fontId="68" fillId="0" borderId="14" xfId="1" applyFont="1" applyBorder="1" applyAlignment="1">
      <alignment vertical="center"/>
    </xf>
    <xf numFmtId="39" fontId="69" fillId="0" borderId="68" xfId="0" applyNumberFormat="1" applyFont="1" applyBorder="1" applyAlignment="1">
      <alignment vertical="center"/>
    </xf>
    <xf numFmtId="43" fontId="68" fillId="0" borderId="66" xfId="1" applyFont="1" applyBorder="1" applyAlignment="1">
      <alignment vertical="center"/>
    </xf>
    <xf numFmtId="39" fontId="68" fillId="0" borderId="7" xfId="12" applyNumberFormat="1" applyFont="1" applyBorder="1" applyAlignment="1">
      <alignment vertical="center"/>
    </xf>
    <xf numFmtId="4" fontId="72" fillId="0" borderId="1" xfId="0" applyNumberFormat="1" applyFont="1" applyFill="1" applyBorder="1" applyAlignment="1">
      <alignment vertical="center"/>
    </xf>
    <xf numFmtId="4" fontId="72" fillId="0" borderId="14" xfId="0" applyNumberFormat="1" applyFont="1" applyFill="1" applyBorder="1" applyAlignment="1">
      <alignment vertical="center"/>
    </xf>
    <xf numFmtId="43" fontId="76" fillId="0" borderId="53" xfId="1" applyFont="1" applyBorder="1" applyAlignment="1">
      <alignment vertical="center" wrapText="1"/>
    </xf>
    <xf numFmtId="39" fontId="69" fillId="0" borderId="7" xfId="0" applyNumberFormat="1" applyFont="1" applyFill="1" applyBorder="1" applyAlignment="1">
      <alignment vertical="center"/>
    </xf>
    <xf numFmtId="39" fontId="0" fillId="0" borderId="7" xfId="0" applyNumberFormat="1" applyFont="1" applyBorder="1" applyAlignment="1">
      <alignment vertical="center"/>
    </xf>
    <xf numFmtId="4" fontId="89" fillId="0" borderId="14" xfId="0" applyNumberFormat="1" applyFont="1" applyFill="1" applyBorder="1" applyAlignment="1">
      <alignment vertical="center"/>
    </xf>
    <xf numFmtId="43" fontId="68" fillId="0" borderId="1" xfId="1" applyFont="1" applyBorder="1" applyAlignment="1">
      <alignment vertical="center" wrapText="1"/>
    </xf>
    <xf numFmtId="169" fontId="69" fillId="0" borderId="7" xfId="19" applyNumberFormat="1" applyFont="1" applyBorder="1" applyAlignment="1">
      <alignment vertical="center"/>
    </xf>
    <xf numFmtId="4" fontId="69" fillId="0" borderId="7" xfId="2" applyNumberFormat="1" applyFont="1" applyFill="1" applyBorder="1" applyAlignment="1"/>
    <xf numFmtId="166" fontId="68" fillId="4" borderId="14" xfId="0" applyNumberFormat="1" applyFont="1" applyFill="1" applyBorder="1" applyAlignment="1">
      <alignment vertical="center"/>
    </xf>
    <xf numFmtId="4" fontId="69" fillId="0" borderId="13" xfId="0" applyNumberFormat="1" applyFont="1" applyFill="1" applyBorder="1" applyAlignment="1">
      <alignment vertical="center"/>
    </xf>
    <xf numFmtId="169" fontId="69" fillId="10" borderId="13" xfId="0" applyNumberFormat="1" applyFont="1" applyFill="1" applyBorder="1" applyAlignment="1">
      <alignment vertical="center" wrapText="1"/>
    </xf>
    <xf numFmtId="4" fontId="69" fillId="0" borderId="0" xfId="0" applyNumberFormat="1" applyFont="1" applyAlignment="1"/>
    <xf numFmtId="4" fontId="69" fillId="0" borderId="5" xfId="0" applyNumberFormat="1" applyFont="1" applyBorder="1" applyAlignment="1"/>
    <xf numFmtId="4" fontId="69" fillId="0" borderId="27" xfId="0" applyNumberFormat="1" applyFont="1" applyFill="1" applyBorder="1" applyAlignment="1">
      <alignment vertical="center"/>
    </xf>
    <xf numFmtId="169" fontId="69" fillId="10" borderId="7" xfId="19" applyNumberFormat="1" applyFont="1" applyFill="1" applyBorder="1" applyAlignment="1">
      <alignment vertical="center"/>
    </xf>
    <xf numFmtId="169" fontId="69" fillId="10" borderId="7" xfId="19" applyNumberFormat="1" applyFont="1" applyFill="1" applyBorder="1" applyAlignment="1">
      <alignment vertical="center" wrapText="1"/>
    </xf>
    <xf numFmtId="39" fontId="69" fillId="0" borderId="99" xfId="0" applyNumberFormat="1" applyFont="1" applyBorder="1" applyAlignment="1">
      <alignment vertical="top"/>
    </xf>
    <xf numFmtId="39" fontId="69" fillId="0" borderId="5" xfId="0" applyNumberFormat="1" applyFont="1" applyBorder="1" applyAlignment="1">
      <alignment vertical="center"/>
    </xf>
    <xf numFmtId="4" fontId="68" fillId="8" borderId="53" xfId="0" applyNumberFormat="1" applyFont="1" applyFill="1" applyBorder="1" applyAlignment="1">
      <alignment vertical="center"/>
    </xf>
    <xf numFmtId="166" fontId="68" fillId="0" borderId="7" xfId="0" applyNumberFormat="1" applyFont="1" applyBorder="1" applyAlignment="1"/>
    <xf numFmtId="166" fontId="69" fillId="0" borderId="7" xfId="0" applyNumberFormat="1" applyFont="1" applyFill="1" applyBorder="1" applyAlignment="1">
      <alignment vertical="center" wrapText="1"/>
    </xf>
    <xf numFmtId="166" fontId="69" fillId="10" borderId="59" xfId="0" applyNumberFormat="1" applyFont="1" applyFill="1" applyBorder="1" applyAlignment="1"/>
    <xf numFmtId="166" fontId="69" fillId="0" borderId="59" xfId="0" applyNumberFormat="1" applyFont="1" applyBorder="1" applyAlignment="1"/>
    <xf numFmtId="166" fontId="69" fillId="10" borderId="71" xfId="0" applyNumberFormat="1" applyFont="1" applyFill="1" applyBorder="1" applyAlignment="1"/>
    <xf numFmtId="166" fontId="69" fillId="10" borderId="59" xfId="0" applyNumberFormat="1" applyFont="1" applyFill="1" applyBorder="1" applyAlignment="1">
      <alignment vertical="center"/>
    </xf>
    <xf numFmtId="39" fontId="72" fillId="0" borderId="27" xfId="0" applyNumberFormat="1" applyFont="1" applyFill="1" applyBorder="1" applyAlignment="1">
      <alignment vertical="center"/>
    </xf>
    <xf numFmtId="43" fontId="76" fillId="0" borderId="7" xfId="0" applyNumberFormat="1" applyFont="1" applyBorder="1" applyAlignment="1">
      <alignment vertical="center"/>
    </xf>
    <xf numFmtId="39" fontId="72" fillId="0" borderId="28" xfId="0" applyNumberFormat="1" applyFont="1" applyFill="1" applyBorder="1" applyAlignment="1">
      <alignment vertical="center"/>
    </xf>
    <xf numFmtId="0" fontId="70" fillId="0" borderId="14" xfId="0" applyFont="1" applyBorder="1" applyAlignment="1"/>
    <xf numFmtId="0" fontId="0" fillId="0" borderId="0" xfId="0"/>
    <xf numFmtId="165" fontId="68" fillId="0" borderId="17" xfId="0" applyNumberFormat="1" applyFont="1" applyBorder="1" applyAlignment="1">
      <alignment horizontal="right" vertical="center"/>
    </xf>
    <xf numFmtId="165" fontId="68" fillId="0" borderId="17" xfId="0" applyNumberFormat="1" applyFont="1" applyBorder="1" applyAlignment="1">
      <alignment vertical="center"/>
    </xf>
    <xf numFmtId="4" fontId="68" fillId="0" borderId="55" xfId="0" applyNumberFormat="1" applyFont="1" applyFill="1" applyBorder="1" applyAlignment="1">
      <alignment horizontal="right" vertical="center"/>
    </xf>
    <xf numFmtId="39" fontId="69" fillId="0" borderId="14" xfId="0" applyNumberFormat="1" applyFont="1" applyFill="1" applyBorder="1" applyAlignment="1">
      <alignment horizontal="right" vertical="center"/>
    </xf>
    <xf numFmtId="166" fontId="105" fillId="0" borderId="7" xfId="2" applyNumberFormat="1" applyFont="1" applyFill="1" applyBorder="1" applyAlignment="1" applyProtection="1">
      <alignment horizontal="left" vertical="center" indent="1"/>
    </xf>
    <xf numFmtId="166" fontId="105" fillId="0" borderId="7" xfId="2" applyNumberFormat="1" applyFont="1" applyBorder="1" applyAlignment="1" applyProtection="1">
      <alignment horizontal="left" vertical="center" indent="1"/>
    </xf>
    <xf numFmtId="39" fontId="69" fillId="0" borderId="51" xfId="0" applyNumberFormat="1" applyFont="1" applyFill="1" applyBorder="1" applyAlignment="1">
      <alignment horizontal="right" vertical="center"/>
    </xf>
    <xf numFmtId="39" fontId="69" fillId="0" borderId="1" xfId="0" applyNumberFormat="1" applyFont="1" applyFill="1" applyBorder="1" applyAlignment="1">
      <alignment horizontal="right" vertical="center"/>
    </xf>
    <xf numFmtId="166" fontId="69" fillId="0" borderId="7" xfId="2" applyNumberFormat="1" applyFont="1" applyFill="1" applyBorder="1" applyAlignment="1" applyProtection="1">
      <alignment horizontal="left" vertical="center" indent="1"/>
    </xf>
    <xf numFmtId="166" fontId="69" fillId="0" borderId="7" xfId="2" applyNumberFormat="1" applyFont="1" applyBorder="1" applyAlignment="1" applyProtection="1">
      <alignment vertical="center"/>
    </xf>
    <xf numFmtId="41" fontId="68" fillId="0" borderId="0" xfId="2" applyFont="1"/>
    <xf numFmtId="4" fontId="70" fillId="0" borderId="28" xfId="2" applyNumberFormat="1" applyFont="1" applyBorder="1" applyAlignment="1">
      <alignment vertical="center"/>
    </xf>
    <xf numFmtId="4" fontId="70" fillId="0" borderId="51" xfId="2" applyNumberFormat="1" applyFont="1" applyBorder="1" applyAlignment="1">
      <alignment vertical="center"/>
    </xf>
    <xf numFmtId="4" fontId="70" fillId="0" borderId="14" xfId="0" applyNumberFormat="1" applyFont="1" applyBorder="1"/>
    <xf numFmtId="4" fontId="76" fillId="0" borderId="28" xfId="2" applyNumberFormat="1" applyFont="1" applyBorder="1" applyAlignment="1">
      <alignment vertical="center"/>
    </xf>
    <xf numFmtId="4" fontId="60" fillId="0" borderId="7" xfId="0" applyNumberFormat="1" applyFont="1" applyFill="1" applyBorder="1" applyAlignment="1">
      <alignment horizontal="right" vertical="center"/>
    </xf>
    <xf numFmtId="0" fontId="0" fillId="9" borderId="0" xfId="0" applyFill="1"/>
    <xf numFmtId="4" fontId="86" fillId="9" borderId="1" xfId="0" applyNumberFormat="1" applyFont="1" applyFill="1" applyBorder="1"/>
    <xf numFmtId="4" fontId="0" fillId="10" borderId="1" xfId="0" applyNumberFormat="1" applyFill="1" applyBorder="1"/>
    <xf numFmtId="4" fontId="86" fillId="0" borderId="1" xfId="0" applyNumberFormat="1" applyFont="1" applyBorder="1"/>
    <xf numFmtId="0" fontId="70" fillId="0" borderId="0" xfId="0" applyFont="1"/>
    <xf numFmtId="4" fontId="68" fillId="0" borderId="1" xfId="2" applyNumberFormat="1" applyFont="1" applyBorder="1" applyAlignment="1">
      <alignment horizontal="center" vertical="center" wrapText="1"/>
    </xf>
    <xf numFmtId="166" fontId="68" fillId="0" borderId="1" xfId="2" applyNumberFormat="1" applyFont="1" applyBorder="1" applyAlignment="1">
      <alignment horizontal="center" vertical="center" wrapText="1"/>
    </xf>
    <xf numFmtId="0" fontId="70" fillId="0" borderId="0" xfId="0" applyFont="1"/>
    <xf numFmtId="166" fontId="68" fillId="0" borderId="57" xfId="2" applyNumberFormat="1" applyFont="1" applyBorder="1" applyAlignment="1">
      <alignment horizontal="right" vertical="center"/>
    </xf>
    <xf numFmtId="0" fontId="55" fillId="0" borderId="0" xfId="0" applyFont="1" applyFill="1"/>
    <xf numFmtId="166" fontId="68" fillId="0" borderId="53" xfId="2" applyNumberFormat="1" applyFont="1" applyFill="1" applyBorder="1"/>
    <xf numFmtId="0" fontId="54" fillId="0" borderId="28" xfId="0" applyFont="1" applyFill="1" applyBorder="1"/>
    <xf numFmtId="49" fontId="61" fillId="0" borderId="1" xfId="0" applyNumberFormat="1" applyFont="1" applyFill="1" applyBorder="1" applyAlignment="1">
      <alignment horizontal="center" vertical="center"/>
    </xf>
    <xf numFmtId="4" fontId="26" fillId="0" borderId="28" xfId="2" applyNumberFormat="1" applyFont="1" applyFill="1" applyBorder="1" applyAlignment="1">
      <alignment vertical="center"/>
    </xf>
    <xf numFmtId="166" fontId="0" fillId="0" borderId="7" xfId="11" applyNumberFormat="1" applyFont="1" applyFill="1" applyBorder="1" applyAlignment="1">
      <alignment vertical="center"/>
    </xf>
    <xf numFmtId="166" fontId="0" fillId="0" borderId="14" xfId="11" applyNumberFormat="1" applyFont="1" applyFill="1" applyBorder="1" applyAlignment="1">
      <alignment vertical="center"/>
    </xf>
    <xf numFmtId="166" fontId="68" fillId="0" borderId="1" xfId="2" applyNumberFormat="1" applyFont="1" applyFill="1" applyBorder="1" applyAlignment="1">
      <alignment vertical="center"/>
    </xf>
    <xf numFmtId="4" fontId="27" fillId="0" borderId="51" xfId="2" applyNumberFormat="1" applyFont="1" applyFill="1" applyBorder="1" applyAlignment="1">
      <alignment vertical="center"/>
    </xf>
    <xf numFmtId="166" fontId="68" fillId="0" borderId="5" xfId="2" applyNumberFormat="1" applyFont="1" applyFill="1" applyBorder="1" applyAlignment="1">
      <alignment vertical="center"/>
    </xf>
    <xf numFmtId="49" fontId="31" fillId="0" borderId="1" xfId="0" applyNumberFormat="1" applyFont="1" applyFill="1" applyBorder="1" applyAlignment="1">
      <alignment horizontal="center" vertical="center"/>
    </xf>
    <xf numFmtId="0" fontId="46" fillId="0" borderId="28" xfId="0" applyFont="1" applyFill="1" applyBorder="1"/>
    <xf numFmtId="0" fontId="0" fillId="0" borderId="0" xfId="0" applyFill="1"/>
    <xf numFmtId="49" fontId="31" fillId="0" borderId="53" xfId="0" applyNumberFormat="1" applyFont="1" applyFill="1" applyBorder="1" applyAlignment="1">
      <alignment horizontal="center" vertical="center"/>
    </xf>
    <xf numFmtId="49" fontId="61" fillId="0" borderId="14" xfId="0" applyNumberFormat="1" applyFont="1" applyFill="1" applyBorder="1" applyAlignment="1">
      <alignment horizontal="center" vertical="center"/>
    </xf>
    <xf numFmtId="49" fontId="31" fillId="0" borderId="18" xfId="0" applyNumberFormat="1" applyFont="1" applyFill="1" applyBorder="1" applyAlignment="1">
      <alignment horizontal="center" vertical="center"/>
    </xf>
    <xf numFmtId="0" fontId="0" fillId="0" borderId="1" xfId="0" applyFont="1" applyFill="1" applyBorder="1" applyAlignment="1">
      <alignment horizontal="left" vertical="center"/>
    </xf>
    <xf numFmtId="166" fontId="9" fillId="0" borderId="27" xfId="2" applyNumberFormat="1" applyFont="1" applyFill="1" applyBorder="1" applyAlignment="1">
      <alignment vertical="center"/>
    </xf>
    <xf numFmtId="169" fontId="69" fillId="0" borderId="7" xfId="0" applyNumberFormat="1" applyFont="1" applyFill="1" applyBorder="1" applyAlignment="1">
      <alignment horizontal="right" vertical="center" wrapText="1"/>
    </xf>
    <xf numFmtId="49" fontId="31" fillId="0" borderId="14" xfId="0" applyNumberFormat="1" applyFont="1" applyFill="1" applyBorder="1" applyAlignment="1">
      <alignment horizontal="center" vertical="center"/>
    </xf>
    <xf numFmtId="49" fontId="31" fillId="0" borderId="5" xfId="0" applyNumberFormat="1" applyFont="1" applyFill="1" applyBorder="1" applyAlignment="1">
      <alignment horizontal="center" vertical="center"/>
    </xf>
    <xf numFmtId="4" fontId="60" fillId="0" borderId="28" xfId="2" applyNumberFormat="1" applyFont="1" applyFill="1" applyBorder="1" applyAlignment="1">
      <alignment vertical="center"/>
    </xf>
    <xf numFmtId="0" fontId="0" fillId="0" borderId="14" xfId="0" applyFont="1" applyFill="1" applyBorder="1" applyAlignment="1">
      <alignment horizontal="left" vertical="center" wrapText="1"/>
    </xf>
    <xf numFmtId="49" fontId="31" fillId="0" borderId="57" xfId="0" applyNumberFormat="1" applyFont="1" applyFill="1" applyBorder="1" applyAlignment="1">
      <alignment horizontal="center" vertical="center"/>
    </xf>
    <xf numFmtId="0" fontId="9" fillId="0" borderId="0" xfId="0" applyFont="1" applyFill="1"/>
    <xf numFmtId="0" fontId="68" fillId="0" borderId="68" xfId="0" applyFont="1" applyFill="1" applyBorder="1" applyAlignment="1">
      <alignment vertical="top" wrapText="1"/>
    </xf>
    <xf numFmtId="39" fontId="68" fillId="0" borderId="42" xfId="0" applyNumberFormat="1" applyFont="1" applyFill="1" applyBorder="1" applyAlignment="1">
      <alignment vertical="top"/>
    </xf>
    <xf numFmtId="39" fontId="68" fillId="0" borderId="68" xfId="0" applyNumberFormat="1" applyFont="1" applyFill="1" applyBorder="1" applyAlignment="1">
      <alignment vertical="top"/>
    </xf>
    <xf numFmtId="0" fontId="9" fillId="0" borderId="28" xfId="0" applyFont="1" applyFill="1" applyBorder="1"/>
    <xf numFmtId="0" fontId="69" fillId="0" borderId="43" xfId="0" applyFont="1" applyFill="1" applyBorder="1" applyAlignment="1">
      <alignment horizontal="left" vertical="top" wrapText="1"/>
    </xf>
    <xf numFmtId="39" fontId="69" fillId="0" borderId="7" xfId="0" applyNumberFormat="1" applyFont="1" applyFill="1" applyBorder="1" applyAlignment="1">
      <alignment horizontal="right" vertical="top"/>
    </xf>
    <xf numFmtId="0" fontId="68" fillId="0" borderId="43" xfId="0" applyFont="1" applyFill="1" applyBorder="1" applyAlignment="1">
      <alignment vertical="top" wrapText="1"/>
    </xf>
    <xf numFmtId="39" fontId="68" fillId="0" borderId="7" xfId="0" applyNumberFormat="1" applyFont="1" applyFill="1" applyBorder="1" applyAlignment="1">
      <alignment vertical="top"/>
    </xf>
    <xf numFmtId="0" fontId="69" fillId="0" borderId="0" xfId="0" applyFont="1" applyFill="1" applyBorder="1" applyAlignment="1">
      <alignment horizontal="left" vertical="top" wrapText="1"/>
    </xf>
    <xf numFmtId="39" fontId="69" fillId="0" borderId="1" xfId="0" applyNumberFormat="1" applyFont="1" applyFill="1" applyBorder="1" applyAlignment="1">
      <alignment horizontal="right" vertical="top"/>
    </xf>
    <xf numFmtId="39" fontId="68" fillId="0" borderId="68" xfId="0" applyNumberFormat="1" applyFont="1" applyFill="1" applyBorder="1" applyAlignment="1">
      <alignment horizontal="right" vertical="center"/>
    </xf>
    <xf numFmtId="0" fontId="68" fillId="0" borderId="42" xfId="0" applyFont="1" applyFill="1" applyBorder="1" applyAlignment="1">
      <alignment horizontal="left" vertical="center" wrapText="1"/>
    </xf>
    <xf numFmtId="39" fontId="69" fillId="0" borderId="7" xfId="0" applyNumberFormat="1" applyFont="1" applyFill="1" applyBorder="1" applyAlignment="1">
      <alignment vertical="top"/>
    </xf>
    <xf numFmtId="39" fontId="68" fillId="0" borderId="53" xfId="0" applyNumberFormat="1" applyFont="1" applyFill="1" applyBorder="1" applyAlignment="1">
      <alignment horizontal="right" vertical="top"/>
    </xf>
    <xf numFmtId="39" fontId="68" fillId="0" borderId="5" xfId="0" applyNumberFormat="1" applyFont="1" applyFill="1" applyBorder="1" applyAlignment="1">
      <alignment vertical="top" wrapText="1"/>
    </xf>
    <xf numFmtId="39" fontId="69" fillId="0" borderId="14" xfId="0" applyNumberFormat="1" applyFont="1" applyFill="1" applyBorder="1" applyAlignment="1">
      <alignment vertical="top"/>
    </xf>
    <xf numFmtId="0" fontId="0" fillId="8" borderId="0" xfId="0" applyFill="1"/>
    <xf numFmtId="0" fontId="46" fillId="8" borderId="28" xfId="0" applyFont="1" applyFill="1" applyBorder="1"/>
    <xf numFmtId="0" fontId="55" fillId="8" borderId="0" xfId="0" applyFont="1" applyFill="1"/>
    <xf numFmtId="49" fontId="61" fillId="8" borderId="53" xfId="0" applyNumberFormat="1" applyFont="1" applyFill="1" applyBorder="1" applyAlignment="1">
      <alignment horizontal="center" vertical="center"/>
    </xf>
    <xf numFmtId="0" fontId="54" fillId="8" borderId="28" xfId="0" applyFont="1" applyFill="1" applyBorder="1"/>
    <xf numFmtId="43" fontId="26" fillId="8" borderId="53" xfId="0" applyNumberFormat="1" applyFont="1" applyFill="1" applyBorder="1" applyAlignment="1">
      <alignment horizontal="left" vertical="center" indent="1"/>
    </xf>
    <xf numFmtId="166" fontId="68" fillId="0" borderId="54" xfId="2" applyNumberFormat="1" applyFont="1" applyFill="1" applyBorder="1" applyAlignment="1">
      <alignment horizontal="right" vertical="center"/>
    </xf>
    <xf numFmtId="166" fontId="76" fillId="0" borderId="53" xfId="2" applyNumberFormat="1" applyFont="1" applyFill="1" applyBorder="1" applyAlignment="1">
      <alignment horizontal="right" vertical="center"/>
    </xf>
    <xf numFmtId="4" fontId="76" fillId="0" borderId="54" xfId="2" applyNumberFormat="1" applyFont="1" applyBorder="1" applyAlignment="1">
      <alignment vertical="center"/>
    </xf>
    <xf numFmtId="41" fontId="41" fillId="0" borderId="0" xfId="2" applyFont="1"/>
    <xf numFmtId="0" fontId="70" fillId="0" borderId="0" xfId="0" applyFont="1"/>
    <xf numFmtId="41" fontId="31" fillId="0" borderId="0" xfId="2" applyFont="1"/>
    <xf numFmtId="0" fontId="100" fillId="0" borderId="0" xfId="0" applyFont="1"/>
    <xf numFmtId="0" fontId="100" fillId="0" borderId="54" xfId="0" applyFont="1" applyBorder="1"/>
    <xf numFmtId="4" fontId="102" fillId="0" borderId="7" xfId="0" applyNumberFormat="1" applyFont="1" applyFill="1" applyBorder="1" applyAlignment="1">
      <alignment horizontal="right" vertical="center"/>
    </xf>
    <xf numFmtId="0" fontId="100" fillId="0" borderId="27" xfId="0" applyFont="1" applyBorder="1"/>
    <xf numFmtId="0" fontId="101" fillId="0" borderId="0" xfId="0" applyFont="1"/>
    <xf numFmtId="4" fontId="91" fillId="0" borderId="7" xfId="0" applyNumberFormat="1" applyFont="1" applyFill="1" applyBorder="1" applyAlignment="1">
      <alignment horizontal="right" vertical="center"/>
    </xf>
    <xf numFmtId="0" fontId="101" fillId="0" borderId="28" xfId="0" applyFont="1" applyBorder="1"/>
    <xf numFmtId="0" fontId="100" fillId="0" borderId="28" xfId="0" applyFont="1" applyBorder="1"/>
    <xf numFmtId="43" fontId="102" fillId="0" borderId="7" xfId="0" applyNumberFormat="1" applyFont="1" applyFill="1" applyBorder="1" applyAlignment="1">
      <alignment horizontal="left" vertical="center" indent="1"/>
    </xf>
    <xf numFmtId="0" fontId="102" fillId="0" borderId="0" xfId="0" applyFont="1"/>
    <xf numFmtId="0" fontId="91" fillId="0" borderId="0" xfId="0" applyFont="1"/>
    <xf numFmtId="166" fontId="101" fillId="0" borderId="28" xfId="2" applyNumberFormat="1" applyFont="1" applyBorder="1" applyAlignment="1">
      <alignment vertical="center"/>
    </xf>
    <xf numFmtId="4" fontId="100" fillId="0" borderId="7" xfId="0" applyNumberFormat="1" applyFont="1" applyFill="1" applyBorder="1" applyAlignment="1">
      <alignment horizontal="right" vertical="center"/>
    </xf>
    <xf numFmtId="4" fontId="101" fillId="0" borderId="7" xfId="0" applyNumberFormat="1" applyFont="1" applyFill="1" applyBorder="1" applyAlignment="1">
      <alignment horizontal="right" vertical="center"/>
    </xf>
    <xf numFmtId="0" fontId="107" fillId="0" borderId="28" xfId="0" applyFont="1" applyBorder="1"/>
    <xf numFmtId="41" fontId="100" fillId="0" borderId="0" xfId="2" applyFont="1"/>
    <xf numFmtId="0" fontId="99" fillId="0" borderId="52" xfId="0" applyFont="1" applyBorder="1"/>
    <xf numFmtId="0" fontId="100" fillId="0" borderId="55" xfId="0" applyFont="1" applyBorder="1"/>
    <xf numFmtId="49" fontId="100" fillId="0" borderId="5" xfId="0" applyNumberFormat="1" applyFont="1" applyBorder="1" applyAlignment="1">
      <alignment horizontal="center" vertical="center"/>
    </xf>
    <xf numFmtId="166" fontId="101" fillId="0" borderId="52" xfId="2" applyNumberFormat="1" applyFont="1" applyFill="1" applyBorder="1" applyAlignment="1">
      <alignment vertical="center"/>
    </xf>
    <xf numFmtId="41" fontId="99" fillId="0" borderId="28" xfId="2" applyFont="1" applyBorder="1"/>
    <xf numFmtId="41" fontId="99" fillId="0" borderId="52" xfId="2" applyFont="1" applyBorder="1"/>
    <xf numFmtId="166" fontId="100" fillId="0" borderId="54" xfId="2" applyNumberFormat="1" applyFont="1" applyFill="1" applyBorder="1" applyAlignment="1">
      <alignment vertical="center"/>
    </xf>
    <xf numFmtId="41" fontId="98" fillId="0" borderId="0" xfId="2" applyFont="1"/>
    <xf numFmtId="4" fontId="100" fillId="0" borderId="51" xfId="0" applyNumberFormat="1" applyFont="1" applyFill="1" applyBorder="1" applyAlignment="1">
      <alignment horizontal="right" vertical="center"/>
    </xf>
    <xf numFmtId="43" fontId="98" fillId="0" borderId="0" xfId="1" applyFont="1"/>
    <xf numFmtId="166" fontId="100" fillId="0" borderId="28" xfId="2" applyNumberFormat="1" applyFont="1" applyFill="1" applyBorder="1" applyAlignment="1">
      <alignment vertical="center"/>
    </xf>
    <xf numFmtId="4" fontId="102" fillId="0" borderId="1" xfId="0" applyNumberFormat="1" applyFont="1" applyFill="1" applyBorder="1" applyAlignment="1">
      <alignment horizontal="right" vertical="center"/>
    </xf>
    <xf numFmtId="166" fontId="99" fillId="0" borderId="28" xfId="2" applyNumberFormat="1" applyFont="1" applyFill="1" applyBorder="1" applyAlignment="1">
      <alignment vertical="center"/>
    </xf>
    <xf numFmtId="4" fontId="101" fillId="0" borderId="28" xfId="0" applyNumberFormat="1" applyFont="1" applyFill="1" applyBorder="1" applyAlignment="1">
      <alignment horizontal="right" vertical="center"/>
    </xf>
    <xf numFmtId="4" fontId="91" fillId="0" borderId="28" xfId="0" applyNumberFormat="1" applyFont="1" applyFill="1" applyBorder="1" applyAlignment="1">
      <alignment horizontal="right" vertical="center"/>
    </xf>
    <xf numFmtId="166" fontId="101" fillId="0" borderId="28" xfId="2" applyNumberFormat="1" applyFont="1" applyFill="1" applyBorder="1" applyAlignment="1">
      <alignment vertical="center"/>
    </xf>
    <xf numFmtId="166" fontId="100" fillId="0" borderId="54" xfId="2" applyNumberFormat="1" applyFont="1" applyBorder="1" applyAlignment="1">
      <alignment vertical="center"/>
    </xf>
    <xf numFmtId="0" fontId="107" fillId="0" borderId="54" xfId="0" applyFont="1" applyBorder="1"/>
    <xf numFmtId="0" fontId="107" fillId="0" borderId="27" xfId="0" applyFont="1" applyBorder="1"/>
    <xf numFmtId="0" fontId="107" fillId="0" borderId="52" xfId="0" applyFont="1" applyBorder="1"/>
    <xf numFmtId="4" fontId="100" fillId="0" borderId="28" xfId="0" applyNumberFormat="1" applyFont="1" applyFill="1" applyBorder="1" applyAlignment="1">
      <alignment horizontal="right" vertical="center"/>
    </xf>
    <xf numFmtId="166" fontId="100" fillId="0" borderId="7" xfId="2" applyNumberFormat="1" applyFont="1" applyBorder="1" applyAlignment="1">
      <alignment vertical="center"/>
    </xf>
    <xf numFmtId="4" fontId="100" fillId="0" borderId="54" xfId="0" applyNumberFormat="1" applyFont="1" applyFill="1" applyBorder="1" applyAlignment="1">
      <alignment horizontal="right" vertical="center"/>
    </xf>
    <xf numFmtId="39" fontId="91" fillId="0" borderId="7" xfId="0" applyNumberFormat="1" applyFont="1" applyBorder="1" applyAlignment="1">
      <alignment horizontal="right" vertical="center"/>
    </xf>
    <xf numFmtId="0" fontId="98" fillId="0" borderId="0" xfId="0" applyFont="1" applyBorder="1"/>
    <xf numFmtId="43" fontId="102" fillId="0" borderId="61" xfId="1" applyFont="1" applyBorder="1" applyAlignment="1">
      <alignment horizontal="left" vertical="center" indent="1"/>
    </xf>
    <xf numFmtId="43" fontId="102" fillId="0" borderId="7" xfId="1" applyFont="1" applyBorder="1" applyAlignment="1">
      <alignment horizontal="left" vertical="center" indent="1"/>
    </xf>
    <xf numFmtId="43" fontId="102" fillId="0" borderId="100" xfId="1" applyFont="1" applyBorder="1" applyAlignment="1">
      <alignment horizontal="left" vertical="center" indent="1"/>
    </xf>
    <xf numFmtId="49" fontId="100" fillId="0" borderId="7" xfId="0" applyNumberFormat="1" applyFont="1" applyBorder="1" applyAlignment="1">
      <alignment horizontal="center" vertical="center"/>
    </xf>
    <xf numFmtId="0" fontId="99" fillId="0" borderId="51" xfId="0" applyFont="1" applyBorder="1"/>
    <xf numFmtId="0" fontId="99" fillId="0" borderId="1" xfId="0" applyFont="1" applyBorder="1"/>
    <xf numFmtId="0" fontId="99" fillId="0" borderId="27" xfId="0" applyFont="1" applyBorder="1"/>
    <xf numFmtId="4" fontId="76" fillId="0" borderId="27" xfId="0" applyNumberFormat="1" applyFont="1" applyFill="1" applyBorder="1" applyAlignment="1">
      <alignment horizontal="right" vertical="center"/>
    </xf>
    <xf numFmtId="4" fontId="72" fillId="0" borderId="27" xfId="0" applyNumberFormat="1" applyFont="1" applyFill="1" applyBorder="1" applyAlignment="1">
      <alignment vertical="center"/>
    </xf>
    <xf numFmtId="0" fontId="99" fillId="0" borderId="0" xfId="0" applyFont="1" applyFill="1"/>
    <xf numFmtId="49" fontId="100" fillId="0" borderId="53" xfId="0" applyNumberFormat="1" applyFont="1" applyFill="1" applyBorder="1" applyAlignment="1">
      <alignment horizontal="center" vertical="center"/>
    </xf>
    <xf numFmtId="0" fontId="99" fillId="0" borderId="28" xfId="0" applyFont="1" applyFill="1" applyBorder="1"/>
    <xf numFmtId="0" fontId="98" fillId="0" borderId="0" xfId="0" applyFont="1" applyFill="1"/>
    <xf numFmtId="49" fontId="100" fillId="0" borderId="1" xfId="0" applyNumberFormat="1" applyFont="1" applyFill="1" applyBorder="1" applyAlignment="1">
      <alignment horizontal="center" vertical="center"/>
    </xf>
    <xf numFmtId="166" fontId="91" fillId="0" borderId="28" xfId="2" applyNumberFormat="1" applyFont="1" applyFill="1" applyBorder="1" applyAlignment="1">
      <alignment horizontal="right" vertical="center"/>
    </xf>
    <xf numFmtId="41" fontId="55" fillId="0" borderId="0" xfId="2" applyFont="1"/>
    <xf numFmtId="41" fontId="101" fillId="0" borderId="0" xfId="2" applyFont="1"/>
    <xf numFmtId="4" fontId="102" fillId="0" borderId="7" xfId="2" applyNumberFormat="1" applyFont="1" applyFill="1" applyBorder="1" applyAlignment="1">
      <alignment vertical="center"/>
    </xf>
    <xf numFmtId="4" fontId="91" fillId="0" borderId="7" xfId="2" applyNumberFormat="1" applyFont="1" applyFill="1" applyBorder="1" applyAlignment="1">
      <alignment vertical="center"/>
    </xf>
    <xf numFmtId="41" fontId="55" fillId="0" borderId="0" xfId="2" applyFont="1" applyFill="1"/>
    <xf numFmtId="0" fontId="101" fillId="0" borderId="0" xfId="0" applyFont="1" applyFill="1"/>
    <xf numFmtId="49" fontId="106" fillId="0" borderId="53" xfId="0" applyNumberFormat="1" applyFont="1" applyFill="1" applyBorder="1" applyAlignment="1">
      <alignment horizontal="center" vertical="center"/>
    </xf>
    <xf numFmtId="4" fontId="100" fillId="0" borderId="54" xfId="2" applyNumberFormat="1" applyFont="1" applyFill="1" applyBorder="1" applyAlignment="1">
      <alignment vertical="center"/>
    </xf>
    <xf numFmtId="0" fontId="108" fillId="0" borderId="28" xfId="0" applyFont="1" applyFill="1" applyBorder="1"/>
    <xf numFmtId="41" fontId="101" fillId="0" borderId="0" xfId="2" applyFont="1" applyFill="1"/>
    <xf numFmtId="49" fontId="106" fillId="0" borderId="1" xfId="0" applyNumberFormat="1" applyFont="1" applyFill="1" applyBorder="1" applyAlignment="1">
      <alignment horizontal="center" vertical="center"/>
    </xf>
    <xf numFmtId="4" fontId="102" fillId="0" borderId="68" xfId="2" applyNumberFormat="1" applyFont="1" applyFill="1" applyBorder="1" applyAlignment="1">
      <alignment vertical="center"/>
    </xf>
    <xf numFmtId="4" fontId="101" fillId="0" borderId="28" xfId="2" applyNumberFormat="1" applyFont="1" applyFill="1" applyBorder="1" applyAlignment="1">
      <alignment vertical="center"/>
    </xf>
    <xf numFmtId="166" fontId="102" fillId="0" borderId="28" xfId="2" applyNumberFormat="1" applyFont="1" applyFill="1" applyBorder="1" applyAlignment="1">
      <alignment horizontal="right" vertical="center"/>
    </xf>
    <xf numFmtId="4" fontId="100" fillId="0" borderId="28" xfId="2" applyNumberFormat="1" applyFont="1" applyFill="1" applyBorder="1" applyAlignment="1">
      <alignment vertical="center"/>
    </xf>
    <xf numFmtId="49" fontId="106" fillId="0" borderId="66" xfId="0" applyNumberFormat="1" applyFont="1" applyFill="1" applyBorder="1" applyAlignment="1">
      <alignment horizontal="center" vertical="center"/>
    </xf>
    <xf numFmtId="41" fontId="0" fillId="0" borderId="0" xfId="2" applyFont="1" applyFill="1"/>
    <xf numFmtId="166" fontId="100" fillId="0" borderId="92" xfId="2" applyNumberFormat="1" applyFont="1" applyFill="1" applyBorder="1" applyAlignment="1">
      <alignment vertical="center"/>
    </xf>
    <xf numFmtId="0" fontId="107" fillId="0" borderId="28" xfId="0" applyFont="1" applyFill="1" applyBorder="1"/>
    <xf numFmtId="41" fontId="98" fillId="0" borderId="0" xfId="2" applyFont="1" applyFill="1"/>
    <xf numFmtId="41" fontId="33" fillId="0" borderId="0" xfId="2" applyFont="1"/>
    <xf numFmtId="41" fontId="26" fillId="0" borderId="0" xfId="2" applyFont="1"/>
    <xf numFmtId="41" fontId="31" fillId="0" borderId="0" xfId="2" applyFont="1" applyFill="1"/>
    <xf numFmtId="41" fontId="0" fillId="0" borderId="0" xfId="2" applyFont="1" applyAlignment="1">
      <alignment horizontal="center" vertical="center"/>
    </xf>
    <xf numFmtId="41" fontId="54" fillId="0" borderId="0" xfId="2" applyFont="1"/>
    <xf numFmtId="41" fontId="0" fillId="8" borderId="0" xfId="2" applyFont="1" applyFill="1"/>
    <xf numFmtId="41" fontId="55" fillId="8" borderId="0" xfId="2" applyFont="1" applyFill="1"/>
    <xf numFmtId="164" fontId="102" fillId="10" borderId="59" xfId="0" applyNumberFormat="1" applyFont="1" applyFill="1" applyBorder="1" applyAlignment="1">
      <alignment horizontal="right" vertical="center"/>
    </xf>
    <xf numFmtId="164" fontId="98" fillId="0" borderId="0" xfId="0" applyNumberFormat="1" applyFont="1"/>
    <xf numFmtId="3" fontId="98" fillId="0" borderId="0" xfId="0" applyNumberFormat="1" applyFont="1"/>
    <xf numFmtId="166" fontId="100" fillId="0" borderId="27" xfId="2" applyNumberFormat="1" applyFont="1" applyFill="1" applyBorder="1" applyAlignment="1">
      <alignment vertical="center"/>
    </xf>
    <xf numFmtId="49" fontId="100" fillId="0" borderId="8" xfId="0" applyNumberFormat="1" applyFont="1" applyFill="1" applyBorder="1" applyAlignment="1">
      <alignment horizontal="center" vertical="center"/>
    </xf>
    <xf numFmtId="49" fontId="100" fillId="0" borderId="14" xfId="0" applyNumberFormat="1" applyFont="1" applyFill="1" applyBorder="1" applyAlignment="1">
      <alignment horizontal="center" vertical="center"/>
    </xf>
    <xf numFmtId="4" fontId="69" fillId="0" borderId="7" xfId="2" applyNumberFormat="1" applyFont="1" applyFill="1" applyBorder="1" applyAlignment="1">
      <alignment horizontal="right"/>
    </xf>
    <xf numFmtId="4" fontId="72" fillId="0" borderId="28" xfId="2" applyNumberFormat="1" applyFont="1" applyFill="1" applyBorder="1"/>
    <xf numFmtId="4" fontId="69" fillId="0" borderId="28" xfId="2" applyNumberFormat="1" applyFont="1" applyFill="1" applyBorder="1" applyAlignment="1">
      <alignment horizontal="right"/>
    </xf>
    <xf numFmtId="4" fontId="69" fillId="0" borderId="52" xfId="2" applyNumberFormat="1" applyFont="1" applyFill="1" applyBorder="1" applyAlignment="1">
      <alignment horizontal="right"/>
    </xf>
    <xf numFmtId="4" fontId="69" fillId="0" borderId="51" xfId="2" applyNumberFormat="1" applyFont="1" applyFill="1" applyBorder="1"/>
    <xf numFmtId="4" fontId="72" fillId="0" borderId="28" xfId="0" applyNumberFormat="1" applyFont="1" applyBorder="1" applyAlignment="1">
      <alignment vertical="center"/>
    </xf>
    <xf numFmtId="4" fontId="72" fillId="0" borderId="28" xfId="2" applyNumberFormat="1" applyFont="1" applyFill="1" applyBorder="1" applyAlignment="1"/>
    <xf numFmtId="4" fontId="72" fillId="0" borderId="52" xfId="2" applyNumberFormat="1" applyFont="1" applyFill="1" applyBorder="1"/>
    <xf numFmtId="4" fontId="68" fillId="0" borderId="7" xfId="2" applyNumberFormat="1" applyFont="1" applyFill="1" applyBorder="1" applyAlignment="1">
      <alignment horizontal="right"/>
    </xf>
    <xf numFmtId="4" fontId="68" fillId="0" borderId="7" xfId="2" applyNumberFormat="1" applyFont="1" applyFill="1" applyBorder="1"/>
    <xf numFmtId="4" fontId="76" fillId="0" borderId="52" xfId="2" applyNumberFormat="1" applyFont="1" applyFill="1" applyBorder="1" applyAlignment="1">
      <alignment vertical="center"/>
    </xf>
    <xf numFmtId="4" fontId="72" fillId="0" borderId="52" xfId="2" applyNumberFormat="1" applyFont="1" applyFill="1" applyBorder="1" applyAlignment="1">
      <alignment vertical="center"/>
    </xf>
    <xf numFmtId="4" fontId="72" fillId="0" borderId="7" xfId="2" applyNumberFormat="1" applyFont="1" applyFill="1" applyBorder="1" applyAlignment="1"/>
    <xf numFmtId="4" fontId="69" fillId="0" borderId="14" xfId="2" applyNumberFormat="1" applyFont="1" applyFill="1" applyBorder="1" applyAlignment="1"/>
    <xf numFmtId="4" fontId="69" fillId="0" borderId="52" xfId="2" applyNumberFormat="1" applyFont="1" applyFill="1" applyBorder="1"/>
    <xf numFmtId="166" fontId="69" fillId="0" borderId="52" xfId="2" applyNumberFormat="1" applyFont="1" applyBorder="1" applyAlignment="1">
      <alignment horizontal="right" vertical="center"/>
    </xf>
    <xf numFmtId="166" fontId="70" fillId="0" borderId="52" xfId="2" applyNumberFormat="1" applyFont="1" applyBorder="1" applyAlignment="1">
      <alignment vertical="center"/>
    </xf>
    <xf numFmtId="4" fontId="76" fillId="0" borderId="7" xfId="2" applyNumberFormat="1" applyFont="1" applyFill="1" applyBorder="1" applyAlignment="1">
      <alignment vertical="center"/>
    </xf>
    <xf numFmtId="4" fontId="72" fillId="0" borderId="13" xfId="0" applyNumberFormat="1" applyFont="1" applyFill="1" applyBorder="1" applyAlignment="1">
      <alignment vertical="center"/>
    </xf>
    <xf numFmtId="4" fontId="72" fillId="0" borderId="43" xfId="0" applyNumberFormat="1" applyFont="1" applyFill="1" applyBorder="1" applyAlignment="1">
      <alignment vertical="center"/>
    </xf>
    <xf numFmtId="0" fontId="0" fillId="10" borderId="43" xfId="0" applyFont="1" applyFill="1" applyBorder="1" applyAlignment="1">
      <alignment vertical="center" wrapText="1"/>
    </xf>
    <xf numFmtId="4" fontId="72" fillId="0" borderId="28" xfId="0" applyNumberFormat="1" applyFont="1" applyFill="1" applyBorder="1" applyAlignment="1">
      <alignment vertical="center"/>
    </xf>
    <xf numFmtId="166" fontId="69" fillId="0" borderId="51" xfId="2" applyNumberFormat="1" applyFont="1" applyBorder="1" applyAlignment="1">
      <alignment vertical="center"/>
    </xf>
    <xf numFmtId="166" fontId="70" fillId="0" borderId="51" xfId="2" applyNumberFormat="1" applyFont="1" applyBorder="1" applyAlignment="1">
      <alignment vertical="center"/>
    </xf>
    <xf numFmtId="4" fontId="69" fillId="0" borderId="0" xfId="0" applyNumberFormat="1" applyFont="1" applyAlignment="1">
      <alignment horizontal="center"/>
    </xf>
    <xf numFmtId="0" fontId="70" fillId="0" borderId="0" xfId="0" applyFont="1" applyAlignment="1"/>
    <xf numFmtId="0" fontId="70" fillId="0" borderId="0" xfId="0" applyFont="1" applyAlignment="1">
      <alignment horizontal="left"/>
    </xf>
    <xf numFmtId="4" fontId="69" fillId="0" borderId="0" xfId="0" applyNumberFormat="1" applyFont="1" applyAlignment="1">
      <alignment horizontal="left" vertical="top"/>
    </xf>
    <xf numFmtId="0" fontId="70" fillId="0" borderId="0" xfId="0" applyFont="1" applyAlignment="1">
      <alignment vertical="top"/>
    </xf>
    <xf numFmtId="4" fontId="69" fillId="0" borderId="0" xfId="2" applyNumberFormat="1" applyFont="1"/>
    <xf numFmtId="166" fontId="70" fillId="0" borderId="0" xfId="2" applyNumberFormat="1" applyFont="1" applyAlignment="1"/>
    <xf numFmtId="166" fontId="70" fillId="0" borderId="0" xfId="2" applyNumberFormat="1" applyFont="1"/>
    <xf numFmtId="166" fontId="68" fillId="0" borderId="26" xfId="2" applyNumberFormat="1" applyFont="1" applyBorder="1" applyAlignment="1">
      <alignment horizontal="center" vertical="center" wrapText="1"/>
    </xf>
    <xf numFmtId="4" fontId="68" fillId="0" borderId="26" xfId="2" applyNumberFormat="1" applyFont="1" applyBorder="1" applyAlignment="1">
      <alignment horizontal="center" vertical="center" wrapText="1"/>
    </xf>
    <xf numFmtId="166" fontId="76" fillId="0" borderId="26" xfId="2" applyNumberFormat="1" applyFont="1" applyBorder="1" applyAlignment="1">
      <alignment horizontal="center" vertical="center" wrapText="1"/>
    </xf>
    <xf numFmtId="4" fontId="0" fillId="0" borderId="46" xfId="2" quotePrefix="1" applyNumberFormat="1" applyFont="1" applyBorder="1" applyAlignment="1">
      <alignment horizontal="center" vertical="center"/>
    </xf>
    <xf numFmtId="49" fontId="70" fillId="0" borderId="46" xfId="2" quotePrefix="1" applyNumberFormat="1" applyFont="1" applyBorder="1" applyAlignment="1">
      <alignment horizontal="center" vertical="center"/>
    </xf>
    <xf numFmtId="166" fontId="76" fillId="9" borderId="52" xfId="2" applyNumberFormat="1" applyFont="1" applyFill="1" applyBorder="1" applyAlignment="1">
      <alignment horizontal="right" vertical="center"/>
    </xf>
    <xf numFmtId="166" fontId="76" fillId="9" borderId="52" xfId="18" applyNumberFormat="1" applyFont="1" applyFill="1" applyBorder="1" applyAlignment="1">
      <alignment horizontal="right" vertical="center"/>
    </xf>
    <xf numFmtId="166" fontId="76" fillId="0" borderId="53" xfId="2" applyNumberFormat="1" applyFont="1" applyBorder="1" applyAlignment="1">
      <alignment horizontal="right" vertical="center"/>
    </xf>
    <xf numFmtId="43" fontId="76" fillId="0" borderId="53" xfId="2" applyNumberFormat="1" applyFont="1" applyFill="1" applyBorder="1" applyAlignment="1">
      <alignment horizontal="right" vertical="center"/>
    </xf>
    <xf numFmtId="166" fontId="76" fillId="0" borderId="53" xfId="18" applyNumberFormat="1" applyFont="1" applyBorder="1" applyAlignment="1">
      <alignment horizontal="right" vertical="center"/>
    </xf>
    <xf numFmtId="43" fontId="76" fillId="0" borderId="53" xfId="18" applyNumberFormat="1" applyFont="1" applyFill="1" applyBorder="1" applyAlignment="1">
      <alignment horizontal="right" vertical="center"/>
    </xf>
    <xf numFmtId="166" fontId="72" fillId="0" borderId="28" xfId="2" applyNumberFormat="1" applyFont="1" applyBorder="1" applyAlignment="1">
      <alignment horizontal="right" vertical="center"/>
    </xf>
    <xf numFmtId="166" fontId="72" fillId="0" borderId="28" xfId="18" applyNumberFormat="1" applyFont="1" applyBorder="1" applyAlignment="1">
      <alignment vertical="center"/>
    </xf>
    <xf numFmtId="166" fontId="72" fillId="0" borderId="28" xfId="18" applyNumberFormat="1" applyFont="1" applyBorder="1" applyAlignment="1">
      <alignment horizontal="right" vertical="center"/>
    </xf>
    <xf numFmtId="166" fontId="76" fillId="0" borderId="28" xfId="18" applyNumberFormat="1" applyFont="1" applyBorder="1" applyAlignment="1">
      <alignment horizontal="right" vertical="center"/>
    </xf>
    <xf numFmtId="43" fontId="76" fillId="0" borderId="7" xfId="0" applyNumberFormat="1" applyFont="1" applyFill="1" applyBorder="1" applyAlignment="1">
      <alignment horizontal="left" vertical="center"/>
    </xf>
    <xf numFmtId="4" fontId="72" fillId="0" borderId="28" xfId="0" applyNumberFormat="1" applyFont="1" applyBorder="1" applyAlignment="1">
      <alignment horizontal="right" vertical="center"/>
    </xf>
    <xf numFmtId="166" fontId="94" fillId="0" borderId="28" xfId="2" applyNumberFormat="1" applyFont="1" applyBorder="1" applyAlignment="1">
      <alignment horizontal="right" vertical="center"/>
    </xf>
    <xf numFmtId="166" fontId="94" fillId="0" borderId="28" xfId="18" applyNumberFormat="1" applyFont="1" applyBorder="1" applyAlignment="1">
      <alignment horizontal="right" vertical="center"/>
    </xf>
    <xf numFmtId="166" fontId="70" fillId="0" borderId="28" xfId="18" applyNumberFormat="1" applyFont="1" applyBorder="1" applyAlignment="1">
      <alignment vertical="center"/>
    </xf>
    <xf numFmtId="4" fontId="72" fillId="0" borderId="52" xfId="0" applyNumberFormat="1" applyFont="1" applyBorder="1" applyAlignment="1">
      <alignment vertical="center"/>
    </xf>
    <xf numFmtId="166" fontId="70" fillId="0" borderId="52" xfId="18" applyNumberFormat="1" applyFont="1" applyBorder="1" applyAlignment="1">
      <alignment vertical="center"/>
    </xf>
    <xf numFmtId="166" fontId="72" fillId="0" borderId="52" xfId="18" applyNumberFormat="1" applyFont="1" applyBorder="1" applyAlignment="1">
      <alignment horizontal="right" vertical="center"/>
    </xf>
    <xf numFmtId="166" fontId="94" fillId="0" borderId="53" xfId="2" applyNumberFormat="1" applyFont="1" applyBorder="1" applyAlignment="1">
      <alignment horizontal="right" vertical="center"/>
    </xf>
    <xf numFmtId="43" fontId="76" fillId="0" borderId="53" xfId="4" applyFont="1" applyFill="1" applyBorder="1" applyAlignment="1">
      <alignment horizontal="left" vertical="center"/>
    </xf>
    <xf numFmtId="166" fontId="94" fillId="0" borderId="53" xfId="18" applyNumberFormat="1" applyFont="1" applyBorder="1" applyAlignment="1">
      <alignment horizontal="right" vertical="center"/>
    </xf>
    <xf numFmtId="166" fontId="72" fillId="0" borderId="52" xfId="18" applyNumberFormat="1" applyFont="1" applyBorder="1" applyAlignment="1">
      <alignment vertical="center"/>
    </xf>
    <xf numFmtId="4" fontId="76" fillId="0" borderId="27" xfId="0" applyNumberFormat="1" applyFont="1" applyBorder="1" applyAlignment="1">
      <alignment vertical="center"/>
    </xf>
    <xf numFmtId="43" fontId="76" fillId="0" borderId="27" xfId="0" applyNumberFormat="1" applyFont="1" applyFill="1" applyBorder="1" applyAlignment="1">
      <alignment vertical="center"/>
    </xf>
    <xf numFmtId="43" fontId="76" fillId="0" borderId="53" xfId="0" applyNumberFormat="1" applyFont="1" applyFill="1" applyBorder="1" applyAlignment="1">
      <alignment horizontal="left" vertical="center"/>
    </xf>
    <xf numFmtId="166" fontId="76" fillId="0" borderId="27" xfId="2" applyNumberFormat="1" applyFont="1" applyBorder="1" applyAlignment="1">
      <alignment horizontal="right" vertical="center"/>
    </xf>
    <xf numFmtId="43" fontId="76" fillId="0" borderId="5" xfId="0" applyNumberFormat="1" applyFont="1" applyFill="1" applyBorder="1" applyAlignment="1">
      <alignment horizontal="left" vertical="center"/>
    </xf>
    <xf numFmtId="166" fontId="76" fillId="0" borderId="27" xfId="18" applyNumberFormat="1" applyFont="1" applyBorder="1" applyAlignment="1">
      <alignment horizontal="right" vertical="center"/>
    </xf>
    <xf numFmtId="43" fontId="72" fillId="0" borderId="27" xfId="0" applyNumberFormat="1" applyFont="1" applyFill="1" applyBorder="1" applyAlignment="1">
      <alignment horizontal="right" vertical="center" indent="1"/>
    </xf>
    <xf numFmtId="4" fontId="72" fillId="0" borderId="52" xfId="0" applyNumberFormat="1" applyFont="1" applyFill="1" applyBorder="1" applyAlignment="1">
      <alignment vertical="center"/>
    </xf>
    <xf numFmtId="4" fontId="69" fillId="0" borderId="53" xfId="0" applyNumberFormat="1" applyFont="1" applyFill="1" applyBorder="1" applyAlignment="1">
      <alignment horizontal="right" vertical="center"/>
    </xf>
    <xf numFmtId="4" fontId="72" fillId="0" borderId="52" xfId="2" applyNumberFormat="1" applyFont="1" applyBorder="1" applyAlignment="1">
      <alignment vertical="center"/>
    </xf>
    <xf numFmtId="166" fontId="76" fillId="0" borderId="54" xfId="2" applyNumberFormat="1" applyFont="1" applyBorder="1" applyAlignment="1">
      <alignment horizontal="right" vertical="center"/>
    </xf>
    <xf numFmtId="166" fontId="76" fillId="0" borderId="54" xfId="18" applyNumberFormat="1" applyFont="1" applyBorder="1" applyAlignment="1">
      <alignment horizontal="right" vertical="center"/>
    </xf>
    <xf numFmtId="4" fontId="72" fillId="0" borderId="28" xfId="2" applyNumberFormat="1" applyFont="1" applyBorder="1" applyAlignment="1">
      <alignment vertical="center"/>
    </xf>
    <xf numFmtId="4" fontId="72" fillId="0" borderId="28" xfId="18" applyNumberFormat="1" applyFont="1" applyBorder="1" applyAlignment="1">
      <alignment vertical="center"/>
    </xf>
    <xf numFmtId="166" fontId="68" fillId="5" borderId="52" xfId="2" applyNumberFormat="1" applyFont="1" applyFill="1" applyBorder="1" applyAlignment="1">
      <alignment horizontal="right" vertical="center"/>
    </xf>
    <xf numFmtId="43" fontId="76" fillId="5" borderId="7" xfId="0" applyNumberFormat="1" applyFont="1" applyFill="1" applyBorder="1" applyAlignment="1">
      <alignment horizontal="left" vertical="center" indent="1"/>
    </xf>
    <xf numFmtId="166" fontId="0" fillId="0" borderId="52" xfId="2" applyNumberFormat="1" applyFont="1" applyBorder="1" applyAlignment="1">
      <alignment horizontal="right" vertical="center"/>
    </xf>
    <xf numFmtId="166" fontId="68" fillId="2" borderId="54" xfId="2" applyNumberFormat="1" applyFont="1" applyFill="1" applyBorder="1" applyAlignment="1">
      <alignment horizontal="right" vertical="center"/>
    </xf>
    <xf numFmtId="166" fontId="68" fillId="2" borderId="54" xfId="2" applyNumberFormat="1" applyFont="1" applyFill="1" applyBorder="1" applyAlignment="1">
      <alignment vertical="center"/>
    </xf>
    <xf numFmtId="166" fontId="76" fillId="2" borderId="54" xfId="2" applyNumberFormat="1" applyFont="1" applyFill="1" applyBorder="1" applyAlignment="1">
      <alignment vertical="center"/>
    </xf>
    <xf numFmtId="166" fontId="68" fillId="0" borderId="51" xfId="2" applyNumberFormat="1" applyFont="1" applyBorder="1" applyAlignment="1">
      <alignment horizontal="right" vertical="center"/>
    </xf>
    <xf numFmtId="166" fontId="68" fillId="0" borderId="54" xfId="2" applyNumberFormat="1" applyFont="1" applyFill="1" applyBorder="1" applyAlignment="1">
      <alignment vertical="center"/>
    </xf>
    <xf numFmtId="166" fontId="76" fillId="0" borderId="54" xfId="2" applyNumberFormat="1" applyFont="1" applyFill="1" applyBorder="1" applyAlignment="1">
      <alignment vertical="center"/>
    </xf>
    <xf numFmtId="4" fontId="76" fillId="0" borderId="51" xfId="0" applyNumberFormat="1" applyFont="1" applyFill="1" applyBorder="1" applyAlignment="1">
      <alignment vertical="center"/>
    </xf>
    <xf numFmtId="165" fontId="72" fillId="0" borderId="28" xfId="0" applyNumberFormat="1" applyFont="1" applyFill="1" applyBorder="1" applyAlignment="1">
      <alignment vertical="center"/>
    </xf>
    <xf numFmtId="166" fontId="68" fillId="0" borderId="28" xfId="2" applyNumberFormat="1" applyFont="1" applyFill="1" applyBorder="1" applyAlignment="1">
      <alignment vertical="center"/>
    </xf>
    <xf numFmtId="4" fontId="76" fillId="0" borderId="28" xfId="0" applyNumberFormat="1" applyFont="1" applyFill="1" applyBorder="1" applyAlignment="1">
      <alignment vertical="center"/>
    </xf>
    <xf numFmtId="166" fontId="76" fillId="0" borderId="28" xfId="2" applyNumberFormat="1" applyFont="1" applyFill="1" applyBorder="1" applyAlignment="1">
      <alignment vertical="center"/>
    </xf>
    <xf numFmtId="166" fontId="0" fillId="0" borderId="28" xfId="2" applyNumberFormat="1" applyFont="1" applyFill="1" applyBorder="1" applyAlignment="1">
      <alignment vertical="center"/>
    </xf>
    <xf numFmtId="166" fontId="70" fillId="0" borderId="28" xfId="2" applyNumberFormat="1" applyFont="1" applyFill="1" applyBorder="1" applyAlignment="1">
      <alignment vertical="center"/>
    </xf>
    <xf numFmtId="166" fontId="0" fillId="0" borderId="52" xfId="2" applyNumberFormat="1" applyFont="1" applyFill="1" applyBorder="1" applyAlignment="1">
      <alignment vertical="center"/>
    </xf>
    <xf numFmtId="166" fontId="69" fillId="0" borderId="28" xfId="2" applyNumberFormat="1" applyFont="1" applyFill="1" applyBorder="1" applyAlignment="1">
      <alignment vertical="center"/>
    </xf>
    <xf numFmtId="166" fontId="72" fillId="0" borderId="28" xfId="2" applyNumberFormat="1" applyFont="1" applyFill="1" applyBorder="1" applyAlignment="1">
      <alignment vertical="center"/>
    </xf>
    <xf numFmtId="166" fontId="68" fillId="0" borderId="52" xfId="2" applyNumberFormat="1" applyFont="1" applyBorder="1" applyAlignment="1">
      <alignment horizontal="right" vertical="center"/>
    </xf>
    <xf numFmtId="166" fontId="68" fillId="0" borderId="69" xfId="2" applyNumberFormat="1" applyFont="1" applyBorder="1" applyAlignment="1">
      <alignment horizontal="right" vertical="center"/>
    </xf>
    <xf numFmtId="166" fontId="68" fillId="0" borderId="69" xfId="2" applyNumberFormat="1" applyFont="1" applyFill="1" applyBorder="1" applyAlignment="1">
      <alignment vertical="center"/>
    </xf>
    <xf numFmtId="166" fontId="76" fillId="0" borderId="69" xfId="2" applyNumberFormat="1" applyFont="1" applyBorder="1" applyAlignment="1">
      <alignment vertical="center"/>
    </xf>
    <xf numFmtId="166" fontId="69" fillId="0" borderId="51" xfId="2" applyNumberFormat="1" applyFont="1" applyBorder="1" applyAlignment="1">
      <alignment horizontal="right" vertical="center"/>
    </xf>
    <xf numFmtId="166" fontId="69" fillId="0" borderId="51" xfId="2" applyNumberFormat="1" applyFont="1" applyFill="1" applyBorder="1" applyAlignment="1">
      <alignment vertical="center"/>
    </xf>
    <xf numFmtId="166" fontId="0" fillId="0" borderId="51" xfId="2" applyNumberFormat="1" applyFont="1" applyFill="1" applyBorder="1" applyAlignment="1">
      <alignment vertical="center"/>
    </xf>
    <xf numFmtId="4" fontId="69" fillId="0" borderId="51" xfId="0" applyNumberFormat="1" applyFont="1" applyFill="1" applyBorder="1" applyAlignment="1">
      <alignment vertical="center"/>
    </xf>
    <xf numFmtId="166" fontId="76" fillId="0" borderId="68" xfId="2" applyNumberFormat="1" applyFont="1" applyBorder="1" applyAlignment="1">
      <alignment vertical="center"/>
    </xf>
    <xf numFmtId="166" fontId="68" fillId="0" borderId="51" xfId="2" applyNumberFormat="1" applyFont="1" applyFill="1" applyBorder="1" applyAlignment="1">
      <alignment vertical="center"/>
    </xf>
    <xf numFmtId="166" fontId="76" fillId="0" borderId="7" xfId="2" applyNumberFormat="1" applyFont="1" applyBorder="1" applyAlignment="1">
      <alignment vertical="center"/>
    </xf>
    <xf numFmtId="166" fontId="0" fillId="0" borderId="51" xfId="2" applyNumberFormat="1" applyFont="1" applyFill="1" applyBorder="1" applyAlignment="1">
      <alignment horizontal="right" vertical="center"/>
    </xf>
    <xf numFmtId="166" fontId="76" fillId="2" borderId="53" xfId="2" applyNumberFormat="1" applyFont="1" applyFill="1" applyBorder="1" applyAlignment="1">
      <alignment vertical="center"/>
    </xf>
    <xf numFmtId="4" fontId="76" fillId="0" borderId="51" xfId="0" applyNumberFormat="1" applyFont="1" applyFill="1" applyBorder="1" applyAlignment="1">
      <alignment horizontal="right" vertical="center"/>
    </xf>
    <xf numFmtId="166" fontId="72" fillId="0" borderId="1" xfId="2" applyNumberFormat="1" applyFont="1" applyBorder="1" applyAlignment="1">
      <alignment vertical="center"/>
    </xf>
    <xf numFmtId="166" fontId="70" fillId="0" borderId="27" xfId="2" applyNumberFormat="1" applyFont="1" applyBorder="1" applyAlignment="1">
      <alignment vertical="center"/>
    </xf>
    <xf numFmtId="166" fontId="0" fillId="0" borderId="28" xfId="2" applyNumberFormat="1" applyFont="1" applyFill="1" applyBorder="1" applyAlignment="1">
      <alignment horizontal="right" vertical="center"/>
    </xf>
    <xf numFmtId="166" fontId="0" fillId="0" borderId="52" xfId="2" applyNumberFormat="1" applyFont="1" applyFill="1" applyBorder="1" applyAlignment="1">
      <alignment horizontal="right" vertical="center"/>
    </xf>
    <xf numFmtId="166" fontId="70" fillId="0" borderId="5" xfId="2" applyNumberFormat="1" applyFont="1" applyBorder="1" applyAlignment="1">
      <alignment vertical="center"/>
    </xf>
    <xf numFmtId="4" fontId="72" fillId="0" borderId="51" xfId="0" applyNumberFormat="1" applyFont="1" applyFill="1" applyBorder="1" applyAlignment="1">
      <alignment vertical="center"/>
    </xf>
    <xf numFmtId="4" fontId="72" fillId="0" borderId="52" xfId="0" applyNumberFormat="1" applyFont="1" applyFill="1" applyBorder="1" applyAlignment="1">
      <alignment horizontal="right" vertical="center"/>
    </xf>
    <xf numFmtId="4" fontId="68" fillId="0" borderId="69" xfId="0" applyNumberFormat="1" applyFont="1" applyFill="1" applyBorder="1" applyAlignment="1">
      <alignment horizontal="right" vertical="center"/>
    </xf>
    <xf numFmtId="4" fontId="76" fillId="0" borderId="69" xfId="0" applyNumberFormat="1" applyFont="1" applyFill="1" applyBorder="1" applyAlignment="1">
      <alignment horizontal="right" vertical="center"/>
    </xf>
    <xf numFmtId="4" fontId="72" fillId="0" borderId="74" xfId="0" applyNumberFormat="1" applyFont="1" applyFill="1" applyBorder="1" applyAlignment="1">
      <alignment vertical="center"/>
    </xf>
    <xf numFmtId="4" fontId="76" fillId="0" borderId="14" xfId="0" applyNumberFormat="1" applyFont="1" applyFill="1" applyBorder="1" applyAlignment="1">
      <alignment horizontal="right" vertical="center"/>
    </xf>
    <xf numFmtId="4" fontId="72" fillId="0" borderId="56" xfId="0" applyNumberFormat="1" applyFont="1" applyFill="1" applyBorder="1" applyAlignment="1">
      <alignment vertical="center"/>
    </xf>
    <xf numFmtId="4" fontId="72" fillId="0" borderId="58" xfId="0" applyNumberFormat="1" applyFont="1" applyFill="1" applyBorder="1" applyAlignment="1">
      <alignment horizontal="right" vertical="center"/>
    </xf>
    <xf numFmtId="4" fontId="76" fillId="0" borderId="52" xfId="0" applyNumberFormat="1" applyFont="1" applyFill="1" applyBorder="1" applyAlignment="1">
      <alignment horizontal="right" vertical="center"/>
    </xf>
    <xf numFmtId="166" fontId="70" fillId="0" borderId="1" xfId="2" applyNumberFormat="1" applyFont="1" applyBorder="1" applyAlignment="1">
      <alignment vertical="center"/>
    </xf>
    <xf numFmtId="166" fontId="68" fillId="0" borderId="14" xfId="2" applyNumberFormat="1" applyFont="1" applyFill="1" applyBorder="1" applyAlignment="1">
      <alignment vertical="center"/>
    </xf>
    <xf numFmtId="166" fontId="72" fillId="0" borderId="14" xfId="2" applyNumberFormat="1" applyFont="1" applyBorder="1" applyAlignment="1">
      <alignment vertical="center"/>
    </xf>
    <xf numFmtId="166" fontId="70" fillId="0" borderId="74" xfId="2" applyNumberFormat="1" applyFont="1" applyBorder="1" applyAlignment="1">
      <alignment vertical="center"/>
    </xf>
    <xf numFmtId="166" fontId="72" fillId="0" borderId="74" xfId="2" applyNumberFormat="1" applyFont="1" applyBorder="1" applyAlignment="1">
      <alignment vertical="center"/>
    </xf>
    <xf numFmtId="166" fontId="69" fillId="0" borderId="51" xfId="2" applyNumberFormat="1" applyFont="1" applyFill="1" applyBorder="1" applyAlignment="1">
      <alignment horizontal="right" vertical="center"/>
    </xf>
    <xf numFmtId="166" fontId="70" fillId="0" borderId="14" xfId="2" applyNumberFormat="1" applyFont="1" applyBorder="1" applyAlignment="1">
      <alignment vertical="center"/>
    </xf>
    <xf numFmtId="43" fontId="68" fillId="0" borderId="5" xfId="0" applyNumberFormat="1" applyFont="1" applyFill="1" applyBorder="1" applyAlignment="1">
      <alignment horizontal="right" vertical="center"/>
    </xf>
    <xf numFmtId="166" fontId="70" fillId="0" borderId="12" xfId="2" applyNumberFormat="1" applyFont="1" applyBorder="1" applyAlignment="1">
      <alignment vertical="center"/>
    </xf>
    <xf numFmtId="43" fontId="72" fillId="0" borderId="42" xfId="1" applyFont="1" applyBorder="1" applyAlignment="1">
      <alignment vertical="center"/>
    </xf>
    <xf numFmtId="166" fontId="68" fillId="0" borderId="56" xfId="2" applyNumberFormat="1" applyFont="1" applyBorder="1" applyAlignment="1">
      <alignment horizontal="right" vertical="center"/>
    </xf>
    <xf numFmtId="4" fontId="68" fillId="0" borderId="56" xfId="2" applyNumberFormat="1" applyFont="1" applyBorder="1" applyAlignment="1">
      <alignment vertical="center"/>
    </xf>
    <xf numFmtId="166" fontId="76" fillId="0" borderId="56" xfId="2" applyNumberFormat="1" applyFont="1" applyBorder="1" applyAlignment="1">
      <alignment vertical="center"/>
    </xf>
    <xf numFmtId="4" fontId="76" fillId="0" borderId="56" xfId="2" applyNumberFormat="1" applyFont="1" applyBorder="1" applyAlignment="1">
      <alignment vertical="center"/>
    </xf>
    <xf numFmtId="4" fontId="72" fillId="0" borderId="7" xfId="2" applyNumberFormat="1" applyFont="1" applyFill="1" applyBorder="1" applyAlignment="1">
      <alignment vertical="center"/>
    </xf>
    <xf numFmtId="4" fontId="93" fillId="0" borderId="28" xfId="2" applyNumberFormat="1" applyFont="1" applyBorder="1" applyAlignment="1">
      <alignment vertical="center"/>
    </xf>
    <xf numFmtId="4" fontId="69" fillId="0" borderId="52" xfId="2" applyNumberFormat="1" applyFont="1" applyBorder="1" applyAlignment="1">
      <alignment vertical="center"/>
    </xf>
    <xf numFmtId="4" fontId="72" fillId="0" borderId="14" xfId="2" applyNumberFormat="1" applyFont="1" applyFill="1" applyBorder="1" applyAlignment="1">
      <alignment vertical="center"/>
    </xf>
    <xf numFmtId="4" fontId="72" fillId="0" borderId="5" xfId="2" applyNumberFormat="1" applyFont="1" applyFill="1" applyBorder="1" applyAlignment="1">
      <alignment vertical="center"/>
    </xf>
    <xf numFmtId="4" fontId="68" fillId="0" borderId="54" xfId="2" applyNumberFormat="1" applyFont="1" applyBorder="1" applyAlignment="1">
      <alignment vertical="center"/>
    </xf>
    <xf numFmtId="4" fontId="68" fillId="0" borderId="68" xfId="2" applyNumberFormat="1" applyFont="1" applyFill="1" applyBorder="1" applyAlignment="1">
      <alignment horizontal="right" vertical="center"/>
    </xf>
    <xf numFmtId="166" fontId="72" fillId="0" borderId="1" xfId="2" applyNumberFormat="1" applyFont="1" applyFill="1" applyBorder="1" applyAlignment="1">
      <alignment vertical="center"/>
    </xf>
    <xf numFmtId="4" fontId="72" fillId="0" borderId="1" xfId="2" applyNumberFormat="1" applyFont="1" applyFill="1" applyBorder="1" applyAlignment="1">
      <alignment vertical="center"/>
    </xf>
    <xf numFmtId="4" fontId="72" fillId="0" borderId="51" xfId="2" applyNumberFormat="1" applyFont="1" applyBorder="1" applyAlignment="1">
      <alignment vertical="center"/>
    </xf>
    <xf numFmtId="166" fontId="69" fillId="0" borderId="27" xfId="2" applyNumberFormat="1" applyFont="1" applyBorder="1" applyAlignment="1">
      <alignment horizontal="right" vertical="center"/>
    </xf>
    <xf numFmtId="166" fontId="68" fillId="0" borderId="77" xfId="2" applyNumberFormat="1" applyFont="1" applyBorder="1" applyAlignment="1">
      <alignment horizontal="right" vertical="center"/>
    </xf>
    <xf numFmtId="4" fontId="76" fillId="0" borderId="69" xfId="2" applyNumberFormat="1" applyFont="1" applyBorder="1" applyAlignment="1">
      <alignment vertical="center"/>
    </xf>
    <xf numFmtId="4" fontId="72" fillId="0" borderId="27" xfId="2" applyNumberFormat="1" applyFont="1" applyBorder="1" applyAlignment="1">
      <alignment vertical="center"/>
    </xf>
    <xf numFmtId="43" fontId="72" fillId="0" borderId="14" xfId="0" applyNumberFormat="1" applyFont="1" applyBorder="1" applyAlignment="1">
      <alignment vertical="center"/>
    </xf>
    <xf numFmtId="4" fontId="76" fillId="0" borderId="27" xfId="2" applyNumberFormat="1" applyFont="1" applyBorder="1" applyAlignment="1">
      <alignment vertical="center"/>
    </xf>
    <xf numFmtId="4" fontId="72" fillId="0" borderId="13" xfId="2" applyNumberFormat="1" applyFont="1" applyFill="1" applyBorder="1" applyAlignment="1">
      <alignment vertical="center"/>
    </xf>
    <xf numFmtId="166" fontId="69" fillId="0" borderId="0" xfId="2" applyNumberFormat="1" applyFont="1" applyBorder="1" applyAlignment="1">
      <alignment horizontal="right" vertical="center"/>
    </xf>
    <xf numFmtId="4" fontId="69" fillId="0" borderId="57" xfId="2" applyNumberFormat="1" applyFont="1" applyBorder="1" applyAlignment="1">
      <alignment vertical="center"/>
    </xf>
    <xf numFmtId="4" fontId="72" fillId="0" borderId="8" xfId="2" applyNumberFormat="1" applyFont="1" applyFill="1" applyBorder="1" applyAlignment="1">
      <alignment vertical="center"/>
    </xf>
    <xf numFmtId="166" fontId="72" fillId="0" borderId="8" xfId="2" applyNumberFormat="1" applyFont="1" applyBorder="1" applyAlignment="1">
      <alignment vertical="center"/>
    </xf>
    <xf numFmtId="4" fontId="72" fillId="0" borderId="14" xfId="2" applyNumberFormat="1" applyFont="1" applyBorder="1" applyAlignment="1">
      <alignment vertical="center"/>
    </xf>
    <xf numFmtId="4" fontId="76" fillId="0" borderId="53" xfId="2" applyNumberFormat="1" applyFont="1" applyBorder="1" applyAlignment="1">
      <alignment vertical="center"/>
    </xf>
    <xf numFmtId="4" fontId="76" fillId="0" borderId="1" xfId="2" applyNumberFormat="1" applyFont="1" applyBorder="1" applyAlignment="1">
      <alignment vertical="center"/>
    </xf>
    <xf numFmtId="4" fontId="76" fillId="0" borderId="53" xfId="2" applyNumberFormat="1" applyFont="1" applyFill="1" applyBorder="1" applyAlignment="1">
      <alignment vertical="center"/>
    </xf>
    <xf numFmtId="4" fontId="76" fillId="0" borderId="5" xfId="2" applyNumberFormat="1" applyFont="1" applyFill="1" applyBorder="1" applyAlignment="1">
      <alignment vertical="center"/>
    </xf>
    <xf numFmtId="4" fontId="109" fillId="0" borderId="7" xfId="2" applyNumberFormat="1" applyFont="1" applyFill="1" applyBorder="1" applyAlignment="1">
      <alignment vertical="center"/>
    </xf>
    <xf numFmtId="166" fontId="68" fillId="0" borderId="28" xfId="2" applyNumberFormat="1" applyFont="1" applyBorder="1" applyAlignment="1">
      <alignment horizontal="center" vertical="center"/>
    </xf>
    <xf numFmtId="4" fontId="68" fillId="0" borderId="51" xfId="2" applyNumberFormat="1" applyFont="1" applyFill="1" applyBorder="1" applyAlignment="1">
      <alignment horizontal="right" vertical="center"/>
    </xf>
    <xf numFmtId="4" fontId="68" fillId="0" borderId="51" xfId="2" applyNumberFormat="1" applyFont="1" applyFill="1" applyBorder="1" applyAlignment="1">
      <alignment vertical="center"/>
    </xf>
    <xf numFmtId="4" fontId="76" fillId="0" borderId="1" xfId="2" applyNumberFormat="1" applyFont="1" applyFill="1" applyBorder="1" applyAlignment="1">
      <alignment vertical="center"/>
    </xf>
    <xf numFmtId="4" fontId="76" fillId="0" borderId="51" xfId="2" applyNumberFormat="1" applyFont="1" applyFill="1" applyBorder="1" applyAlignment="1">
      <alignment vertical="center"/>
    </xf>
    <xf numFmtId="4" fontId="76" fillId="0" borderId="54" xfId="2" applyNumberFormat="1" applyFont="1" applyFill="1" applyBorder="1" applyAlignment="1">
      <alignment vertical="center"/>
    </xf>
    <xf numFmtId="4" fontId="76" fillId="0" borderId="27" xfId="2" applyNumberFormat="1" applyFont="1" applyFill="1" applyBorder="1" applyAlignment="1">
      <alignment vertical="center"/>
    </xf>
    <xf numFmtId="4" fontId="72" fillId="0" borderId="28" xfId="2" applyNumberFormat="1" applyFont="1" applyFill="1" applyBorder="1" applyAlignment="1">
      <alignment vertical="center"/>
    </xf>
    <xf numFmtId="166" fontId="69" fillId="0" borderId="58" xfId="2" applyNumberFormat="1" applyFont="1" applyBorder="1" applyAlignment="1">
      <alignment horizontal="right" vertical="center"/>
    </xf>
    <xf numFmtId="4" fontId="69" fillId="0" borderId="58" xfId="2" applyNumberFormat="1" applyFont="1" applyBorder="1" applyAlignment="1">
      <alignment vertical="center"/>
    </xf>
    <xf numFmtId="166" fontId="72" fillId="0" borderId="74" xfId="2" applyNumberFormat="1" applyFont="1" applyFill="1" applyBorder="1" applyAlignment="1">
      <alignment vertical="center"/>
    </xf>
    <xf numFmtId="4" fontId="72" fillId="0" borderId="74" xfId="2" applyNumberFormat="1" applyFont="1" applyFill="1" applyBorder="1" applyAlignment="1">
      <alignment vertical="center"/>
    </xf>
    <xf numFmtId="166" fontId="72" fillId="0" borderId="58" xfId="2" applyNumberFormat="1" applyFont="1" applyBorder="1" applyAlignment="1">
      <alignment vertical="center"/>
    </xf>
    <xf numFmtId="4" fontId="72" fillId="0" borderId="58" xfId="2" applyNumberFormat="1" applyFont="1" applyBorder="1" applyAlignment="1">
      <alignment vertical="center"/>
    </xf>
    <xf numFmtId="4" fontId="70" fillId="0" borderId="7" xfId="2" applyNumberFormat="1" applyFont="1" applyFill="1" applyBorder="1" applyAlignment="1">
      <alignment vertical="center"/>
    </xf>
    <xf numFmtId="166" fontId="0" fillId="0" borderId="28" xfId="2" applyNumberFormat="1" applyFont="1" applyBorder="1" applyAlignment="1">
      <alignment horizontal="right" vertical="center"/>
    </xf>
    <xf numFmtId="165" fontId="76" fillId="0" borderId="28" xfId="2" applyNumberFormat="1" applyFont="1" applyBorder="1" applyAlignment="1">
      <alignment vertical="center"/>
    </xf>
    <xf numFmtId="4" fontId="69" fillId="0" borderId="52" xfId="2" applyNumberFormat="1" applyFont="1" applyFill="1" applyBorder="1" applyAlignment="1">
      <alignment horizontal="right" vertical="center"/>
    </xf>
    <xf numFmtId="4" fontId="72" fillId="0" borderId="7" xfId="2" applyNumberFormat="1" applyFont="1" applyBorder="1" applyAlignment="1">
      <alignment vertical="center"/>
    </xf>
    <xf numFmtId="4" fontId="69" fillId="0" borderId="51" xfId="2" applyNumberFormat="1" applyFont="1" applyBorder="1" applyAlignment="1">
      <alignment vertical="center"/>
    </xf>
    <xf numFmtId="43" fontId="72" fillId="0" borderId="1" xfId="0" applyNumberFormat="1" applyFont="1" applyBorder="1" applyAlignment="1">
      <alignment vertical="center"/>
    </xf>
    <xf numFmtId="166" fontId="0" fillId="0" borderId="58" xfId="2" applyNumberFormat="1" applyFont="1" applyBorder="1" applyAlignment="1">
      <alignment horizontal="right" vertical="center"/>
    </xf>
    <xf numFmtId="43" fontId="72" fillId="0" borderId="74" xfId="0" applyNumberFormat="1" applyFont="1" applyBorder="1" applyAlignment="1">
      <alignment vertical="center"/>
    </xf>
    <xf numFmtId="166" fontId="70" fillId="0" borderId="58" xfId="2" applyNumberFormat="1" applyFont="1" applyBorder="1" applyAlignment="1">
      <alignment vertical="center"/>
    </xf>
    <xf numFmtId="4" fontId="68" fillId="0" borderId="51" xfId="2" applyNumberFormat="1" applyFont="1" applyBorder="1" applyAlignment="1">
      <alignment vertical="center"/>
    </xf>
    <xf numFmtId="4" fontId="76" fillId="0" borderId="51" xfId="2" applyNumberFormat="1" applyFont="1" applyBorder="1" applyAlignment="1">
      <alignment vertical="center"/>
    </xf>
    <xf numFmtId="166" fontId="0" fillId="0" borderId="51" xfId="2" applyNumberFormat="1" applyFont="1" applyBorder="1" applyAlignment="1">
      <alignment horizontal="right" vertical="center"/>
    </xf>
    <xf numFmtId="4" fontId="68" fillId="0" borderId="52" xfId="2" applyNumberFormat="1" applyFont="1" applyBorder="1" applyAlignment="1">
      <alignment vertical="center"/>
    </xf>
    <xf numFmtId="4" fontId="76" fillId="0" borderId="52" xfId="2" applyNumberFormat="1" applyFont="1" applyBorder="1" applyAlignment="1">
      <alignment vertical="center"/>
    </xf>
    <xf numFmtId="166" fontId="68" fillId="0" borderId="69" xfId="2" applyNumberFormat="1" applyFont="1" applyBorder="1" applyAlignment="1">
      <alignment vertical="center"/>
    </xf>
    <xf numFmtId="4" fontId="72" fillId="0" borderId="7" xfId="2" applyNumberFormat="1" applyFont="1" applyFill="1" applyBorder="1"/>
    <xf numFmtId="4" fontId="72" fillId="0" borderId="5" xfId="2" applyNumberFormat="1" applyFont="1" applyFill="1" applyBorder="1"/>
    <xf numFmtId="4" fontId="69" fillId="0" borderId="28" xfId="2" applyNumberFormat="1" applyFont="1" applyFill="1" applyBorder="1"/>
    <xf numFmtId="166" fontId="72" fillId="0" borderId="43" xfId="2" applyNumberFormat="1" applyFont="1" applyFill="1" applyBorder="1" applyAlignment="1">
      <alignment vertical="center"/>
    </xf>
    <xf numFmtId="166" fontId="70" fillId="0" borderId="43" xfId="2" applyNumberFormat="1" applyFont="1" applyBorder="1" applyAlignment="1">
      <alignment vertical="center"/>
    </xf>
    <xf numFmtId="166" fontId="76" fillId="0" borderId="73" xfId="2" applyNumberFormat="1" applyFont="1" applyBorder="1" applyAlignment="1">
      <alignment vertical="center"/>
    </xf>
    <xf numFmtId="166" fontId="76" fillId="0" borderId="53" xfId="2" applyNumberFormat="1" applyFont="1" applyBorder="1" applyAlignment="1">
      <alignment vertical="center"/>
    </xf>
    <xf numFmtId="166" fontId="76" fillId="0" borderId="125" xfId="2" applyNumberFormat="1" applyFont="1" applyBorder="1" applyAlignment="1">
      <alignment vertical="center"/>
    </xf>
    <xf numFmtId="4" fontId="69" fillId="0" borderId="1" xfId="2" applyNumberFormat="1" applyFont="1" applyFill="1" applyBorder="1" applyAlignment="1">
      <alignment horizontal="right" vertical="center"/>
    </xf>
    <xf numFmtId="166" fontId="72" fillId="0" borderId="51" xfId="2" applyNumberFormat="1" applyFont="1" applyFill="1" applyBorder="1" applyAlignment="1">
      <alignment vertical="center"/>
    </xf>
    <xf numFmtId="4" fontId="0" fillId="0" borderId="28" xfId="2" applyNumberFormat="1" applyFont="1" applyBorder="1" applyAlignment="1">
      <alignment vertical="center"/>
    </xf>
    <xf numFmtId="4" fontId="69" fillId="0" borderId="28" xfId="2" applyNumberFormat="1" applyFont="1" applyFill="1" applyBorder="1" applyAlignment="1">
      <alignment horizontal="right" vertical="center"/>
    </xf>
    <xf numFmtId="4" fontId="94" fillId="0" borderId="28" xfId="2" applyNumberFormat="1" applyFont="1" applyBorder="1" applyAlignment="1">
      <alignment vertical="center"/>
    </xf>
    <xf numFmtId="4" fontId="94" fillId="0" borderId="27" xfId="2" applyNumberFormat="1" applyFont="1" applyBorder="1" applyAlignment="1">
      <alignment vertical="center"/>
    </xf>
    <xf numFmtId="166" fontId="68" fillId="8" borderId="3" xfId="2" applyNumberFormat="1" applyFont="1" applyFill="1" applyBorder="1" applyAlignment="1">
      <alignment horizontal="right" vertical="center"/>
    </xf>
    <xf numFmtId="166" fontId="68" fillId="8" borderId="3" xfId="2" applyNumberFormat="1" applyFont="1" applyFill="1" applyBorder="1" applyAlignment="1">
      <alignment vertical="center"/>
    </xf>
    <xf numFmtId="166" fontId="76" fillId="8" borderId="3" xfId="2" applyNumberFormat="1" applyFont="1" applyFill="1" applyBorder="1" applyAlignment="1">
      <alignment vertical="center"/>
    </xf>
    <xf numFmtId="43" fontId="72" fillId="0" borderId="28" xfId="0" applyNumberFormat="1" applyFont="1" applyBorder="1" applyAlignment="1">
      <alignment vertical="center"/>
    </xf>
    <xf numFmtId="166" fontId="0" fillId="0" borderId="58" xfId="2" applyNumberFormat="1" applyFont="1" applyBorder="1" applyAlignment="1">
      <alignment vertical="center"/>
    </xf>
    <xf numFmtId="39" fontId="72" fillId="0" borderId="14" xfId="0" applyNumberFormat="1" applyFont="1" applyBorder="1" applyAlignment="1">
      <alignment vertical="top"/>
    </xf>
    <xf numFmtId="166" fontId="0" fillId="0" borderId="27" xfId="2" applyNumberFormat="1" applyFont="1" applyBorder="1" applyAlignment="1">
      <alignment vertical="center"/>
    </xf>
    <xf numFmtId="4" fontId="72" fillId="0" borderId="1" xfId="0" applyNumberFormat="1" applyFont="1" applyFill="1" applyBorder="1" applyAlignment="1">
      <alignment horizontal="right" vertical="center"/>
    </xf>
    <xf numFmtId="39" fontId="72" fillId="0" borderId="7" xfId="0" applyNumberFormat="1" applyFont="1" applyBorder="1" applyAlignment="1">
      <alignment vertical="top"/>
    </xf>
    <xf numFmtId="166" fontId="72" fillId="0" borderId="5" xfId="2" applyNumberFormat="1" applyFont="1" applyBorder="1" applyAlignment="1">
      <alignment vertical="center"/>
    </xf>
    <xf numFmtId="39" fontId="68" fillId="0" borderId="14" xfId="0" applyNumberFormat="1" applyFont="1" applyBorder="1" applyAlignment="1">
      <alignment horizontal="right" vertical="top"/>
    </xf>
    <xf numFmtId="39" fontId="76" fillId="0" borderId="53" xfId="0" applyNumberFormat="1" applyFont="1" applyBorder="1" applyAlignment="1">
      <alignment vertical="center"/>
    </xf>
    <xf numFmtId="39" fontId="76" fillId="0" borderId="5" xfId="0" applyNumberFormat="1" applyFont="1" applyBorder="1" applyAlignment="1">
      <alignment vertical="top"/>
    </xf>
    <xf numFmtId="39" fontId="76" fillId="0" borderId="7" xfId="0" applyNumberFormat="1" applyFont="1" applyBorder="1" applyAlignment="1">
      <alignment vertical="top"/>
    </xf>
    <xf numFmtId="39" fontId="72" fillId="0" borderId="5" xfId="0" applyNumberFormat="1" applyFont="1" applyBorder="1" applyAlignment="1">
      <alignment vertical="top"/>
    </xf>
    <xf numFmtId="39" fontId="70" fillId="0" borderId="27" xfId="0" applyNumberFormat="1" applyFont="1" applyBorder="1" applyAlignment="1">
      <alignment vertical="top"/>
    </xf>
    <xf numFmtId="4" fontId="76" fillId="0" borderId="1" xfId="0" applyNumberFormat="1" applyFont="1" applyFill="1" applyBorder="1" applyAlignment="1">
      <alignment horizontal="right" vertical="center"/>
    </xf>
    <xf numFmtId="166" fontId="68" fillId="0" borderId="53" xfId="2" quotePrefix="1" applyNumberFormat="1" applyFont="1" applyBorder="1" applyAlignment="1">
      <alignment horizontal="right" vertical="center"/>
    </xf>
    <xf numFmtId="39" fontId="72" fillId="0" borderId="52" xfId="0" applyNumberFormat="1" applyFont="1" applyBorder="1" applyAlignment="1">
      <alignment vertical="top"/>
    </xf>
    <xf numFmtId="39" fontId="72" fillId="0" borderId="7" xfId="0" applyNumberFormat="1" applyFont="1" applyBorder="1" applyAlignment="1">
      <alignment vertical="center"/>
    </xf>
    <xf numFmtId="166" fontId="76" fillId="8" borderId="3" xfId="2" applyNumberFormat="1" applyFont="1" applyFill="1" applyBorder="1" applyAlignment="1">
      <alignment horizontal="right" vertical="center"/>
    </xf>
    <xf numFmtId="166" fontId="76" fillId="0" borderId="57" xfId="2" applyNumberFormat="1" applyFont="1" applyFill="1" applyBorder="1" applyAlignment="1">
      <alignment horizontal="right" vertical="center"/>
    </xf>
    <xf numFmtId="166" fontId="72" fillId="0" borderId="27" xfId="2" applyNumberFormat="1" applyFont="1" applyFill="1" applyBorder="1" applyAlignment="1">
      <alignment horizontal="right" vertical="center"/>
    </xf>
    <xf numFmtId="166" fontId="68" fillId="0" borderId="27" xfId="2" applyNumberFormat="1" applyFont="1" applyFill="1" applyBorder="1" applyAlignment="1">
      <alignment horizontal="right" vertical="center"/>
    </xf>
    <xf numFmtId="173" fontId="0" fillId="0" borderId="7" xfId="105" applyNumberFormat="1" applyFont="1" applyBorder="1" applyAlignment="1">
      <alignment vertical="center"/>
    </xf>
    <xf numFmtId="166" fontId="72" fillId="0" borderId="51" xfId="2" applyNumberFormat="1" applyFont="1" applyFill="1" applyBorder="1" applyAlignment="1">
      <alignment horizontal="right" vertical="center"/>
    </xf>
    <xf numFmtId="166" fontId="72" fillId="0" borderId="28" xfId="2" applyNumberFormat="1" applyFont="1" applyFill="1" applyBorder="1" applyAlignment="1">
      <alignment horizontal="right" vertical="center"/>
    </xf>
    <xf numFmtId="166" fontId="69" fillId="0" borderId="58" xfId="2" applyNumberFormat="1" applyFont="1" applyFill="1" applyBorder="1" applyAlignment="1">
      <alignment horizontal="right" vertical="center"/>
    </xf>
    <xf numFmtId="39" fontId="72" fillId="0" borderId="98" xfId="0" applyNumberFormat="1" applyFont="1" applyFill="1" applyBorder="1" applyAlignment="1">
      <alignment vertical="top"/>
    </xf>
    <xf numFmtId="166" fontId="72" fillId="0" borderId="58" xfId="2" applyNumberFormat="1" applyFont="1" applyFill="1" applyBorder="1" applyAlignment="1">
      <alignment horizontal="right" vertical="center"/>
    </xf>
    <xf numFmtId="166" fontId="68" fillId="0" borderId="14" xfId="2" applyNumberFormat="1" applyFont="1" applyBorder="1" applyAlignment="1">
      <alignment horizontal="center" vertical="center"/>
    </xf>
    <xf numFmtId="166" fontId="76" fillId="0" borderId="14" xfId="2" applyNumberFormat="1" applyFont="1" applyBorder="1" applyAlignment="1">
      <alignment horizontal="center" vertical="center"/>
    </xf>
    <xf numFmtId="39" fontId="72" fillId="0" borderId="0" xfId="0" applyNumberFormat="1" applyFont="1" applyFill="1" applyBorder="1" applyAlignment="1">
      <alignment vertical="top"/>
    </xf>
    <xf numFmtId="166" fontId="76" fillId="0" borderId="66" xfId="2" applyNumberFormat="1" applyFont="1" applyBorder="1" applyAlignment="1">
      <alignment vertical="center"/>
    </xf>
    <xf numFmtId="166" fontId="76" fillId="0" borderId="27" xfId="2" applyNumberFormat="1" applyFont="1" applyFill="1" applyBorder="1" applyAlignment="1">
      <alignment horizontal="center" vertical="center"/>
    </xf>
    <xf numFmtId="166" fontId="76" fillId="0" borderId="27" xfId="2" applyNumberFormat="1" applyFont="1" applyBorder="1" applyAlignment="1">
      <alignment horizontal="center" vertical="center"/>
    </xf>
    <xf numFmtId="166" fontId="72" fillId="0" borderId="57" xfId="2" applyNumberFormat="1" applyFont="1" applyFill="1" applyBorder="1" applyAlignment="1">
      <alignment horizontal="right" vertical="center"/>
    </xf>
    <xf numFmtId="4" fontId="76" fillId="8" borderId="9" xfId="0" applyNumberFormat="1" applyFont="1" applyFill="1" applyBorder="1" applyAlignment="1">
      <alignment vertical="center"/>
    </xf>
    <xf numFmtId="166" fontId="76" fillId="8" borderId="9" xfId="2" applyNumberFormat="1" applyFont="1" applyFill="1" applyBorder="1" applyAlignment="1">
      <alignment vertical="center"/>
    </xf>
    <xf numFmtId="166" fontId="68" fillId="0" borderId="56" xfId="2" applyNumberFormat="1" applyFont="1" applyFill="1" applyBorder="1" applyAlignment="1">
      <alignment horizontal="right" vertical="center"/>
    </xf>
    <xf numFmtId="166" fontId="68" fillId="0" borderId="56" xfId="2" applyNumberFormat="1" applyFont="1" applyFill="1" applyBorder="1" applyAlignment="1">
      <alignment vertical="center"/>
    </xf>
    <xf numFmtId="39" fontId="76" fillId="0" borderId="75" xfId="0" applyNumberFormat="1" applyFont="1" applyFill="1" applyBorder="1" applyAlignment="1">
      <alignment vertical="top"/>
    </xf>
    <xf numFmtId="39" fontId="76" fillId="0" borderId="57" xfId="0" applyNumberFormat="1" applyFont="1" applyFill="1" applyBorder="1" applyAlignment="1">
      <alignment vertical="top"/>
    </xf>
    <xf numFmtId="4" fontId="76" fillId="0" borderId="57" xfId="0" applyNumberFormat="1" applyFont="1" applyFill="1" applyBorder="1" applyAlignment="1">
      <alignment vertical="center"/>
    </xf>
    <xf numFmtId="166" fontId="76" fillId="0" borderId="56" xfId="2" applyNumberFormat="1" applyFont="1" applyFill="1" applyBorder="1" applyAlignment="1">
      <alignment vertical="center"/>
    </xf>
    <xf numFmtId="166" fontId="68" fillId="0" borderId="51" xfId="2" applyNumberFormat="1" applyFont="1" applyBorder="1" applyAlignment="1">
      <alignment vertical="center"/>
    </xf>
    <xf numFmtId="4" fontId="76" fillId="0" borderId="5" xfId="0" applyNumberFormat="1" applyFont="1" applyBorder="1" applyAlignment="1">
      <alignment vertical="center"/>
    </xf>
    <xf numFmtId="4" fontId="72" fillId="0" borderId="5" xfId="0" applyNumberFormat="1" applyFont="1" applyBorder="1" applyAlignment="1">
      <alignment vertical="center"/>
    </xf>
    <xf numFmtId="166" fontId="72" fillId="0" borderId="7" xfId="2" applyNumberFormat="1" applyFont="1" applyBorder="1" applyAlignment="1"/>
    <xf numFmtId="4" fontId="69" fillId="0" borderId="51" xfId="0" applyNumberFormat="1" applyFont="1" applyBorder="1" applyAlignment="1">
      <alignment vertical="center"/>
    </xf>
    <xf numFmtId="4" fontId="72" fillId="0" borderId="27" xfId="0" applyNumberFormat="1" applyFont="1" applyBorder="1" applyAlignment="1">
      <alignment vertical="center"/>
    </xf>
    <xf numFmtId="4" fontId="72" fillId="0" borderId="7" xfId="0" applyNumberFormat="1" applyFont="1" applyBorder="1" applyAlignment="1">
      <alignment vertical="center"/>
    </xf>
    <xf numFmtId="4" fontId="72" fillId="0" borderId="1" xfId="0" applyNumberFormat="1" applyFont="1" applyBorder="1" applyAlignment="1">
      <alignment vertical="center"/>
    </xf>
    <xf numFmtId="4" fontId="76" fillId="0" borderId="53" xfId="0" applyNumberFormat="1" applyFont="1" applyBorder="1" applyAlignment="1">
      <alignment vertical="center"/>
    </xf>
    <xf numFmtId="39" fontId="89" fillId="0" borderId="7" xfId="0" applyNumberFormat="1" applyFont="1" applyBorder="1" applyAlignment="1">
      <alignment horizontal="right" vertical="top"/>
    </xf>
    <xf numFmtId="165" fontId="69" fillId="0" borderId="5" xfId="0" applyNumberFormat="1" applyFont="1" applyBorder="1" applyAlignment="1">
      <alignment horizontal="right" vertical="center"/>
    </xf>
    <xf numFmtId="169" fontId="72" fillId="0" borderId="7" xfId="2" applyNumberFormat="1" applyFont="1" applyBorder="1" applyAlignment="1">
      <alignment vertical="center"/>
    </xf>
    <xf numFmtId="4" fontId="70" fillId="0" borderId="14" xfId="0" applyNumberFormat="1" applyFont="1" applyBorder="1" applyAlignment="1">
      <alignment vertical="center"/>
    </xf>
    <xf numFmtId="4" fontId="70" fillId="0" borderId="1" xfId="0" applyNumberFormat="1" applyFont="1" applyBorder="1" applyAlignment="1">
      <alignment vertical="center"/>
    </xf>
    <xf numFmtId="4" fontId="70" fillId="0" borderId="7" xfId="0" applyNumberFormat="1" applyFont="1" applyBorder="1" applyAlignment="1">
      <alignment vertical="center"/>
    </xf>
    <xf numFmtId="166" fontId="72" fillId="0" borderId="51" xfId="2" applyNumberFormat="1" applyFont="1" applyBorder="1" applyAlignment="1">
      <alignment horizontal="right" vertical="center"/>
    </xf>
    <xf numFmtId="169" fontId="68" fillId="0" borderId="1" xfId="2" applyNumberFormat="1" applyFont="1" applyBorder="1" applyAlignment="1">
      <alignment horizontal="right" vertical="center"/>
    </xf>
    <xf numFmtId="4" fontId="94" fillId="0" borderId="52" xfId="0" applyNumberFormat="1" applyFont="1" applyFill="1" applyBorder="1" applyAlignment="1">
      <alignment horizontal="right" vertical="center"/>
    </xf>
    <xf numFmtId="4" fontId="76" fillId="4" borderId="14" xfId="2" applyNumberFormat="1" applyFont="1" applyFill="1" applyBorder="1" applyAlignment="1">
      <alignment vertical="center"/>
    </xf>
    <xf numFmtId="4" fontId="76" fillId="4" borderId="7" xfId="2" applyNumberFormat="1" applyFont="1" applyFill="1" applyBorder="1" applyAlignment="1">
      <alignment vertical="center"/>
    </xf>
    <xf numFmtId="166" fontId="72" fillId="0" borderId="7" xfId="2" applyNumberFormat="1" applyFont="1" applyBorder="1" applyAlignment="1">
      <alignment horizontal="right" vertical="center"/>
    </xf>
    <xf numFmtId="4" fontId="0" fillId="4" borderId="14" xfId="0" applyNumberFormat="1" applyFont="1" applyFill="1" applyBorder="1" applyAlignment="1">
      <alignment horizontal="right" vertical="center"/>
    </xf>
    <xf numFmtId="2" fontId="0" fillId="4" borderId="14" xfId="0" applyNumberFormat="1" applyFont="1" applyFill="1" applyBorder="1" applyAlignment="1">
      <alignment vertical="center"/>
    </xf>
    <xf numFmtId="0" fontId="70" fillId="4" borderId="14" xfId="0" applyFont="1" applyFill="1" applyBorder="1" applyAlignment="1">
      <alignment vertical="center"/>
    </xf>
    <xf numFmtId="2" fontId="68" fillId="4" borderId="53" xfId="0" applyNumberFormat="1" applyFont="1" applyFill="1" applyBorder="1" applyAlignment="1">
      <alignment vertical="center"/>
    </xf>
    <xf numFmtId="4" fontId="68" fillId="4" borderId="66" xfId="0" applyNumberFormat="1" applyFont="1" applyFill="1" applyBorder="1" applyAlignment="1">
      <alignment horizontal="right" vertical="center"/>
    </xf>
    <xf numFmtId="4" fontId="72" fillId="4" borderId="7" xfId="0" applyNumberFormat="1" applyFont="1" applyFill="1" applyBorder="1" applyAlignment="1">
      <alignment vertical="center"/>
    </xf>
    <xf numFmtId="166" fontId="70" fillId="0" borderId="80" xfId="2" applyNumberFormat="1" applyFont="1" applyBorder="1" applyAlignment="1">
      <alignment vertical="center"/>
    </xf>
    <xf numFmtId="4" fontId="68" fillId="2" borderId="54" xfId="0" applyNumberFormat="1" applyFont="1" applyFill="1" applyBorder="1" applyAlignment="1">
      <alignment horizontal="right" vertical="center"/>
    </xf>
    <xf numFmtId="4" fontId="76" fillId="2" borderId="54" xfId="0" applyNumberFormat="1" applyFont="1" applyFill="1" applyBorder="1" applyAlignment="1">
      <alignment horizontal="right" vertical="center"/>
    </xf>
    <xf numFmtId="43" fontId="68" fillId="0" borderId="53" xfId="1" applyFont="1" applyFill="1" applyBorder="1" applyAlignment="1">
      <alignment horizontal="right" vertical="center" wrapText="1"/>
    </xf>
    <xf numFmtId="4" fontId="76" fillId="0" borderId="56" xfId="0" applyNumberFormat="1" applyFont="1" applyFill="1" applyBorder="1" applyAlignment="1">
      <alignment horizontal="right" vertical="center"/>
    </xf>
    <xf numFmtId="43" fontId="68" fillId="0" borderId="5" xfId="1" applyFont="1" applyFill="1" applyBorder="1" applyAlignment="1">
      <alignment horizontal="right" vertical="center" wrapText="1"/>
    </xf>
    <xf numFmtId="43" fontId="68" fillId="0" borderId="7" xfId="1" applyFont="1" applyFill="1" applyBorder="1" applyAlignment="1">
      <alignment horizontal="right" vertical="center" wrapText="1"/>
    </xf>
    <xf numFmtId="169" fontId="70" fillId="0" borderId="7" xfId="2" applyNumberFormat="1" applyFont="1" applyBorder="1" applyAlignment="1">
      <alignment vertical="center"/>
    </xf>
    <xf numFmtId="169" fontId="72" fillId="0" borderId="74" xfId="2" applyNumberFormat="1" applyFont="1" applyBorder="1" applyAlignment="1">
      <alignment vertical="center"/>
    </xf>
    <xf numFmtId="4" fontId="72" fillId="0" borderId="74" xfId="0" applyNumberFormat="1" applyFont="1" applyFill="1" applyBorder="1" applyAlignment="1">
      <alignment horizontal="right" vertical="center"/>
    </xf>
    <xf numFmtId="169" fontId="70" fillId="0" borderId="5" xfId="2" applyNumberFormat="1" applyFont="1" applyBorder="1" applyAlignment="1">
      <alignment vertical="center"/>
    </xf>
    <xf numFmtId="4" fontId="72" fillId="0" borderId="0" xfId="0" applyNumberFormat="1" applyFont="1" applyFill="1" applyBorder="1" applyAlignment="1">
      <alignment vertical="center"/>
    </xf>
    <xf numFmtId="4" fontId="76" fillId="0" borderId="77" xfId="0" applyNumberFormat="1" applyFont="1" applyFill="1" applyBorder="1" applyAlignment="1">
      <alignment horizontal="right" vertical="center"/>
    </xf>
    <xf numFmtId="4" fontId="76" fillId="0" borderId="14" xfId="2" applyNumberFormat="1" applyFont="1" applyFill="1" applyBorder="1" applyAlignment="1">
      <alignment vertical="center"/>
    </xf>
    <xf numFmtId="169" fontId="72" fillId="0" borderId="14" xfId="2" applyNumberFormat="1" applyFont="1" applyBorder="1" applyAlignment="1">
      <alignment vertical="center"/>
    </xf>
    <xf numFmtId="43" fontId="76" fillId="0" borderId="57" xfId="1" applyFont="1" applyBorder="1" applyAlignment="1">
      <alignment horizontal="left" vertical="center" indent="1"/>
    </xf>
    <xf numFmtId="43" fontId="72" fillId="0" borderId="7" xfId="1" applyFont="1" applyBorder="1" applyAlignment="1">
      <alignment vertical="center"/>
    </xf>
    <xf numFmtId="169" fontId="69" fillId="0" borderId="7" xfId="0" applyNumberFormat="1" applyFont="1" applyFill="1" applyBorder="1" applyAlignment="1">
      <alignment vertical="center"/>
    </xf>
    <xf numFmtId="169" fontId="69" fillId="0" borderId="7" xfId="0" applyNumberFormat="1" applyFont="1" applyFill="1" applyBorder="1" applyAlignment="1">
      <alignment vertical="center" wrapText="1"/>
    </xf>
    <xf numFmtId="166" fontId="89" fillId="0" borderId="28" xfId="2" applyNumberFormat="1" applyFont="1" applyBorder="1" applyAlignment="1">
      <alignment horizontal="right" vertical="center"/>
    </xf>
    <xf numFmtId="166" fontId="94" fillId="0" borderId="7" xfId="2" applyNumberFormat="1" applyFont="1" applyBorder="1" applyAlignment="1">
      <alignment vertical="center"/>
    </xf>
    <xf numFmtId="169" fontId="69" fillId="0" borderId="7" xfId="106" applyNumberFormat="1" applyFont="1" applyFill="1" applyBorder="1" applyAlignment="1">
      <alignment vertical="center" wrapText="1"/>
    </xf>
    <xf numFmtId="166" fontId="89" fillId="0" borderId="51" xfId="2" applyNumberFormat="1" applyFont="1" applyBorder="1" applyAlignment="1">
      <alignment horizontal="right" vertical="center"/>
    </xf>
    <xf numFmtId="4" fontId="0" fillId="0" borderId="51" xfId="2" applyNumberFormat="1" applyFont="1" applyBorder="1" applyAlignment="1">
      <alignment vertical="center"/>
    </xf>
    <xf numFmtId="43" fontId="72" fillId="0" borderId="1" xfId="1" applyFont="1" applyBorder="1" applyAlignment="1">
      <alignment vertical="center"/>
    </xf>
    <xf numFmtId="166" fontId="94" fillId="0" borderId="1" xfId="2" applyNumberFormat="1" applyFont="1" applyBorder="1" applyAlignment="1">
      <alignment vertical="center"/>
    </xf>
    <xf numFmtId="43" fontId="76" fillId="0" borderId="53" xfId="1" applyFont="1" applyBorder="1" applyAlignment="1">
      <alignment horizontal="left" vertical="center" indent="1"/>
    </xf>
    <xf numFmtId="43" fontId="68" fillId="0" borderId="1" xfId="1" applyFont="1" applyBorder="1" applyAlignment="1">
      <alignment horizontal="right" vertical="center"/>
    </xf>
    <xf numFmtId="43" fontId="76" fillId="0" borderId="5" xfId="1" applyFont="1" applyBorder="1" applyAlignment="1">
      <alignment horizontal="left" vertical="center" indent="1"/>
    </xf>
    <xf numFmtId="43" fontId="72" fillId="0" borderId="14" xfId="1" applyFont="1" applyBorder="1" applyAlignment="1">
      <alignment vertical="center"/>
    </xf>
    <xf numFmtId="4" fontId="70" fillId="0" borderId="52" xfId="2" applyNumberFormat="1" applyFont="1" applyBorder="1" applyAlignment="1">
      <alignment vertical="center"/>
    </xf>
    <xf numFmtId="166" fontId="94" fillId="0" borderId="28" xfId="2" applyNumberFormat="1" applyFont="1" applyBorder="1" applyAlignment="1">
      <alignment vertical="center"/>
    </xf>
    <xf numFmtId="169" fontId="69" fillId="0" borderId="28" xfId="106" applyNumberFormat="1" applyFont="1" applyFill="1" applyBorder="1" applyAlignment="1">
      <alignment vertical="center" wrapText="1"/>
    </xf>
    <xf numFmtId="166" fontId="89" fillId="0" borderId="14" xfId="2" applyNumberFormat="1" applyFont="1" applyBorder="1" applyAlignment="1">
      <alignment horizontal="right" vertical="center"/>
    </xf>
    <xf numFmtId="166" fontId="94" fillId="0" borderId="51" xfId="2" applyNumberFormat="1" applyFont="1" applyBorder="1" applyAlignment="1">
      <alignment vertical="center"/>
    </xf>
    <xf numFmtId="43" fontId="89" fillId="0" borderId="1" xfId="1" applyFont="1" applyBorder="1" applyAlignment="1">
      <alignment horizontal="left" vertical="center" indent="1"/>
    </xf>
    <xf numFmtId="43" fontId="94" fillId="0" borderId="1" xfId="1" applyFont="1" applyBorder="1" applyAlignment="1">
      <alignment vertical="center"/>
    </xf>
    <xf numFmtId="169" fontId="69" fillId="0" borderId="28" xfId="0" applyNumberFormat="1" applyFont="1" applyFill="1" applyBorder="1" applyAlignment="1">
      <alignment vertical="center" wrapText="1"/>
    </xf>
    <xf numFmtId="4" fontId="70" fillId="0" borderId="58" xfId="2" applyNumberFormat="1" applyFont="1" applyBorder="1" applyAlignment="1">
      <alignment vertical="center"/>
    </xf>
    <xf numFmtId="43" fontId="72" fillId="0" borderId="7" xfId="1" applyFont="1" applyBorder="1" applyAlignment="1">
      <alignment horizontal="left" vertical="center" indent="1"/>
    </xf>
    <xf numFmtId="43" fontId="72" fillId="0" borderId="52" xfId="1" applyFont="1" applyBorder="1" applyAlignment="1">
      <alignment horizontal="left" vertical="center" indent="1"/>
    </xf>
    <xf numFmtId="166" fontId="89" fillId="0" borderId="52" xfId="2" applyNumberFormat="1" applyFont="1" applyBorder="1" applyAlignment="1">
      <alignment horizontal="right" vertical="center"/>
    </xf>
    <xf numFmtId="4" fontId="0" fillId="0" borderId="52" xfId="2" applyNumberFormat="1" applyFont="1" applyBorder="1" applyAlignment="1">
      <alignment vertical="center"/>
    </xf>
    <xf numFmtId="166" fontId="94" fillId="0" borderId="52" xfId="2" applyNumberFormat="1" applyFont="1" applyBorder="1" applyAlignment="1">
      <alignment vertical="center"/>
    </xf>
    <xf numFmtId="4" fontId="68" fillId="0" borderId="68" xfId="2" applyNumberFormat="1" applyFont="1" applyBorder="1" applyAlignment="1">
      <alignment vertical="center"/>
    </xf>
    <xf numFmtId="4" fontId="76" fillId="0" borderId="68" xfId="2" applyNumberFormat="1" applyFont="1" applyBorder="1" applyAlignment="1">
      <alignment vertical="center"/>
    </xf>
    <xf numFmtId="4" fontId="0" fillId="0" borderId="7" xfId="2" applyNumberFormat="1" applyFont="1" applyBorder="1" applyAlignment="1">
      <alignment vertical="center"/>
    </xf>
    <xf numFmtId="4" fontId="70" fillId="0" borderId="7" xfId="2" applyNumberFormat="1" applyFont="1" applyBorder="1" applyAlignment="1">
      <alignment vertical="center"/>
    </xf>
    <xf numFmtId="4" fontId="76" fillId="0" borderId="7" xfId="2" applyNumberFormat="1" applyFont="1" applyBorder="1" applyAlignment="1">
      <alignment vertical="center"/>
    </xf>
    <xf numFmtId="4" fontId="70" fillId="0" borderId="14" xfId="2" applyNumberFormat="1" applyFont="1" applyBorder="1" applyAlignment="1">
      <alignment vertical="center"/>
    </xf>
    <xf numFmtId="166" fontId="89" fillId="0" borderId="1" xfId="2" applyNumberFormat="1" applyFont="1" applyBorder="1" applyAlignment="1">
      <alignment horizontal="right" vertical="center"/>
    </xf>
    <xf numFmtId="43" fontId="94" fillId="0" borderId="5" xfId="1" applyFont="1" applyBorder="1" applyAlignment="1">
      <alignment horizontal="left" vertical="center" indent="1"/>
    </xf>
    <xf numFmtId="166" fontId="94" fillId="0" borderId="54" xfId="2" applyNumberFormat="1" applyFont="1" applyBorder="1" applyAlignment="1">
      <alignment vertical="center"/>
    </xf>
    <xf numFmtId="43" fontId="94" fillId="0" borderId="53" xfId="1" applyFont="1" applyBorder="1" applyAlignment="1">
      <alignment horizontal="left" vertical="center" indent="1"/>
    </xf>
    <xf numFmtId="169" fontId="95" fillId="0" borderId="28" xfId="0" applyNumberFormat="1" applyFont="1" applyFill="1" applyBorder="1" applyAlignment="1">
      <alignment vertical="center" wrapText="1"/>
    </xf>
    <xf numFmtId="4" fontId="68" fillId="8" borderId="9" xfId="0" applyNumberFormat="1" applyFont="1" applyFill="1" applyBorder="1" applyAlignment="1">
      <alignment horizontal="right" vertical="center"/>
    </xf>
    <xf numFmtId="4" fontId="68" fillId="11" borderId="9" xfId="0" applyNumberFormat="1" applyFont="1" applyFill="1" applyBorder="1" applyAlignment="1">
      <alignment horizontal="right" vertical="center"/>
    </xf>
    <xf numFmtId="166" fontId="76" fillId="11" borderId="3" xfId="2" applyNumberFormat="1" applyFont="1" applyFill="1" applyBorder="1" applyAlignment="1">
      <alignment vertical="center"/>
    </xf>
    <xf numFmtId="4" fontId="76" fillId="4" borderId="7" xfId="0" applyNumberFormat="1" applyFont="1" applyFill="1" applyBorder="1" applyAlignment="1">
      <alignment vertical="center"/>
    </xf>
    <xf numFmtId="4" fontId="69" fillId="4" borderId="14" xfId="0" applyNumberFormat="1" applyFont="1" applyFill="1" applyBorder="1" applyAlignment="1">
      <alignment horizontal="right" vertical="center"/>
    </xf>
    <xf numFmtId="43" fontId="76" fillId="0" borderId="7" xfId="1" applyFont="1" applyBorder="1" applyAlignment="1">
      <alignment horizontal="left" vertical="center" indent="1"/>
    </xf>
    <xf numFmtId="4" fontId="69" fillId="0" borderId="27" xfId="2" applyNumberFormat="1" applyFont="1" applyBorder="1" applyAlignment="1">
      <alignment horizontal="right" vertical="center"/>
    </xf>
    <xf numFmtId="4" fontId="89" fillId="0" borderId="51" xfId="2" applyNumberFormat="1" applyFont="1" applyBorder="1" applyAlignment="1">
      <alignment vertical="center"/>
    </xf>
    <xf numFmtId="43" fontId="76" fillId="0" borderId="1" xfId="1" applyFont="1" applyBorder="1" applyAlignment="1">
      <alignment horizontal="left" vertical="center" indent="1"/>
    </xf>
    <xf numFmtId="4" fontId="94" fillId="0" borderId="54" xfId="2" applyNumberFormat="1" applyFont="1" applyBorder="1" applyAlignment="1">
      <alignment vertical="center"/>
    </xf>
    <xf numFmtId="43" fontId="94" fillId="0" borderId="7" xfId="1" applyFont="1" applyBorder="1" applyAlignment="1">
      <alignment horizontal="left" vertical="center" indent="1"/>
    </xf>
    <xf numFmtId="43" fontId="76" fillId="0" borderId="5" xfId="1" applyFont="1" applyBorder="1" applyAlignment="1">
      <alignment vertical="center"/>
    </xf>
    <xf numFmtId="43" fontId="70" fillId="0" borderId="14" xfId="1" applyFont="1" applyBorder="1" applyAlignment="1">
      <alignment vertical="center"/>
    </xf>
    <xf numFmtId="4" fontId="69" fillId="0" borderId="51" xfId="2" applyNumberFormat="1" applyFont="1" applyBorder="1" applyAlignment="1">
      <alignment horizontal="right" vertical="center"/>
    </xf>
    <xf numFmtId="166" fontId="68" fillId="8" borderId="54" xfId="2" applyNumberFormat="1" applyFont="1" applyFill="1" applyBorder="1" applyAlignment="1">
      <alignment horizontal="right" vertical="center"/>
    </xf>
    <xf numFmtId="166" fontId="68" fillId="8" borderId="54" xfId="2" applyNumberFormat="1" applyFont="1" applyFill="1" applyBorder="1" applyAlignment="1">
      <alignment vertical="center"/>
    </xf>
    <xf numFmtId="166" fontId="76" fillId="8" borderId="54" xfId="2" applyNumberFormat="1" applyFont="1" applyFill="1" applyBorder="1" applyAlignment="1">
      <alignment vertical="center"/>
    </xf>
    <xf numFmtId="4" fontId="70" fillId="0" borderId="7" xfId="0" applyNumberFormat="1" applyFont="1" applyFill="1" applyBorder="1" applyAlignment="1">
      <alignment horizontal="right" vertical="center"/>
    </xf>
    <xf numFmtId="39" fontId="76" fillId="0" borderId="28" xfId="0" applyNumberFormat="1" applyFont="1" applyFill="1" applyBorder="1" applyAlignment="1">
      <alignment vertical="center"/>
    </xf>
    <xf numFmtId="39" fontId="72" fillId="0" borderId="5" xfId="0" applyNumberFormat="1" applyFont="1" applyFill="1" applyBorder="1" applyAlignment="1">
      <alignment vertical="center"/>
    </xf>
    <xf numFmtId="39" fontId="76" fillId="0" borderId="5" xfId="0" applyNumberFormat="1" applyFont="1" applyFill="1" applyBorder="1" applyAlignment="1">
      <alignment vertical="center"/>
    </xf>
    <xf numFmtId="166" fontId="76" fillId="0" borderId="14" xfId="2" applyNumberFormat="1" applyFont="1" applyBorder="1" applyAlignment="1">
      <alignment vertical="center"/>
    </xf>
    <xf numFmtId="166" fontId="0" fillId="0" borderId="56" xfId="2" applyNumberFormat="1" applyFont="1" applyBorder="1" applyAlignment="1">
      <alignment horizontal="right" vertical="center"/>
    </xf>
    <xf numFmtId="166" fontId="0" fillId="0" borderId="56" xfId="2" applyNumberFormat="1" applyFont="1" applyBorder="1" applyAlignment="1">
      <alignment vertical="center"/>
    </xf>
    <xf numFmtId="166" fontId="70" fillId="0" borderId="57" xfId="2" applyNumberFormat="1" applyFont="1" applyBorder="1" applyAlignment="1">
      <alignment vertical="center"/>
    </xf>
    <xf numFmtId="165" fontId="69" fillId="0" borderId="7" xfId="174" applyFont="1" applyBorder="1" applyAlignment="1">
      <alignment vertical="center"/>
    </xf>
    <xf numFmtId="165" fontId="69" fillId="0" borderId="7" xfId="177" applyFont="1" applyBorder="1" applyAlignment="1">
      <alignment vertical="center"/>
    </xf>
    <xf numFmtId="166" fontId="70" fillId="0" borderId="51" xfId="2" applyNumberFormat="1" applyFont="1" applyBorder="1" applyAlignment="1">
      <alignment horizontal="right" vertical="center"/>
    </xf>
    <xf numFmtId="166" fontId="76" fillId="0" borderId="51" xfId="2" applyNumberFormat="1" applyFont="1" applyBorder="1" applyAlignment="1">
      <alignment horizontal="right" vertical="center"/>
    </xf>
    <xf numFmtId="165" fontId="69" fillId="0" borderId="7" xfId="185" applyFont="1" applyBorder="1" applyAlignment="1">
      <alignment vertical="center"/>
    </xf>
    <xf numFmtId="39" fontId="72" fillId="0" borderId="7" xfId="0" applyNumberFormat="1" applyFont="1" applyFill="1" applyBorder="1" applyAlignment="1">
      <alignment vertical="center"/>
    </xf>
    <xf numFmtId="39" fontId="76" fillId="0" borderId="7" xfId="0" applyNumberFormat="1" applyFont="1" applyFill="1" applyBorder="1" applyAlignment="1">
      <alignment vertical="center"/>
    </xf>
    <xf numFmtId="166" fontId="0" fillId="0" borderId="54" xfId="2" applyNumberFormat="1" applyFont="1" applyBorder="1" applyAlignment="1">
      <alignment vertical="center"/>
    </xf>
    <xf numFmtId="165" fontId="69" fillId="0" borderId="7" xfId="195" applyFont="1" applyBorder="1" applyAlignment="1">
      <alignment vertical="center"/>
    </xf>
    <xf numFmtId="165" fontId="69" fillId="0" borderId="7" xfId="196" applyFont="1" applyBorder="1" applyAlignment="1">
      <alignment vertical="center"/>
    </xf>
    <xf numFmtId="165" fontId="0" fillId="0" borderId="7" xfId="197" applyFont="1" applyBorder="1" applyAlignment="1">
      <alignment vertical="center"/>
    </xf>
    <xf numFmtId="166" fontId="72" fillId="0" borderId="28" xfId="2" quotePrefix="1" applyNumberFormat="1" applyFont="1" applyBorder="1" applyAlignment="1">
      <alignment vertical="center"/>
    </xf>
    <xf numFmtId="166" fontId="76" fillId="0" borderId="28" xfId="2" quotePrefix="1" applyNumberFormat="1" applyFont="1" applyBorder="1" applyAlignment="1">
      <alignment vertical="center"/>
    </xf>
    <xf numFmtId="166" fontId="76" fillId="0" borderId="28" xfId="2" quotePrefix="1" applyNumberFormat="1" applyFont="1" applyBorder="1" applyAlignment="1">
      <alignment horizontal="right" vertical="center"/>
    </xf>
    <xf numFmtId="166" fontId="68" fillId="8" borderId="53" xfId="2" applyNumberFormat="1" applyFont="1" applyFill="1" applyBorder="1" applyAlignment="1">
      <alignment vertical="center"/>
    </xf>
    <xf numFmtId="166" fontId="76" fillId="8" borderId="53" xfId="2" applyNumberFormat="1" applyFont="1" applyFill="1" applyBorder="1" applyAlignment="1">
      <alignment vertical="center"/>
    </xf>
    <xf numFmtId="166" fontId="69" fillId="4" borderId="51" xfId="2" applyNumberFormat="1" applyFont="1" applyFill="1" applyBorder="1" applyAlignment="1">
      <alignment horizontal="right" vertical="center"/>
    </xf>
    <xf numFmtId="166" fontId="70" fillId="0" borderId="53" xfId="2" applyNumberFormat="1" applyFont="1" applyBorder="1" applyAlignment="1">
      <alignment vertical="center"/>
    </xf>
    <xf numFmtId="166" fontId="68" fillId="4" borderId="54" xfId="2" applyNumberFormat="1" applyFont="1" applyFill="1" applyBorder="1" applyAlignment="1">
      <alignment horizontal="right" vertical="center"/>
    </xf>
    <xf numFmtId="166" fontId="68" fillId="4" borderId="27" xfId="2" applyNumberFormat="1" applyFont="1" applyFill="1" applyBorder="1" applyAlignment="1">
      <alignment horizontal="right" vertical="center"/>
    </xf>
    <xf numFmtId="166" fontId="69" fillId="4" borderId="27" xfId="2" applyNumberFormat="1" applyFont="1" applyFill="1" applyBorder="1" applyAlignment="1">
      <alignment horizontal="right" vertical="center"/>
    </xf>
    <xf numFmtId="166" fontId="69" fillId="0" borderId="7" xfId="2" applyNumberFormat="1" applyFont="1" applyBorder="1" applyAlignment="1" applyProtection="1">
      <alignment horizontal="left" vertical="center" indent="1"/>
    </xf>
    <xf numFmtId="166" fontId="68" fillId="4" borderId="7" xfId="2" applyNumberFormat="1" applyFont="1" applyFill="1" applyBorder="1" applyAlignment="1">
      <alignment horizontal="right" vertical="center"/>
    </xf>
    <xf numFmtId="166" fontId="69" fillId="4" borderId="7" xfId="2" applyNumberFormat="1" applyFont="1" applyFill="1" applyBorder="1" applyAlignment="1">
      <alignment horizontal="right" vertical="center"/>
    </xf>
    <xf numFmtId="166" fontId="76" fillId="0" borderId="54" xfId="2" applyNumberFormat="1" applyFont="1" applyFill="1" applyBorder="1" applyAlignment="1">
      <alignment horizontal="right" vertical="center"/>
    </xf>
    <xf numFmtId="166" fontId="68" fillId="0" borderId="51" xfId="2" applyNumberFormat="1" applyFont="1" applyFill="1" applyBorder="1" applyAlignment="1">
      <alignment horizontal="right" vertical="center"/>
    </xf>
    <xf numFmtId="4" fontId="76" fillId="0" borderId="1" xfId="0" applyNumberFormat="1" applyFont="1" applyFill="1" applyBorder="1" applyAlignment="1">
      <alignment vertical="center"/>
    </xf>
    <xf numFmtId="39" fontId="72" fillId="0" borderId="7" xfId="0" applyNumberFormat="1" applyFont="1" applyFill="1" applyBorder="1" applyAlignment="1">
      <alignment horizontal="right" vertical="center"/>
    </xf>
    <xf numFmtId="166" fontId="89" fillId="0" borderId="28" xfId="2" applyNumberFormat="1" applyFont="1" applyFill="1" applyBorder="1" applyAlignment="1">
      <alignment horizontal="right" vertical="center"/>
    </xf>
    <xf numFmtId="4" fontId="94" fillId="0" borderId="7" xfId="0" applyNumberFormat="1" applyFont="1" applyFill="1" applyBorder="1" applyAlignment="1">
      <alignment horizontal="right" vertical="center"/>
    </xf>
    <xf numFmtId="166" fontId="69" fillId="0" borderId="52" xfId="2" applyNumberFormat="1" applyFont="1" applyFill="1" applyBorder="1" applyAlignment="1">
      <alignment horizontal="right" vertical="center"/>
    </xf>
    <xf numFmtId="166" fontId="94" fillId="0" borderId="53" xfId="2" applyNumberFormat="1" applyFont="1" applyBorder="1" applyAlignment="1">
      <alignment vertical="center"/>
    </xf>
    <xf numFmtId="39" fontId="76" fillId="0" borderId="54" xfId="0" applyNumberFormat="1" applyFont="1" applyFill="1" applyBorder="1" applyAlignment="1">
      <alignment horizontal="right" vertical="center"/>
    </xf>
    <xf numFmtId="39" fontId="94" fillId="0" borderId="27" xfId="0" applyNumberFormat="1" applyFont="1" applyFill="1" applyBorder="1" applyAlignment="1">
      <alignment horizontal="right" vertical="center"/>
    </xf>
    <xf numFmtId="39" fontId="69" fillId="0" borderId="28" xfId="0" applyNumberFormat="1" applyFont="1" applyFill="1" applyBorder="1" applyAlignment="1">
      <alignment horizontal="right" vertical="center"/>
    </xf>
    <xf numFmtId="39" fontId="72" fillId="0" borderId="28" xfId="0" applyNumberFormat="1" applyFont="1" applyFill="1" applyBorder="1" applyAlignment="1">
      <alignment horizontal="right" vertical="center"/>
    </xf>
    <xf numFmtId="39" fontId="72" fillId="0" borderId="28" xfId="2" applyNumberFormat="1" applyFont="1" applyBorder="1" applyAlignment="1">
      <alignment vertical="center"/>
    </xf>
    <xf numFmtId="174" fontId="69" fillId="0" borderId="7" xfId="0" applyNumberFormat="1" applyFont="1" applyBorder="1" applyAlignment="1">
      <alignment vertical="center"/>
    </xf>
    <xf numFmtId="39" fontId="70" fillId="0" borderId="28" xfId="0" applyNumberFormat="1" applyFont="1" applyFill="1" applyBorder="1" applyAlignment="1">
      <alignment horizontal="right" vertical="center"/>
    </xf>
    <xf numFmtId="4" fontId="70" fillId="0" borderId="28" xfId="0" applyNumberFormat="1" applyFont="1" applyFill="1" applyBorder="1" applyAlignment="1">
      <alignment horizontal="right" vertical="center"/>
    </xf>
    <xf numFmtId="166" fontId="69" fillId="0" borderId="14" xfId="2" applyNumberFormat="1" applyFont="1" applyFill="1" applyBorder="1" applyAlignment="1" applyProtection="1">
      <alignment horizontal="left" vertical="center" indent="1"/>
    </xf>
    <xf numFmtId="39" fontId="68" fillId="0" borderId="1" xfId="0" applyNumberFormat="1" applyFont="1" applyFill="1" applyBorder="1" applyAlignment="1">
      <alignment horizontal="right" vertical="center"/>
    </xf>
    <xf numFmtId="166" fontId="69" fillId="0" borderId="7" xfId="2" applyNumberFormat="1" applyFont="1" applyFill="1" applyBorder="1" applyAlignment="1" applyProtection="1">
      <alignment vertical="center"/>
    </xf>
    <xf numFmtId="39" fontId="69" fillId="0" borderId="7" xfId="2" applyNumberFormat="1" applyFont="1" applyFill="1" applyBorder="1" applyAlignment="1" applyProtection="1">
      <alignment vertical="center"/>
    </xf>
    <xf numFmtId="4" fontId="94" fillId="0" borderId="7" xfId="2" applyNumberFormat="1" applyFont="1" applyBorder="1" applyAlignment="1">
      <alignment vertical="center"/>
    </xf>
    <xf numFmtId="166" fontId="0" fillId="0" borderId="27" xfId="2" applyNumberFormat="1" applyFont="1" applyFill="1" applyBorder="1" applyAlignment="1">
      <alignment horizontal="right" vertical="center"/>
    </xf>
    <xf numFmtId="166" fontId="76" fillId="0" borderId="5" xfId="2" applyNumberFormat="1" applyFont="1" applyBorder="1" applyAlignment="1">
      <alignment vertical="center"/>
    </xf>
    <xf numFmtId="39" fontId="68" fillId="0" borderId="28" xfId="0" applyNumberFormat="1" applyFont="1" applyFill="1" applyBorder="1" applyAlignment="1">
      <alignment horizontal="right" vertical="center"/>
    </xf>
    <xf numFmtId="39" fontId="94" fillId="0" borderId="28" xfId="0" applyNumberFormat="1" applyFont="1" applyFill="1" applyBorder="1" applyAlignment="1">
      <alignment horizontal="right" vertical="center"/>
    </xf>
    <xf numFmtId="166" fontId="70" fillId="0" borderId="28" xfId="2" applyNumberFormat="1" applyFont="1" applyFill="1" applyBorder="1" applyAlignment="1">
      <alignment horizontal="right" vertical="center"/>
    </xf>
    <xf numFmtId="4" fontId="76" fillId="0" borderId="52" xfId="0" applyNumberFormat="1" applyFont="1" applyFill="1" applyBorder="1" applyAlignment="1">
      <alignment vertical="center"/>
    </xf>
    <xf numFmtId="166" fontId="94" fillId="0" borderId="53" xfId="2" applyNumberFormat="1" applyFont="1" applyFill="1" applyBorder="1" applyAlignment="1">
      <alignment horizontal="right" vertical="center"/>
    </xf>
    <xf numFmtId="166" fontId="94" fillId="0" borderId="28" xfId="2" applyNumberFormat="1" applyFont="1" applyFill="1" applyBorder="1" applyAlignment="1">
      <alignment horizontal="right" vertical="center"/>
    </xf>
    <xf numFmtId="4" fontId="69" fillId="0" borderId="56" xfId="0" applyNumberFormat="1" applyFont="1" applyFill="1" applyBorder="1" applyAlignment="1">
      <alignment horizontal="right" vertical="center"/>
    </xf>
    <xf numFmtId="4" fontId="72" fillId="0" borderId="28" xfId="2" applyNumberFormat="1" applyFont="1" applyFill="1" applyBorder="1" applyAlignment="1">
      <alignment horizontal="right" vertical="center"/>
    </xf>
    <xf numFmtId="4" fontId="94" fillId="0" borderId="28" xfId="2" applyNumberFormat="1" applyFont="1" applyFill="1" applyBorder="1" applyAlignment="1">
      <alignment horizontal="right" vertical="center"/>
    </xf>
    <xf numFmtId="39" fontId="76" fillId="0" borderId="28" xfId="0" applyNumberFormat="1" applyFont="1" applyFill="1" applyBorder="1" applyAlignment="1">
      <alignment horizontal="right" vertical="center"/>
    </xf>
    <xf numFmtId="166" fontId="69" fillId="0" borderId="14" xfId="2" applyNumberFormat="1" applyFont="1" applyBorder="1" applyAlignment="1" applyProtection="1">
      <alignment vertical="center"/>
    </xf>
    <xf numFmtId="166" fontId="76" fillId="0" borderId="27" xfId="2" applyNumberFormat="1" applyFont="1" applyFill="1" applyBorder="1" applyAlignment="1">
      <alignment horizontal="right" vertical="center"/>
    </xf>
    <xf numFmtId="39" fontId="69" fillId="0" borderId="7" xfId="2" applyNumberFormat="1" applyFont="1" applyBorder="1" applyAlignment="1" applyProtection="1">
      <alignment vertical="center"/>
    </xf>
    <xf numFmtId="39" fontId="69" fillId="0" borderId="5" xfId="0" applyNumberFormat="1" applyFont="1" applyFill="1" applyBorder="1" applyAlignment="1">
      <alignment horizontal="right" vertical="center"/>
    </xf>
    <xf numFmtId="166" fontId="76" fillId="0" borderId="28" xfId="2" applyNumberFormat="1" applyFont="1" applyFill="1" applyBorder="1" applyAlignment="1">
      <alignment horizontal="right" vertical="center"/>
    </xf>
    <xf numFmtId="174" fontId="69" fillId="0" borderId="0" xfId="0" applyNumberFormat="1" applyFont="1" applyFill="1" applyAlignment="1">
      <alignment vertical="top"/>
    </xf>
    <xf numFmtId="166" fontId="0" fillId="0" borderId="7" xfId="2" applyNumberFormat="1" applyFont="1" applyBorder="1" applyAlignment="1" applyProtection="1">
      <alignment vertical="center"/>
    </xf>
    <xf numFmtId="166" fontId="76" fillId="0" borderId="66" xfId="2" applyNumberFormat="1" applyFont="1" applyFill="1" applyBorder="1" applyAlignment="1">
      <alignment horizontal="right" vertical="center"/>
    </xf>
    <xf numFmtId="4" fontId="70" fillId="0" borderId="56" xfId="2" applyNumberFormat="1" applyFont="1" applyBorder="1" applyAlignment="1">
      <alignment vertical="center"/>
    </xf>
    <xf numFmtId="166" fontId="70" fillId="0" borderId="0" xfId="2" applyNumberFormat="1" applyFont="1" applyBorder="1" applyAlignment="1">
      <alignment vertical="center"/>
    </xf>
    <xf numFmtId="166" fontId="70" fillId="0" borderId="56" xfId="2" applyNumberFormat="1" applyFont="1" applyBorder="1" applyAlignment="1">
      <alignment vertical="center"/>
    </xf>
    <xf numFmtId="4" fontId="70" fillId="0" borderId="74" xfId="2" applyNumberFormat="1" applyFont="1" applyBorder="1" applyAlignment="1">
      <alignment vertical="center"/>
    </xf>
    <xf numFmtId="166" fontId="76" fillId="0" borderId="5" xfId="2" applyNumberFormat="1" applyFont="1" applyFill="1" applyBorder="1" applyAlignment="1">
      <alignment horizontal="right" vertical="center"/>
    </xf>
    <xf numFmtId="4" fontId="72" fillId="0" borderId="7" xfId="2" applyNumberFormat="1" applyFont="1" applyFill="1" applyBorder="1" applyAlignment="1">
      <alignment horizontal="right" vertical="center"/>
    </xf>
    <xf numFmtId="0" fontId="70" fillId="0" borderId="14" xfId="0" applyFont="1" applyBorder="1" applyAlignment="1">
      <alignment vertical="center"/>
    </xf>
    <xf numFmtId="4" fontId="68" fillId="0" borderId="17" xfId="2" applyNumberFormat="1" applyFont="1" applyBorder="1" applyAlignment="1">
      <alignment horizontal="right" vertical="center"/>
    </xf>
    <xf numFmtId="4" fontId="76" fillId="0" borderId="17" xfId="2" applyNumberFormat="1" applyFont="1" applyFill="1" applyBorder="1" applyAlignment="1">
      <alignment vertical="center"/>
    </xf>
    <xf numFmtId="166" fontId="0" fillId="0" borderId="0" xfId="2" applyNumberFormat="1" applyFont="1" applyBorder="1" applyAlignment="1">
      <alignment horizontal="right" vertical="top"/>
    </xf>
    <xf numFmtId="4" fontId="89" fillId="0" borderId="0" xfId="0" applyNumberFormat="1" applyFont="1" applyBorder="1" applyAlignment="1">
      <alignment horizontal="center" vertical="center"/>
    </xf>
    <xf numFmtId="166" fontId="70" fillId="0" borderId="0" xfId="2" applyNumberFormat="1" applyFont="1" applyBorder="1"/>
    <xf numFmtId="4" fontId="69" fillId="0" borderId="0" xfId="2" applyNumberFormat="1" applyFont="1" applyBorder="1"/>
    <xf numFmtId="0" fontId="74" fillId="0" borderId="0" xfId="0" applyFont="1" applyAlignment="1">
      <alignment vertical="center"/>
    </xf>
    <xf numFmtId="166" fontId="76" fillId="0" borderId="0" xfId="2" applyNumberFormat="1" applyFont="1" applyAlignment="1">
      <alignment horizontal="center"/>
    </xf>
    <xf numFmtId="0" fontId="76" fillId="0" borderId="0" xfId="0" applyFont="1" applyAlignment="1">
      <alignment vertical="center"/>
    </xf>
    <xf numFmtId="0" fontId="76" fillId="0" borderId="0" xfId="0" applyFont="1" applyAlignment="1">
      <alignment horizontal="center" vertical="center"/>
    </xf>
    <xf numFmtId="4" fontId="0" fillId="0" borderId="0" xfId="0" applyNumberFormat="1" applyFont="1" applyFill="1" applyAlignment="1">
      <alignment horizontal="center" vertical="top"/>
    </xf>
    <xf numFmtId="4" fontId="72" fillId="0" borderId="0" xfId="0" applyNumberFormat="1" applyFont="1" applyAlignment="1">
      <alignment horizontal="center"/>
    </xf>
    <xf numFmtId="0" fontId="70" fillId="0" borderId="0" xfId="0" applyFont="1" applyAlignment="1">
      <alignment horizontal="right"/>
    </xf>
    <xf numFmtId="0" fontId="71" fillId="0" borderId="0" xfId="0" applyFont="1" applyAlignment="1">
      <alignment horizontal="center"/>
    </xf>
    <xf numFmtId="41" fontId="0" fillId="0" borderId="0" xfId="2" applyFont="1" applyAlignment="1">
      <alignment horizontal="left" vertical="top"/>
    </xf>
    <xf numFmtId="0" fontId="74" fillId="0" borderId="0" xfId="0" applyFont="1" applyFill="1" applyAlignment="1">
      <alignment horizontal="right" vertical="top"/>
    </xf>
    <xf numFmtId="4" fontId="74" fillId="0" borderId="0" xfId="0" applyNumberFormat="1" applyFont="1" applyFill="1" applyAlignment="1">
      <alignment horizontal="right" vertical="top"/>
    </xf>
    <xf numFmtId="0" fontId="74" fillId="0" borderId="0" xfId="0" applyFont="1" applyAlignment="1">
      <alignment horizontal="left" vertical="top"/>
    </xf>
    <xf numFmtId="4" fontId="75" fillId="0" borderId="0" xfId="0" applyNumberFormat="1" applyFont="1" applyAlignment="1">
      <alignment horizontal="left" vertical="top"/>
    </xf>
    <xf numFmtId="0" fontId="113" fillId="0" borderId="0" xfId="0" applyFont="1" applyAlignment="1">
      <alignment horizontal="right" vertical="center"/>
    </xf>
    <xf numFmtId="166" fontId="70" fillId="0" borderId="0" xfId="2" applyNumberFormat="1" applyFont="1" applyFill="1" applyAlignment="1">
      <alignment horizontal="right"/>
    </xf>
    <xf numFmtId="4" fontId="70" fillId="0" borderId="0" xfId="2" applyNumberFormat="1" applyFont="1" applyFill="1" applyAlignment="1">
      <alignment horizontal="right"/>
    </xf>
    <xf numFmtId="4" fontId="72" fillId="0" borderId="0" xfId="2" applyNumberFormat="1" applyFont="1"/>
    <xf numFmtId="166" fontId="70" fillId="0" borderId="0" xfId="2" applyNumberFormat="1" applyFont="1" applyAlignment="1">
      <alignment horizontal="right"/>
    </xf>
    <xf numFmtId="0" fontId="0" fillId="0" borderId="0" xfId="0" applyFont="1" applyAlignment="1">
      <alignment horizontal="right" vertical="center"/>
    </xf>
    <xf numFmtId="166" fontId="73" fillId="0" borderId="26" xfId="2" applyNumberFormat="1" applyFont="1" applyBorder="1" applyAlignment="1">
      <alignment horizontal="center" vertical="center" wrapText="1"/>
    </xf>
    <xf numFmtId="4" fontId="73" fillId="0" borderId="26" xfId="2" applyNumberFormat="1" applyFont="1" applyBorder="1" applyAlignment="1">
      <alignment horizontal="center" vertical="center" wrapText="1"/>
    </xf>
    <xf numFmtId="49" fontId="0" fillId="0" borderId="17" xfId="2" quotePrefix="1" applyNumberFormat="1" applyFont="1" applyBorder="1" applyAlignment="1">
      <alignment horizontal="center" vertical="center"/>
    </xf>
    <xf numFmtId="4" fontId="0" fillId="0" borderId="17" xfId="2" quotePrefix="1" applyNumberFormat="1" applyFont="1" applyBorder="1" applyAlignment="1">
      <alignment horizontal="center" vertical="center"/>
    </xf>
    <xf numFmtId="49" fontId="70" fillId="0" borderId="17" xfId="2" quotePrefix="1" applyNumberFormat="1" applyFont="1" applyBorder="1" applyAlignment="1">
      <alignment horizontal="center" vertical="center"/>
    </xf>
    <xf numFmtId="4" fontId="72" fillId="0" borderId="46" xfId="2" quotePrefix="1" applyNumberFormat="1" applyFont="1" applyBorder="1" applyAlignment="1">
      <alignment horizontal="center" vertical="center"/>
    </xf>
    <xf numFmtId="49" fontId="68" fillId="5" borderId="7" xfId="0" applyNumberFormat="1" applyFont="1" applyFill="1" applyBorder="1" applyAlignment="1">
      <alignment horizontal="center" vertical="center"/>
    </xf>
    <xf numFmtId="166" fontId="68" fillId="5" borderId="1" xfId="2" applyNumberFormat="1" applyFont="1" applyFill="1" applyBorder="1" applyAlignment="1">
      <alignment vertical="center"/>
    </xf>
    <xf numFmtId="166" fontId="68" fillId="5" borderId="14" xfId="2" applyNumberFormat="1" applyFont="1" applyFill="1" applyBorder="1" applyAlignment="1">
      <alignment horizontal="right" vertical="center"/>
    </xf>
    <xf numFmtId="166" fontId="76" fillId="9" borderId="52" xfId="2" applyNumberFormat="1" applyFont="1" applyFill="1" applyBorder="1" applyAlignment="1">
      <alignment vertical="center"/>
    </xf>
    <xf numFmtId="0" fontId="114" fillId="0" borderId="28" xfId="0" applyFont="1" applyBorder="1"/>
    <xf numFmtId="49" fontId="68" fillId="0" borderId="7" xfId="0" applyNumberFormat="1" applyFont="1" applyBorder="1" applyAlignment="1">
      <alignment horizontal="center" vertical="center"/>
    </xf>
    <xf numFmtId="4" fontId="68" fillId="0" borderId="53" xfId="2" applyNumberFormat="1" applyFont="1" applyBorder="1" applyAlignment="1">
      <alignment horizontal="right" vertical="center" indent="1"/>
    </xf>
    <xf numFmtId="0" fontId="76" fillId="0" borderId="28" xfId="0" applyFont="1" applyBorder="1"/>
    <xf numFmtId="49" fontId="68" fillId="0" borderId="14" xfId="0" applyNumberFormat="1" applyFont="1" applyBorder="1" applyAlignment="1">
      <alignment horizontal="center" vertical="center"/>
    </xf>
    <xf numFmtId="4" fontId="76" fillId="0" borderId="7" xfId="0" applyNumberFormat="1" applyFont="1" applyBorder="1" applyAlignment="1">
      <alignment horizontal="right" vertical="center" wrapText="1"/>
    </xf>
    <xf numFmtId="4" fontId="69" fillId="0" borderId="7" xfId="2" applyNumberFormat="1" applyFont="1" applyBorder="1" applyAlignment="1">
      <alignment horizontal="right" vertical="center" indent="1"/>
    </xf>
    <xf numFmtId="49" fontId="68" fillId="0" borderId="1" xfId="0" applyNumberFormat="1" applyFont="1" applyBorder="1" applyAlignment="1">
      <alignment horizontal="center" vertical="center"/>
    </xf>
    <xf numFmtId="43" fontId="72" fillId="0" borderId="7" xfId="0" applyNumberFormat="1" applyFont="1" applyFill="1" applyBorder="1" applyAlignment="1">
      <alignment horizontal="right" vertical="center"/>
    </xf>
    <xf numFmtId="166" fontId="72" fillId="0" borderId="14" xfId="2" applyNumberFormat="1" applyFont="1" applyFill="1" applyBorder="1" applyAlignment="1">
      <alignment horizontal="right" vertical="center"/>
    </xf>
    <xf numFmtId="4" fontId="72" fillId="0" borderId="14" xfId="2" applyNumberFormat="1" applyFont="1" applyFill="1" applyBorder="1" applyAlignment="1">
      <alignment horizontal="right" vertical="center"/>
    </xf>
    <xf numFmtId="0" fontId="115" fillId="0" borderId="28" xfId="0" applyFont="1" applyBorder="1"/>
    <xf numFmtId="49" fontId="68" fillId="0" borderId="53" xfId="0" applyNumberFormat="1" applyFont="1" applyBorder="1" applyAlignment="1">
      <alignment horizontal="center" vertical="center"/>
    </xf>
    <xf numFmtId="43" fontId="76" fillId="0" borderId="53" xfId="0" applyNumberFormat="1" applyFont="1" applyFill="1" applyBorder="1" applyAlignment="1">
      <alignment horizontal="right" vertical="center"/>
    </xf>
    <xf numFmtId="166" fontId="76" fillId="0" borderId="54" xfId="18" applyNumberFormat="1" applyFont="1" applyBorder="1" applyAlignment="1">
      <alignment vertical="center"/>
    </xf>
    <xf numFmtId="43" fontId="72" fillId="0" borderId="5" xfId="0" applyNumberFormat="1" applyFont="1" applyFill="1" applyBorder="1" applyAlignment="1">
      <alignment horizontal="right" vertical="center"/>
    </xf>
    <xf numFmtId="4" fontId="72" fillId="0" borderId="5" xfId="2" applyNumberFormat="1" applyFont="1" applyFill="1" applyBorder="1" applyAlignment="1">
      <alignment horizontal="right" vertical="center"/>
    </xf>
    <xf numFmtId="166" fontId="70" fillId="0" borderId="27" xfId="18" applyNumberFormat="1" applyFont="1" applyBorder="1" applyAlignment="1">
      <alignment horizontal="right" vertical="center"/>
    </xf>
    <xf numFmtId="166" fontId="76" fillId="0" borderId="27" xfId="18" applyNumberFormat="1" applyFont="1" applyBorder="1" applyAlignment="1">
      <alignment vertical="center"/>
    </xf>
    <xf numFmtId="43" fontId="68" fillId="0" borderId="7" xfId="0" applyNumberFormat="1" applyFont="1" applyFill="1" applyBorder="1" applyAlignment="1">
      <alignment horizontal="right" vertical="center"/>
    </xf>
    <xf numFmtId="4" fontId="69" fillId="0" borderId="5" xfId="2" applyNumberFormat="1" applyFont="1" applyBorder="1" applyAlignment="1">
      <alignment horizontal="right" vertical="center" indent="1"/>
    </xf>
    <xf numFmtId="166" fontId="70" fillId="0" borderId="28" xfId="2" applyNumberFormat="1" applyFont="1" applyBorder="1" applyAlignment="1">
      <alignment horizontal="right" vertical="center"/>
    </xf>
    <xf numFmtId="43" fontId="68" fillId="5" borderId="7" xfId="0" applyNumberFormat="1" applyFont="1" applyFill="1" applyBorder="1" applyAlignment="1">
      <alignment horizontal="right" vertical="center"/>
    </xf>
    <xf numFmtId="166" fontId="76" fillId="5" borderId="52" xfId="2" applyNumberFormat="1" applyFont="1" applyFill="1" applyBorder="1" applyAlignment="1">
      <alignment vertical="center"/>
    </xf>
    <xf numFmtId="0" fontId="114" fillId="0" borderId="28" xfId="0" applyFont="1" applyFill="1" applyBorder="1"/>
    <xf numFmtId="166" fontId="70" fillId="0" borderId="14" xfId="2" applyNumberFormat="1" applyFont="1" applyBorder="1" applyAlignment="1">
      <alignment horizontal="right" vertical="center"/>
    </xf>
    <xf numFmtId="49" fontId="68" fillId="2" borderId="53" xfId="0" applyNumberFormat="1" applyFont="1" applyFill="1" applyBorder="1" applyAlignment="1">
      <alignment horizontal="center" vertical="center"/>
    </xf>
    <xf numFmtId="166" fontId="68" fillId="2" borderId="53" xfId="2" applyNumberFormat="1" applyFont="1" applyFill="1" applyBorder="1" applyAlignment="1">
      <alignment vertical="center"/>
    </xf>
    <xf numFmtId="43" fontId="68" fillId="2" borderId="53" xfId="0" applyNumberFormat="1" applyFont="1" applyFill="1" applyBorder="1" applyAlignment="1">
      <alignment horizontal="right" vertical="center"/>
    </xf>
    <xf numFmtId="166" fontId="76" fillId="0" borderId="53" xfId="2" applyNumberFormat="1" applyFont="1" applyFill="1" applyBorder="1" applyAlignment="1">
      <alignment vertical="center"/>
    </xf>
    <xf numFmtId="49" fontId="68" fillId="0" borderId="5" xfId="0" applyNumberFormat="1" applyFont="1" applyBorder="1" applyAlignment="1">
      <alignment horizontal="center" vertical="center"/>
    </xf>
    <xf numFmtId="166" fontId="70" fillId="0" borderId="1" xfId="2" applyNumberFormat="1" applyFont="1" applyFill="1" applyBorder="1" applyAlignment="1">
      <alignment horizontal="right" vertical="center"/>
    </xf>
    <xf numFmtId="166" fontId="70" fillId="0" borderId="52" xfId="2" applyNumberFormat="1" applyFont="1" applyFill="1" applyBorder="1" applyAlignment="1">
      <alignment vertical="center"/>
    </xf>
    <xf numFmtId="166" fontId="70" fillId="0" borderId="1" xfId="2" applyNumberFormat="1" applyFont="1" applyFill="1" applyBorder="1" applyAlignment="1">
      <alignment vertical="center"/>
    </xf>
    <xf numFmtId="166" fontId="76" fillId="0" borderId="27" xfId="2" applyNumberFormat="1" applyFont="1" applyFill="1" applyBorder="1" applyAlignment="1">
      <alignment vertical="center"/>
    </xf>
    <xf numFmtId="166" fontId="70" fillId="0" borderId="51" xfId="2" applyNumberFormat="1" applyFont="1" applyFill="1" applyBorder="1" applyAlignment="1">
      <alignment vertical="center"/>
    </xf>
    <xf numFmtId="166" fontId="68" fillId="0" borderId="53" xfId="2" applyNumberFormat="1" applyFont="1" applyFill="1" applyBorder="1" applyAlignment="1">
      <alignment vertical="center"/>
    </xf>
    <xf numFmtId="166" fontId="76" fillId="0" borderId="1" xfId="2" applyNumberFormat="1" applyFont="1" applyBorder="1" applyAlignment="1">
      <alignment horizontal="right" vertical="center"/>
    </xf>
    <xf numFmtId="43" fontId="72" fillId="0" borderId="7" xfId="1" applyFont="1" applyBorder="1" applyAlignment="1">
      <alignment horizontal="right" vertical="center" indent="1"/>
    </xf>
    <xf numFmtId="43" fontId="72" fillId="0" borderId="7" xfId="1" applyFont="1" applyBorder="1" applyAlignment="1">
      <alignment horizontal="right" vertical="center" wrapText="1"/>
    </xf>
    <xf numFmtId="43" fontId="72" fillId="0" borderId="14" xfId="1" applyFont="1" applyBorder="1" applyAlignment="1">
      <alignment horizontal="right" vertical="center" wrapText="1"/>
    </xf>
    <xf numFmtId="43" fontId="70" fillId="0" borderId="1" xfId="1" applyFont="1" applyBorder="1" applyAlignment="1">
      <alignment horizontal="right" vertical="center" wrapText="1"/>
    </xf>
    <xf numFmtId="43" fontId="76" fillId="0" borderId="7" xfId="1" applyFont="1" applyBorder="1" applyAlignment="1">
      <alignment horizontal="right" vertical="center" wrapText="1"/>
    </xf>
    <xf numFmtId="43" fontId="72" fillId="0" borderId="59" xfId="1" applyFont="1" applyBorder="1" applyAlignment="1">
      <alignment horizontal="right" vertical="center" wrapText="1"/>
    </xf>
    <xf numFmtId="166" fontId="70" fillId="0" borderId="7" xfId="2" applyNumberFormat="1" applyFont="1" applyFill="1" applyBorder="1" applyAlignment="1">
      <alignment horizontal="right" vertical="center"/>
    </xf>
    <xf numFmtId="39" fontId="72" fillId="0" borderId="14" xfId="12" applyNumberFormat="1" applyFont="1" applyBorder="1" applyAlignment="1">
      <alignment horizontal="right" vertical="top"/>
    </xf>
    <xf numFmtId="39" fontId="72" fillId="0" borderId="7" xfId="12" applyNumberFormat="1" applyFont="1" applyBorder="1" applyAlignment="1">
      <alignment horizontal="right" vertical="top"/>
    </xf>
    <xf numFmtId="39" fontId="72" fillId="0" borderId="5" xfId="12" applyNumberFormat="1" applyFont="1" applyBorder="1" applyAlignment="1">
      <alignment horizontal="right" vertical="top"/>
    </xf>
    <xf numFmtId="43" fontId="72" fillId="0" borderId="61" xfId="1" applyFont="1" applyBorder="1" applyAlignment="1">
      <alignment horizontal="right" vertical="center"/>
    </xf>
    <xf numFmtId="43" fontId="72" fillId="0" borderId="62" xfId="1" applyFont="1" applyBorder="1" applyAlignment="1">
      <alignment horizontal="right" vertical="center" wrapText="1"/>
    </xf>
    <xf numFmtId="43" fontId="72" fillId="0" borderId="63" xfId="1" applyFont="1" applyBorder="1" applyAlignment="1">
      <alignment horizontal="right" vertical="center" wrapText="1"/>
    </xf>
    <xf numFmtId="166" fontId="69" fillId="0" borderId="5" xfId="2" applyNumberFormat="1" applyFont="1" applyFill="1" applyBorder="1" applyAlignment="1">
      <alignment vertical="center"/>
    </xf>
    <xf numFmtId="43" fontId="72" fillId="0" borderId="14" xfId="0" applyNumberFormat="1" applyFont="1" applyFill="1" applyBorder="1" applyAlignment="1">
      <alignment horizontal="left" vertical="center" indent="1"/>
    </xf>
    <xf numFmtId="43" fontId="72" fillId="0" borderId="14" xfId="0" applyNumberFormat="1" applyFont="1" applyFill="1" applyBorder="1" applyAlignment="1">
      <alignment horizontal="right" vertical="center"/>
    </xf>
    <xf numFmtId="43" fontId="76" fillId="0" borderId="14" xfId="0" applyNumberFormat="1" applyFont="1" applyFill="1" applyBorder="1" applyAlignment="1">
      <alignment horizontal="right" vertical="center"/>
    </xf>
    <xf numFmtId="43" fontId="72" fillId="0" borderId="51" xfId="1" applyFont="1" applyBorder="1" applyAlignment="1">
      <alignment horizontal="right" vertical="center" wrapText="1"/>
    </xf>
    <xf numFmtId="43" fontId="76" fillId="0" borderId="28" xfId="1" applyFont="1" applyBorder="1" applyAlignment="1">
      <alignment horizontal="right" vertical="center" wrapText="1"/>
    </xf>
    <xf numFmtId="43" fontId="72" fillId="0" borderId="28" xfId="1" applyFont="1" applyBorder="1" applyAlignment="1">
      <alignment horizontal="right" vertical="center" wrapText="1"/>
    </xf>
    <xf numFmtId="166" fontId="72" fillId="0" borderId="1" xfId="2" applyNumberFormat="1" applyFont="1" applyFill="1" applyBorder="1" applyAlignment="1">
      <alignment horizontal="right" vertical="center"/>
    </xf>
    <xf numFmtId="166" fontId="70" fillId="0" borderId="74" xfId="2" applyNumberFormat="1" applyFont="1" applyFill="1" applyBorder="1" applyAlignment="1">
      <alignment horizontal="right" vertical="center"/>
    </xf>
    <xf numFmtId="166" fontId="70" fillId="0" borderId="58" xfId="2" applyNumberFormat="1" applyFont="1" applyFill="1" applyBorder="1" applyAlignment="1">
      <alignment vertical="center"/>
    </xf>
    <xf numFmtId="43" fontId="76" fillId="0" borderId="68" xfId="1" applyFont="1" applyBorder="1" applyAlignment="1">
      <alignment horizontal="right" vertical="center" wrapText="1"/>
    </xf>
    <xf numFmtId="43" fontId="70" fillId="0" borderId="7" xfId="1" applyFont="1" applyBorder="1" applyAlignment="1">
      <alignment horizontal="right" vertical="center"/>
    </xf>
    <xf numFmtId="43" fontId="76" fillId="0" borderId="53" xfId="1" applyFont="1" applyBorder="1" applyAlignment="1">
      <alignment horizontal="right" vertical="center"/>
    </xf>
    <xf numFmtId="43" fontId="76" fillId="0" borderId="51" xfId="1" applyFont="1" applyBorder="1" applyAlignment="1">
      <alignment horizontal="right" vertical="center" wrapText="1"/>
    </xf>
    <xf numFmtId="43" fontId="76" fillId="0" borderId="1" xfId="0" applyNumberFormat="1" applyFont="1" applyFill="1" applyBorder="1" applyAlignment="1">
      <alignment horizontal="right" vertical="center"/>
    </xf>
    <xf numFmtId="4" fontId="94" fillId="0" borderId="14" xfId="0" applyNumberFormat="1" applyFont="1" applyFill="1" applyBorder="1" applyAlignment="1">
      <alignment horizontal="right" vertical="center"/>
    </xf>
    <xf numFmtId="43" fontId="72" fillId="0" borderId="1" xfId="0" applyNumberFormat="1" applyFont="1" applyFill="1" applyBorder="1" applyAlignment="1">
      <alignment horizontal="right" vertical="center"/>
    </xf>
    <xf numFmtId="166" fontId="76" fillId="0" borderId="51" xfId="2" applyNumberFormat="1" applyFont="1" applyFill="1" applyBorder="1" applyAlignment="1">
      <alignment vertical="center"/>
    </xf>
    <xf numFmtId="166" fontId="70" fillId="0" borderId="7" xfId="2" applyNumberFormat="1" applyFont="1" applyFill="1" applyBorder="1" applyAlignment="1">
      <alignment vertical="center"/>
    </xf>
    <xf numFmtId="43" fontId="69" fillId="0" borderId="1" xfId="1" applyFont="1" applyBorder="1" applyAlignment="1">
      <alignment horizontal="right" vertical="center" wrapText="1"/>
    </xf>
    <xf numFmtId="43" fontId="69" fillId="0" borderId="51" xfId="0" applyNumberFormat="1" applyFont="1" applyBorder="1" applyAlignment="1">
      <alignment horizontal="left" vertical="center" indent="1"/>
    </xf>
    <xf numFmtId="43" fontId="72" fillId="0" borderId="1" xfId="1" applyFont="1" applyBorder="1" applyAlignment="1">
      <alignment horizontal="right" vertical="center"/>
    </xf>
    <xf numFmtId="166" fontId="72" fillId="0" borderId="14" xfId="2" applyNumberFormat="1" applyFont="1" applyBorder="1" applyAlignment="1">
      <alignment horizontal="right" vertical="center"/>
    </xf>
    <xf numFmtId="43" fontId="76" fillId="0" borderId="7" xfId="1" applyFont="1" applyBorder="1" applyAlignment="1">
      <alignment horizontal="right" vertical="center"/>
    </xf>
    <xf numFmtId="49" fontId="89" fillId="8" borderId="53" xfId="0" applyNumberFormat="1" applyFont="1" applyFill="1" applyBorder="1" applyAlignment="1">
      <alignment horizontal="center" vertical="center"/>
    </xf>
    <xf numFmtId="43" fontId="68" fillId="8" borderId="53" xfId="0" applyNumberFormat="1" applyFont="1" applyFill="1" applyBorder="1" applyAlignment="1">
      <alignment horizontal="left" vertical="center" indent="1"/>
    </xf>
    <xf numFmtId="43" fontId="68" fillId="8" borderId="53" xfId="0" applyNumberFormat="1" applyFont="1" applyFill="1" applyBorder="1" applyAlignment="1">
      <alignment horizontal="right" vertical="center"/>
    </xf>
    <xf numFmtId="4" fontId="76" fillId="8" borderId="54" xfId="2" applyNumberFormat="1" applyFont="1" applyFill="1" applyBorder="1" applyAlignment="1">
      <alignment vertical="center"/>
    </xf>
    <xf numFmtId="0" fontId="78" fillId="0" borderId="28" xfId="0" applyFont="1" applyBorder="1"/>
    <xf numFmtId="49" fontId="89" fillId="0" borderId="5" xfId="0" applyNumberFormat="1" applyFont="1" applyBorder="1" applyAlignment="1">
      <alignment horizontal="center" vertical="center"/>
    </xf>
    <xf numFmtId="4" fontId="68" fillId="0" borderId="57" xfId="2" applyNumberFormat="1" applyFont="1" applyBorder="1" applyAlignment="1">
      <alignment horizontal="right" vertical="center" indent="1"/>
    </xf>
    <xf numFmtId="43" fontId="76" fillId="0" borderId="57" xfId="0" applyNumberFormat="1" applyFont="1" applyBorder="1" applyAlignment="1">
      <alignment horizontal="right" vertical="center"/>
    </xf>
    <xf numFmtId="49" fontId="89" fillId="0" borderId="7" xfId="0" applyNumberFormat="1" applyFont="1" applyBorder="1" applyAlignment="1">
      <alignment horizontal="center" vertical="center"/>
    </xf>
    <xf numFmtId="4" fontId="68" fillId="0" borderId="5" xfId="2" applyNumberFormat="1" applyFont="1" applyBorder="1" applyAlignment="1">
      <alignment horizontal="right" vertical="center" indent="1"/>
    </xf>
    <xf numFmtId="4" fontId="76" fillId="0" borderId="7" xfId="2" applyNumberFormat="1" applyFont="1" applyFill="1" applyBorder="1" applyAlignment="1">
      <alignment horizontal="right" vertical="center"/>
    </xf>
    <xf numFmtId="43" fontId="76" fillId="0" borderId="7" xfId="0" applyNumberFormat="1" applyFont="1" applyBorder="1" applyAlignment="1">
      <alignment horizontal="right" vertical="center"/>
    </xf>
    <xf numFmtId="166" fontId="68" fillId="0" borderId="7" xfId="2" applyNumberFormat="1" applyFont="1" applyBorder="1" applyAlignment="1">
      <alignment horizontal="center" vertical="center"/>
    </xf>
    <xf numFmtId="166" fontId="69" fillId="0" borderId="7" xfId="2" applyNumberFormat="1" applyFont="1" applyBorder="1" applyAlignment="1">
      <alignment horizontal="center" vertical="center"/>
    </xf>
    <xf numFmtId="166" fontId="89" fillId="0" borderId="7" xfId="2" applyNumberFormat="1" applyFont="1" applyBorder="1" applyAlignment="1">
      <alignment horizontal="center" vertical="center"/>
    </xf>
    <xf numFmtId="166" fontId="76" fillId="0" borderId="7" xfId="2" applyNumberFormat="1" applyFont="1" applyBorder="1" applyAlignment="1">
      <alignment horizontal="right" vertical="center"/>
    </xf>
    <xf numFmtId="43" fontId="72" fillId="0" borderId="7" xfId="0" applyNumberFormat="1" applyFont="1" applyBorder="1" applyAlignment="1">
      <alignment horizontal="right" vertical="center"/>
    </xf>
    <xf numFmtId="0" fontId="69" fillId="0" borderId="7" xfId="7" applyFont="1" applyBorder="1" applyAlignment="1">
      <alignment horizontal="left" vertical="center" wrapText="1"/>
    </xf>
    <xf numFmtId="4" fontId="109" fillId="0" borderId="28" xfId="2" applyNumberFormat="1" applyFont="1" applyBorder="1" applyAlignment="1">
      <alignment vertical="center"/>
    </xf>
    <xf numFmtId="166" fontId="69" fillId="0" borderId="14" xfId="0" applyNumberFormat="1" applyFont="1" applyBorder="1" applyAlignment="1">
      <alignment vertical="center"/>
    </xf>
    <xf numFmtId="166" fontId="69" fillId="0" borderId="14" xfId="0" applyNumberFormat="1" applyFont="1" applyBorder="1" applyAlignment="1">
      <alignment horizontal="right" vertical="center"/>
    </xf>
    <xf numFmtId="49" fontId="89" fillId="0" borderId="14" xfId="0" applyNumberFormat="1" applyFont="1" applyBorder="1" applyAlignment="1">
      <alignment horizontal="center" vertical="center"/>
    </xf>
    <xf numFmtId="49" fontId="89" fillId="0" borderId="53" xfId="0" applyNumberFormat="1" applyFont="1" applyBorder="1" applyAlignment="1">
      <alignment horizontal="center" vertical="center"/>
    </xf>
    <xf numFmtId="0" fontId="68" fillId="0" borderId="7" xfId="7" applyFont="1" applyBorder="1" applyAlignment="1">
      <alignment horizontal="left" vertical="center" wrapText="1"/>
    </xf>
    <xf numFmtId="0" fontId="69" fillId="0" borderId="7" xfId="4" applyNumberFormat="1" applyFont="1" applyBorder="1" applyAlignment="1">
      <alignment horizontal="left" vertical="center" wrapText="1"/>
    </xf>
    <xf numFmtId="4" fontId="72" fillId="0" borderId="1" xfId="2" applyNumberFormat="1" applyFont="1" applyFill="1" applyBorder="1" applyAlignment="1">
      <alignment horizontal="right" vertical="center"/>
    </xf>
    <xf numFmtId="49" fontId="68" fillId="8" borderId="53" xfId="0" applyNumberFormat="1" applyFont="1" applyFill="1" applyBorder="1" applyAlignment="1">
      <alignment horizontal="center" vertical="center"/>
    </xf>
    <xf numFmtId="4" fontId="68" fillId="8" borderId="9" xfId="0" applyNumberFormat="1" applyFont="1" applyFill="1" applyBorder="1" applyAlignment="1">
      <alignment vertical="center"/>
    </xf>
    <xf numFmtId="166" fontId="68" fillId="8" borderId="9" xfId="2" applyNumberFormat="1" applyFont="1" applyFill="1" applyBorder="1" applyAlignment="1">
      <alignment vertical="center"/>
    </xf>
    <xf numFmtId="49" fontId="68" fillId="0" borderId="8" xfId="0" applyNumberFormat="1" applyFont="1" applyBorder="1" applyAlignment="1">
      <alignment horizontal="center" vertical="center"/>
    </xf>
    <xf numFmtId="4" fontId="76" fillId="0" borderId="5" xfId="2" applyNumberFormat="1" applyFont="1" applyFill="1" applyBorder="1"/>
    <xf numFmtId="4" fontId="76" fillId="0" borderId="7" xfId="2" applyNumberFormat="1" applyFont="1" applyFill="1" applyBorder="1"/>
    <xf numFmtId="4" fontId="72" fillId="0" borderId="7" xfId="2" applyNumberFormat="1" applyFont="1" applyFill="1" applyBorder="1" applyAlignment="1">
      <alignment horizontal="right"/>
    </xf>
    <xf numFmtId="166" fontId="69" fillId="4" borderId="60" xfId="0" applyNumberFormat="1" applyFont="1" applyFill="1" applyBorder="1" applyAlignment="1">
      <alignment horizontal="right" vertical="center"/>
    </xf>
    <xf numFmtId="166" fontId="76" fillId="4" borderId="7" xfId="0" applyNumberFormat="1" applyFont="1" applyFill="1" applyBorder="1" applyAlignment="1">
      <alignment horizontal="right" vertical="center"/>
    </xf>
    <xf numFmtId="166" fontId="69" fillId="4" borderId="43" xfId="0" applyNumberFormat="1" applyFont="1" applyFill="1" applyBorder="1" applyAlignment="1">
      <alignment horizontal="right" vertical="center"/>
    </xf>
    <xf numFmtId="4" fontId="72" fillId="0" borderId="14" xfId="2" applyNumberFormat="1" applyFont="1" applyFill="1" applyBorder="1" applyAlignment="1">
      <alignment horizontal="right"/>
    </xf>
    <xf numFmtId="4" fontId="76" fillId="0" borderId="14" xfId="2" applyNumberFormat="1" applyFont="1" applyFill="1" applyBorder="1" applyAlignment="1">
      <alignment horizontal="right"/>
    </xf>
    <xf numFmtId="4" fontId="76" fillId="0" borderId="14" xfId="2" applyNumberFormat="1" applyFont="1" applyFill="1" applyBorder="1"/>
    <xf numFmtId="4" fontId="72" fillId="0" borderId="14" xfId="2" applyNumberFormat="1" applyFont="1" applyFill="1" applyBorder="1"/>
    <xf numFmtId="4" fontId="69" fillId="0" borderId="14" xfId="2" applyNumberFormat="1" applyFont="1" applyFill="1" applyBorder="1" applyAlignment="1">
      <alignment horizontal="right" vertical="center"/>
    </xf>
    <xf numFmtId="166" fontId="72" fillId="0" borderId="58" xfId="2" applyNumberFormat="1" applyFont="1" applyBorder="1" applyAlignment="1">
      <alignment horizontal="right" vertical="center"/>
    </xf>
    <xf numFmtId="4" fontId="72" fillId="0" borderId="68" xfId="0" applyNumberFormat="1" applyFont="1" applyFill="1" applyBorder="1" applyAlignment="1">
      <alignment horizontal="right" vertical="center"/>
    </xf>
    <xf numFmtId="166" fontId="70" fillId="0" borderId="27" xfId="2" applyNumberFormat="1" applyFont="1" applyBorder="1" applyAlignment="1">
      <alignment horizontal="right" vertical="center"/>
    </xf>
    <xf numFmtId="49" fontId="89" fillId="0" borderId="1" xfId="0" applyNumberFormat="1" applyFont="1" applyBorder="1" applyAlignment="1">
      <alignment horizontal="center" vertical="center"/>
    </xf>
    <xf numFmtId="49" fontId="68" fillId="0" borderId="57" xfId="0" applyNumberFormat="1" applyFont="1" applyBorder="1" applyAlignment="1">
      <alignment horizontal="center" vertical="center"/>
    </xf>
    <xf numFmtId="43" fontId="76" fillId="0" borderId="53" xfId="0" applyNumberFormat="1" applyFont="1" applyBorder="1" applyAlignment="1">
      <alignment horizontal="right" vertical="center"/>
    </xf>
    <xf numFmtId="43" fontId="76" fillId="0" borderId="53" xfId="0" applyNumberFormat="1" applyFont="1" applyBorder="1" applyAlignment="1">
      <alignment horizontal="left" vertical="center" indent="1"/>
    </xf>
    <xf numFmtId="49" fontId="68" fillId="7" borderId="53" xfId="0" applyNumberFormat="1" applyFont="1" applyFill="1" applyBorder="1" applyAlignment="1">
      <alignment horizontal="center" vertical="center"/>
    </xf>
    <xf numFmtId="0" fontId="68" fillId="7" borderId="53" xfId="0" applyFont="1" applyFill="1" applyBorder="1" applyAlignment="1">
      <alignment horizontal="left" vertical="center" wrapText="1"/>
    </xf>
    <xf numFmtId="43" fontId="68" fillId="7" borderId="53" xfId="0" applyNumberFormat="1" applyFont="1" applyFill="1" applyBorder="1" applyAlignment="1">
      <alignment horizontal="left" vertical="center" indent="1"/>
    </xf>
    <xf numFmtId="43" fontId="68" fillId="7" borderId="53" xfId="0" applyNumberFormat="1" applyFont="1" applyFill="1" applyBorder="1" applyAlignment="1">
      <alignment horizontal="right" vertical="center"/>
    </xf>
    <xf numFmtId="166" fontId="76" fillId="7" borderId="54" xfId="2" applyNumberFormat="1" applyFont="1" applyFill="1" applyBorder="1" applyAlignment="1">
      <alignment vertical="center"/>
    </xf>
    <xf numFmtId="43" fontId="76" fillId="0" borderId="57" xfId="0" applyNumberFormat="1" applyFont="1" applyBorder="1" applyAlignment="1">
      <alignment horizontal="left" vertical="center" indent="1"/>
    </xf>
    <xf numFmtId="166" fontId="76" fillId="0" borderId="57" xfId="2" applyNumberFormat="1" applyFont="1" applyBorder="1" applyAlignment="1">
      <alignment vertical="center"/>
    </xf>
    <xf numFmtId="39" fontId="76" fillId="0" borderId="68" xfId="0" applyNumberFormat="1" applyFont="1" applyBorder="1" applyAlignment="1">
      <alignment horizontal="right" vertical="top" wrapText="1"/>
    </xf>
    <xf numFmtId="43" fontId="76" fillId="0" borderId="5" xfId="0" applyNumberFormat="1" applyFont="1" applyBorder="1" applyAlignment="1">
      <alignment horizontal="left" vertical="center" indent="1"/>
    </xf>
    <xf numFmtId="39" fontId="72" fillId="0" borderId="7" xfId="0" applyNumberFormat="1" applyFont="1" applyBorder="1" applyAlignment="1">
      <alignment horizontal="right" vertical="top"/>
    </xf>
    <xf numFmtId="43" fontId="72" fillId="0" borderId="7" xfId="0" applyNumberFormat="1" applyFont="1" applyBorder="1" applyAlignment="1">
      <alignment horizontal="left" vertical="center" indent="1"/>
    </xf>
    <xf numFmtId="39" fontId="76" fillId="0" borderId="7" xfId="0" applyNumberFormat="1" applyFont="1" applyBorder="1" applyAlignment="1">
      <alignment horizontal="right" vertical="top"/>
    </xf>
    <xf numFmtId="43" fontId="72" fillId="0" borderId="28" xfId="0" applyNumberFormat="1" applyFont="1" applyBorder="1" applyAlignment="1">
      <alignment horizontal="left" vertical="center" indent="1"/>
    </xf>
    <xf numFmtId="39" fontId="72" fillId="0" borderId="0" xfId="0" applyNumberFormat="1" applyFont="1" applyBorder="1" applyAlignment="1">
      <alignment horizontal="right" vertical="top"/>
    </xf>
    <xf numFmtId="39" fontId="76" fillId="0" borderId="53" xfId="0" applyNumberFormat="1" applyFont="1" applyBorder="1" applyAlignment="1">
      <alignment horizontal="right" vertical="top"/>
    </xf>
    <xf numFmtId="166" fontId="72" fillId="0" borderId="1" xfId="2" applyNumberFormat="1" applyFont="1" applyBorder="1" applyAlignment="1">
      <alignment horizontal="right" vertical="center"/>
    </xf>
    <xf numFmtId="166" fontId="70" fillId="0" borderId="1" xfId="2" applyNumberFormat="1" applyFont="1" applyBorder="1" applyAlignment="1">
      <alignment horizontal="right" vertical="center"/>
    </xf>
    <xf numFmtId="39" fontId="76" fillId="0" borderId="55" xfId="0" applyNumberFormat="1" applyFont="1" applyBorder="1" applyAlignment="1">
      <alignment vertical="top"/>
    </xf>
    <xf numFmtId="39" fontId="76" fillId="0" borderId="55" xfId="0" applyNumberFormat="1" applyFont="1" applyBorder="1" applyAlignment="1">
      <alignment horizontal="right" vertical="top"/>
    </xf>
    <xf numFmtId="39" fontId="68" fillId="8" borderId="73" xfId="0" applyNumberFormat="1" applyFont="1" applyFill="1" applyBorder="1" applyAlignment="1">
      <alignment vertical="top"/>
    </xf>
    <xf numFmtId="39" fontId="68" fillId="8" borderId="73" xfId="0" applyNumberFormat="1" applyFont="1" applyFill="1" applyBorder="1" applyAlignment="1">
      <alignment horizontal="right" vertical="top"/>
    </xf>
    <xf numFmtId="39" fontId="68" fillId="8" borderId="53" xfId="0" applyNumberFormat="1" applyFont="1" applyFill="1" applyBorder="1" applyAlignment="1">
      <alignment horizontal="right" vertical="top"/>
    </xf>
    <xf numFmtId="166" fontId="76" fillId="8" borderId="69" xfId="2" applyNumberFormat="1" applyFont="1" applyFill="1" applyBorder="1" applyAlignment="1">
      <alignment vertical="center"/>
    </xf>
    <xf numFmtId="166" fontId="76" fillId="0" borderId="5" xfId="2" applyNumberFormat="1" applyFont="1" applyFill="1" applyBorder="1" applyAlignment="1">
      <alignment vertical="center"/>
    </xf>
    <xf numFmtId="166" fontId="72" fillId="0" borderId="7" xfId="2" applyNumberFormat="1" applyFont="1" applyBorder="1" applyAlignment="1">
      <alignment horizontal="left" vertical="center" indent="1"/>
    </xf>
    <xf numFmtId="166" fontId="72" fillId="0" borderId="5" xfId="2" applyNumberFormat="1" applyFont="1" applyFill="1" applyBorder="1" applyAlignment="1">
      <alignment vertical="center"/>
    </xf>
    <xf numFmtId="39" fontId="76" fillId="0" borderId="7" xfId="0" applyNumberFormat="1" applyFont="1" applyFill="1" applyBorder="1" applyAlignment="1">
      <alignment horizontal="right" vertical="center"/>
    </xf>
    <xf numFmtId="4" fontId="72" fillId="0" borderId="0" xfId="0" applyNumberFormat="1" applyFont="1" applyFill="1" applyBorder="1" applyAlignment="1">
      <alignment horizontal="right" vertical="center"/>
    </xf>
    <xf numFmtId="166" fontId="76" fillId="0" borderId="1" xfId="2" applyNumberFormat="1" applyFont="1" applyFill="1" applyBorder="1" applyAlignment="1">
      <alignment horizontal="right" vertical="center"/>
    </xf>
    <xf numFmtId="166" fontId="76" fillId="8" borderId="53" xfId="2" applyNumberFormat="1" applyFont="1" applyFill="1" applyBorder="1" applyAlignment="1">
      <alignment horizontal="right" vertical="center"/>
    </xf>
    <xf numFmtId="4" fontId="70" fillId="0" borderId="7" xfId="0" applyNumberFormat="1" applyFont="1" applyBorder="1" applyAlignment="1">
      <alignment horizontal="right" vertical="center"/>
    </xf>
    <xf numFmtId="169" fontId="72" fillId="0" borderId="7" xfId="2" applyNumberFormat="1" applyFont="1" applyBorder="1" applyAlignment="1">
      <alignment horizontal="right" vertical="center"/>
    </xf>
    <xf numFmtId="4" fontId="72" fillId="0" borderId="27" xfId="0" applyNumberFormat="1" applyFont="1" applyBorder="1" applyAlignment="1">
      <alignment horizontal="right" vertical="center"/>
    </xf>
    <xf numFmtId="169" fontId="69" fillId="0" borderId="5" xfId="2" applyNumberFormat="1" applyFont="1" applyBorder="1" applyAlignment="1">
      <alignment horizontal="right" vertical="center"/>
    </xf>
    <xf numFmtId="169" fontId="69" fillId="0" borderId="7" xfId="2" applyNumberFormat="1" applyFont="1" applyBorder="1" applyAlignment="1">
      <alignment horizontal="right" vertical="center"/>
    </xf>
    <xf numFmtId="169" fontId="0" fillId="0" borderId="5" xfId="2" applyNumberFormat="1" applyFont="1" applyBorder="1" applyAlignment="1">
      <alignment horizontal="right" vertical="center"/>
    </xf>
    <xf numFmtId="166" fontId="76" fillId="4" borderId="1" xfId="2" applyNumberFormat="1" applyFont="1" applyFill="1" applyBorder="1" applyAlignment="1">
      <alignment horizontal="right" vertical="center"/>
    </xf>
    <xf numFmtId="169" fontId="76" fillId="4" borderId="1" xfId="2" applyNumberFormat="1" applyFont="1" applyFill="1" applyBorder="1" applyAlignment="1">
      <alignment horizontal="right" vertical="center"/>
    </xf>
    <xf numFmtId="4" fontId="70" fillId="4" borderId="1" xfId="0" applyNumberFormat="1" applyFont="1" applyFill="1" applyBorder="1" applyAlignment="1">
      <alignment vertical="center"/>
    </xf>
    <xf numFmtId="2" fontId="70" fillId="4" borderId="1" xfId="0" applyNumberFormat="1" applyFont="1" applyFill="1" applyBorder="1" applyAlignment="1">
      <alignment vertical="center"/>
    </xf>
    <xf numFmtId="4" fontId="76" fillId="4" borderId="53" xfId="0" applyNumberFormat="1" applyFont="1" applyFill="1" applyBorder="1" applyAlignment="1">
      <alignment vertical="center"/>
    </xf>
    <xf numFmtId="166" fontId="70" fillId="0" borderId="7" xfId="2" applyNumberFormat="1" applyFont="1" applyBorder="1" applyAlignment="1">
      <alignment horizontal="right" vertical="center"/>
    </xf>
    <xf numFmtId="4" fontId="76" fillId="8" borderId="54" xfId="0" applyNumberFormat="1" applyFont="1" applyFill="1" applyBorder="1" applyAlignment="1">
      <alignment horizontal="right" vertical="center"/>
    </xf>
    <xf numFmtId="4" fontId="76" fillId="8" borderId="53" xfId="0" applyNumberFormat="1" applyFont="1" applyFill="1" applyBorder="1" applyAlignment="1">
      <alignment horizontal="right" vertical="center"/>
    </xf>
    <xf numFmtId="0" fontId="68" fillId="0" borderId="124" xfId="0" applyFont="1" applyBorder="1" applyAlignment="1">
      <alignment vertical="top" wrapText="1"/>
    </xf>
    <xf numFmtId="39" fontId="68" fillId="0" borderId="57" xfId="0" applyNumberFormat="1" applyFont="1" applyBorder="1" applyAlignment="1">
      <alignment vertical="top"/>
    </xf>
    <xf numFmtId="166" fontId="68" fillId="0" borderId="57" xfId="2" applyNumberFormat="1" applyFont="1" applyFill="1" applyBorder="1" applyAlignment="1">
      <alignment vertical="center"/>
    </xf>
    <xf numFmtId="39" fontId="68" fillId="0" borderId="57" xfId="0" applyNumberFormat="1" applyFont="1" applyBorder="1" applyAlignment="1">
      <alignment horizontal="right" vertical="top"/>
    </xf>
    <xf numFmtId="39" fontId="89" fillId="0" borderId="7" xfId="0" applyNumberFormat="1" applyFont="1" applyBorder="1" applyAlignment="1">
      <alignment vertical="top"/>
    </xf>
    <xf numFmtId="169" fontId="70" fillId="0" borderId="7" xfId="2" applyNumberFormat="1" applyFont="1" applyBorder="1" applyAlignment="1">
      <alignment horizontal="right" vertical="center"/>
    </xf>
    <xf numFmtId="39" fontId="69" fillId="0" borderId="52" xfId="0" applyNumberFormat="1" applyFont="1" applyBorder="1" applyAlignment="1">
      <alignment vertical="top"/>
    </xf>
    <xf numFmtId="43" fontId="68" fillId="8" borderId="53" xfId="1" applyFont="1" applyFill="1" applyBorder="1" applyAlignment="1">
      <alignment horizontal="left" vertical="center" indent="1"/>
    </xf>
    <xf numFmtId="43" fontId="68" fillId="8" borderId="53" xfId="1" applyFont="1" applyFill="1" applyBorder="1" applyAlignment="1">
      <alignment horizontal="right" vertical="center"/>
    </xf>
    <xf numFmtId="4" fontId="76" fillId="8" borderId="53" xfId="2" applyNumberFormat="1" applyFont="1" applyFill="1" applyBorder="1" applyAlignment="1">
      <alignment vertical="center"/>
    </xf>
    <xf numFmtId="4" fontId="68" fillId="0" borderId="56" xfId="0" applyNumberFormat="1" applyFont="1" applyBorder="1" applyAlignment="1">
      <alignment horizontal="right" vertical="center" indent="1"/>
    </xf>
    <xf numFmtId="43" fontId="76" fillId="0" borderId="57" xfId="1" applyFont="1" applyBorder="1" applyAlignment="1">
      <alignment horizontal="right" vertical="center"/>
    </xf>
    <xf numFmtId="4" fontId="68" fillId="0" borderId="117" xfId="0" applyNumberFormat="1" applyFont="1" applyBorder="1" applyAlignment="1">
      <alignment horizontal="right" vertical="center" indent="1"/>
    </xf>
    <xf numFmtId="4" fontId="69" fillId="0" borderId="117" xfId="0" applyNumberFormat="1" applyFont="1" applyBorder="1" applyAlignment="1">
      <alignment horizontal="right" vertical="center" indent="1"/>
    </xf>
    <xf numFmtId="166" fontId="72" fillId="0" borderId="119" xfId="2" applyNumberFormat="1" applyFont="1" applyFill="1" applyBorder="1" applyAlignment="1">
      <alignment horizontal="right" vertical="center" wrapText="1"/>
    </xf>
    <xf numFmtId="41" fontId="72" fillId="0" borderId="119" xfId="2" applyFont="1" applyFill="1" applyBorder="1" applyAlignment="1">
      <alignment horizontal="right" vertical="center" wrapText="1"/>
    </xf>
    <xf numFmtId="166" fontId="70" fillId="0" borderId="119" xfId="2" applyNumberFormat="1" applyFont="1" applyFill="1" applyBorder="1" applyAlignment="1">
      <alignment horizontal="right" vertical="center" wrapText="1"/>
    </xf>
    <xf numFmtId="169" fontId="69" fillId="0" borderId="7" xfId="106" applyNumberFormat="1" applyFont="1" applyFill="1" applyBorder="1" applyAlignment="1">
      <alignment horizontal="right" vertical="center" wrapText="1"/>
    </xf>
    <xf numFmtId="4" fontId="69" fillId="0" borderId="52" xfId="0" applyNumberFormat="1" applyFont="1" applyBorder="1" applyAlignment="1">
      <alignment horizontal="right" vertical="center" indent="1"/>
    </xf>
    <xf numFmtId="43" fontId="72" fillId="0" borderId="14" xfId="1" applyFont="1" applyBorder="1" applyAlignment="1">
      <alignment horizontal="right" vertical="center"/>
    </xf>
    <xf numFmtId="4" fontId="68" fillId="0" borderId="53" xfId="0" applyNumberFormat="1" applyFont="1" applyBorder="1" applyAlignment="1">
      <alignment horizontal="right" vertical="center" indent="1"/>
    </xf>
    <xf numFmtId="39" fontId="76" fillId="0" borderId="53" xfId="0" applyNumberFormat="1" applyFont="1" applyBorder="1" applyAlignment="1">
      <alignment vertical="top"/>
    </xf>
    <xf numFmtId="43" fontId="76" fillId="0" borderId="5" xfId="1" applyFont="1" applyBorder="1" applyAlignment="1">
      <alignment horizontal="right" vertical="center"/>
    </xf>
    <xf numFmtId="39" fontId="76" fillId="0" borderId="5" xfId="0" applyNumberFormat="1" applyFont="1" applyBorder="1" applyAlignment="1">
      <alignment horizontal="right" vertical="top"/>
    </xf>
    <xf numFmtId="169" fontId="69" fillId="0" borderId="28" xfId="0" applyNumberFormat="1" applyFont="1" applyFill="1" applyBorder="1" applyAlignment="1">
      <alignment horizontal="right" vertical="center" wrapText="1"/>
    </xf>
    <xf numFmtId="0" fontId="68" fillId="8" borderId="73" xfId="0" applyFont="1" applyFill="1" applyBorder="1" applyAlignment="1">
      <alignment wrapText="1"/>
    </xf>
    <xf numFmtId="4" fontId="76" fillId="8" borderId="53" xfId="0" applyNumberFormat="1" applyFont="1" applyFill="1" applyBorder="1" applyAlignment="1">
      <alignment vertical="center"/>
    </xf>
    <xf numFmtId="4" fontId="89" fillId="0" borderId="51" xfId="0" applyNumberFormat="1" applyFont="1" applyBorder="1" applyAlignment="1">
      <alignment horizontal="right" vertical="center" indent="1"/>
    </xf>
    <xf numFmtId="166" fontId="94" fillId="0" borderId="1" xfId="2" applyNumberFormat="1" applyFont="1" applyBorder="1" applyAlignment="1">
      <alignment horizontal="right" vertical="center"/>
    </xf>
    <xf numFmtId="4" fontId="68" fillId="0" borderId="54" xfId="0" applyNumberFormat="1" applyFont="1" applyBorder="1" applyAlignment="1">
      <alignment horizontal="right" vertical="center" indent="1"/>
    </xf>
    <xf numFmtId="4" fontId="68" fillId="0" borderId="28" xfId="0" applyNumberFormat="1" applyFont="1" applyBorder="1" applyAlignment="1">
      <alignment horizontal="right" vertical="center" indent="1"/>
    </xf>
    <xf numFmtId="4" fontId="69" fillId="0" borderId="28" xfId="0" applyNumberFormat="1" applyFont="1" applyBorder="1" applyAlignment="1">
      <alignment horizontal="right" vertical="center" indent="1"/>
    </xf>
    <xf numFmtId="4" fontId="72" fillId="0" borderId="28" xfId="2" applyNumberFormat="1" applyFont="1" applyBorder="1" applyAlignment="1">
      <alignment horizontal="right" vertical="center"/>
    </xf>
    <xf numFmtId="43" fontId="0" fillId="0" borderId="7" xfId="1" applyFont="1" applyBorder="1" applyAlignment="1">
      <alignment horizontal="right" vertical="center"/>
    </xf>
    <xf numFmtId="4" fontId="72" fillId="4" borderId="14" xfId="0" applyNumberFormat="1" applyFont="1" applyFill="1" applyBorder="1" applyAlignment="1">
      <alignment vertical="center"/>
    </xf>
    <xf numFmtId="43" fontId="76" fillId="0" borderId="1" xfId="0" applyNumberFormat="1" applyFont="1" applyBorder="1" applyAlignment="1">
      <alignment horizontal="right" vertical="center"/>
    </xf>
    <xf numFmtId="43" fontId="76" fillId="0" borderId="1" xfId="0" applyNumberFormat="1" applyFont="1" applyBorder="1" applyAlignment="1">
      <alignment horizontal="left" vertical="center" indent="1"/>
    </xf>
    <xf numFmtId="4" fontId="76" fillId="0" borderId="28" xfId="2" applyNumberFormat="1" applyFont="1" applyBorder="1" applyAlignment="1">
      <alignment horizontal="right" vertical="center"/>
    </xf>
    <xf numFmtId="43" fontId="68" fillId="0" borderId="14" xfId="0" applyNumberFormat="1" applyFont="1" applyBorder="1" applyAlignment="1">
      <alignment horizontal="right" vertical="center"/>
    </xf>
    <xf numFmtId="43" fontId="76" fillId="0" borderId="14" xfId="0" applyNumberFormat="1" applyFont="1" applyBorder="1" applyAlignment="1">
      <alignment horizontal="right" vertical="center"/>
    </xf>
    <xf numFmtId="165" fontId="69" fillId="0" borderId="7" xfId="144" applyFont="1" applyBorder="1" applyAlignment="1">
      <alignment horizontal="right" vertical="center"/>
    </xf>
    <xf numFmtId="43" fontId="72" fillId="0" borderId="5" xfId="0" applyNumberFormat="1" applyFont="1" applyBorder="1" applyAlignment="1">
      <alignment horizontal="left" vertical="center" indent="1"/>
    </xf>
    <xf numFmtId="165" fontId="69" fillId="0" borderId="7" xfId="145" applyFont="1" applyBorder="1" applyAlignment="1">
      <alignment horizontal="right" vertical="center"/>
    </xf>
    <xf numFmtId="39" fontId="72" fillId="0" borderId="27" xfId="0" applyNumberFormat="1" applyFont="1" applyFill="1" applyBorder="1" applyAlignment="1">
      <alignment horizontal="right" vertical="center"/>
    </xf>
    <xf numFmtId="165" fontId="69" fillId="0" borderId="7" xfId="146" applyFont="1" applyBorder="1" applyAlignment="1">
      <alignment horizontal="right" vertical="center"/>
    </xf>
    <xf numFmtId="165" fontId="69" fillId="0" borderId="7" xfId="147" applyFont="1" applyBorder="1" applyAlignment="1">
      <alignment horizontal="right" vertical="center"/>
    </xf>
    <xf numFmtId="165" fontId="69" fillId="0" borderId="7" xfId="148" applyFont="1" applyBorder="1" applyAlignment="1">
      <alignment horizontal="right" vertical="center"/>
    </xf>
    <xf numFmtId="0" fontId="115" fillId="0" borderId="52" xfId="0" applyFont="1" applyBorder="1"/>
    <xf numFmtId="165" fontId="69" fillId="0" borderId="7" xfId="158" applyFont="1" applyBorder="1" applyAlignment="1">
      <alignment horizontal="right" vertical="center"/>
    </xf>
    <xf numFmtId="4" fontId="68" fillId="0" borderId="54" xfId="2" applyNumberFormat="1" applyFont="1" applyBorder="1" applyAlignment="1">
      <alignment horizontal="right" vertical="center"/>
    </xf>
    <xf numFmtId="165" fontId="69" fillId="0" borderId="7" xfId="196" applyFont="1" applyBorder="1" applyAlignment="1">
      <alignment horizontal="right" vertical="center"/>
    </xf>
    <xf numFmtId="165" fontId="69" fillId="0" borderId="7" xfId="208" applyFont="1" applyBorder="1" applyAlignment="1">
      <alignment horizontal="right" vertical="center"/>
    </xf>
    <xf numFmtId="43" fontId="69" fillId="0" borderId="74" xfId="0" applyNumberFormat="1" applyFont="1" applyBorder="1" applyAlignment="1">
      <alignment horizontal="right" vertical="center"/>
    </xf>
    <xf numFmtId="166" fontId="72" fillId="0" borderId="58" xfId="2" quotePrefix="1" applyNumberFormat="1" applyFont="1" applyBorder="1" applyAlignment="1">
      <alignment horizontal="right" vertical="center"/>
    </xf>
    <xf numFmtId="43" fontId="72" fillId="0" borderId="58" xfId="0" applyNumberFormat="1" applyFont="1" applyBorder="1" applyAlignment="1">
      <alignment horizontal="left" vertical="center" indent="1"/>
    </xf>
    <xf numFmtId="166" fontId="0" fillId="0" borderId="53" xfId="2" applyNumberFormat="1" applyFont="1" applyBorder="1" applyAlignment="1">
      <alignment vertical="center"/>
    </xf>
    <xf numFmtId="4" fontId="69" fillId="0" borderId="28" xfId="0" applyNumberFormat="1" applyFont="1" applyBorder="1" applyAlignment="1">
      <alignment horizontal="right" vertical="center"/>
    </xf>
    <xf numFmtId="165" fontId="69" fillId="0" borderId="7" xfId="211" applyFont="1" applyBorder="1" applyAlignment="1">
      <alignment horizontal="right" vertical="center"/>
    </xf>
    <xf numFmtId="165" fontId="69" fillId="0" borderId="7" xfId="213" applyFont="1" applyBorder="1" applyAlignment="1">
      <alignment horizontal="right" vertical="center"/>
    </xf>
    <xf numFmtId="39" fontId="68" fillId="7" borderId="53" xfId="0" applyNumberFormat="1" applyFont="1" applyFill="1" applyBorder="1" applyAlignment="1">
      <alignment horizontal="right" vertical="top"/>
    </xf>
    <xf numFmtId="166" fontId="76" fillId="7" borderId="53" xfId="2" applyNumberFormat="1" applyFont="1" applyFill="1" applyBorder="1" applyAlignment="1">
      <alignment horizontal="right" vertical="center"/>
    </xf>
    <xf numFmtId="166" fontId="76" fillId="7" borderId="53" xfId="2" applyNumberFormat="1" applyFont="1" applyFill="1" applyBorder="1" applyAlignment="1">
      <alignment vertical="center"/>
    </xf>
    <xf numFmtId="166" fontId="72" fillId="4" borderId="51" xfId="2" applyNumberFormat="1" applyFont="1" applyFill="1" applyBorder="1" applyAlignment="1">
      <alignment horizontal="right" vertical="center"/>
    </xf>
    <xf numFmtId="166" fontId="76" fillId="4" borderId="54" xfId="2" applyNumberFormat="1" applyFont="1" applyFill="1" applyBorder="1" applyAlignment="1">
      <alignment horizontal="right" vertical="center"/>
    </xf>
    <xf numFmtId="0" fontId="68" fillId="0" borderId="1" xfId="0" applyFont="1" applyFill="1" applyBorder="1" applyAlignment="1">
      <alignment vertical="center" wrapText="1"/>
    </xf>
    <xf numFmtId="166" fontId="72" fillId="0" borderId="5" xfId="2" applyNumberFormat="1" applyFont="1" applyBorder="1" applyAlignment="1">
      <alignment horizontal="right" vertical="center"/>
    </xf>
    <xf numFmtId="166" fontId="76" fillId="4" borderId="27" xfId="2" applyNumberFormat="1" applyFont="1" applyFill="1" applyBorder="1" applyAlignment="1">
      <alignment horizontal="right" vertical="center"/>
    </xf>
    <xf numFmtId="166" fontId="72" fillId="4" borderId="27" xfId="2" applyNumberFormat="1" applyFont="1" applyFill="1" applyBorder="1" applyAlignment="1">
      <alignment horizontal="right" vertical="center"/>
    </xf>
    <xf numFmtId="166" fontId="76" fillId="4" borderId="7" xfId="2" applyNumberFormat="1" applyFont="1" applyFill="1" applyBorder="1" applyAlignment="1">
      <alignment horizontal="right" vertical="center"/>
    </xf>
    <xf numFmtId="4" fontId="72" fillId="4" borderId="7" xfId="0" applyNumberFormat="1" applyFont="1" applyFill="1" applyBorder="1" applyAlignment="1">
      <alignment horizontal="right" vertical="center"/>
    </xf>
    <xf numFmtId="39" fontId="69" fillId="0" borderId="43" xfId="0" applyNumberFormat="1" applyFont="1" applyFill="1" applyBorder="1" applyAlignment="1">
      <alignment horizontal="right" vertical="top"/>
    </xf>
    <xf numFmtId="166" fontId="72" fillId="0" borderId="5" xfId="2" applyNumberFormat="1" applyFont="1" applyFill="1" applyBorder="1" applyAlignment="1">
      <alignment horizontal="right" vertical="center"/>
    </xf>
    <xf numFmtId="166" fontId="72" fillId="4" borderId="7" xfId="2" applyNumberFormat="1" applyFont="1" applyFill="1" applyBorder="1" applyAlignment="1">
      <alignment horizontal="right" vertical="center"/>
    </xf>
    <xf numFmtId="0" fontId="69" fillId="0" borderId="1" xfId="0" applyFont="1" applyFill="1" applyBorder="1" applyAlignment="1">
      <alignment vertical="center" wrapText="1"/>
    </xf>
    <xf numFmtId="41" fontId="70" fillId="0" borderId="7" xfId="2" applyFont="1" applyFill="1" applyBorder="1" applyAlignment="1" applyProtection="1">
      <alignment horizontal="left" vertical="center" indent="1"/>
    </xf>
    <xf numFmtId="166" fontId="70" fillId="0" borderId="7" xfId="2" applyNumberFormat="1" applyFont="1" applyBorder="1" applyAlignment="1" applyProtection="1">
      <alignment vertical="center"/>
    </xf>
    <xf numFmtId="43" fontId="72" fillId="0" borderId="5" xfId="0" applyNumberFormat="1" applyFont="1" applyBorder="1" applyAlignment="1">
      <alignment horizontal="right" vertical="center"/>
    </xf>
    <xf numFmtId="0" fontId="68" fillId="0" borderId="17" xfId="0" applyFont="1" applyBorder="1" applyAlignment="1">
      <alignment horizontal="center" vertical="center" wrapText="1"/>
    </xf>
    <xf numFmtId="166" fontId="68" fillId="0" borderId="17" xfId="2" applyNumberFormat="1" applyFont="1" applyBorder="1" applyAlignment="1">
      <alignment horizontal="center" vertical="center"/>
    </xf>
    <xf numFmtId="166" fontId="68" fillId="0" borderId="17" xfId="2" applyNumberFormat="1" applyFont="1" applyFill="1" applyBorder="1" applyAlignment="1">
      <alignment horizontal="center" vertical="center"/>
    </xf>
    <xf numFmtId="166" fontId="68" fillId="0" borderId="17" xfId="2" applyNumberFormat="1" applyFont="1" applyBorder="1" applyAlignment="1">
      <alignment horizontal="right" vertical="center"/>
    </xf>
    <xf numFmtId="166" fontId="76" fillId="0" borderId="17" xfId="2" applyNumberFormat="1" applyFont="1" applyBorder="1" applyAlignment="1">
      <alignment horizontal="center" vertical="center"/>
    </xf>
    <xf numFmtId="166" fontId="76" fillId="0" borderId="17" xfId="2" applyNumberFormat="1" applyFont="1" applyBorder="1" applyAlignment="1">
      <alignment horizontal="right" vertical="center"/>
    </xf>
    <xf numFmtId="166" fontId="76" fillId="0" borderId="17" xfId="2" applyNumberFormat="1" applyFont="1" applyBorder="1" applyAlignment="1">
      <alignment vertical="center"/>
    </xf>
    <xf numFmtId="0" fontId="0" fillId="0" borderId="46" xfId="0" applyFont="1" applyBorder="1" applyAlignment="1">
      <alignment horizontal="center" vertical="center"/>
    </xf>
    <xf numFmtId="0" fontId="68" fillId="0" borderId="0" xfId="0" applyFont="1" applyBorder="1" applyAlignment="1">
      <alignment horizontal="left" vertical="center" wrapText="1"/>
    </xf>
    <xf numFmtId="43" fontId="68" fillId="0" borderId="0" xfId="1" applyFont="1" applyBorder="1" applyAlignment="1">
      <alignment horizontal="left" vertical="center"/>
    </xf>
    <xf numFmtId="166" fontId="74" fillId="0" borderId="0" xfId="2" applyNumberFormat="1" applyFont="1" applyFill="1" applyBorder="1" applyAlignment="1">
      <alignment horizontal="right" vertical="top"/>
    </xf>
    <xf numFmtId="4" fontId="74" fillId="0" borderId="0" xfId="2" applyNumberFormat="1" applyFont="1" applyFill="1" applyBorder="1" applyAlignment="1">
      <alignment horizontal="right" vertical="top"/>
    </xf>
    <xf numFmtId="166" fontId="74" fillId="0" borderId="0" xfId="2" applyNumberFormat="1" applyFont="1" applyBorder="1" applyAlignment="1">
      <alignment vertical="top"/>
    </xf>
    <xf numFmtId="4" fontId="72" fillId="0" borderId="0" xfId="2" applyNumberFormat="1" applyFont="1" applyBorder="1"/>
    <xf numFmtId="166" fontId="70" fillId="0" borderId="0" xfId="2" applyNumberFormat="1" applyFont="1" applyBorder="1" applyAlignment="1">
      <alignment horizontal="right"/>
    </xf>
    <xf numFmtId="166" fontId="73" fillId="0" borderId="0" xfId="2" applyNumberFormat="1" applyFont="1" applyAlignment="1">
      <alignment horizontal="center"/>
    </xf>
    <xf numFmtId="0" fontId="0" fillId="0" borderId="0" xfId="0" applyFont="1" applyBorder="1"/>
    <xf numFmtId="0" fontId="68" fillId="0" borderId="0" xfId="0" applyNumberFormat="1" applyFont="1" applyBorder="1" applyAlignment="1">
      <alignment horizontal="left" vertical="center"/>
    </xf>
    <xf numFmtId="4" fontId="0" fillId="0" borderId="0" xfId="2" applyNumberFormat="1" applyFont="1" applyBorder="1" applyAlignment="1">
      <alignment horizontal="right" vertical="top"/>
    </xf>
    <xf numFmtId="0" fontId="73" fillId="0" borderId="0" xfId="0" applyFont="1" applyAlignment="1">
      <alignment vertical="center"/>
    </xf>
    <xf numFmtId="0" fontId="74" fillId="0" borderId="0" xfId="0" applyFont="1" applyFill="1" applyBorder="1" applyAlignment="1">
      <alignment horizontal="right" vertical="top"/>
    </xf>
    <xf numFmtId="0" fontId="74" fillId="0" borderId="0" xfId="0" applyFont="1" applyAlignment="1">
      <alignment horizontal="left" vertical="center"/>
    </xf>
    <xf numFmtId="0" fontId="76" fillId="0" borderId="0" xfId="0" applyFont="1" applyAlignment="1">
      <alignment horizontal="center"/>
    </xf>
    <xf numFmtId="0" fontId="110" fillId="0" borderId="0" xfId="0" applyFont="1" applyAlignment="1"/>
    <xf numFmtId="166" fontId="0" fillId="0" borderId="0" xfId="2" applyNumberFormat="1" applyFont="1" applyBorder="1" applyAlignment="1">
      <alignment vertical="top" wrapText="1"/>
    </xf>
    <xf numFmtId="166" fontId="0" fillId="0" borderId="0" xfId="2" applyNumberFormat="1" applyFont="1" applyBorder="1" applyAlignment="1">
      <alignment vertical="top"/>
    </xf>
    <xf numFmtId="166" fontId="110" fillId="0" borderId="0" xfId="2" applyNumberFormat="1" applyFont="1" applyAlignment="1">
      <alignment horizontal="center"/>
    </xf>
    <xf numFmtId="4" fontId="76" fillId="0" borderId="28" xfId="0" applyNumberFormat="1" applyFont="1" applyBorder="1" applyAlignment="1">
      <alignment horizontal="right" vertical="center"/>
    </xf>
    <xf numFmtId="0" fontId="70" fillId="0" borderId="0" xfId="0" applyFont="1" applyAlignment="1">
      <alignment horizontal="left" vertical="top"/>
    </xf>
    <xf numFmtId="0" fontId="70" fillId="0" borderId="0" xfId="0" applyFont="1" applyAlignment="1">
      <alignment horizontal="left" vertical="center"/>
    </xf>
    <xf numFmtId="0" fontId="70" fillId="0" borderId="17" xfId="0" quotePrefix="1" applyFont="1" applyBorder="1" applyAlignment="1">
      <alignment horizontal="center" vertical="center"/>
    </xf>
    <xf numFmtId="49" fontId="76" fillId="5" borderId="14" xfId="0" applyNumberFormat="1" applyFont="1" applyFill="1" applyBorder="1" applyAlignment="1">
      <alignment horizontal="center" vertical="center"/>
    </xf>
    <xf numFmtId="49" fontId="72" fillId="0" borderId="1" xfId="0" applyNumberFormat="1" applyFont="1" applyBorder="1" applyAlignment="1">
      <alignment horizontal="center" vertical="center"/>
    </xf>
    <xf numFmtId="49" fontId="70" fillId="0" borderId="1" xfId="0" applyNumberFormat="1" applyFont="1" applyBorder="1" applyAlignment="1">
      <alignment horizontal="center" vertical="center"/>
    </xf>
    <xf numFmtId="49" fontId="76" fillId="0" borderId="5" xfId="0" applyNumberFormat="1" applyFont="1" applyBorder="1" applyAlignment="1">
      <alignment horizontal="center" vertical="center"/>
    </xf>
    <xf numFmtId="49" fontId="70" fillId="0" borderId="7" xfId="0" applyNumberFormat="1" applyFont="1" applyBorder="1" applyAlignment="1">
      <alignment horizontal="center" vertical="center"/>
    </xf>
    <xf numFmtId="49" fontId="70" fillId="0" borderId="14" xfId="0" applyNumberFormat="1" applyFont="1" applyBorder="1" applyAlignment="1">
      <alignment horizontal="center" vertical="center"/>
    </xf>
    <xf numFmtId="49" fontId="76" fillId="0" borderId="14" xfId="0" applyNumberFormat="1" applyFont="1" applyBorder="1" applyAlignment="1">
      <alignment horizontal="center" vertical="center"/>
    </xf>
    <xf numFmtId="49" fontId="76" fillId="5" borderId="7" xfId="0" applyNumberFormat="1" applyFont="1" applyFill="1" applyBorder="1" applyAlignment="1">
      <alignment horizontal="center" vertical="center"/>
    </xf>
    <xf numFmtId="49" fontId="76" fillId="2" borderId="53" xfId="0" applyNumberFormat="1" applyFont="1" applyFill="1" applyBorder="1" applyAlignment="1">
      <alignment horizontal="center" vertical="center"/>
    </xf>
    <xf numFmtId="49" fontId="76" fillId="0" borderId="7" xfId="0" applyNumberFormat="1" applyFont="1" applyBorder="1" applyAlignment="1">
      <alignment horizontal="center" vertical="center"/>
    </xf>
    <xf numFmtId="49" fontId="76" fillId="0" borderId="1" xfId="0" applyNumberFormat="1" applyFont="1" applyFill="1" applyBorder="1" applyAlignment="1">
      <alignment horizontal="center" vertical="center"/>
    </xf>
    <xf numFmtId="49" fontId="94" fillId="0" borderId="53" xfId="0" applyNumberFormat="1" applyFont="1" applyBorder="1" applyAlignment="1">
      <alignment horizontal="center" vertical="center"/>
    </xf>
    <xf numFmtId="49" fontId="94" fillId="0" borderId="1" xfId="0" applyNumberFormat="1" applyFont="1" applyBorder="1" applyAlignment="1">
      <alignment horizontal="center" vertical="center"/>
    </xf>
    <xf numFmtId="49" fontId="76" fillId="3" borderId="57" xfId="0" applyNumberFormat="1" applyFont="1" applyFill="1" applyBorder="1" applyAlignment="1">
      <alignment horizontal="center" vertical="center"/>
    </xf>
    <xf numFmtId="49" fontId="76" fillId="0" borderId="12" xfId="0" applyNumberFormat="1" applyFont="1" applyBorder="1" applyAlignment="1">
      <alignment horizontal="center" vertical="center"/>
    </xf>
    <xf numFmtId="49" fontId="76" fillId="0" borderId="8" xfId="0" applyNumberFormat="1" applyFont="1" applyBorder="1" applyAlignment="1">
      <alignment horizontal="center" vertical="center"/>
    </xf>
    <xf numFmtId="49" fontId="76" fillId="8" borderId="9" xfId="0" applyNumberFormat="1" applyFont="1" applyFill="1" applyBorder="1" applyAlignment="1">
      <alignment horizontal="center" vertical="center"/>
    </xf>
    <xf numFmtId="49" fontId="76" fillId="0" borderId="57" xfId="0" applyNumberFormat="1" applyFont="1" applyBorder="1" applyAlignment="1">
      <alignment horizontal="center" vertical="center"/>
    </xf>
    <xf numFmtId="49" fontId="76" fillId="8" borderId="53" xfId="0" applyNumberFormat="1" applyFont="1" applyFill="1" applyBorder="1" applyAlignment="1">
      <alignment horizontal="center" vertical="center"/>
    </xf>
    <xf numFmtId="49" fontId="76" fillId="0" borderId="66" xfId="0" applyNumberFormat="1" applyFont="1" applyBorder="1" applyAlignment="1">
      <alignment horizontal="center" vertical="center"/>
    </xf>
    <xf numFmtId="43" fontId="72" fillId="0" borderId="7" xfId="0" applyNumberFormat="1" applyFont="1" applyFill="1" applyBorder="1" applyAlignment="1">
      <alignment vertical="center"/>
    </xf>
    <xf numFmtId="43" fontId="76" fillId="0" borderId="7" xfId="0" applyNumberFormat="1" applyFont="1" applyFill="1" applyBorder="1" applyAlignment="1">
      <alignment vertical="center"/>
    </xf>
    <xf numFmtId="0" fontId="33" fillId="0" borderId="0" xfId="0" applyFont="1" applyAlignment="1">
      <alignment horizontal="left" vertical="top"/>
    </xf>
    <xf numFmtId="0" fontId="0" fillId="0" borderId="0" xfId="0"/>
    <xf numFmtId="49" fontId="70" fillId="0" borderId="17" xfId="2" quotePrefix="1" applyNumberFormat="1" applyFont="1" applyFill="1" applyBorder="1" applyAlignment="1">
      <alignment horizontal="center" vertical="center"/>
    </xf>
    <xf numFmtId="4" fontId="70" fillId="0" borderId="17" xfId="2" quotePrefix="1" applyNumberFormat="1" applyFont="1" applyFill="1" applyBorder="1" applyAlignment="1">
      <alignment horizontal="center" vertical="center"/>
    </xf>
    <xf numFmtId="49" fontId="87" fillId="0" borderId="53" xfId="0" applyNumberFormat="1" applyFont="1" applyFill="1" applyBorder="1" applyAlignment="1">
      <alignment horizontal="center" vertical="center"/>
    </xf>
    <xf numFmtId="43" fontId="87" fillId="0" borderId="53" xfId="0" applyNumberFormat="1" applyFont="1" applyFill="1" applyBorder="1" applyAlignment="1">
      <alignment horizontal="left" vertical="center" indent="1"/>
    </xf>
    <xf numFmtId="43" fontId="28" fillId="0" borderId="53" xfId="1" applyFont="1" applyFill="1" applyBorder="1" applyAlignment="1">
      <alignment horizontal="right" vertical="center"/>
    </xf>
    <xf numFmtId="4" fontId="28" fillId="0" borderId="53" xfId="0" applyNumberFormat="1" applyFont="1" applyFill="1" applyBorder="1" applyAlignment="1">
      <alignment horizontal="right" vertical="center"/>
    </xf>
    <xf numFmtId="4" fontId="28" fillId="0" borderId="54" xfId="0" applyNumberFormat="1" applyFont="1" applyFill="1" applyBorder="1" applyAlignment="1">
      <alignment horizontal="right" vertical="center"/>
    </xf>
    <xf numFmtId="0" fontId="52" fillId="0" borderId="28" xfId="0" applyFont="1" applyFill="1" applyBorder="1"/>
    <xf numFmtId="41" fontId="86" fillId="0" borderId="0" xfId="2" applyFont="1" applyFill="1"/>
    <xf numFmtId="49" fontId="87" fillId="0" borderId="1" xfId="0" applyNumberFormat="1" applyFont="1" applyFill="1" applyBorder="1" applyAlignment="1">
      <alignment horizontal="center" vertical="center"/>
    </xf>
    <xf numFmtId="166" fontId="87" fillId="0" borderId="7" xfId="2" applyNumberFormat="1" applyFont="1" applyFill="1" applyBorder="1" applyAlignment="1">
      <alignment vertical="center"/>
    </xf>
    <xf numFmtId="43" fontId="28" fillId="0" borderId="1" xfId="0" applyNumberFormat="1" applyFont="1" applyFill="1" applyBorder="1" applyAlignment="1">
      <alignment horizontal="right" vertical="center"/>
    </xf>
    <xf numFmtId="4" fontId="28" fillId="0" borderId="1" xfId="0" applyNumberFormat="1" applyFont="1" applyFill="1" applyBorder="1" applyAlignment="1">
      <alignment horizontal="right" vertical="center"/>
    </xf>
    <xf numFmtId="39" fontId="29" fillId="0" borderId="59" xfId="12" applyNumberFormat="1" applyFont="1" applyFill="1" applyBorder="1" applyAlignment="1">
      <alignment horizontal="right" vertical="top"/>
    </xf>
    <xf numFmtId="4" fontId="29" fillId="0" borderId="1" xfId="0" applyNumberFormat="1" applyFont="1" applyFill="1" applyBorder="1" applyAlignment="1">
      <alignment horizontal="right" vertical="center"/>
    </xf>
    <xf numFmtId="4" fontId="29" fillId="0" borderId="7" xfId="0" applyNumberFormat="1" applyFont="1" applyFill="1" applyBorder="1" applyAlignment="1">
      <alignment horizontal="right" vertical="center"/>
    </xf>
    <xf numFmtId="165" fontId="0" fillId="0" borderId="17" xfId="0" applyNumberFormat="1" applyBorder="1"/>
    <xf numFmtId="166" fontId="0" fillId="0" borderId="0" xfId="2" applyNumberFormat="1" applyFont="1" applyBorder="1"/>
    <xf numFmtId="0" fontId="79" fillId="0" borderId="5" xfId="0" applyFont="1" applyFill="1" applyBorder="1" applyAlignment="1">
      <alignment horizontal="left" vertical="center" indent="1"/>
    </xf>
    <xf numFmtId="43" fontId="79" fillId="0" borderId="7" xfId="2" applyNumberFormat="1" applyFont="1" applyFill="1" applyBorder="1"/>
    <xf numFmtId="165" fontId="0" fillId="0" borderId="1" xfId="0" applyNumberFormat="1" applyFont="1" applyFill="1" applyBorder="1"/>
    <xf numFmtId="0" fontId="79" fillId="0" borderId="14" xfId="0" applyFont="1" applyFill="1" applyBorder="1" applyAlignment="1">
      <alignment horizontal="left" vertical="center" indent="1"/>
    </xf>
    <xf numFmtId="0" fontId="0" fillId="0" borderId="5" xfId="0" applyFill="1" applyBorder="1"/>
    <xf numFmtId="43" fontId="39" fillId="0" borderId="7" xfId="0" applyNumberFormat="1" applyFont="1" applyFill="1" applyBorder="1" applyAlignment="1">
      <alignment horizontal="center" vertical="center"/>
    </xf>
    <xf numFmtId="43" fontId="68" fillId="0" borderId="1" xfId="1" applyFont="1" applyBorder="1"/>
    <xf numFmtId="0" fontId="0" fillId="0" borderId="109" xfId="0" applyBorder="1"/>
    <xf numFmtId="0" fontId="0" fillId="0" borderId="26" xfId="0" applyBorder="1"/>
    <xf numFmtId="0" fontId="0" fillId="0" borderId="51" xfId="0" applyBorder="1"/>
    <xf numFmtId="0" fontId="68" fillId="0" borderId="8" xfId="0" applyFont="1" applyBorder="1"/>
    <xf numFmtId="166" fontId="68" fillId="0" borderId="51" xfId="2" applyNumberFormat="1" applyFont="1" applyBorder="1"/>
    <xf numFmtId="166" fontId="0" fillId="0" borderId="51" xfId="2" applyNumberFormat="1" applyFont="1" applyBorder="1"/>
    <xf numFmtId="0" fontId="68" fillId="0" borderId="112" xfId="0" applyFont="1" applyBorder="1"/>
    <xf numFmtId="166" fontId="68" fillId="0" borderId="32" xfId="2" applyNumberFormat="1" applyFont="1" applyBorder="1"/>
    <xf numFmtId="0" fontId="117" fillId="0" borderId="0" xfId="221" applyFont="1" applyAlignment="1">
      <alignment horizontal="center" vertical="center"/>
    </xf>
    <xf numFmtId="0" fontId="116" fillId="0" borderId="0" xfId="221">
      <alignment vertical="center"/>
    </xf>
    <xf numFmtId="166" fontId="117" fillId="0" borderId="0" xfId="222" applyNumberFormat="1" applyFont="1" applyAlignment="1" applyProtection="1"/>
    <xf numFmtId="0" fontId="104" fillId="0" borderId="126" xfId="221" applyFont="1" applyBorder="1" applyAlignment="1">
      <alignment horizontal="center" vertical="center"/>
    </xf>
    <xf numFmtId="0" fontId="104" fillId="0" borderId="81" xfId="221" applyFont="1" applyBorder="1" applyAlignment="1"/>
    <xf numFmtId="166" fontId="104" fillId="0" borderId="81" xfId="222" applyNumberFormat="1" applyFont="1" applyBorder="1" applyAlignment="1" applyProtection="1"/>
    <xf numFmtId="0" fontId="13" fillId="0" borderId="127" xfId="221" applyFont="1" applyBorder="1" applyAlignment="1">
      <alignment horizontal="right"/>
    </xf>
    <xf numFmtId="0" fontId="117" fillId="0" borderId="0" xfId="221" applyFont="1">
      <alignment vertical="center"/>
    </xf>
    <xf numFmtId="0" fontId="120" fillId="0" borderId="65" xfId="221" applyFont="1" applyBorder="1">
      <alignment vertical="center"/>
    </xf>
    <xf numFmtId="0" fontId="120" fillId="0" borderId="0" xfId="221" applyFont="1" applyBorder="1">
      <alignment vertical="center"/>
    </xf>
    <xf numFmtId="0" fontId="104" fillId="0" borderId="65" xfId="221" applyFont="1" applyBorder="1" applyAlignment="1">
      <alignment horizontal="left" vertical="center"/>
    </xf>
    <xf numFmtId="0" fontId="104" fillId="0" borderId="21" xfId="221" applyFont="1" applyBorder="1" applyAlignment="1">
      <alignment horizontal="left" vertical="center"/>
    </xf>
    <xf numFmtId="166" fontId="104" fillId="0" borderId="21" xfId="222" applyNumberFormat="1" applyFont="1" applyBorder="1" applyAlignment="1" applyProtection="1"/>
    <xf numFmtId="0" fontId="104" fillId="0" borderId="128" xfId="221" applyFont="1" applyBorder="1" applyAlignment="1">
      <alignment horizontal="right" vertical="center"/>
    </xf>
    <xf numFmtId="0" fontId="119" fillId="0" borderId="0" xfId="221" applyFont="1" applyAlignment="1"/>
    <xf numFmtId="0" fontId="121" fillId="0" borderId="45" xfId="221" quotePrefix="1" applyFont="1" applyBorder="1" applyAlignment="1">
      <alignment horizontal="center" vertical="center"/>
    </xf>
    <xf numFmtId="166" fontId="121" fillId="0" borderId="45" xfId="222" quotePrefix="1" applyNumberFormat="1" applyFont="1" applyBorder="1" applyAlignment="1" applyProtection="1">
      <alignment horizontal="center" vertical="center"/>
    </xf>
    <xf numFmtId="49" fontId="121" fillId="0" borderId="17" xfId="222" quotePrefix="1" applyNumberFormat="1" applyFont="1" applyBorder="1" applyAlignment="1" applyProtection="1">
      <alignment horizontal="center" vertical="center"/>
    </xf>
    <xf numFmtId="0" fontId="104" fillId="0" borderId="129" xfId="221" quotePrefix="1" applyFont="1" applyBorder="1" applyAlignment="1">
      <alignment horizontal="center" vertical="center"/>
    </xf>
    <xf numFmtId="0" fontId="104" fillId="0" borderId="34" xfId="221" quotePrefix="1" applyFont="1" applyBorder="1" applyAlignment="1">
      <alignment horizontal="center" vertical="center"/>
    </xf>
    <xf numFmtId="166" fontId="104" fillId="0" borderId="5" xfId="222" applyNumberFormat="1" applyFont="1" applyBorder="1" applyAlignment="1" applyProtection="1"/>
    <xf numFmtId="0" fontId="104" fillId="0" borderId="35" xfId="221" quotePrefix="1" applyFont="1" applyBorder="1" applyAlignment="1">
      <alignment horizontal="center" vertical="center"/>
    </xf>
    <xf numFmtId="0" fontId="104" fillId="0" borderId="14" xfId="221" applyFont="1" applyBorder="1">
      <alignment vertical="center"/>
    </xf>
    <xf numFmtId="166" fontId="104" fillId="0" borderId="29" xfId="222" applyNumberFormat="1" applyFont="1" applyBorder="1" applyAlignment="1" applyProtection="1"/>
    <xf numFmtId="0" fontId="120" fillId="0" borderId="17" xfId="221" applyFont="1" applyBorder="1" applyAlignment="1">
      <alignment horizontal="right" vertical="center"/>
    </xf>
    <xf numFmtId="0" fontId="104" fillId="0" borderId="65" xfId="221" applyFont="1" applyBorder="1" applyAlignment="1">
      <alignment horizontal="center" vertical="center"/>
    </xf>
    <xf numFmtId="0" fontId="120" fillId="0" borderId="0" xfId="221" applyFont="1" applyBorder="1" applyAlignment="1">
      <alignment horizontal="right" vertical="center" indent="1"/>
    </xf>
    <xf numFmtId="166" fontId="104" fillId="0" borderId="0" xfId="222" applyNumberFormat="1" applyFont="1" applyBorder="1" applyAlignment="1" applyProtection="1"/>
    <xf numFmtId="166" fontId="104" fillId="0" borderId="95" xfId="222" applyNumberFormat="1" applyFont="1" applyBorder="1" applyAlignment="1" applyProtection="1"/>
    <xf numFmtId="0" fontId="120" fillId="0" borderId="65" xfId="221" applyFont="1" applyBorder="1" applyAlignment="1"/>
    <xf numFmtId="0" fontId="104" fillId="0" borderId="0" xfId="221" applyFont="1" applyBorder="1" applyAlignment="1"/>
    <xf numFmtId="0" fontId="104" fillId="0" borderId="0" xfId="221" quotePrefix="1" applyFont="1" applyBorder="1" applyAlignment="1">
      <alignment horizontal="left" vertical="center"/>
    </xf>
    <xf numFmtId="0" fontId="104" fillId="0" borderId="95" xfId="221" applyFont="1" applyBorder="1" applyAlignment="1"/>
    <xf numFmtId="0" fontId="104" fillId="0" borderId="65" xfId="221" quotePrefix="1" applyFont="1" applyBorder="1" applyAlignment="1">
      <alignment horizontal="left" vertical="center"/>
    </xf>
    <xf numFmtId="0" fontId="104" fillId="0" borderId="95" xfId="221" quotePrefix="1" applyFont="1" applyBorder="1" applyAlignment="1">
      <alignment horizontal="left" vertical="center"/>
    </xf>
    <xf numFmtId="0" fontId="104" fillId="0" borderId="0" xfId="221" applyFont="1" applyBorder="1" applyAlignment="1">
      <alignment horizontal="left" vertical="center"/>
    </xf>
    <xf numFmtId="0" fontId="104" fillId="0" borderId="95" xfId="221" applyFont="1" applyBorder="1" applyAlignment="1">
      <alignment horizontal="left" vertical="center"/>
    </xf>
    <xf numFmtId="0" fontId="104" fillId="0" borderId="65" xfId="221" applyFont="1" applyBorder="1">
      <alignment vertical="center"/>
    </xf>
    <xf numFmtId="0" fontId="104" fillId="0" borderId="0" xfId="221" applyFont="1" applyBorder="1">
      <alignment vertical="center"/>
    </xf>
    <xf numFmtId="0" fontId="104" fillId="0" borderId="0" xfId="221" applyFont="1" applyBorder="1" applyAlignment="1">
      <alignment horizontal="left" vertical="center" wrapText="1"/>
    </xf>
    <xf numFmtId="0" fontId="104" fillId="0" borderId="95" xfId="221" applyFont="1" applyBorder="1">
      <alignment vertical="center"/>
    </xf>
    <xf numFmtId="0" fontId="117" fillId="0" borderId="0" xfId="221" applyFont="1" applyAlignment="1">
      <alignment wrapText="1"/>
    </xf>
    <xf numFmtId="0" fontId="104" fillId="0" borderId="95" xfId="221" applyFont="1" applyBorder="1" applyAlignment="1">
      <alignment horizontal="left" vertical="center" wrapText="1"/>
    </xf>
    <xf numFmtId="0" fontId="117" fillId="0" borderId="95" xfId="221" applyFont="1" applyBorder="1" applyAlignment="1"/>
    <xf numFmtId="166" fontId="121" fillId="0" borderId="7" xfId="222" applyNumberFormat="1" applyFont="1" applyBorder="1" applyAlignment="1" applyProtection="1"/>
    <xf numFmtId="166" fontId="122" fillId="0" borderId="7" xfId="222" applyNumberFormat="1" applyFont="1" applyBorder="1" applyAlignment="1" applyProtection="1"/>
    <xf numFmtId="166" fontId="121" fillId="0" borderId="17" xfId="222" applyNumberFormat="1" applyFont="1" applyBorder="1" applyAlignment="1" applyProtection="1"/>
    <xf numFmtId="166" fontId="26" fillId="0" borderId="0" xfId="2" applyNumberFormat="1" applyFont="1" applyAlignment="1">
      <alignment horizontal="center"/>
    </xf>
    <xf numFmtId="0" fontId="26" fillId="0" borderId="0" xfId="0" applyFont="1" applyAlignment="1">
      <alignment horizontal="center"/>
    </xf>
    <xf numFmtId="166" fontId="80" fillId="0" borderId="0" xfId="2" applyNumberFormat="1" applyFont="1" applyAlignment="1">
      <alignment horizontal="center"/>
    </xf>
    <xf numFmtId="0" fontId="70" fillId="0" borderId="0" xfId="0" applyFont="1"/>
    <xf numFmtId="0" fontId="110" fillId="0" borderId="0" xfId="0" applyFont="1" applyAlignment="1">
      <alignment horizontal="center"/>
    </xf>
    <xf numFmtId="166" fontId="76" fillId="0" borderId="0" xfId="2" applyNumberFormat="1" applyFont="1" applyAlignment="1">
      <alignment horizontal="center"/>
    </xf>
    <xf numFmtId="166" fontId="68" fillId="0" borderId="66" xfId="2" applyNumberFormat="1" applyFont="1" applyBorder="1" applyAlignment="1">
      <alignment vertical="center"/>
    </xf>
    <xf numFmtId="0" fontId="73" fillId="0" borderId="0" xfId="0" applyFont="1" applyAlignment="1">
      <alignment horizontal="center" vertical="center"/>
    </xf>
    <xf numFmtId="0" fontId="9" fillId="0" borderId="0" xfId="0" applyFont="1" applyAlignment="1">
      <alignment horizontal="left"/>
    </xf>
    <xf numFmtId="43" fontId="68" fillId="0" borderId="57" xfId="0" applyNumberFormat="1" applyFont="1" applyBorder="1" applyAlignment="1">
      <alignment horizontal="right" vertical="center"/>
    </xf>
    <xf numFmtId="0" fontId="0" fillId="0" borderId="0" xfId="0" applyFont="1" applyBorder="1" applyAlignment="1">
      <alignment horizontal="left" vertical="top"/>
    </xf>
    <xf numFmtId="0" fontId="111" fillId="0" borderId="0" xfId="0" applyFont="1" applyAlignment="1">
      <alignment horizontal="center"/>
    </xf>
    <xf numFmtId="0" fontId="41" fillId="0" borderId="0" xfId="0" applyFont="1" applyAlignment="1">
      <alignment horizontal="left"/>
    </xf>
    <xf numFmtId="0" fontId="80" fillId="0" borderId="0" xfId="0" applyFont="1" applyBorder="1" applyAlignment="1">
      <alignment horizontal="center"/>
    </xf>
    <xf numFmtId="0" fontId="53" fillId="0" borderId="0" xfId="0" applyFont="1" applyAlignment="1">
      <alignment horizontal="center"/>
    </xf>
    <xf numFmtId="0" fontId="74" fillId="0" borderId="0" xfId="0" applyFont="1" applyBorder="1" applyAlignment="1">
      <alignment horizontal="left" vertical="top"/>
    </xf>
    <xf numFmtId="0" fontId="25" fillId="0" borderId="0" xfId="0" applyFont="1" applyAlignment="1">
      <alignment horizontal="center" vertical="center"/>
    </xf>
    <xf numFmtId="0" fontId="25" fillId="0" borderId="0" xfId="0" applyFont="1" applyAlignment="1">
      <alignment horizontal="center"/>
    </xf>
    <xf numFmtId="0" fontId="71" fillId="0" borderId="0" xfId="0" applyFont="1" applyAlignment="1">
      <alignment horizontal="left"/>
    </xf>
    <xf numFmtId="0" fontId="71" fillId="0" borderId="0" xfId="0" applyFont="1" applyAlignment="1">
      <alignment horizontal="left" vertical="center"/>
    </xf>
    <xf numFmtId="0" fontId="33" fillId="0" borderId="0" xfId="0" applyFont="1"/>
    <xf numFmtId="0" fontId="41" fillId="0" borderId="0" xfId="0" applyFont="1" applyAlignment="1">
      <alignment horizontal="center"/>
    </xf>
    <xf numFmtId="0" fontId="0" fillId="0" borderId="0" xfId="0"/>
    <xf numFmtId="43" fontId="72" fillId="0" borderId="7" xfId="0" applyNumberFormat="1" applyFont="1" applyFill="1" applyBorder="1" applyAlignment="1">
      <alignment horizontal="left" vertical="center"/>
    </xf>
    <xf numFmtId="4" fontId="69" fillId="0" borderId="46" xfId="2" quotePrefix="1" applyNumberFormat="1" applyFont="1" applyBorder="1" applyAlignment="1">
      <alignment horizontal="center" vertical="center"/>
    </xf>
    <xf numFmtId="49" fontId="0" fillId="0" borderId="46" xfId="2" quotePrefix="1" applyNumberFormat="1" applyFont="1" applyBorder="1" applyAlignment="1">
      <alignment horizontal="center" vertical="center"/>
    </xf>
    <xf numFmtId="166" fontId="68" fillId="5" borderId="7" xfId="2" applyNumberFormat="1" applyFont="1" applyFill="1" applyBorder="1" applyAlignment="1">
      <alignment vertical="center"/>
    </xf>
    <xf numFmtId="166" fontId="68" fillId="5" borderId="14" xfId="18" applyNumberFormat="1" applyFont="1" applyFill="1" applyBorder="1" applyAlignment="1">
      <alignment vertical="center"/>
    </xf>
    <xf numFmtId="166" fontId="68" fillId="5" borderId="52" xfId="2" applyNumberFormat="1" applyFont="1" applyFill="1" applyBorder="1" applyAlignment="1">
      <alignment vertical="center"/>
    </xf>
    <xf numFmtId="166" fontId="76" fillId="5" borderId="28" xfId="2" applyNumberFormat="1" applyFont="1" applyFill="1" applyBorder="1" applyAlignment="1">
      <alignment vertical="center"/>
    </xf>
    <xf numFmtId="43" fontId="69" fillId="0" borderId="18" xfId="0" applyNumberFormat="1" applyFont="1" applyFill="1" applyBorder="1" applyAlignment="1">
      <alignment horizontal="left" vertical="center" indent="1"/>
    </xf>
    <xf numFmtId="166" fontId="0" fillId="0" borderId="8" xfId="2" applyNumberFormat="1" applyFont="1" applyBorder="1" applyAlignment="1">
      <alignment vertical="center"/>
    </xf>
    <xf numFmtId="43" fontId="68" fillId="0" borderId="50" xfId="1" applyFont="1" applyBorder="1" applyAlignment="1">
      <alignment horizontal="left" vertical="center" indent="1"/>
    </xf>
    <xf numFmtId="4" fontId="68" fillId="8" borderId="54" xfId="2" applyNumberFormat="1" applyFont="1" applyFill="1" applyBorder="1" applyAlignment="1">
      <alignment vertical="center"/>
    </xf>
    <xf numFmtId="4" fontId="68" fillId="0" borderId="54" xfId="2" applyNumberFormat="1" applyFont="1" applyFill="1" applyBorder="1" applyAlignment="1">
      <alignment vertical="center"/>
    </xf>
    <xf numFmtId="166" fontId="68" fillId="0" borderId="68" xfId="2" applyNumberFormat="1" applyFont="1" applyFill="1" applyBorder="1"/>
    <xf numFmtId="166" fontId="68" fillId="0" borderId="1" xfId="2" applyNumberFormat="1" applyFont="1" applyFill="1" applyBorder="1"/>
    <xf numFmtId="166" fontId="69" fillId="0" borderId="7" xfId="2" applyNumberFormat="1" applyFont="1" applyFill="1" applyBorder="1"/>
    <xf numFmtId="166" fontId="0" fillId="0" borderId="7" xfId="2" applyNumberFormat="1" applyFont="1" applyFill="1" applyBorder="1"/>
    <xf numFmtId="166" fontId="0" fillId="0" borderId="13" xfId="11" applyNumberFormat="1" applyFont="1" applyFill="1" applyBorder="1" applyAlignment="1">
      <alignment vertical="center"/>
    </xf>
    <xf numFmtId="166" fontId="68" fillId="0" borderId="7" xfId="2" applyNumberFormat="1" applyFont="1" applyFill="1" applyBorder="1"/>
    <xf numFmtId="166" fontId="68" fillId="0" borderId="7" xfId="11" applyNumberFormat="1" applyFont="1" applyFill="1" applyBorder="1" applyAlignment="1">
      <alignment horizontal="center" vertical="center"/>
    </xf>
    <xf numFmtId="166" fontId="69" fillId="0" borderId="13" xfId="11" applyNumberFormat="1" applyFont="1" applyFill="1" applyBorder="1" applyAlignment="1">
      <alignment vertical="center"/>
    </xf>
    <xf numFmtId="4" fontId="68" fillId="0" borderId="28" xfId="2" applyNumberFormat="1" applyFont="1" applyFill="1" applyBorder="1" applyAlignment="1">
      <alignment vertical="center"/>
    </xf>
    <xf numFmtId="166" fontId="69" fillId="0" borderId="5" xfId="2" applyNumberFormat="1" applyFont="1" applyFill="1" applyBorder="1"/>
    <xf numFmtId="4" fontId="69" fillId="0" borderId="28" xfId="2" applyNumberFormat="1" applyFont="1" applyFill="1" applyBorder="1" applyAlignment="1">
      <alignment vertical="center"/>
    </xf>
    <xf numFmtId="0" fontId="0" fillId="0" borderId="0" xfId="0" applyFont="1" applyFill="1"/>
    <xf numFmtId="0" fontId="0" fillId="0" borderId="1" xfId="0" applyFont="1" applyFill="1" applyBorder="1"/>
    <xf numFmtId="0" fontId="68" fillId="0" borderId="7" xfId="0" applyFont="1" applyFill="1" applyBorder="1" applyAlignment="1">
      <alignment wrapText="1"/>
    </xf>
    <xf numFmtId="166" fontId="89" fillId="0" borderId="7" xfId="11" applyNumberFormat="1" applyFont="1" applyFill="1" applyBorder="1" applyAlignment="1">
      <alignment horizontal="right" vertical="center"/>
    </xf>
    <xf numFmtId="0" fontId="69" fillId="0" borderId="7" xfId="0" applyFont="1" applyFill="1" applyBorder="1" applyAlignment="1">
      <alignment wrapText="1"/>
    </xf>
    <xf numFmtId="0" fontId="0" fillId="0" borderId="52" xfId="0" applyFont="1" applyFill="1" applyBorder="1"/>
    <xf numFmtId="166" fontId="68" fillId="0" borderId="51" xfId="2" applyNumberFormat="1" applyFont="1" applyFill="1" applyBorder="1"/>
    <xf numFmtId="166" fontId="68" fillId="0" borderId="7" xfId="11" applyNumberFormat="1" applyFont="1" applyFill="1" applyBorder="1" applyAlignment="1">
      <alignment horizontal="right" vertical="center"/>
    </xf>
    <xf numFmtId="0" fontId="0" fillId="0" borderId="51" xfId="0" applyFont="1" applyFill="1" applyBorder="1"/>
    <xf numFmtId="166" fontId="69" fillId="0" borderId="1" xfId="2" applyNumberFormat="1" applyFont="1" applyFill="1" applyBorder="1"/>
    <xf numFmtId="166" fontId="68" fillId="0" borderId="0" xfId="2" applyNumberFormat="1" applyFont="1" applyFill="1"/>
    <xf numFmtId="166" fontId="69" fillId="0" borderId="51" xfId="0" applyNumberFormat="1" applyFont="1" applyFill="1" applyBorder="1" applyAlignment="1">
      <alignment horizontal="left" vertical="center" indent="1"/>
    </xf>
    <xf numFmtId="0" fontId="69" fillId="0" borderId="7" xfId="0" applyFont="1" applyFill="1" applyBorder="1" applyAlignment="1">
      <alignment vertical="center" wrapText="1"/>
    </xf>
    <xf numFmtId="4" fontId="69" fillId="0" borderId="51" xfId="2" applyNumberFormat="1" applyFont="1" applyFill="1" applyBorder="1" applyAlignment="1">
      <alignment vertical="center"/>
    </xf>
    <xf numFmtId="166" fontId="69" fillId="0" borderId="14" xfId="2" applyNumberFormat="1" applyFont="1" applyFill="1" applyBorder="1"/>
    <xf numFmtId="0" fontId="68" fillId="0" borderId="53" xfId="0" applyFont="1" applyFill="1" applyBorder="1" applyAlignment="1">
      <alignment wrapText="1"/>
    </xf>
    <xf numFmtId="0" fontId="69" fillId="0" borderId="14" xfId="0" applyFont="1" applyFill="1" applyBorder="1" applyAlignment="1">
      <alignment vertical="center" wrapText="1"/>
    </xf>
    <xf numFmtId="166" fontId="69" fillId="0" borderId="74" xfId="2" applyNumberFormat="1" applyFont="1" applyFill="1" applyBorder="1" applyAlignment="1">
      <alignment horizontal="left" vertical="center" indent="1"/>
    </xf>
    <xf numFmtId="166" fontId="68" fillId="0" borderId="53" xfId="0" applyNumberFormat="1" applyFont="1" applyFill="1" applyBorder="1" applyAlignment="1">
      <alignment vertical="center"/>
    </xf>
    <xf numFmtId="166" fontId="68" fillId="0" borderId="66" xfId="2" applyNumberFormat="1" applyFont="1" applyFill="1" applyBorder="1"/>
    <xf numFmtId="166" fontId="68" fillId="0" borderId="5" xfId="11" applyNumberFormat="1" applyFont="1" applyFill="1" applyBorder="1" applyAlignment="1">
      <alignment horizontal="right" vertical="center" wrapText="1"/>
    </xf>
    <xf numFmtId="0" fontId="69" fillId="0" borderId="18" xfId="0" applyFont="1" applyFill="1" applyBorder="1" applyAlignment="1">
      <alignment horizontal="left" vertical="center" wrapText="1"/>
    </xf>
    <xf numFmtId="43" fontId="69" fillId="0" borderId="28" xfId="0" applyNumberFormat="1" applyFont="1" applyFill="1" applyBorder="1" applyAlignment="1">
      <alignment horizontal="left" vertical="center" indent="1"/>
    </xf>
    <xf numFmtId="166" fontId="68" fillId="0" borderId="5" xfId="2" applyNumberFormat="1" applyFont="1" applyFill="1" applyBorder="1"/>
    <xf numFmtId="166" fontId="89" fillId="0" borderId="7" xfId="11" applyNumberFormat="1" applyFont="1" applyFill="1" applyBorder="1" applyAlignment="1">
      <alignment vertical="center"/>
    </xf>
    <xf numFmtId="43" fontId="68" fillId="0" borderId="28" xfId="0" applyNumberFormat="1" applyFont="1" applyFill="1" applyBorder="1" applyAlignment="1">
      <alignment horizontal="left" vertical="center" indent="1"/>
    </xf>
    <xf numFmtId="166" fontId="0" fillId="0" borderId="27" xfId="2" applyNumberFormat="1" applyFont="1" applyFill="1" applyBorder="1" applyAlignment="1">
      <alignment vertical="center"/>
    </xf>
    <xf numFmtId="166" fontId="68" fillId="0" borderId="43" xfId="0" applyNumberFormat="1" applyFont="1" applyFill="1" applyBorder="1" applyAlignment="1">
      <alignment horizontal="right" vertical="center"/>
    </xf>
    <xf numFmtId="166" fontId="68" fillId="0" borderId="68" xfId="0" applyNumberFormat="1" applyFont="1" applyFill="1" applyBorder="1" applyAlignment="1">
      <alignment horizontal="right" vertical="center"/>
    </xf>
    <xf numFmtId="166" fontId="69" fillId="0" borderId="99" xfId="0" applyNumberFormat="1" applyFont="1" applyFill="1" applyBorder="1" applyAlignment="1">
      <alignment horizontal="right" vertical="center"/>
    </xf>
    <xf numFmtId="169" fontId="69" fillId="0" borderId="7" xfId="0" applyNumberFormat="1" applyFont="1" applyFill="1" applyBorder="1" applyAlignment="1">
      <alignment horizontal="center" vertical="center" wrapText="1"/>
    </xf>
    <xf numFmtId="169" fontId="69" fillId="0" borderId="60" xfId="0" applyNumberFormat="1" applyFont="1" applyFill="1" applyBorder="1" applyAlignment="1">
      <alignment horizontal="right" vertical="center"/>
    </xf>
    <xf numFmtId="4" fontId="72" fillId="0" borderId="13" xfId="0" applyNumberFormat="1" applyFont="1" applyFill="1" applyBorder="1" applyAlignment="1">
      <alignment horizontal="right" vertical="center"/>
    </xf>
    <xf numFmtId="166" fontId="68" fillId="0" borderId="13" xfId="0" applyNumberFormat="1" applyFont="1" applyFill="1" applyBorder="1" applyAlignment="1">
      <alignment vertical="center"/>
    </xf>
    <xf numFmtId="166" fontId="69" fillId="0" borderId="43" xfId="0" applyNumberFormat="1" applyFont="1" applyFill="1" applyBorder="1" applyAlignment="1">
      <alignment horizontal="right" vertical="center"/>
    </xf>
    <xf numFmtId="169" fontId="69" fillId="0" borderId="13" xfId="0" applyNumberFormat="1" applyFont="1" applyFill="1" applyBorder="1" applyAlignment="1">
      <alignment horizontal="right" vertical="center" wrapText="1"/>
    </xf>
    <xf numFmtId="4" fontId="72" fillId="0" borderId="43" xfId="0" applyNumberFormat="1" applyFont="1" applyFill="1" applyBorder="1" applyAlignment="1">
      <alignment horizontal="right" vertical="center"/>
    </xf>
    <xf numFmtId="166" fontId="68" fillId="0" borderId="13" xfId="0" applyNumberFormat="1" applyFont="1" applyFill="1" applyBorder="1" applyAlignment="1">
      <alignment horizontal="right" vertical="center"/>
    </xf>
    <xf numFmtId="166" fontId="68" fillId="0" borderId="7" xfId="0" applyNumberFormat="1" applyFont="1" applyFill="1" applyBorder="1" applyAlignment="1">
      <alignment vertical="center" wrapText="1"/>
    </xf>
    <xf numFmtId="166" fontId="68" fillId="0" borderId="43" xfId="0" applyNumberFormat="1" applyFont="1" applyFill="1" applyBorder="1" applyAlignment="1">
      <alignment vertical="center" wrapText="1"/>
    </xf>
    <xf numFmtId="166" fontId="0" fillId="0" borderId="43" xfId="0" applyNumberFormat="1" applyFont="1" applyFill="1" applyBorder="1" applyAlignment="1">
      <alignment horizontal="right" vertical="center"/>
    </xf>
    <xf numFmtId="169" fontId="69" fillId="0" borderId="7" xfId="0" applyNumberFormat="1" applyFont="1" applyFill="1" applyBorder="1" applyAlignment="1">
      <alignment horizontal="right" vertical="center"/>
    </xf>
    <xf numFmtId="166" fontId="69" fillId="0" borderId="51" xfId="0" applyNumberFormat="1" applyFont="1" applyFill="1" applyBorder="1" applyAlignment="1">
      <alignment horizontal="right" vertical="center"/>
    </xf>
    <xf numFmtId="4" fontId="89" fillId="0" borderId="28" xfId="2" applyNumberFormat="1" applyFont="1" applyFill="1" applyBorder="1" applyAlignment="1">
      <alignment vertical="center"/>
    </xf>
    <xf numFmtId="4" fontId="68" fillId="0" borderId="27" xfId="2" applyNumberFormat="1" applyFont="1" applyFill="1" applyBorder="1" applyAlignment="1">
      <alignment vertical="center"/>
    </xf>
    <xf numFmtId="166" fontId="70" fillId="0" borderId="27" xfId="2" applyNumberFormat="1" applyFont="1" applyFill="1" applyBorder="1" applyAlignment="1">
      <alignment vertical="center"/>
    </xf>
    <xf numFmtId="166" fontId="68" fillId="0" borderId="66" xfId="2" applyNumberFormat="1" applyFont="1" applyFill="1" applyBorder="1" applyAlignment="1">
      <alignment vertical="center"/>
    </xf>
    <xf numFmtId="166" fontId="68" fillId="0" borderId="27" xfId="2" applyNumberFormat="1" applyFont="1" applyFill="1" applyBorder="1" applyAlignment="1">
      <alignment vertical="center"/>
    </xf>
    <xf numFmtId="166" fontId="0" fillId="0" borderId="57" xfId="2" applyNumberFormat="1" applyFont="1" applyFill="1" applyBorder="1" applyAlignment="1">
      <alignment vertical="center"/>
    </xf>
    <xf numFmtId="166" fontId="69" fillId="0" borderId="56" xfId="2" applyNumberFormat="1" applyFont="1" applyFill="1" applyBorder="1" applyAlignment="1">
      <alignment vertical="center"/>
    </xf>
    <xf numFmtId="166" fontId="0" fillId="0" borderId="56" xfId="2" applyNumberFormat="1" applyFont="1" applyFill="1" applyBorder="1" applyAlignment="1">
      <alignment vertical="center"/>
    </xf>
    <xf numFmtId="0" fontId="68" fillId="0" borderId="53" xfId="0" applyFont="1" applyFill="1" applyBorder="1" applyAlignment="1">
      <alignment vertical="top" wrapText="1"/>
    </xf>
    <xf numFmtId="43" fontId="68" fillId="0" borderId="53" xfId="0" applyNumberFormat="1" applyFont="1" applyFill="1" applyBorder="1" applyAlignment="1">
      <alignment vertical="top" wrapText="1"/>
    </xf>
    <xf numFmtId="39" fontId="68" fillId="0" borderId="68" xfId="0" applyNumberFormat="1" applyFont="1" applyFill="1" applyBorder="1" applyAlignment="1">
      <alignment vertical="center"/>
    </xf>
    <xf numFmtId="166" fontId="69" fillId="0" borderId="14" xfId="2" applyNumberFormat="1" applyFont="1" applyFill="1" applyBorder="1" applyAlignment="1">
      <alignment vertical="top"/>
    </xf>
    <xf numFmtId="39" fontId="72" fillId="0" borderId="14" xfId="0" applyNumberFormat="1" applyFont="1" applyFill="1" applyBorder="1" applyAlignment="1">
      <alignment vertical="top"/>
    </xf>
    <xf numFmtId="166" fontId="69" fillId="0" borderId="7" xfId="2" applyNumberFormat="1" applyFont="1" applyFill="1" applyBorder="1" applyAlignment="1">
      <alignment vertical="top"/>
    </xf>
    <xf numFmtId="166" fontId="0" fillId="0" borderId="43" xfId="2" applyNumberFormat="1" applyFont="1" applyFill="1" applyBorder="1" applyAlignment="1">
      <alignment vertical="center"/>
    </xf>
    <xf numFmtId="0" fontId="68" fillId="0" borderId="43" xfId="0" applyFont="1" applyFill="1" applyBorder="1" applyAlignment="1">
      <alignment horizontal="left" vertical="center" wrapText="1"/>
    </xf>
    <xf numFmtId="39" fontId="0" fillId="0" borderId="1" xfId="0" applyNumberFormat="1" applyFont="1" applyFill="1" applyBorder="1" applyAlignment="1">
      <alignment vertical="top"/>
    </xf>
    <xf numFmtId="166" fontId="0" fillId="0" borderId="7" xfId="2" applyNumberFormat="1" applyFont="1" applyFill="1" applyBorder="1" applyAlignment="1">
      <alignment vertical="top"/>
    </xf>
    <xf numFmtId="0" fontId="69" fillId="0" borderId="0" xfId="0" applyFont="1" applyFill="1" applyAlignment="1">
      <alignment horizontal="left" vertical="top" wrapText="1"/>
    </xf>
    <xf numFmtId="39" fontId="69" fillId="0" borderId="73" xfId="0" applyNumberFormat="1" applyFont="1" applyFill="1" applyBorder="1" applyAlignment="1">
      <alignment horizontal="right" vertical="top"/>
    </xf>
    <xf numFmtId="166" fontId="72" fillId="0" borderId="27" xfId="2" applyNumberFormat="1" applyFont="1" applyFill="1" applyBorder="1" applyAlignment="1">
      <alignment vertical="center"/>
    </xf>
    <xf numFmtId="0" fontId="68" fillId="8" borderId="66" xfId="0" applyFont="1" applyFill="1" applyBorder="1" applyAlignment="1">
      <alignment horizontal="left" vertical="center" wrapText="1"/>
    </xf>
    <xf numFmtId="39" fontId="68" fillId="8" borderId="81" xfId="0" applyNumberFormat="1" applyFont="1" applyFill="1" applyBorder="1" applyAlignment="1">
      <alignment vertical="top"/>
    </xf>
    <xf numFmtId="39" fontId="68" fillId="8" borderId="66" xfId="0" applyNumberFormat="1" applyFont="1" applyFill="1" applyBorder="1" applyAlignment="1">
      <alignment vertical="top"/>
    </xf>
    <xf numFmtId="166" fontId="76" fillId="8" borderId="69" xfId="2" applyNumberFormat="1" applyFont="1" applyFill="1" applyBorder="1" applyAlignment="1">
      <alignment horizontal="right" vertical="center"/>
    </xf>
    <xf numFmtId="166" fontId="68" fillId="0" borderId="14" xfId="2" applyNumberFormat="1" applyFont="1" applyFill="1" applyBorder="1" applyAlignment="1">
      <alignment horizontal="center" vertical="center"/>
    </xf>
    <xf numFmtId="169" fontId="69" fillId="0" borderId="7" xfId="109" applyNumberFormat="1" applyFont="1" applyBorder="1" applyAlignment="1">
      <alignment horizontal="center" vertical="center"/>
    </xf>
    <xf numFmtId="166" fontId="0" fillId="0" borderId="7" xfId="2" applyNumberFormat="1" applyFont="1" applyBorder="1" applyAlignment="1">
      <alignment horizontal="left" vertical="center" indent="1"/>
    </xf>
    <xf numFmtId="39" fontId="68" fillId="8" borderId="53" xfId="0" applyNumberFormat="1" applyFont="1" applyFill="1" applyBorder="1" applyAlignment="1">
      <alignment vertical="top"/>
    </xf>
    <xf numFmtId="166" fontId="0" fillId="0" borderId="43" xfId="2" applyNumberFormat="1" applyFont="1" applyBorder="1" applyAlignment="1">
      <alignment vertical="center"/>
    </xf>
    <xf numFmtId="4" fontId="69" fillId="0" borderId="0" xfId="0" applyNumberFormat="1" applyFont="1" applyBorder="1" applyAlignment="1">
      <alignment horizontal="right" vertical="center"/>
    </xf>
    <xf numFmtId="166" fontId="0" fillId="0" borderId="0" xfId="2" applyNumberFormat="1" applyFont="1" applyBorder="1" applyAlignment="1">
      <alignment vertical="center"/>
    </xf>
    <xf numFmtId="4" fontId="68" fillId="8" borderId="54" xfId="0" applyNumberFormat="1" applyFont="1" applyFill="1" applyBorder="1" applyAlignment="1">
      <alignment horizontal="right" vertical="center"/>
    </xf>
    <xf numFmtId="169" fontId="72" fillId="0" borderId="14" xfId="2" applyNumberFormat="1" applyFont="1" applyBorder="1" applyAlignment="1">
      <alignment horizontal="left" vertical="center"/>
    </xf>
    <xf numFmtId="0" fontId="68" fillId="8" borderId="55" xfId="0" applyFont="1" applyFill="1" applyBorder="1" applyAlignment="1">
      <alignment horizontal="left" vertical="center" wrapText="1"/>
    </xf>
    <xf numFmtId="166" fontId="89" fillId="0" borderId="52" xfId="2" applyNumberFormat="1" applyFont="1" applyBorder="1" applyAlignment="1">
      <alignment vertical="center"/>
    </xf>
    <xf numFmtId="39" fontId="69" fillId="0" borderId="7" xfId="0" applyNumberFormat="1" applyFont="1" applyBorder="1" applyAlignment="1">
      <alignment horizontal="right"/>
    </xf>
    <xf numFmtId="39" fontId="68" fillId="0" borderId="5" xfId="0" applyNumberFormat="1" applyFont="1" applyBorder="1" applyAlignment="1">
      <alignment horizontal="right" vertical="center"/>
    </xf>
    <xf numFmtId="169" fontId="69" fillId="0" borderId="28" xfId="106" applyNumberFormat="1" applyFont="1" applyFill="1" applyBorder="1" applyAlignment="1">
      <alignment horizontal="right" vertical="center" wrapText="1"/>
    </xf>
    <xf numFmtId="4" fontId="72" fillId="0" borderId="51" xfId="0" applyNumberFormat="1" applyFont="1" applyBorder="1" applyAlignment="1">
      <alignment vertical="center"/>
    </xf>
    <xf numFmtId="0" fontId="68" fillId="8" borderId="73" xfId="0" applyFont="1" applyFill="1" applyBorder="1" applyAlignment="1">
      <alignment vertical="center" wrapText="1"/>
    </xf>
    <xf numFmtId="43" fontId="89" fillId="0" borderId="1" xfId="1" applyFont="1" applyBorder="1" applyAlignment="1">
      <alignment vertical="center"/>
    </xf>
    <xf numFmtId="166" fontId="89" fillId="0" borderId="51" xfId="2" applyNumberFormat="1" applyFont="1" applyBorder="1" applyAlignment="1">
      <alignment vertical="center"/>
    </xf>
    <xf numFmtId="166" fontId="89" fillId="0" borderId="28" xfId="2" applyNumberFormat="1" applyFont="1" applyBorder="1" applyAlignment="1">
      <alignment vertical="center"/>
    </xf>
    <xf numFmtId="4" fontId="69" fillId="0" borderId="51" xfId="0" applyNumberFormat="1" applyFont="1" applyBorder="1" applyAlignment="1">
      <alignment horizontal="right" vertical="center" indent="1"/>
    </xf>
    <xf numFmtId="165" fontId="69" fillId="0" borderId="7" xfId="149" applyFont="1" applyBorder="1" applyAlignment="1">
      <alignment horizontal="right" vertical="center"/>
    </xf>
    <xf numFmtId="165" fontId="69" fillId="0" borderId="7" xfId="150" applyFont="1" applyBorder="1" applyAlignment="1">
      <alignment horizontal="right" vertical="center"/>
    </xf>
    <xf numFmtId="165" fontId="69" fillId="0" borderId="7" xfId="151" applyFont="1" applyBorder="1" applyAlignment="1">
      <alignment horizontal="right" vertical="center"/>
    </xf>
    <xf numFmtId="165" fontId="69" fillId="0" borderId="7" xfId="152" applyFont="1" applyBorder="1" applyAlignment="1">
      <alignment horizontal="right" vertical="center"/>
    </xf>
    <xf numFmtId="165" fontId="69" fillId="0" borderId="7" xfId="153" applyFont="1" applyBorder="1" applyAlignment="1">
      <alignment horizontal="right" vertical="center"/>
    </xf>
    <xf numFmtId="43" fontId="76" fillId="0" borderId="7" xfId="0" applyNumberFormat="1" applyFont="1" applyBorder="1" applyAlignment="1">
      <alignment horizontal="left" vertical="center" indent="1"/>
    </xf>
    <xf numFmtId="165" fontId="69" fillId="0" borderId="7" xfId="154" applyFont="1" applyBorder="1" applyAlignment="1">
      <alignment horizontal="right" vertical="center"/>
    </xf>
    <xf numFmtId="166" fontId="68" fillId="0" borderId="68" xfId="2" applyNumberFormat="1" applyFont="1" applyFill="1" applyBorder="1" applyAlignment="1">
      <alignment vertical="center"/>
    </xf>
    <xf numFmtId="4" fontId="0" fillId="0" borderId="14" xfId="2" applyNumberFormat="1" applyFont="1" applyFill="1" applyBorder="1" applyAlignment="1">
      <alignment vertical="center"/>
    </xf>
    <xf numFmtId="0" fontId="68" fillId="0" borderId="14" xfId="0" applyFont="1" applyBorder="1" applyAlignment="1">
      <alignment vertical="center"/>
    </xf>
    <xf numFmtId="0" fontId="68" fillId="0" borderId="14" xfId="0" applyFont="1" applyBorder="1"/>
    <xf numFmtId="166" fontId="94" fillId="0" borderId="14" xfId="2" applyNumberFormat="1" applyFont="1" applyFill="1" applyBorder="1" applyAlignment="1">
      <alignment horizontal="right" vertical="center"/>
    </xf>
    <xf numFmtId="0" fontId="68" fillId="0" borderId="40" xfId="0" applyFont="1" applyBorder="1" applyAlignment="1">
      <alignment horizontal="center" vertical="center" wrapText="1"/>
    </xf>
    <xf numFmtId="166" fontId="68" fillId="0" borderId="40" xfId="2" applyNumberFormat="1" applyFont="1" applyBorder="1"/>
    <xf numFmtId="166" fontId="68" fillId="0" borderId="123" xfId="2" applyNumberFormat="1" applyFont="1" applyBorder="1"/>
    <xf numFmtId="166" fontId="76" fillId="0" borderId="123" xfId="2" applyNumberFormat="1" applyFont="1" applyBorder="1"/>
    <xf numFmtId="4" fontId="0" fillId="0" borderId="0" xfId="2" applyNumberFormat="1" applyFont="1" applyFill="1" applyBorder="1" applyAlignment="1">
      <alignment vertical="top"/>
    </xf>
    <xf numFmtId="166" fontId="0" fillId="0" borderId="0" xfId="2" applyNumberFormat="1" applyFont="1" applyFill="1" applyBorder="1" applyAlignment="1">
      <alignment vertical="top"/>
    </xf>
    <xf numFmtId="43" fontId="76" fillId="8" borderId="53" xfId="0" applyNumberFormat="1" applyFont="1" applyFill="1" applyBorder="1" applyAlignment="1">
      <alignment horizontal="left" vertical="center" indent="1"/>
    </xf>
    <xf numFmtId="4" fontId="76" fillId="0" borderId="28" xfId="2" applyNumberFormat="1" applyFont="1" applyFill="1" applyBorder="1" applyAlignment="1">
      <alignment vertical="center"/>
    </xf>
    <xf numFmtId="4" fontId="72" fillId="0" borderId="51" xfId="2" applyNumberFormat="1" applyFont="1" applyFill="1" applyBorder="1" applyAlignment="1">
      <alignment vertical="center"/>
    </xf>
    <xf numFmtId="4" fontId="76" fillId="0" borderId="123" xfId="2" applyNumberFormat="1" applyFont="1" applyBorder="1"/>
    <xf numFmtId="0" fontId="76" fillId="0" borderId="0" xfId="0" applyFont="1" applyFill="1"/>
    <xf numFmtId="49" fontId="76" fillId="0" borderId="14" xfId="0" applyNumberFormat="1" applyFont="1" applyFill="1" applyBorder="1" applyAlignment="1">
      <alignment horizontal="center" vertical="center"/>
    </xf>
    <xf numFmtId="166" fontId="68" fillId="0" borderId="14" xfId="18" applyNumberFormat="1" applyFont="1" applyFill="1" applyBorder="1" applyAlignment="1">
      <alignment vertical="center"/>
    </xf>
    <xf numFmtId="41" fontId="76" fillId="0" borderId="0" xfId="2" applyFont="1" applyFill="1"/>
    <xf numFmtId="0" fontId="25" fillId="0" borderId="0" xfId="0" applyFont="1" applyAlignment="1">
      <alignment horizontal="center" wrapText="1"/>
    </xf>
    <xf numFmtId="41" fontId="70" fillId="0" borderId="0" xfId="18" applyFont="1"/>
    <xf numFmtId="41" fontId="72" fillId="0" borderId="0" xfId="18" applyFont="1" applyAlignment="1">
      <alignment vertical="center"/>
    </xf>
    <xf numFmtId="0" fontId="74" fillId="0" borderId="5" xfId="0" applyFont="1" applyBorder="1" applyAlignment="1">
      <alignment horizontal="center" vertical="center"/>
    </xf>
    <xf numFmtId="0" fontId="73" fillId="0" borderId="5" xfId="0" applyFont="1" applyBorder="1" applyAlignment="1">
      <alignment horizontal="center" vertical="center"/>
    </xf>
    <xf numFmtId="39" fontId="73" fillId="0" borderId="53" xfId="0" applyNumberFormat="1" applyFont="1" applyBorder="1" applyAlignment="1">
      <alignment vertical="center"/>
    </xf>
    <xf numFmtId="39" fontId="11" fillId="0" borderId="68" xfId="0" applyNumberFormat="1" applyFont="1" applyBorder="1" applyAlignment="1">
      <alignment vertical="center"/>
    </xf>
    <xf numFmtId="39" fontId="73" fillId="0" borderId="68" xfId="0" applyNumberFormat="1" applyFont="1" applyBorder="1" applyAlignment="1">
      <alignment vertical="center"/>
    </xf>
    <xf numFmtId="166" fontId="75" fillId="0" borderId="7" xfId="11" applyNumberFormat="1" applyFont="1" applyBorder="1" applyAlignment="1">
      <alignment vertical="center"/>
    </xf>
    <xf numFmtId="39" fontId="75" fillId="0" borderId="7" xfId="0" applyNumberFormat="1" applyFont="1" applyBorder="1" applyAlignment="1">
      <alignment vertical="top"/>
    </xf>
    <xf numFmtId="4" fontId="75" fillId="0" borderId="5" xfId="0" applyNumberFormat="1" applyFont="1" applyBorder="1" applyAlignment="1">
      <alignment horizontal="right" vertical="center"/>
    </xf>
    <xf numFmtId="39" fontId="75" fillId="0" borderId="7" xfId="0" applyNumberFormat="1" applyFont="1" applyBorder="1" applyAlignment="1">
      <alignment horizontal="right" vertical="center"/>
    </xf>
    <xf numFmtId="39" fontId="75" fillId="0" borderId="7" xfId="0" applyNumberFormat="1" applyFont="1" applyBorder="1" applyAlignment="1">
      <alignment vertical="center"/>
    </xf>
    <xf numFmtId="0" fontId="75" fillId="0" borderId="23" xfId="0" applyFont="1" applyBorder="1" applyAlignment="1">
      <alignment vertical="center"/>
    </xf>
    <xf numFmtId="39" fontId="73" fillId="0" borderId="7" xfId="0" applyNumberFormat="1" applyFont="1" applyBorder="1" applyAlignment="1">
      <alignment vertical="center"/>
    </xf>
    <xf numFmtId="166" fontId="75" fillId="0" borderId="7" xfId="11" applyNumberFormat="1" applyFont="1" applyBorder="1" applyAlignment="1">
      <alignment horizontal="right" vertical="center"/>
    </xf>
    <xf numFmtId="39" fontId="73" fillId="0" borderId="7" xfId="0" applyNumberFormat="1" applyFont="1" applyBorder="1" applyAlignment="1">
      <alignment horizontal="right" vertical="center"/>
    </xf>
    <xf numFmtId="39" fontId="75" fillId="0" borderId="1" xfId="0" applyNumberFormat="1" applyFont="1" applyBorder="1" applyAlignment="1">
      <alignment vertical="top"/>
    </xf>
    <xf numFmtId="39" fontId="75" fillId="0" borderId="1" xfId="0" applyNumberFormat="1" applyFont="1" applyBorder="1" applyAlignment="1">
      <alignment vertical="center"/>
    </xf>
    <xf numFmtId="4" fontId="75" fillId="0" borderId="7" xfId="0" applyNumberFormat="1" applyFont="1" applyBorder="1" applyAlignment="1">
      <alignment horizontal="right"/>
    </xf>
    <xf numFmtId="39" fontId="73" fillId="0" borderId="7" xfId="0" applyNumberFormat="1" applyFont="1" applyBorder="1" applyAlignment="1">
      <alignment vertical="top"/>
    </xf>
    <xf numFmtId="166" fontId="75" fillId="0" borderId="5" xfId="11" applyNumberFormat="1" applyFont="1" applyBorder="1" applyAlignment="1">
      <alignment vertical="center"/>
    </xf>
    <xf numFmtId="2" fontId="75" fillId="0" borderId="5" xfId="0" applyNumberFormat="1" applyFont="1" applyBorder="1" applyAlignment="1">
      <alignment vertical="center"/>
    </xf>
    <xf numFmtId="0" fontId="75" fillId="0" borderId="7" xfId="0" applyFont="1" applyBorder="1" applyAlignment="1">
      <alignment vertical="top" wrapText="1"/>
    </xf>
    <xf numFmtId="2" fontId="73" fillId="0" borderId="5" xfId="0" applyNumberFormat="1" applyFont="1" applyBorder="1" applyAlignment="1">
      <alignment vertical="center"/>
    </xf>
    <xf numFmtId="166" fontId="75" fillId="0" borderId="1" xfId="11" applyNumberFormat="1" applyFont="1" applyBorder="1" applyAlignment="1">
      <alignment vertical="center"/>
    </xf>
    <xf numFmtId="39" fontId="75" fillId="0" borderId="1" xfId="0" applyNumberFormat="1" applyFont="1" applyBorder="1" applyAlignment="1">
      <alignment horizontal="right" vertical="center"/>
    </xf>
    <xf numFmtId="39" fontId="59" fillId="0" borderId="14" xfId="0" applyNumberFormat="1" applyFont="1" applyBorder="1" applyAlignment="1">
      <alignment horizontal="right" vertical="center"/>
    </xf>
    <xf numFmtId="39" fontId="59" fillId="0" borderId="13" xfId="0" applyNumberFormat="1" applyFont="1" applyBorder="1" applyAlignment="1">
      <alignment vertical="center"/>
    </xf>
    <xf numFmtId="0" fontId="72" fillId="0" borderId="13" xfId="0" applyFont="1" applyBorder="1"/>
    <xf numFmtId="0" fontId="74" fillId="0" borderId="24" xfId="0" applyFont="1" applyBorder="1"/>
    <xf numFmtId="0" fontId="74" fillId="0" borderId="24" xfId="0" applyFont="1" applyBorder="1" applyAlignment="1">
      <alignment vertical="center"/>
    </xf>
    <xf numFmtId="0" fontId="59" fillId="0" borderId="7" xfId="0" applyFont="1" applyBorder="1" applyAlignment="1">
      <alignment vertical="center" wrapText="1"/>
    </xf>
    <xf numFmtId="39" fontId="73" fillId="0" borderId="53" xfId="0" applyNumberFormat="1" applyFont="1" applyBorder="1" applyAlignment="1">
      <alignment vertical="top"/>
    </xf>
    <xf numFmtId="39" fontId="73" fillId="0" borderId="1" xfId="0" applyNumberFormat="1" applyFont="1" applyBorder="1" applyAlignment="1">
      <alignment vertical="top"/>
    </xf>
    <xf numFmtId="39" fontId="11" fillId="0" borderId="1" xfId="0" applyNumberFormat="1" applyFont="1" applyBorder="1" applyAlignment="1">
      <alignment vertical="center"/>
    </xf>
    <xf numFmtId="165" fontId="75" fillId="0" borderId="5" xfId="0" applyNumberFormat="1" applyFont="1" applyBorder="1"/>
    <xf numFmtId="165" fontId="75" fillId="0" borderId="5" xfId="0" applyNumberFormat="1" applyFont="1" applyBorder="1" applyAlignment="1">
      <alignment vertical="center"/>
    </xf>
    <xf numFmtId="0" fontId="74" fillId="0" borderId="0" xfId="0" applyFont="1" applyBorder="1" applyAlignment="1">
      <alignment horizontal="left" vertical="center"/>
    </xf>
    <xf numFmtId="0" fontId="74" fillId="0" borderId="0" xfId="0" applyFont="1" applyBorder="1" applyAlignment="1">
      <alignment vertical="top" wrapText="1"/>
    </xf>
    <xf numFmtId="0" fontId="74" fillId="0" borderId="0" xfId="0" applyFont="1" applyBorder="1" applyAlignment="1">
      <alignment vertical="center"/>
    </xf>
    <xf numFmtId="0" fontId="0" fillId="0" borderId="0" xfId="0" applyFont="1" applyBorder="1" applyAlignment="1"/>
    <xf numFmtId="39" fontId="73" fillId="0" borderId="1" xfId="0" applyNumberFormat="1" applyFont="1" applyBorder="1" applyAlignment="1">
      <alignment horizontal="center" vertical="center"/>
    </xf>
    <xf numFmtId="4" fontId="73" fillId="0" borderId="1" xfId="0" applyNumberFormat="1" applyFont="1" applyBorder="1" applyAlignment="1">
      <alignment horizontal="center" vertical="center"/>
    </xf>
    <xf numFmtId="4" fontId="73" fillId="0" borderId="5" xfId="0" applyNumberFormat="1" applyFont="1" applyBorder="1" applyAlignment="1">
      <alignment horizontal="center" vertical="center"/>
    </xf>
    <xf numFmtId="39" fontId="59" fillId="0" borderId="7" xfId="0" applyNumberFormat="1" applyFont="1" applyBorder="1" applyAlignment="1">
      <alignment horizontal="center" vertical="center"/>
    </xf>
    <xf numFmtId="4" fontId="75" fillId="0" borderId="5" xfId="0" applyNumberFormat="1" applyFont="1" applyBorder="1" applyAlignment="1">
      <alignment horizontal="center" vertical="center"/>
    </xf>
    <xf numFmtId="4" fontId="75" fillId="0" borderId="7" xfId="0" applyNumberFormat="1" applyFont="1" applyBorder="1" applyAlignment="1">
      <alignment horizontal="center" vertical="center"/>
    </xf>
    <xf numFmtId="39" fontId="11" fillId="0" borderId="7" xfId="0" applyNumberFormat="1" applyFont="1" applyBorder="1" applyAlignment="1">
      <alignment horizontal="center" vertical="center"/>
    </xf>
    <xf numFmtId="0" fontId="75" fillId="0" borderId="5" xfId="0" applyFont="1" applyBorder="1" applyAlignment="1">
      <alignment horizontal="center" vertical="center"/>
    </xf>
    <xf numFmtId="4" fontId="75" fillId="0" borderId="1" xfId="0" applyNumberFormat="1" applyFont="1" applyBorder="1" applyAlignment="1">
      <alignment horizontal="center" vertical="center"/>
    </xf>
    <xf numFmtId="4" fontId="73" fillId="0" borderId="7" xfId="0" applyNumberFormat="1" applyFont="1" applyBorder="1" applyAlignment="1">
      <alignment horizontal="center" vertical="center"/>
    </xf>
    <xf numFmtId="39" fontId="59" fillId="0" borderId="1" xfId="0" applyNumberFormat="1" applyFont="1" applyBorder="1" applyAlignment="1">
      <alignment horizontal="center" vertical="center"/>
    </xf>
    <xf numFmtId="2" fontId="75" fillId="0" borderId="5" xfId="0" applyNumberFormat="1" applyFont="1" applyBorder="1" applyAlignment="1">
      <alignment horizontal="center" vertical="center"/>
    </xf>
    <xf numFmtId="0" fontId="75" fillId="0" borderId="7" xfId="0" applyFont="1" applyBorder="1" applyAlignment="1">
      <alignment horizontal="center" vertical="center"/>
    </xf>
    <xf numFmtId="39" fontId="59" fillId="0" borderId="5" xfId="0" applyNumberFormat="1" applyFont="1" applyBorder="1" applyAlignment="1">
      <alignment horizontal="center" vertical="center"/>
    </xf>
    <xf numFmtId="2" fontId="73" fillId="0" borderId="5" xfId="0" applyNumberFormat="1" applyFont="1" applyBorder="1" applyAlignment="1">
      <alignment horizontal="center" vertical="center"/>
    </xf>
    <xf numFmtId="0" fontId="74" fillId="0" borderId="1" xfId="0" applyFont="1" applyBorder="1" applyAlignment="1">
      <alignment horizontal="center" vertical="center"/>
    </xf>
    <xf numFmtId="39" fontId="11" fillId="0" borderId="1" xfId="0" applyNumberFormat="1" applyFont="1" applyBorder="1" applyAlignment="1">
      <alignment horizontal="center" vertical="center"/>
    </xf>
    <xf numFmtId="0" fontId="74" fillId="0" borderId="14" xfId="0" applyFont="1" applyBorder="1" applyAlignment="1">
      <alignment horizontal="center" vertical="center"/>
    </xf>
    <xf numFmtId="39" fontId="73" fillId="0" borderId="17" xfId="0" applyNumberFormat="1" applyFont="1" applyBorder="1" applyAlignment="1">
      <alignment horizontal="center" vertical="center"/>
    </xf>
    <xf numFmtId="4" fontId="73" fillId="0" borderId="17" xfId="0" applyNumberFormat="1" applyFont="1" applyBorder="1" applyAlignment="1">
      <alignment horizontal="center" vertical="center"/>
    </xf>
    <xf numFmtId="0" fontId="74" fillId="0" borderId="86" xfId="0" applyFont="1" applyBorder="1" applyAlignment="1">
      <alignment horizontal="center" vertical="center"/>
    </xf>
    <xf numFmtId="0" fontId="74" fillId="0" borderId="0" xfId="0" applyFont="1" applyBorder="1" applyAlignment="1">
      <alignment horizontal="center" vertical="center"/>
    </xf>
    <xf numFmtId="0" fontId="80" fillId="0" borderId="0" xfId="0" applyFont="1" applyBorder="1" applyAlignment="1">
      <alignment horizontal="center" vertical="center"/>
    </xf>
    <xf numFmtId="0" fontId="74" fillId="0" borderId="75" xfId="0" applyFont="1" applyBorder="1" applyAlignment="1">
      <alignment horizontal="center" vertical="center"/>
    </xf>
    <xf numFmtId="0" fontId="25" fillId="0" borderId="0" xfId="0" applyFont="1" applyAlignment="1">
      <alignment horizontal="right" vertical="center"/>
    </xf>
    <xf numFmtId="0" fontId="111" fillId="0" borderId="0" xfId="0" applyFont="1" applyAlignment="1">
      <alignment horizontal="right" vertical="center"/>
    </xf>
    <xf numFmtId="49" fontId="74" fillId="0" borderId="17" xfId="0" applyNumberFormat="1" applyFont="1" applyBorder="1" applyAlignment="1">
      <alignment horizontal="right" vertical="center"/>
    </xf>
    <xf numFmtId="0" fontId="74" fillId="0" borderId="5" xfId="0" applyFont="1" applyBorder="1" applyAlignment="1">
      <alignment horizontal="right" vertical="center"/>
    </xf>
    <xf numFmtId="39" fontId="73" fillId="0" borderId="1" xfId="0" applyNumberFormat="1" applyFont="1" applyBorder="1" applyAlignment="1">
      <alignment horizontal="right" vertical="center"/>
    </xf>
    <xf numFmtId="39" fontId="11" fillId="0" borderId="68" xfId="0" applyNumberFormat="1" applyFont="1" applyBorder="1" applyAlignment="1">
      <alignment horizontal="right" vertical="center"/>
    </xf>
    <xf numFmtId="39" fontId="73" fillId="0" borderId="68" xfId="0" applyNumberFormat="1" applyFont="1" applyBorder="1" applyAlignment="1">
      <alignment horizontal="right" vertical="center"/>
    </xf>
    <xf numFmtId="39" fontId="59" fillId="0" borderId="1" xfId="0" applyNumberFormat="1" applyFont="1" applyBorder="1" applyAlignment="1">
      <alignment horizontal="right" vertical="center"/>
    </xf>
    <xf numFmtId="166" fontId="75" fillId="0" borderId="5" xfId="11" applyNumberFormat="1" applyFont="1" applyBorder="1" applyAlignment="1">
      <alignment horizontal="right" vertical="center"/>
    </xf>
    <xf numFmtId="166" fontId="75" fillId="0" borderId="1" xfId="11" applyNumberFormat="1" applyFont="1" applyBorder="1" applyAlignment="1">
      <alignment horizontal="right" vertical="center"/>
    </xf>
    <xf numFmtId="39" fontId="59" fillId="0" borderId="13" xfId="0" applyNumberFormat="1" applyFont="1" applyBorder="1" applyAlignment="1">
      <alignment horizontal="right" vertical="center"/>
    </xf>
    <xf numFmtId="0" fontId="72" fillId="0" borderId="13" xfId="0" applyFont="1" applyBorder="1" applyAlignment="1">
      <alignment horizontal="right" vertical="center"/>
    </xf>
    <xf numFmtId="39" fontId="12" fillId="0" borderId="1" xfId="0" applyNumberFormat="1" applyFont="1" applyBorder="1" applyAlignment="1">
      <alignment horizontal="right" vertical="center"/>
    </xf>
    <xf numFmtId="39" fontId="11" fillId="0" borderId="1" xfId="0" applyNumberFormat="1" applyFont="1" applyBorder="1" applyAlignment="1">
      <alignment horizontal="right" vertical="center"/>
    </xf>
    <xf numFmtId="39" fontId="12" fillId="0" borderId="14" xfId="0" applyNumberFormat="1" applyFont="1" applyBorder="1" applyAlignment="1">
      <alignment horizontal="right" vertical="center"/>
    </xf>
    <xf numFmtId="166" fontId="74" fillId="0" borderId="1" xfId="11" applyNumberFormat="1" applyFont="1" applyBorder="1" applyAlignment="1">
      <alignment horizontal="right" vertical="center"/>
    </xf>
    <xf numFmtId="39" fontId="59" fillId="0" borderId="5" xfId="0" applyNumberFormat="1" applyFont="1" applyBorder="1" applyAlignment="1">
      <alignment horizontal="right" vertical="center"/>
    </xf>
    <xf numFmtId="0" fontId="74" fillId="0" borderId="14" xfId="0" applyFont="1" applyBorder="1" applyAlignment="1">
      <alignment horizontal="right" vertical="center"/>
    </xf>
    <xf numFmtId="39" fontId="73" fillId="0" borderId="17" xfId="0" applyNumberFormat="1" applyFont="1" applyBorder="1" applyAlignment="1">
      <alignment horizontal="right" vertical="center"/>
    </xf>
    <xf numFmtId="0" fontId="74" fillId="0" borderId="86" xfId="0" applyFont="1" applyBorder="1" applyAlignment="1">
      <alignment horizontal="right" vertical="center"/>
    </xf>
    <xf numFmtId="0" fontId="74" fillId="0" borderId="0" xfId="0" applyFont="1" applyBorder="1" applyAlignment="1">
      <alignment horizontal="right" vertical="center"/>
    </xf>
    <xf numFmtId="0" fontId="0" fillId="0" borderId="0" xfId="0" applyFont="1" applyBorder="1" applyAlignment="1">
      <alignment horizontal="right" vertical="center"/>
    </xf>
    <xf numFmtId="0" fontId="80" fillId="0" borderId="0" xfId="0" applyFont="1" applyBorder="1" applyAlignment="1">
      <alignment horizontal="right" vertical="center"/>
    </xf>
    <xf numFmtId="0" fontId="74" fillId="0" borderId="75" xfId="0" applyFont="1" applyBorder="1" applyAlignment="1">
      <alignment horizontal="right" vertical="center"/>
    </xf>
    <xf numFmtId="0" fontId="73" fillId="0" borderId="0" xfId="0" applyFont="1" applyAlignment="1">
      <alignment horizontal="center" vertical="center"/>
    </xf>
    <xf numFmtId="0" fontId="74" fillId="0" borderId="0" xfId="0" applyFont="1" applyAlignment="1">
      <alignment horizontal="center" vertical="center"/>
    </xf>
    <xf numFmtId="0" fontId="105" fillId="0" borderId="0" xfId="0" applyFont="1" applyAlignment="1">
      <alignment horizontal="center" vertical="center"/>
    </xf>
    <xf numFmtId="166" fontId="73" fillId="0" borderId="0" xfId="11" applyNumberFormat="1" applyFont="1" applyAlignment="1">
      <alignment horizontal="center" vertical="center"/>
    </xf>
    <xf numFmtId="0" fontId="73" fillId="0" borderId="75" xfId="0" applyFont="1" applyBorder="1" applyAlignment="1">
      <alignment horizontal="center" vertical="center"/>
    </xf>
    <xf numFmtId="166" fontId="86" fillId="0" borderId="0" xfId="2" applyNumberFormat="1" applyFont="1"/>
    <xf numFmtId="166" fontId="98" fillId="0" borderId="0" xfId="0" applyNumberFormat="1" applyFont="1"/>
    <xf numFmtId="43" fontId="72" fillId="0" borderId="52" xfId="0" applyNumberFormat="1" applyFont="1" applyFill="1" applyBorder="1" applyAlignment="1">
      <alignment horizontal="right" vertical="center" indent="1"/>
    </xf>
    <xf numFmtId="4" fontId="72" fillId="10" borderId="14" xfId="0" applyNumberFormat="1" applyFont="1" applyFill="1" applyBorder="1" applyAlignment="1">
      <alignment vertical="center"/>
    </xf>
    <xf numFmtId="43" fontId="76" fillId="0" borderId="52" xfId="0" applyNumberFormat="1" applyFont="1" applyFill="1" applyBorder="1" applyAlignment="1">
      <alignment horizontal="right" vertical="center" indent="1"/>
    </xf>
    <xf numFmtId="43" fontId="76" fillId="0" borderId="1" xfId="0" applyNumberFormat="1" applyFont="1" applyFill="1" applyBorder="1" applyAlignment="1">
      <alignment horizontal="left" vertical="center" indent="1"/>
    </xf>
    <xf numFmtId="0" fontId="100" fillId="0" borderId="51" xfId="0" applyFont="1" applyBorder="1"/>
    <xf numFmtId="4" fontId="72" fillId="0" borderId="1" xfId="0" applyNumberFormat="1" applyFont="1" applyBorder="1" applyAlignment="1">
      <alignment horizontal="right" vertical="center"/>
    </xf>
    <xf numFmtId="166" fontId="76" fillId="0" borderId="14" xfId="2" applyNumberFormat="1" applyFont="1" applyFill="1" applyBorder="1" applyAlignment="1">
      <alignment vertical="center"/>
    </xf>
    <xf numFmtId="4" fontId="72" fillId="0" borderId="1" xfId="18" applyNumberFormat="1" applyFont="1" applyFill="1" applyBorder="1" applyAlignment="1">
      <alignment vertical="center"/>
    </xf>
    <xf numFmtId="166" fontId="70" fillId="0" borderId="51" xfId="18" applyNumberFormat="1" applyFont="1" applyBorder="1" applyAlignment="1">
      <alignment vertical="center"/>
    </xf>
    <xf numFmtId="166" fontId="72" fillId="0" borderId="51" xfId="18" applyNumberFormat="1" applyFont="1" applyBorder="1" applyAlignment="1">
      <alignment horizontal="right" vertical="center"/>
    </xf>
    <xf numFmtId="4" fontId="72" fillId="0" borderId="51" xfId="18" applyNumberFormat="1" applyFont="1" applyBorder="1" applyAlignment="1">
      <alignment vertical="center"/>
    </xf>
    <xf numFmtId="166" fontId="72" fillId="0" borderId="53" xfId="2" applyNumberFormat="1" applyFont="1" applyFill="1" applyBorder="1" applyAlignment="1">
      <alignment vertical="center"/>
    </xf>
    <xf numFmtId="166" fontId="69" fillId="0" borderId="53" xfId="2" applyNumberFormat="1" applyFont="1" applyFill="1" applyBorder="1" applyAlignment="1">
      <alignment vertical="center"/>
    </xf>
    <xf numFmtId="166" fontId="72" fillId="0" borderId="53" xfId="2" applyNumberFormat="1" applyFont="1" applyBorder="1" applyAlignment="1">
      <alignment horizontal="right" vertical="center"/>
    </xf>
    <xf numFmtId="4" fontId="72" fillId="0" borderId="53" xfId="2" applyNumberFormat="1" applyFont="1" applyBorder="1" applyAlignment="1">
      <alignment vertical="center"/>
    </xf>
    <xf numFmtId="4" fontId="72" fillId="0" borderId="53" xfId="18" applyNumberFormat="1" applyFont="1" applyFill="1" applyBorder="1" applyAlignment="1">
      <alignment vertical="center"/>
    </xf>
    <xf numFmtId="166" fontId="70" fillId="0" borderId="53" xfId="18" applyNumberFormat="1" applyFont="1" applyBorder="1" applyAlignment="1">
      <alignment vertical="center"/>
    </xf>
    <xf numFmtId="166" fontId="72" fillId="0" borderId="53" xfId="18" applyNumberFormat="1" applyFont="1" applyBorder="1" applyAlignment="1">
      <alignment horizontal="right" vertical="center"/>
    </xf>
    <xf numFmtId="4" fontId="72" fillId="0" borderId="53" xfId="18" applyNumberFormat="1" applyFont="1" applyBorder="1" applyAlignment="1">
      <alignment vertical="center"/>
    </xf>
    <xf numFmtId="166" fontId="76" fillId="0" borderId="1" xfId="2" applyNumberFormat="1" applyFont="1" applyFill="1" applyBorder="1" applyAlignment="1">
      <alignment vertical="center"/>
    </xf>
    <xf numFmtId="166" fontId="70" fillId="0" borderId="7" xfId="18" applyNumberFormat="1" applyFont="1" applyBorder="1" applyAlignment="1">
      <alignment vertical="center"/>
    </xf>
    <xf numFmtId="166" fontId="72" fillId="0" borderId="7" xfId="18" applyNumberFormat="1" applyFont="1" applyBorder="1" applyAlignment="1">
      <alignment horizontal="right" vertical="center"/>
    </xf>
    <xf numFmtId="4" fontId="72" fillId="0" borderId="7" xfId="18" applyNumberFormat="1" applyFont="1" applyBorder="1" applyAlignment="1">
      <alignment vertical="center"/>
    </xf>
    <xf numFmtId="166" fontId="70" fillId="0" borderId="14" xfId="18" applyNumberFormat="1" applyFont="1" applyBorder="1" applyAlignment="1">
      <alignment vertical="center"/>
    </xf>
    <xf numFmtId="166" fontId="72" fillId="0" borderId="14" xfId="18" applyNumberFormat="1" applyFont="1" applyBorder="1" applyAlignment="1">
      <alignment horizontal="right" vertical="center"/>
    </xf>
    <xf numFmtId="4" fontId="72" fillId="0" borderId="14" xfId="18" applyNumberFormat="1" applyFont="1" applyBorder="1" applyAlignment="1">
      <alignment vertical="center"/>
    </xf>
    <xf numFmtId="4" fontId="72" fillId="0" borderId="5" xfId="2" applyNumberFormat="1" applyFont="1" applyBorder="1" applyAlignment="1">
      <alignment vertical="center"/>
    </xf>
    <xf numFmtId="4" fontId="72" fillId="0" borderId="5" xfId="18" applyNumberFormat="1" applyFont="1" applyFill="1" applyBorder="1" applyAlignment="1">
      <alignment vertical="center"/>
    </xf>
    <xf numFmtId="166" fontId="70" fillId="0" borderId="5" xfId="18" applyNumberFormat="1" applyFont="1" applyBorder="1" applyAlignment="1">
      <alignment vertical="center"/>
    </xf>
    <xf numFmtId="166" fontId="72" fillId="0" borderId="5" xfId="18" applyNumberFormat="1" applyFont="1" applyBorder="1" applyAlignment="1">
      <alignment horizontal="right" vertical="center"/>
    </xf>
    <xf numFmtId="4" fontId="72" fillId="0" borderId="5" xfId="18" applyNumberFormat="1" applyFont="1" applyBorder="1" applyAlignment="1">
      <alignment vertical="center"/>
    </xf>
    <xf numFmtId="4" fontId="72" fillId="0" borderId="1" xfId="2" applyNumberFormat="1" applyFont="1" applyBorder="1" applyAlignment="1">
      <alignment vertical="center"/>
    </xf>
    <xf numFmtId="166" fontId="70" fillId="0" borderId="1" xfId="18" applyNumberFormat="1" applyFont="1" applyBorder="1" applyAlignment="1">
      <alignment vertical="center"/>
    </xf>
    <xf numFmtId="166" fontId="72" fillId="0" borderId="1" xfId="18" applyNumberFormat="1" applyFont="1" applyBorder="1" applyAlignment="1">
      <alignment horizontal="right" vertical="center"/>
    </xf>
    <xf numFmtId="4" fontId="72" fillId="0" borderId="1" xfId="18" applyNumberFormat="1" applyFont="1" applyBorder="1" applyAlignment="1">
      <alignment vertical="center"/>
    </xf>
    <xf numFmtId="166" fontId="72" fillId="0" borderId="1" xfId="18" applyNumberFormat="1" applyFont="1" applyFill="1" applyBorder="1" applyAlignment="1">
      <alignment vertical="center"/>
    </xf>
    <xf numFmtId="166" fontId="72" fillId="0" borderId="7" xfId="18" applyNumberFormat="1" applyFont="1" applyFill="1" applyBorder="1" applyAlignment="1">
      <alignment vertical="center"/>
    </xf>
    <xf numFmtId="4" fontId="72" fillId="0" borderId="5" xfId="2" applyNumberFormat="1" applyFont="1" applyBorder="1" applyAlignment="1">
      <alignment horizontal="right" vertical="center"/>
    </xf>
    <xf numFmtId="0" fontId="15" fillId="0" borderId="0" xfId="0" applyFont="1" applyAlignment="1">
      <alignment vertical="top"/>
    </xf>
    <xf numFmtId="39" fontId="59" fillId="0" borderId="0" xfId="0" applyNumberFormat="1" applyFont="1" applyAlignment="1">
      <alignment vertical="top"/>
    </xf>
    <xf numFmtId="0" fontId="59" fillId="0" borderId="7" xfId="0" applyFont="1" applyBorder="1" applyAlignment="1">
      <alignment vertical="top"/>
    </xf>
    <xf numFmtId="0" fontId="59" fillId="0" borderId="0" xfId="0" applyFont="1" applyAlignment="1">
      <alignment vertical="top"/>
    </xf>
    <xf numFmtId="49" fontId="73" fillId="0" borderId="14" xfId="0" applyNumberFormat="1" applyFont="1" applyBorder="1" applyAlignment="1">
      <alignment horizontal="center" vertical="center"/>
    </xf>
    <xf numFmtId="0" fontId="73" fillId="0" borderId="53" xfId="0" applyFont="1" applyBorder="1" applyAlignment="1">
      <alignment horizontal="center" vertical="center"/>
    </xf>
    <xf numFmtId="0" fontId="73" fillId="0" borderId="1" xfId="0" applyFont="1" applyBorder="1" applyAlignment="1">
      <alignment horizontal="center" vertical="center"/>
    </xf>
    <xf numFmtId="0" fontId="75" fillId="0" borderId="130" xfId="0" applyFont="1" applyBorder="1" applyAlignment="1">
      <alignment horizontal="center" vertical="center"/>
    </xf>
    <xf numFmtId="39" fontId="59" fillId="0" borderId="7" xfId="0" applyNumberFormat="1" applyFont="1" applyBorder="1" applyAlignment="1">
      <alignment vertical="top"/>
    </xf>
    <xf numFmtId="0" fontId="11" fillId="0" borderId="7" xfId="0" applyFont="1" applyBorder="1" applyAlignment="1">
      <alignment vertical="top"/>
    </xf>
    <xf numFmtId="39" fontId="59" fillId="0" borderId="0" xfId="0" applyNumberFormat="1" applyFont="1" applyAlignment="1">
      <alignment horizontal="right" vertical="top"/>
    </xf>
    <xf numFmtId="39" fontId="59" fillId="0" borderId="7" xfId="0" applyNumberFormat="1" applyFont="1" applyBorder="1" applyAlignment="1">
      <alignment horizontal="right" vertical="top"/>
    </xf>
    <xf numFmtId="0" fontId="25" fillId="0" borderId="0" xfId="0" applyFont="1" applyAlignment="1"/>
    <xf numFmtId="49" fontId="74" fillId="0" borderId="17" xfId="0" applyNumberFormat="1" applyFont="1" applyBorder="1" applyAlignment="1">
      <alignment vertical="center"/>
    </xf>
    <xf numFmtId="0" fontId="74" fillId="0" borderId="5" xfId="0" applyFont="1" applyBorder="1" applyAlignment="1"/>
    <xf numFmtId="0" fontId="74" fillId="0" borderId="14" xfId="0" applyFont="1" applyBorder="1" applyAlignment="1"/>
    <xf numFmtId="0" fontId="74" fillId="0" borderId="86" xfId="0" applyFont="1" applyBorder="1" applyAlignment="1"/>
    <xf numFmtId="0" fontId="74" fillId="0" borderId="75" xfId="0" applyFont="1" applyBorder="1" applyAlignment="1"/>
    <xf numFmtId="39" fontId="59" fillId="0" borderId="1" xfId="0" applyNumberFormat="1" applyFont="1" applyBorder="1" applyAlignment="1">
      <alignment vertical="center"/>
    </xf>
    <xf numFmtId="39" fontId="73" fillId="0" borderId="5" xfId="0" applyNumberFormat="1" applyFont="1" applyBorder="1" applyAlignment="1">
      <alignment vertical="top"/>
    </xf>
    <xf numFmtId="0" fontId="11" fillId="0" borderId="0" xfId="0" applyFont="1" applyAlignment="1">
      <alignment vertical="top"/>
    </xf>
    <xf numFmtId="39" fontId="11" fillId="0" borderId="7" xfId="0" applyNumberFormat="1" applyFont="1" applyBorder="1" applyAlignment="1">
      <alignment vertical="top"/>
    </xf>
    <xf numFmtId="39" fontId="59" fillId="0" borderId="28" xfId="0" applyNumberFormat="1" applyFont="1" applyBorder="1" applyAlignment="1">
      <alignment vertical="center"/>
    </xf>
    <xf numFmtId="0" fontId="72" fillId="0" borderId="7" xfId="0" applyFont="1" applyBorder="1"/>
    <xf numFmtId="39" fontId="59" fillId="0" borderId="7" xfId="0" applyNumberFormat="1" applyFont="1" applyBorder="1" applyAlignment="1">
      <alignment horizontal="right" vertical="center"/>
    </xf>
    <xf numFmtId="39" fontId="59" fillId="0" borderId="28" xfId="0" applyNumberFormat="1" applyFont="1" applyBorder="1" applyAlignment="1">
      <alignment horizontal="right" vertical="center"/>
    </xf>
    <xf numFmtId="166" fontId="75" fillId="0" borderId="28" xfId="11" applyNumberFormat="1" applyFont="1" applyBorder="1" applyAlignment="1">
      <alignment vertical="center"/>
    </xf>
    <xf numFmtId="0" fontId="11" fillId="0" borderId="5" xfId="0" applyFont="1" applyBorder="1" applyAlignment="1">
      <alignment vertical="top" wrapText="1"/>
    </xf>
    <xf numFmtId="39" fontId="11" fillId="0" borderId="5" xfId="0" applyNumberFormat="1" applyFont="1" applyBorder="1" applyAlignment="1">
      <alignment vertical="top"/>
    </xf>
    <xf numFmtId="166" fontId="68" fillId="0" borderId="66" xfId="2" applyNumberFormat="1" applyFont="1" applyBorder="1" applyAlignment="1">
      <alignment horizontal="right" vertical="center"/>
    </xf>
    <xf numFmtId="4" fontId="69" fillId="0" borderId="27" xfId="2" applyNumberFormat="1" applyFont="1" applyFill="1" applyBorder="1" applyAlignment="1">
      <alignment vertical="center"/>
    </xf>
    <xf numFmtId="175" fontId="68" fillId="0" borderId="7" xfId="0" applyNumberFormat="1" applyFont="1" applyBorder="1" applyAlignment="1">
      <alignment horizontal="right" vertical="top"/>
    </xf>
    <xf numFmtId="0" fontId="70" fillId="0" borderId="27" xfId="0" applyFont="1" applyBorder="1"/>
    <xf numFmtId="0" fontId="9" fillId="0" borderId="7" xfId="0" applyFont="1" applyBorder="1"/>
    <xf numFmtId="0" fontId="9" fillId="0" borderId="5" xfId="0" applyFont="1" applyBorder="1"/>
    <xf numFmtId="0" fontId="89" fillId="0" borderId="14" xfId="0" applyFont="1" applyBorder="1" applyAlignment="1">
      <alignment horizontal="left" vertical="center" wrapText="1"/>
    </xf>
    <xf numFmtId="0" fontId="9" fillId="0" borderId="14" xfId="0" applyFont="1" applyBorder="1"/>
    <xf numFmtId="166" fontId="70" fillId="0" borderId="78" xfId="2" applyNumberFormat="1" applyFont="1" applyBorder="1" applyAlignment="1">
      <alignment vertical="center"/>
    </xf>
    <xf numFmtId="41" fontId="102" fillId="0" borderId="7" xfId="2" applyFont="1" applyFill="1" applyBorder="1" applyAlignment="1">
      <alignment horizontal="left" vertical="center" indent="1"/>
    </xf>
    <xf numFmtId="41" fontId="102" fillId="0" borderId="61" xfId="2" applyFont="1" applyBorder="1" applyAlignment="1">
      <alignment horizontal="left" vertical="center" indent="1"/>
    </xf>
    <xf numFmtId="41" fontId="102" fillId="13" borderId="49" xfId="2" applyFont="1" applyFill="1" applyBorder="1" applyAlignment="1">
      <alignment horizontal="right" vertical="center"/>
    </xf>
    <xf numFmtId="41" fontId="0" fillId="0" borderId="0" xfId="2" applyFont="1" applyAlignment="1">
      <alignment wrapText="1"/>
    </xf>
    <xf numFmtId="41" fontId="68" fillId="10" borderId="59" xfId="2" applyFont="1" applyFill="1" applyBorder="1" applyAlignment="1">
      <alignment horizontal="right" vertical="center"/>
    </xf>
    <xf numFmtId="41" fontId="66" fillId="10" borderId="59" xfId="2" applyFont="1" applyFill="1" applyBorder="1" applyAlignment="1">
      <alignment horizontal="right" vertical="center"/>
    </xf>
    <xf numFmtId="41" fontId="0" fillId="0" borderId="43" xfId="2" applyFont="1" applyBorder="1"/>
    <xf numFmtId="41" fontId="68" fillId="0" borderId="7" xfId="2" applyFont="1" applyBorder="1" applyAlignment="1">
      <alignment horizontal="right" vertical="center"/>
    </xf>
    <xf numFmtId="41" fontId="62" fillId="2" borderId="76" xfId="2" applyFont="1" applyFill="1" applyBorder="1" applyAlignment="1">
      <alignment vertical="center"/>
    </xf>
    <xf numFmtId="41" fontId="68" fillId="0" borderId="7" xfId="2" applyFont="1" applyFill="1" applyBorder="1" applyAlignment="1">
      <alignment horizontal="right" vertical="center"/>
    </xf>
    <xf numFmtId="41" fontId="88" fillId="0" borderId="7" xfId="2" applyFont="1" applyBorder="1" applyAlignment="1">
      <alignment horizontal="right" vertical="center"/>
    </xf>
    <xf numFmtId="41" fontId="63" fillId="0" borderId="0" xfId="2" applyFont="1" applyFill="1" applyBorder="1" applyAlignment="1">
      <alignment vertical="top"/>
    </xf>
    <xf numFmtId="41" fontId="104" fillId="0" borderId="42" xfId="2" applyFont="1" applyBorder="1" applyAlignment="1">
      <alignment horizontal="left" vertical="center" indent="1"/>
    </xf>
    <xf numFmtId="41" fontId="104" fillId="0" borderId="0" xfId="2" applyFont="1" applyBorder="1" applyAlignment="1">
      <alignment horizontal="left" vertical="center" indent="1"/>
    </xf>
    <xf numFmtId="41" fontId="104" fillId="0" borderId="0" xfId="2" applyFont="1" applyBorder="1" applyAlignment="1">
      <alignment horizontal="left" vertical="center" wrapText="1" indent="1"/>
    </xf>
    <xf numFmtId="41" fontId="105" fillId="0" borderId="7" xfId="2" applyFont="1" applyFill="1" applyBorder="1" applyAlignment="1" applyProtection="1">
      <alignment horizontal="left" vertical="center" indent="1"/>
    </xf>
    <xf numFmtId="41" fontId="105" fillId="0" borderId="7" xfId="2" applyFont="1" applyBorder="1" applyAlignment="1" applyProtection="1">
      <alignment horizontal="left" vertical="center" indent="1"/>
    </xf>
    <xf numFmtId="41" fontId="53" fillId="0" borderId="0" xfId="2" applyFont="1" applyAlignment="1"/>
    <xf numFmtId="39" fontId="69" fillId="0" borderId="79" xfId="0" applyNumberFormat="1" applyFont="1" applyBorder="1" applyAlignment="1">
      <alignment horizontal="right" vertical="top"/>
    </xf>
    <xf numFmtId="39" fontId="69" fillId="0" borderId="79" xfId="0" applyNumberFormat="1" applyFont="1" applyBorder="1" applyAlignment="1">
      <alignment vertical="top"/>
    </xf>
    <xf numFmtId="39" fontId="87" fillId="0" borderId="59" xfId="0" applyNumberFormat="1" applyFont="1" applyBorder="1" applyAlignment="1">
      <alignment vertical="top"/>
    </xf>
    <xf numFmtId="39" fontId="28" fillId="0" borderId="7" xfId="0" applyNumberFormat="1" applyFont="1" applyBorder="1" applyAlignment="1">
      <alignment vertical="top" wrapText="1"/>
    </xf>
    <xf numFmtId="39" fontId="69" fillId="0" borderId="51" xfId="0" applyNumberFormat="1" applyFont="1" applyBorder="1" applyAlignment="1">
      <alignment vertical="top"/>
    </xf>
    <xf numFmtId="166" fontId="69" fillId="0" borderId="56" xfId="2" applyNumberFormat="1" applyFont="1" applyBorder="1" applyAlignment="1">
      <alignment horizontal="right" vertical="center"/>
    </xf>
    <xf numFmtId="39" fontId="69" fillId="0" borderId="52" xfId="0" applyNumberFormat="1" applyFont="1" applyBorder="1" applyAlignment="1">
      <alignment horizontal="right" vertical="top"/>
    </xf>
    <xf numFmtId="166" fontId="0" fillId="0" borderId="5" xfId="2" applyNumberFormat="1" applyFont="1" applyBorder="1" applyAlignment="1">
      <alignment vertical="center"/>
    </xf>
    <xf numFmtId="166" fontId="0" fillId="0" borderId="5" xfId="2" applyNumberFormat="1" applyFont="1" applyBorder="1" applyAlignment="1">
      <alignment horizontal="right" vertical="center"/>
    </xf>
    <xf numFmtId="39" fontId="68" fillId="0" borderId="52" xfId="0" applyNumberFormat="1" applyFont="1" applyBorder="1" applyAlignment="1">
      <alignment vertical="top"/>
    </xf>
    <xf numFmtId="39" fontId="68" fillId="0" borderId="14" xfId="0" applyNumberFormat="1" applyFont="1" applyBorder="1" applyAlignment="1">
      <alignment vertical="top" wrapText="1"/>
    </xf>
    <xf numFmtId="39" fontId="69" fillId="0" borderId="53" xfId="0" applyNumberFormat="1" applyFont="1" applyBorder="1" applyAlignment="1">
      <alignment horizontal="right" vertical="top"/>
    </xf>
    <xf numFmtId="39" fontId="72" fillId="0" borderId="53" xfId="0" applyNumberFormat="1" applyFont="1" applyBorder="1" applyAlignment="1">
      <alignment vertical="top"/>
    </xf>
    <xf numFmtId="4" fontId="72" fillId="0" borderId="53" xfId="0" applyNumberFormat="1" applyFont="1" applyFill="1" applyBorder="1" applyAlignment="1">
      <alignment vertical="center"/>
    </xf>
    <xf numFmtId="4" fontId="72" fillId="0" borderId="53" xfId="0" applyNumberFormat="1" applyFont="1" applyFill="1" applyBorder="1" applyAlignment="1">
      <alignment horizontal="right" vertical="center"/>
    </xf>
    <xf numFmtId="39" fontId="89" fillId="0" borderId="53" xfId="0" applyNumberFormat="1" applyFont="1" applyBorder="1" applyAlignment="1">
      <alignment horizontal="right" vertical="top"/>
    </xf>
    <xf numFmtId="4" fontId="89" fillId="0" borderId="53" xfId="0" applyNumberFormat="1" applyFont="1" applyFill="1" applyBorder="1" applyAlignment="1">
      <alignment horizontal="right" vertical="center"/>
    </xf>
    <xf numFmtId="39" fontId="94" fillId="0" borderId="53" xfId="0" applyNumberFormat="1" applyFont="1" applyBorder="1" applyAlignment="1">
      <alignment vertical="top"/>
    </xf>
    <xf numFmtId="4" fontId="94" fillId="0" borderId="53" xfId="0" applyNumberFormat="1" applyFont="1" applyFill="1" applyBorder="1" applyAlignment="1">
      <alignment vertical="center"/>
    </xf>
    <xf numFmtId="4" fontId="94" fillId="0" borderId="53" xfId="0" applyNumberFormat="1" applyFont="1" applyFill="1" applyBorder="1" applyAlignment="1">
      <alignment horizontal="right" vertical="center"/>
    </xf>
    <xf numFmtId="39" fontId="72" fillId="0" borderId="66" xfId="0" applyNumberFormat="1" applyFont="1" applyBorder="1" applyAlignment="1">
      <alignment vertical="top"/>
    </xf>
    <xf numFmtId="4" fontId="72" fillId="0" borderId="66" xfId="0" applyNumberFormat="1" applyFont="1" applyFill="1" applyBorder="1" applyAlignment="1">
      <alignment vertical="center"/>
    </xf>
    <xf numFmtId="39" fontId="72" fillId="0" borderId="1" xfId="0" applyNumberFormat="1" applyFont="1" applyBorder="1" applyAlignment="1">
      <alignment vertical="top"/>
    </xf>
    <xf numFmtId="4" fontId="72" fillId="0" borderId="57" xfId="0" applyNumberFormat="1" applyFont="1" applyFill="1" applyBorder="1" applyAlignment="1">
      <alignment vertical="center"/>
    </xf>
    <xf numFmtId="39" fontId="72" fillId="0" borderId="75" xfId="0" applyNumberFormat="1" applyFont="1" applyBorder="1" applyAlignment="1">
      <alignment vertical="top"/>
    </xf>
    <xf numFmtId="39" fontId="68" fillId="0" borderId="5" xfId="0" applyNumberFormat="1" applyFont="1" applyBorder="1" applyAlignment="1">
      <alignment vertical="top" wrapText="1"/>
    </xf>
    <xf numFmtId="39" fontId="69" fillId="4" borderId="1" xfId="0" applyNumberFormat="1" applyFont="1" applyFill="1" applyBorder="1" applyAlignment="1">
      <alignment vertical="top"/>
    </xf>
    <xf numFmtId="39" fontId="69" fillId="4" borderId="7" xfId="0" applyNumberFormat="1" applyFont="1" applyFill="1" applyBorder="1" applyAlignment="1">
      <alignment vertical="top"/>
    </xf>
    <xf numFmtId="166" fontId="0" fillId="0" borderId="53" xfId="2" applyNumberFormat="1" applyFont="1" applyBorder="1" applyAlignment="1">
      <alignment horizontal="right" vertical="center"/>
    </xf>
    <xf numFmtId="43" fontId="69" fillId="0" borderId="53" xfId="0" applyNumberFormat="1" applyFont="1" applyBorder="1" applyAlignment="1">
      <alignment horizontal="left" vertical="center" indent="1"/>
    </xf>
    <xf numFmtId="166" fontId="0" fillId="0" borderId="27" xfId="2" applyNumberFormat="1" applyFont="1" applyBorder="1" applyAlignment="1">
      <alignment horizontal="right" vertical="center"/>
    </xf>
    <xf numFmtId="166" fontId="66" fillId="0" borderId="5" xfId="2" applyNumberFormat="1" applyFont="1" applyBorder="1" applyAlignment="1">
      <alignment horizontal="right" vertical="center"/>
    </xf>
    <xf numFmtId="39" fontId="69" fillId="4" borderId="5" xfId="0" applyNumberFormat="1" applyFont="1" applyFill="1" applyBorder="1" applyAlignment="1">
      <alignment horizontal="right" vertical="center"/>
    </xf>
    <xf numFmtId="43" fontId="69" fillId="0" borderId="28" xfId="0" applyNumberFormat="1" applyFont="1" applyBorder="1" applyAlignment="1">
      <alignment vertical="center"/>
    </xf>
    <xf numFmtId="0" fontId="69" fillId="0" borderId="0" xfId="0" applyFont="1"/>
    <xf numFmtId="43" fontId="89" fillId="0" borderId="1" xfId="0" applyNumberFormat="1" applyFont="1" applyBorder="1" applyAlignment="1">
      <alignment horizontal="left" vertical="center" indent="1"/>
    </xf>
    <xf numFmtId="4" fontId="89" fillId="0" borderId="1" xfId="2" applyNumberFormat="1" applyFont="1" applyFill="1" applyBorder="1" applyAlignment="1">
      <alignment vertical="center"/>
    </xf>
    <xf numFmtId="4" fontId="89" fillId="0" borderId="7" xfId="2" applyNumberFormat="1" applyFont="1" applyFill="1" applyBorder="1" applyAlignment="1">
      <alignment vertical="center"/>
    </xf>
    <xf numFmtId="43" fontId="89" fillId="0" borderId="53" xfId="0" applyNumberFormat="1" applyFont="1" applyBorder="1" applyAlignment="1">
      <alignment horizontal="left" vertical="center" indent="1"/>
    </xf>
    <xf numFmtId="4" fontId="89" fillId="0" borderId="53" xfId="2" applyNumberFormat="1" applyFont="1" applyFill="1" applyBorder="1" applyAlignment="1">
      <alignment vertical="center"/>
    </xf>
    <xf numFmtId="166" fontId="89" fillId="0" borderId="53" xfId="2" applyNumberFormat="1" applyFont="1" applyBorder="1" applyAlignment="1">
      <alignment horizontal="right" vertical="center"/>
    </xf>
    <xf numFmtId="4" fontId="89" fillId="0" borderId="53" xfId="2" applyNumberFormat="1" applyFont="1" applyBorder="1" applyAlignment="1">
      <alignment vertical="center"/>
    </xf>
    <xf numFmtId="4" fontId="68" fillId="0" borderId="5" xfId="2" applyNumberFormat="1" applyFont="1" applyBorder="1" applyAlignment="1">
      <alignment vertical="center"/>
    </xf>
    <xf numFmtId="0" fontId="68" fillId="0" borderId="78" xfId="0" applyFont="1" applyBorder="1" applyAlignment="1">
      <alignment horizontal="left" vertical="center" wrapText="1"/>
    </xf>
    <xf numFmtId="4" fontId="0" fillId="0" borderId="78" xfId="2" applyNumberFormat="1" applyFont="1" applyBorder="1" applyAlignment="1">
      <alignment horizontal="right" vertical="center"/>
    </xf>
    <xf numFmtId="166" fontId="69" fillId="0" borderId="78" xfId="2" applyNumberFormat="1" applyFont="1" applyFill="1" applyBorder="1" applyAlignment="1">
      <alignment vertical="center"/>
    </xf>
    <xf numFmtId="4" fontId="69" fillId="0" borderId="78" xfId="2" applyNumberFormat="1" applyFont="1" applyFill="1" applyBorder="1" applyAlignment="1">
      <alignment vertical="center"/>
    </xf>
    <xf numFmtId="166" fontId="0" fillId="0" borderId="78" xfId="2" applyNumberFormat="1" applyFont="1" applyBorder="1" applyAlignment="1">
      <alignment horizontal="right" vertical="center"/>
    </xf>
    <xf numFmtId="4" fontId="69" fillId="0" borderId="78" xfId="2" applyNumberFormat="1" applyFont="1" applyBorder="1" applyAlignment="1">
      <alignment vertical="center"/>
    </xf>
    <xf numFmtId="43" fontId="102" fillId="8" borderId="53" xfId="0" applyNumberFormat="1" applyFont="1" applyFill="1" applyBorder="1" applyAlignment="1">
      <alignment horizontal="right" vertical="center"/>
    </xf>
    <xf numFmtId="43" fontId="102" fillId="8" borderId="53" xfId="0" applyNumberFormat="1" applyFont="1" applyFill="1" applyBorder="1" applyAlignment="1">
      <alignment horizontal="left" vertical="center" indent="1"/>
    </xf>
    <xf numFmtId="43" fontId="102" fillId="0" borderId="53" xfId="0" applyNumberFormat="1" applyFont="1" applyFill="1" applyBorder="1" applyAlignment="1">
      <alignment horizontal="left" vertical="center" indent="1"/>
    </xf>
    <xf numFmtId="166" fontId="70" fillId="0" borderId="8" xfId="2" applyNumberFormat="1" applyFont="1" applyBorder="1" applyAlignment="1">
      <alignment horizontal="right" vertical="center"/>
    </xf>
    <xf numFmtId="43" fontId="102" fillId="7" borderId="53" xfId="0" applyNumberFormat="1" applyFont="1" applyFill="1" applyBorder="1" applyAlignment="1">
      <alignment horizontal="right" vertical="center"/>
    </xf>
    <xf numFmtId="43" fontId="100" fillId="0" borderId="57" xfId="0" applyNumberFormat="1" applyFont="1" applyBorder="1" applyAlignment="1">
      <alignment horizontal="right" vertical="center"/>
    </xf>
    <xf numFmtId="0" fontId="69" fillId="4" borderId="0" xfId="0" applyFont="1" applyFill="1" applyBorder="1" applyAlignment="1">
      <alignment vertical="top" wrapText="1"/>
    </xf>
    <xf numFmtId="166" fontId="69" fillId="0" borderId="57" xfId="2" applyNumberFormat="1" applyFont="1" applyBorder="1" applyAlignment="1">
      <alignment vertical="center"/>
    </xf>
    <xf numFmtId="39" fontId="72" fillId="0" borderId="75" xfId="0" applyNumberFormat="1" applyFont="1" applyBorder="1" applyAlignment="1">
      <alignment horizontal="right" vertical="top"/>
    </xf>
    <xf numFmtId="166" fontId="72" fillId="0" borderId="57" xfId="2" applyNumberFormat="1" applyFont="1" applyBorder="1" applyAlignment="1">
      <alignment horizontal="right" vertical="center"/>
    </xf>
    <xf numFmtId="166" fontId="72" fillId="0" borderId="56" xfId="2" applyNumberFormat="1" applyFont="1" applyBorder="1" applyAlignment="1">
      <alignment horizontal="right" vertical="center"/>
    </xf>
    <xf numFmtId="166" fontId="70" fillId="0" borderId="0" xfId="2" applyNumberFormat="1" applyFont="1" applyBorder="1" applyAlignment="1">
      <alignment horizontal="right" vertical="center"/>
    </xf>
    <xf numFmtId="0" fontId="69" fillId="4" borderId="14" xfId="0" applyFont="1" applyFill="1" applyBorder="1" applyAlignment="1">
      <alignment vertical="top" wrapText="1"/>
    </xf>
    <xf numFmtId="43" fontId="123" fillId="0" borderId="5" xfId="0" applyNumberFormat="1" applyFont="1" applyFill="1" applyBorder="1" applyAlignment="1">
      <alignment horizontal="left" vertical="center" indent="1"/>
    </xf>
    <xf numFmtId="0" fontId="9" fillId="0" borderId="52" xfId="0" applyFont="1" applyFill="1" applyBorder="1"/>
    <xf numFmtId="0" fontId="9" fillId="0" borderId="7" xfId="0" applyFont="1" applyFill="1" applyBorder="1"/>
    <xf numFmtId="0" fontId="0" fillId="0" borderId="7" xfId="0" applyFill="1" applyBorder="1"/>
    <xf numFmtId="41" fontId="0" fillId="0" borderId="7" xfId="2" applyFont="1" applyFill="1" applyBorder="1"/>
    <xf numFmtId="166" fontId="9" fillId="0" borderId="7" xfId="2" applyNumberFormat="1" applyFont="1" applyFill="1" applyBorder="1" applyAlignment="1">
      <alignment vertical="center"/>
    </xf>
    <xf numFmtId="0" fontId="46" fillId="0" borderId="7" xfId="0" applyFont="1" applyFill="1" applyBorder="1"/>
    <xf numFmtId="166" fontId="98" fillId="0" borderId="14" xfId="2" applyNumberFormat="1" applyFont="1" applyFill="1" applyBorder="1" applyAlignment="1">
      <alignment vertical="center"/>
    </xf>
    <xf numFmtId="0" fontId="70" fillId="0" borderId="0" xfId="0" applyFont="1"/>
    <xf numFmtId="41" fontId="0" fillId="0" borderId="74" xfId="0" applyNumberFormat="1" applyFont="1" applyBorder="1" applyAlignment="1">
      <alignment horizontal="right" vertical="center" wrapText="1"/>
    </xf>
    <xf numFmtId="0" fontId="124" fillId="0" borderId="28" xfId="0" applyFont="1" applyBorder="1"/>
    <xf numFmtId="49" fontId="31" fillId="7" borderId="53" xfId="0" applyNumberFormat="1" applyFont="1" applyFill="1" applyBorder="1" applyAlignment="1">
      <alignment horizontal="center" vertical="center"/>
    </xf>
    <xf numFmtId="166" fontId="68" fillId="7" borderId="54" xfId="2" applyNumberFormat="1" applyFont="1" applyFill="1" applyBorder="1" applyAlignment="1">
      <alignment vertical="center"/>
    </xf>
    <xf numFmtId="0" fontId="124" fillId="7" borderId="28" xfId="0" applyFont="1" applyFill="1" applyBorder="1"/>
    <xf numFmtId="0" fontId="31" fillId="7" borderId="0" xfId="0" applyFont="1" applyFill="1"/>
    <xf numFmtId="41" fontId="31" fillId="7" borderId="0" xfId="2" applyFont="1" applyFill="1"/>
    <xf numFmtId="166" fontId="68" fillId="0" borderId="68" xfId="0" applyNumberFormat="1" applyFont="1" applyBorder="1" applyAlignment="1">
      <alignment horizontal="right" vertical="center"/>
    </xf>
    <xf numFmtId="166" fontId="68" fillId="0" borderId="43" xfId="0" applyNumberFormat="1" applyFont="1" applyBorder="1" applyAlignment="1">
      <alignment horizontal="right" vertical="center" wrapText="1"/>
    </xf>
    <xf numFmtId="166" fontId="69" fillId="10" borderId="7" xfId="0" applyNumberFormat="1" applyFont="1" applyFill="1" applyBorder="1" applyAlignment="1">
      <alignment horizontal="right" vertical="center" wrapText="1"/>
    </xf>
    <xf numFmtId="169" fontId="69" fillId="10" borderId="7" xfId="0" applyNumberFormat="1" applyFont="1" applyFill="1" applyBorder="1" applyAlignment="1">
      <alignment horizontal="right" vertical="center" wrapText="1"/>
    </xf>
    <xf numFmtId="166" fontId="69" fillId="10" borderId="7" xfId="0" applyNumberFormat="1" applyFont="1" applyFill="1" applyBorder="1" applyAlignment="1">
      <alignment horizontal="center" vertical="center" wrapText="1"/>
    </xf>
    <xf numFmtId="166" fontId="69" fillId="10" borderId="7" xfId="0" applyNumberFormat="1" applyFont="1" applyFill="1" applyBorder="1" applyAlignment="1">
      <alignment horizontal="center" vertical="center"/>
    </xf>
    <xf numFmtId="166" fontId="69" fillId="10" borderId="7" xfId="0" applyNumberFormat="1" applyFont="1" applyFill="1" applyBorder="1" applyAlignment="1">
      <alignment horizontal="right" vertical="center"/>
    </xf>
    <xf numFmtId="4" fontId="69" fillId="0" borderId="7" xfId="0" applyNumberFormat="1" applyFont="1" applyBorder="1" applyAlignment="1"/>
    <xf numFmtId="0" fontId="69" fillId="0" borderId="1" xfId="0" applyFont="1" applyBorder="1" applyAlignment="1">
      <alignment vertical="center" wrapText="1"/>
    </xf>
    <xf numFmtId="166" fontId="68" fillId="0" borderId="68" xfId="0" applyNumberFormat="1" applyFont="1" applyBorder="1" applyAlignment="1">
      <alignment horizontal="right" vertical="center" wrapText="1"/>
    </xf>
    <xf numFmtId="166" fontId="89" fillId="0" borderId="68" xfId="0" applyNumberFormat="1" applyFont="1" applyBorder="1" applyAlignment="1">
      <alignment horizontal="right" vertical="center"/>
    </xf>
    <xf numFmtId="169" fontId="69" fillId="10" borderId="7" xfId="0" applyNumberFormat="1" applyFont="1" applyFill="1" applyBorder="1" applyAlignment="1">
      <alignment horizontal="right" vertical="center"/>
    </xf>
    <xf numFmtId="169" fontId="69" fillId="10" borderId="7" xfId="0" applyNumberFormat="1" applyFont="1" applyFill="1" applyBorder="1" applyAlignment="1">
      <alignment horizontal="right" vertical="center" indent="1"/>
    </xf>
    <xf numFmtId="0" fontId="107" fillId="8" borderId="28" xfId="0" applyFont="1" applyFill="1" applyBorder="1"/>
    <xf numFmtId="0" fontId="100" fillId="0" borderId="52" xfId="0" applyFont="1" applyBorder="1"/>
    <xf numFmtId="43" fontId="102" fillId="8" borderId="9" xfId="0" applyNumberFormat="1" applyFont="1" applyFill="1" applyBorder="1" applyAlignment="1">
      <alignment horizontal="left" vertical="center" indent="1"/>
    </xf>
    <xf numFmtId="0" fontId="68" fillId="4" borderId="7" xfId="0" applyFont="1" applyFill="1" applyBorder="1" applyAlignment="1">
      <alignment horizontal="left" vertical="center" wrapText="1"/>
    </xf>
    <xf numFmtId="166" fontId="68" fillId="4" borderId="59" xfId="0" applyNumberFormat="1" applyFont="1" applyFill="1" applyBorder="1" applyAlignment="1">
      <alignment horizontal="right" vertical="center"/>
    </xf>
    <xf numFmtId="4" fontId="72" fillId="0" borderId="14" xfId="2" applyNumberFormat="1" applyFont="1" applyFill="1" applyBorder="1" applyAlignment="1"/>
    <xf numFmtId="166" fontId="68" fillId="4" borderId="99" xfId="0" applyNumberFormat="1" applyFont="1" applyFill="1" applyBorder="1" applyAlignment="1">
      <alignment horizontal="right" vertical="center"/>
    </xf>
    <xf numFmtId="164" fontId="97" fillId="0" borderId="43" xfId="0" applyNumberFormat="1" applyFont="1" applyBorder="1" applyAlignment="1">
      <alignment vertical="center"/>
    </xf>
    <xf numFmtId="169" fontId="69" fillId="10" borderId="43" xfId="0" applyNumberFormat="1" applyFont="1" applyFill="1" applyBorder="1" applyAlignment="1">
      <alignment vertical="center"/>
    </xf>
    <xf numFmtId="166" fontId="69" fillId="0" borderId="51" xfId="0" applyNumberFormat="1" applyFont="1" applyBorder="1" applyAlignment="1">
      <alignment vertical="center"/>
    </xf>
    <xf numFmtId="166" fontId="69" fillId="4" borderId="0" xfId="0" applyNumberFormat="1" applyFont="1" applyFill="1" applyBorder="1" applyAlignment="1">
      <alignment horizontal="right" vertical="center"/>
    </xf>
    <xf numFmtId="169" fontId="69" fillId="10" borderId="0" xfId="0" applyNumberFormat="1" applyFont="1" applyFill="1" applyBorder="1" applyAlignment="1">
      <alignment vertical="center"/>
    </xf>
    <xf numFmtId="169" fontId="69" fillId="10" borderId="51" xfId="0" applyNumberFormat="1" applyFont="1" applyFill="1" applyBorder="1" applyAlignment="1">
      <alignment vertical="center"/>
    </xf>
    <xf numFmtId="169" fontId="69" fillId="10" borderId="28" xfId="0" applyNumberFormat="1" applyFont="1" applyFill="1" applyBorder="1" applyAlignment="1">
      <alignment vertical="center"/>
    </xf>
    <xf numFmtId="4" fontId="0" fillId="0" borderId="74" xfId="2" applyNumberFormat="1" applyFont="1" applyFill="1" applyBorder="1" applyAlignment="1">
      <alignment horizontal="right" vertical="center"/>
    </xf>
    <xf numFmtId="43" fontId="69" fillId="0" borderId="74" xfId="0" applyNumberFormat="1" applyFont="1" applyFill="1" applyBorder="1" applyAlignment="1">
      <alignment horizontal="left" vertical="center" indent="1"/>
    </xf>
    <xf numFmtId="4" fontId="69" fillId="0" borderId="74" xfId="2" applyNumberFormat="1" applyFont="1" applyFill="1" applyBorder="1" applyAlignment="1">
      <alignment horizontal="right" vertical="center"/>
    </xf>
    <xf numFmtId="0" fontId="125" fillId="10" borderId="43" xfId="0" applyFont="1" applyFill="1" applyBorder="1" applyAlignment="1">
      <alignment vertical="center" wrapText="1"/>
    </xf>
    <xf numFmtId="166" fontId="69" fillId="0" borderId="58" xfId="2" applyNumberFormat="1" applyFont="1" applyFill="1" applyBorder="1" applyAlignment="1">
      <alignment vertical="center"/>
    </xf>
    <xf numFmtId="166" fontId="69" fillId="0" borderId="58" xfId="2" applyNumberFormat="1" applyFont="1" applyBorder="1" applyAlignment="1">
      <alignment vertical="center"/>
    </xf>
    <xf numFmtId="166" fontId="69" fillId="0" borderId="5" xfId="0" applyNumberFormat="1" applyFont="1" applyFill="1" applyBorder="1" applyAlignment="1">
      <alignment horizontal="right" vertical="center"/>
    </xf>
    <xf numFmtId="169" fontId="69" fillId="10" borderId="5" xfId="0" applyNumberFormat="1" applyFont="1" applyFill="1" applyBorder="1" applyAlignment="1">
      <alignment vertical="center" wrapText="1"/>
    </xf>
    <xf numFmtId="166" fontId="68" fillId="0" borderId="14" xfId="0" applyNumberFormat="1" applyFont="1" applyFill="1" applyBorder="1" applyAlignment="1">
      <alignment horizontal="right" vertical="center"/>
    </xf>
    <xf numFmtId="166" fontId="69" fillId="0" borderId="5" xfId="0" applyNumberFormat="1" applyFont="1" applyBorder="1" applyAlignment="1">
      <alignment horizontal="right" vertical="center"/>
    </xf>
    <xf numFmtId="166" fontId="69" fillId="0" borderId="53" xfId="0" applyNumberFormat="1" applyFont="1" applyBorder="1" applyAlignment="1">
      <alignment horizontal="right" vertical="center"/>
    </xf>
    <xf numFmtId="169" fontId="69" fillId="10" borderId="53" xfId="0" applyNumberFormat="1" applyFont="1" applyFill="1" applyBorder="1" applyAlignment="1">
      <alignment vertical="center" wrapText="1"/>
    </xf>
    <xf numFmtId="166" fontId="69" fillId="0" borderId="53" xfId="2" applyNumberFormat="1" applyFont="1" applyBorder="1" applyAlignment="1">
      <alignment horizontal="right" vertical="center"/>
    </xf>
    <xf numFmtId="166" fontId="72" fillId="0" borderId="53" xfId="2" applyNumberFormat="1" applyFont="1" applyBorder="1" applyAlignment="1">
      <alignment vertical="center"/>
    </xf>
    <xf numFmtId="169" fontId="69" fillId="10" borderId="14" xfId="0" applyNumberFormat="1" applyFont="1" applyFill="1" applyBorder="1" applyAlignment="1">
      <alignment vertical="center" wrapText="1"/>
    </xf>
    <xf numFmtId="4" fontId="72" fillId="0" borderId="57" xfId="0" applyNumberFormat="1" applyFont="1" applyFill="1" applyBorder="1" applyAlignment="1">
      <alignment horizontal="right" vertical="center"/>
    </xf>
    <xf numFmtId="166" fontId="72" fillId="0" borderId="56" xfId="2" applyNumberFormat="1" applyFont="1" applyBorder="1" applyAlignment="1">
      <alignment vertical="center"/>
    </xf>
    <xf numFmtId="4" fontId="72" fillId="0" borderId="56" xfId="0" applyNumberFormat="1" applyFont="1" applyFill="1" applyBorder="1" applyAlignment="1">
      <alignment horizontal="right" vertical="center"/>
    </xf>
    <xf numFmtId="4" fontId="102" fillId="8" borderId="53" xfId="0" applyNumberFormat="1" applyFont="1" applyFill="1" applyBorder="1" applyAlignment="1">
      <alignment vertical="center"/>
    </xf>
    <xf numFmtId="43" fontId="91" fillId="0" borderId="1" xfId="0" applyNumberFormat="1" applyFont="1" applyFill="1" applyBorder="1" applyAlignment="1">
      <alignment horizontal="left" vertical="center" indent="1"/>
    </xf>
    <xf numFmtId="4" fontId="102" fillId="0" borderId="53" xfId="0" applyNumberFormat="1" applyFont="1" applyFill="1" applyBorder="1" applyAlignment="1">
      <alignment horizontal="right" vertical="center"/>
    </xf>
    <xf numFmtId="4" fontId="69" fillId="0" borderId="28" xfId="0" applyNumberFormat="1" applyFont="1" applyBorder="1" applyAlignment="1">
      <alignment vertical="center"/>
    </xf>
    <xf numFmtId="43" fontId="68" fillId="0" borderId="53" xfId="2" applyNumberFormat="1" applyFont="1" applyFill="1" applyBorder="1" applyAlignment="1">
      <alignment horizontal="right" vertical="center" indent="1"/>
    </xf>
    <xf numFmtId="166" fontId="69" fillId="0" borderId="28" xfId="18" applyNumberFormat="1" applyFont="1" applyBorder="1" applyAlignment="1">
      <alignment vertical="center"/>
    </xf>
    <xf numFmtId="166" fontId="0" fillId="0" borderId="28" xfId="18" applyNumberFormat="1" applyFont="1" applyBorder="1" applyAlignment="1">
      <alignment vertical="center"/>
    </xf>
    <xf numFmtId="43" fontId="68" fillId="0" borderId="5" xfId="0" applyNumberFormat="1" applyFont="1" applyFill="1" applyBorder="1" applyAlignment="1">
      <alignment horizontal="right" vertical="center" indent="1"/>
    </xf>
    <xf numFmtId="43" fontId="68" fillId="0" borderId="7" xfId="4" applyFont="1" applyFill="1" applyBorder="1" applyAlignment="1">
      <alignment horizontal="right" vertical="center" indent="1"/>
    </xf>
    <xf numFmtId="43" fontId="68" fillId="0" borderId="53" xfId="4" applyFont="1" applyFill="1" applyBorder="1" applyAlignment="1">
      <alignment horizontal="right" vertical="center" indent="1"/>
    </xf>
    <xf numFmtId="43" fontId="68" fillId="0" borderId="5" xfId="4" applyFont="1" applyFill="1" applyBorder="1" applyAlignment="1">
      <alignment horizontal="right" vertical="center" indent="1"/>
    </xf>
    <xf numFmtId="43" fontId="69" fillId="0" borderId="7" xfId="4" applyFont="1" applyFill="1" applyBorder="1" applyAlignment="1">
      <alignment horizontal="right" vertical="center" indent="1"/>
    </xf>
    <xf numFmtId="166" fontId="69" fillId="0" borderId="28" xfId="18" applyNumberFormat="1" applyFont="1" applyBorder="1" applyAlignment="1">
      <alignment horizontal="right" vertical="center"/>
    </xf>
    <xf numFmtId="165" fontId="69" fillId="0" borderId="28" xfId="0" applyNumberFormat="1" applyFont="1" applyFill="1" applyBorder="1" applyAlignment="1">
      <alignment vertical="center"/>
    </xf>
    <xf numFmtId="165" fontId="68" fillId="0" borderId="28" xfId="0" applyNumberFormat="1" applyFont="1" applyFill="1" applyBorder="1" applyAlignment="1">
      <alignment vertical="center"/>
    </xf>
    <xf numFmtId="4" fontId="69" fillId="0" borderId="74" xfId="0" applyNumberFormat="1" applyFont="1" applyFill="1" applyBorder="1" applyAlignment="1">
      <alignment vertical="center"/>
    </xf>
    <xf numFmtId="0" fontId="83" fillId="0" borderId="7" xfId="0" applyFont="1" applyBorder="1"/>
    <xf numFmtId="166" fontId="0" fillId="0" borderId="78" xfId="2" applyNumberFormat="1" applyFont="1" applyBorder="1" applyAlignment="1">
      <alignment vertical="center"/>
    </xf>
    <xf numFmtId="164" fontId="0" fillId="0" borderId="7" xfId="105" applyNumberFormat="1" applyFont="1" applyBorder="1" applyAlignment="1">
      <alignment vertical="center"/>
    </xf>
    <xf numFmtId="4" fontId="69" fillId="0" borderId="27" xfId="0" applyNumberFormat="1" applyFont="1" applyBorder="1" applyAlignment="1">
      <alignment vertical="center"/>
    </xf>
    <xf numFmtId="166" fontId="68" fillId="4" borderId="5" xfId="2" applyNumberFormat="1" applyFont="1" applyFill="1" applyBorder="1" applyAlignment="1">
      <alignment vertical="center"/>
    </xf>
    <xf numFmtId="169" fontId="0" fillId="0" borderId="7" xfId="2" applyNumberFormat="1" applyFont="1" applyBorder="1" applyAlignment="1">
      <alignment vertical="center"/>
    </xf>
    <xf numFmtId="169" fontId="0" fillId="0" borderId="14" xfId="2" applyNumberFormat="1" applyFont="1" applyFill="1" applyBorder="1" applyAlignment="1">
      <alignment vertical="center"/>
    </xf>
    <xf numFmtId="39" fontId="69" fillId="0" borderId="5" xfId="0" applyNumberFormat="1" applyFont="1" applyFill="1" applyBorder="1" applyAlignment="1">
      <alignment vertical="center"/>
    </xf>
    <xf numFmtId="39" fontId="68" fillId="0" borderId="5" xfId="0" applyNumberFormat="1" applyFont="1" applyFill="1" applyBorder="1" applyAlignment="1">
      <alignment vertical="center"/>
    </xf>
    <xf numFmtId="39" fontId="69" fillId="0" borderId="28" xfId="0" applyNumberFormat="1" applyFont="1" applyFill="1" applyBorder="1" applyAlignment="1">
      <alignment vertical="center"/>
    </xf>
    <xf numFmtId="166" fontId="0" fillId="0" borderId="0" xfId="2" applyNumberFormat="1" applyFont="1" applyBorder="1" applyAlignment="1"/>
    <xf numFmtId="0" fontId="0" fillId="0" borderId="0" xfId="0" applyFont="1" applyAlignment="1">
      <alignment vertical="center"/>
    </xf>
    <xf numFmtId="0" fontId="0" fillId="0" borderId="0" xfId="0"/>
    <xf numFmtId="39" fontId="69" fillId="0" borderId="57" xfId="0" applyNumberFormat="1" applyFont="1" applyBorder="1" applyAlignment="1">
      <alignment horizontal="right" vertical="top"/>
    </xf>
    <xf numFmtId="166" fontId="66" fillId="0" borderId="7" xfId="2" applyNumberFormat="1" applyFont="1" applyBorder="1" applyAlignment="1">
      <alignment vertical="center"/>
    </xf>
    <xf numFmtId="4" fontId="76" fillId="0" borderId="7" xfId="0" applyNumberFormat="1" applyFont="1" applyBorder="1" applyAlignment="1">
      <alignment vertical="center"/>
    </xf>
    <xf numFmtId="4" fontId="66" fillId="4" borderId="7" xfId="2" applyNumberFormat="1" applyFont="1" applyFill="1" applyBorder="1" applyAlignment="1">
      <alignment horizontal="right" vertical="center"/>
    </xf>
    <xf numFmtId="4" fontId="31" fillId="0" borderId="0" xfId="0" applyNumberFormat="1" applyFont="1"/>
    <xf numFmtId="166" fontId="69" fillId="0" borderId="43" xfId="2" applyNumberFormat="1" applyFont="1" applyBorder="1" applyAlignment="1">
      <alignment vertical="center"/>
    </xf>
    <xf numFmtId="166" fontId="69" fillId="0" borderId="7" xfId="2" applyNumberFormat="1" applyFont="1" applyBorder="1" applyAlignment="1">
      <alignment horizontal="right" vertical="center" indent="2"/>
    </xf>
    <xf numFmtId="39" fontId="69" fillId="0" borderId="5" xfId="0" applyNumberFormat="1" applyFont="1" applyBorder="1" applyAlignment="1">
      <alignment horizontal="right" vertical="center"/>
    </xf>
    <xf numFmtId="39" fontId="102" fillId="8" borderId="90" xfId="0" applyNumberFormat="1" applyFont="1" applyFill="1" applyBorder="1" applyAlignment="1">
      <alignment vertical="top"/>
    </xf>
    <xf numFmtId="168" fontId="69" fillId="4" borderId="5" xfId="0" applyNumberFormat="1" applyFont="1" applyFill="1" applyBorder="1" applyAlignment="1">
      <alignment horizontal="left" vertical="center" wrapText="1"/>
    </xf>
    <xf numFmtId="168" fontId="69" fillId="0" borderId="74" xfId="0" applyNumberFormat="1" applyFont="1" applyBorder="1" applyAlignment="1">
      <alignment horizontal="left" vertical="center" wrapText="1"/>
    </xf>
    <xf numFmtId="169" fontId="68" fillId="0" borderId="74" xfId="2" applyNumberFormat="1" applyFont="1" applyBorder="1" applyAlignment="1">
      <alignment vertical="center"/>
    </xf>
    <xf numFmtId="166" fontId="69" fillId="0" borderId="74" xfId="2" applyNumberFormat="1" applyFont="1" applyBorder="1" applyAlignment="1">
      <alignment horizontal="right" vertical="center"/>
    </xf>
    <xf numFmtId="4" fontId="72" fillId="0" borderId="74" xfId="0" applyNumberFormat="1" applyFont="1" applyBorder="1" applyAlignment="1">
      <alignment vertical="center"/>
    </xf>
    <xf numFmtId="169" fontId="69" fillId="0" borderId="1" xfId="2" applyNumberFormat="1" applyFont="1" applyBorder="1" applyAlignment="1">
      <alignment vertical="center"/>
    </xf>
    <xf numFmtId="166" fontId="72" fillId="0" borderId="27" xfId="2" applyNumberFormat="1" applyFont="1" applyBorder="1" applyAlignment="1">
      <alignment horizontal="right" vertical="center"/>
    </xf>
    <xf numFmtId="4" fontId="69" fillId="0" borderId="52" xfId="0" applyNumberFormat="1" applyFont="1" applyBorder="1" applyAlignment="1">
      <alignment vertical="center"/>
    </xf>
    <xf numFmtId="169" fontId="0" fillId="4" borderId="7" xfId="2" applyNumberFormat="1" applyFont="1" applyFill="1" applyBorder="1" applyAlignment="1">
      <alignment vertical="center"/>
    </xf>
    <xf numFmtId="168" fontId="68" fillId="4" borderId="74" xfId="0" applyNumberFormat="1" applyFont="1" applyFill="1" applyBorder="1" applyAlignment="1">
      <alignment horizontal="left" vertical="center" wrapText="1"/>
    </xf>
    <xf numFmtId="4" fontId="68" fillId="4" borderId="74" xfId="2" applyNumberFormat="1" applyFont="1" applyFill="1" applyBorder="1" applyAlignment="1">
      <alignment horizontal="right" vertical="center"/>
    </xf>
    <xf numFmtId="169" fontId="0" fillId="4" borderId="74" xfId="2" applyNumberFormat="1" applyFont="1" applyFill="1" applyBorder="1" applyAlignment="1">
      <alignment vertical="center"/>
    </xf>
    <xf numFmtId="4" fontId="76" fillId="4" borderId="74" xfId="2" applyNumberFormat="1" applyFont="1" applyFill="1" applyBorder="1" applyAlignment="1">
      <alignment vertical="center"/>
    </xf>
    <xf numFmtId="4" fontId="69" fillId="4" borderId="51" xfId="2" applyNumberFormat="1" applyFont="1" applyFill="1" applyBorder="1" applyAlignment="1">
      <alignment vertical="center"/>
    </xf>
    <xf numFmtId="169" fontId="68" fillId="0" borderId="7" xfId="2" applyNumberFormat="1" applyFont="1" applyBorder="1" applyAlignment="1">
      <alignment horizontal="right" vertical="center"/>
    </xf>
    <xf numFmtId="43" fontId="102" fillId="0" borderId="53" xfId="0" applyNumberFormat="1" applyFont="1" applyBorder="1" applyAlignment="1">
      <alignment horizontal="left" vertical="center" indent="1"/>
    </xf>
    <xf numFmtId="169" fontId="76" fillId="4" borderId="7" xfId="2" applyNumberFormat="1" applyFont="1" applyFill="1" applyBorder="1" applyAlignment="1">
      <alignment horizontal="right" vertical="center"/>
    </xf>
    <xf numFmtId="4" fontId="70" fillId="4" borderId="7" xfId="0" applyNumberFormat="1" applyFont="1" applyFill="1" applyBorder="1" applyAlignment="1">
      <alignment vertical="center"/>
    </xf>
    <xf numFmtId="2" fontId="70" fillId="4" borderId="7" xfId="0" applyNumberFormat="1" applyFont="1" applyFill="1" applyBorder="1" applyAlignment="1">
      <alignment vertical="center"/>
    </xf>
    <xf numFmtId="2" fontId="76" fillId="4" borderId="7" xfId="0" applyNumberFormat="1" applyFont="1" applyFill="1" applyBorder="1" applyAlignment="1">
      <alignment vertical="center"/>
    </xf>
    <xf numFmtId="39" fontId="102" fillId="8" borderId="73" xfId="0" applyNumberFormat="1" applyFont="1" applyFill="1" applyBorder="1" applyAlignment="1">
      <alignment horizontal="right" vertical="top"/>
    </xf>
    <xf numFmtId="4" fontId="102" fillId="0" borderId="57" xfId="0" applyNumberFormat="1" applyFont="1" applyFill="1" applyBorder="1" applyAlignment="1">
      <alignment horizontal="right" vertical="center"/>
    </xf>
    <xf numFmtId="4" fontId="72" fillId="4" borderId="51" xfId="0" applyNumberFormat="1" applyFont="1" applyFill="1" applyBorder="1" applyAlignment="1">
      <alignment vertical="center"/>
    </xf>
    <xf numFmtId="4" fontId="102" fillId="0" borderId="57" xfId="0" applyNumberFormat="1" applyFont="1" applyFill="1" applyBorder="1" applyAlignment="1">
      <alignment horizontal="left" vertical="center"/>
    </xf>
    <xf numFmtId="39" fontId="69" fillId="0" borderId="14" xfId="0" applyNumberFormat="1" applyFont="1" applyBorder="1" applyAlignment="1">
      <alignment horizontal="right" vertical="center"/>
    </xf>
    <xf numFmtId="4" fontId="69" fillId="0" borderId="75" xfId="0" applyNumberFormat="1" applyFont="1" applyFill="1" applyBorder="1" applyAlignment="1">
      <alignment horizontal="right" vertical="center"/>
    </xf>
    <xf numFmtId="166" fontId="69" fillId="0" borderId="57" xfId="2" applyNumberFormat="1" applyFont="1" applyFill="1" applyBorder="1" applyAlignment="1">
      <alignment vertical="center"/>
    </xf>
    <xf numFmtId="165" fontId="69" fillId="0" borderId="7" xfId="0" applyNumberFormat="1" applyFont="1" applyBorder="1" applyAlignment="1">
      <alignment horizontal="right" vertical="center"/>
    </xf>
    <xf numFmtId="165" fontId="69" fillId="0" borderId="14" xfId="0" applyNumberFormat="1" applyFont="1" applyBorder="1" applyAlignment="1">
      <alignment horizontal="right" vertical="center"/>
    </xf>
    <xf numFmtId="166" fontId="27" fillId="0" borderId="14" xfId="2" applyNumberFormat="1" applyFont="1" applyBorder="1" applyAlignment="1">
      <alignment vertical="center"/>
    </xf>
    <xf numFmtId="166" fontId="27" fillId="0" borderId="5" xfId="2" applyNumberFormat="1" applyFont="1" applyBorder="1" applyAlignment="1">
      <alignment vertical="center"/>
    </xf>
    <xf numFmtId="4" fontId="69" fillId="0" borderId="53" xfId="0" applyNumberFormat="1" applyFont="1" applyBorder="1" applyAlignment="1">
      <alignment horizontal="right" vertical="center"/>
    </xf>
    <xf numFmtId="39" fontId="69" fillId="0" borderId="53" xfId="0" applyNumberFormat="1" applyFont="1" applyBorder="1" applyAlignment="1">
      <alignment horizontal="right" vertical="center"/>
    </xf>
    <xf numFmtId="165" fontId="69" fillId="0" borderId="53" xfId="0" applyNumberFormat="1" applyFont="1" applyBorder="1" applyAlignment="1">
      <alignment horizontal="right" vertical="center"/>
    </xf>
    <xf numFmtId="166" fontId="69" fillId="0" borderId="53" xfId="2" applyNumberFormat="1" applyFont="1" applyBorder="1" applyAlignment="1">
      <alignment vertical="center"/>
    </xf>
    <xf numFmtId="166" fontId="27" fillId="0" borderId="53" xfId="2" applyNumberFormat="1" applyFont="1" applyBorder="1" applyAlignment="1">
      <alignment vertical="center"/>
    </xf>
    <xf numFmtId="4" fontId="76" fillId="0" borderId="68" xfId="0" applyNumberFormat="1" applyFont="1" applyFill="1" applyBorder="1" applyAlignment="1">
      <alignment horizontal="right" vertical="center"/>
    </xf>
    <xf numFmtId="4" fontId="69" fillId="0" borderId="7" xfId="0" applyNumberFormat="1" applyFont="1" applyFill="1" applyBorder="1" applyAlignment="1">
      <alignment horizontal="right" vertical="center"/>
    </xf>
    <xf numFmtId="4" fontId="69" fillId="0" borderId="7" xfId="0" applyNumberFormat="1" applyFont="1" applyFill="1" applyBorder="1" applyAlignment="1">
      <alignment vertical="center"/>
    </xf>
    <xf numFmtId="4" fontId="72" fillId="0" borderId="14" xfId="0" applyNumberFormat="1" applyFont="1" applyFill="1" applyBorder="1" applyAlignment="1">
      <alignment horizontal="right" vertical="center"/>
    </xf>
    <xf numFmtId="4" fontId="76" fillId="0" borderId="5" xfId="0" applyNumberFormat="1" applyFont="1" applyFill="1" applyBorder="1" applyAlignment="1">
      <alignment horizontal="right" vertical="center"/>
    </xf>
    <xf numFmtId="4" fontId="76" fillId="0" borderId="7" xfId="0" applyNumberFormat="1" applyFont="1" applyFill="1" applyBorder="1" applyAlignment="1">
      <alignment horizontal="right" vertical="center"/>
    </xf>
    <xf numFmtId="4" fontId="69" fillId="0" borderId="28" xfId="0" applyNumberFormat="1" applyFont="1" applyFill="1" applyBorder="1" applyAlignment="1">
      <alignment vertical="center"/>
    </xf>
    <xf numFmtId="4" fontId="69" fillId="0" borderId="5" xfId="0" applyNumberFormat="1" applyFont="1" applyFill="1" applyBorder="1" applyAlignment="1">
      <alignment horizontal="right" vertical="center"/>
    </xf>
    <xf numFmtId="0" fontId="107" fillId="0" borderId="28" xfId="0" applyFont="1" applyBorder="1"/>
    <xf numFmtId="0" fontId="70" fillId="0" borderId="0" xfId="0" applyFont="1"/>
    <xf numFmtId="173" fontId="68" fillId="0" borderId="7" xfId="105" applyNumberFormat="1" applyFont="1" applyBorder="1" applyAlignment="1">
      <alignment vertical="center"/>
    </xf>
    <xf numFmtId="0" fontId="68" fillId="0" borderId="28" xfId="5" applyFont="1" applyBorder="1" applyAlignment="1">
      <alignment vertical="center" wrapText="1"/>
    </xf>
    <xf numFmtId="169" fontId="68" fillId="0" borderId="7" xfId="105" applyNumberFormat="1" applyFont="1" applyBorder="1" applyAlignment="1">
      <alignment vertical="center"/>
    </xf>
    <xf numFmtId="172" fontId="68" fillId="0" borderId="7" xfId="105" applyNumberFormat="1" applyFont="1" applyBorder="1" applyAlignment="1">
      <alignment vertical="center"/>
    </xf>
    <xf numFmtId="39" fontId="72" fillId="0" borderId="7" xfId="0" applyNumberFormat="1" applyFont="1" applyFill="1" applyBorder="1" applyAlignment="1">
      <alignment vertical="top"/>
    </xf>
    <xf numFmtId="0" fontId="46" fillId="0" borderId="53" xfId="0" applyFont="1" applyBorder="1"/>
    <xf numFmtId="0" fontId="46" fillId="0" borderId="51" xfId="0" applyFont="1" applyBorder="1"/>
    <xf numFmtId="39" fontId="68" fillId="0" borderId="0" xfId="0" applyNumberFormat="1" applyFont="1" applyFill="1" applyBorder="1" applyAlignment="1">
      <alignment vertical="top"/>
    </xf>
    <xf numFmtId="41" fontId="0" fillId="0" borderId="53" xfId="2" applyFont="1" applyBorder="1"/>
    <xf numFmtId="166" fontId="72" fillId="0" borderId="53" xfId="2" applyNumberFormat="1" applyFont="1" applyFill="1" applyBorder="1" applyAlignment="1">
      <alignment horizontal="right" vertical="center"/>
    </xf>
    <xf numFmtId="39" fontId="91" fillId="0" borderId="0" xfId="0" applyNumberFormat="1" applyFont="1" applyFill="1" applyBorder="1" applyAlignment="1">
      <alignment vertical="top"/>
    </xf>
    <xf numFmtId="166" fontId="9" fillId="0" borderId="53" xfId="2" applyNumberFormat="1" applyFont="1" applyBorder="1" applyAlignment="1">
      <alignment vertical="center"/>
    </xf>
    <xf numFmtId="0" fontId="0" fillId="0" borderId="0" xfId="0"/>
    <xf numFmtId="0" fontId="9" fillId="0" borderId="0" xfId="0" applyFont="1"/>
    <xf numFmtId="0" fontId="9" fillId="0" borderId="28" xfId="0" applyFont="1" applyBorder="1"/>
    <xf numFmtId="49" fontId="76" fillId="0" borderId="1" xfId="0" applyNumberFormat="1" applyFont="1" applyBorder="1" applyAlignment="1">
      <alignment horizontal="center" vertical="center"/>
    </xf>
    <xf numFmtId="4" fontId="72" fillId="0" borderId="52" xfId="0" applyNumberFormat="1" applyFont="1" applyFill="1" applyBorder="1" applyAlignment="1">
      <alignment horizontal="right" vertical="center"/>
    </xf>
    <xf numFmtId="169" fontId="68" fillId="0" borderId="7" xfId="109" applyNumberFormat="1" applyFont="1" applyBorder="1" applyAlignment="1">
      <alignment vertical="center"/>
    </xf>
    <xf numFmtId="39" fontId="72" fillId="0" borderId="57" xfId="0" applyNumberFormat="1" applyFont="1" applyFill="1" applyBorder="1" applyAlignment="1">
      <alignment vertical="top"/>
    </xf>
    <xf numFmtId="39" fontId="68" fillId="0" borderId="53" xfId="0" applyNumberFormat="1" applyFont="1" applyFill="1" applyBorder="1" applyAlignment="1">
      <alignment vertical="top"/>
    </xf>
    <xf numFmtId="39" fontId="69" fillId="0" borderId="42" xfId="0" applyNumberFormat="1" applyFont="1" applyFill="1" applyBorder="1" applyAlignment="1">
      <alignment vertical="top"/>
    </xf>
    <xf numFmtId="39" fontId="72" fillId="0" borderId="1" xfId="0" applyNumberFormat="1" applyFont="1" applyFill="1" applyBorder="1" applyAlignment="1">
      <alignment horizontal="right" vertical="top"/>
    </xf>
    <xf numFmtId="39" fontId="72" fillId="0" borderId="57" xfId="0" applyNumberFormat="1" applyFont="1" applyFill="1" applyBorder="1" applyAlignment="1">
      <alignment horizontal="right" vertical="top"/>
    </xf>
    <xf numFmtId="39" fontId="72" fillId="0" borderId="7" xfId="0" applyNumberFormat="1" applyFont="1" applyFill="1" applyBorder="1" applyAlignment="1">
      <alignment horizontal="right" vertical="top"/>
    </xf>
    <xf numFmtId="39" fontId="72" fillId="0" borderId="1" xfId="0" applyNumberFormat="1" applyFont="1" applyFill="1" applyBorder="1" applyAlignment="1">
      <alignment vertical="top"/>
    </xf>
    <xf numFmtId="39" fontId="69" fillId="0" borderId="53" xfId="0" applyNumberFormat="1" applyFont="1" applyFill="1" applyBorder="1" applyAlignment="1">
      <alignment vertical="top"/>
    </xf>
    <xf numFmtId="0" fontId="0" fillId="0" borderId="0" xfId="0"/>
    <xf numFmtId="0" fontId="27" fillId="0" borderId="0" xfId="0" applyFont="1"/>
    <xf numFmtId="0" fontId="26" fillId="0" borderId="0" xfId="0" applyFont="1"/>
    <xf numFmtId="0" fontId="9" fillId="0" borderId="0" xfId="0" applyFont="1"/>
    <xf numFmtId="0" fontId="27" fillId="0" borderId="28" xfId="0" applyFont="1" applyBorder="1"/>
    <xf numFmtId="0" fontId="9" fillId="0" borderId="28" xfId="0" applyFont="1" applyBorder="1"/>
    <xf numFmtId="0" fontId="26" fillId="0" borderId="28" xfId="0" applyFont="1" applyBorder="1"/>
    <xf numFmtId="4" fontId="68" fillId="0" borderId="7" xfId="0" applyNumberFormat="1" applyFont="1" applyFill="1" applyBorder="1" applyAlignment="1">
      <alignment horizontal="right" vertical="center"/>
    </xf>
    <xf numFmtId="4" fontId="69" fillId="0" borderId="7" xfId="0" applyNumberFormat="1" applyFont="1" applyFill="1" applyBorder="1" applyAlignment="1">
      <alignment horizontal="right" vertical="center"/>
    </xf>
    <xf numFmtId="39" fontId="69" fillId="0" borderId="0" xfId="0" applyNumberFormat="1" applyFont="1" applyFill="1" applyBorder="1" applyAlignment="1">
      <alignment vertical="top"/>
    </xf>
    <xf numFmtId="4" fontId="69" fillId="0" borderId="7" xfId="0" applyNumberFormat="1" applyFont="1" applyFill="1" applyBorder="1" applyAlignment="1">
      <alignment vertical="center"/>
    </xf>
    <xf numFmtId="49" fontId="76" fillId="0" borderId="1" xfId="0" applyNumberFormat="1" applyFont="1" applyBorder="1" applyAlignment="1">
      <alignment horizontal="center" vertical="center"/>
    </xf>
    <xf numFmtId="0" fontId="68" fillId="0" borderId="0" xfId="0" applyFont="1"/>
    <xf numFmtId="4" fontId="72" fillId="0" borderId="7" xfId="0" applyNumberFormat="1" applyFont="1" applyFill="1" applyBorder="1" applyAlignment="1">
      <alignment horizontal="right" vertical="center"/>
    </xf>
    <xf numFmtId="4" fontId="76" fillId="0" borderId="7" xfId="0" applyNumberFormat="1" applyFont="1" applyFill="1" applyBorder="1" applyAlignment="1">
      <alignment horizontal="right" vertical="center"/>
    </xf>
    <xf numFmtId="39" fontId="69" fillId="0" borderId="7" xfId="0" applyNumberFormat="1" applyFont="1" applyFill="1" applyBorder="1" applyAlignment="1">
      <alignment vertical="top"/>
    </xf>
    <xf numFmtId="4" fontId="76" fillId="0" borderId="52" xfId="0" applyNumberFormat="1" applyFont="1" applyFill="1" applyBorder="1" applyAlignment="1">
      <alignment horizontal="right" vertical="center"/>
    </xf>
    <xf numFmtId="39" fontId="72" fillId="0" borderId="0" xfId="0" applyNumberFormat="1" applyFont="1" applyFill="1" applyBorder="1" applyAlignment="1">
      <alignment vertical="top"/>
    </xf>
    <xf numFmtId="49" fontId="72" fillId="0" borderId="1" xfId="0" applyNumberFormat="1" applyFont="1" applyBorder="1" applyAlignment="1">
      <alignment horizontal="center" vertical="center"/>
    </xf>
    <xf numFmtId="166" fontId="69" fillId="0" borderId="53" xfId="2" applyNumberFormat="1" applyFont="1" applyFill="1" applyBorder="1" applyAlignment="1">
      <alignment horizontal="right" vertical="center"/>
    </xf>
    <xf numFmtId="39" fontId="72" fillId="0" borderId="52" xfId="0" applyNumberFormat="1" applyFont="1" applyFill="1" applyBorder="1" applyAlignment="1">
      <alignment vertical="top"/>
    </xf>
    <xf numFmtId="39" fontId="72" fillId="0" borderId="74" xfId="0" applyNumberFormat="1" applyFont="1" applyFill="1" applyBorder="1" applyAlignment="1">
      <alignment vertical="top"/>
    </xf>
    <xf numFmtId="0" fontId="0" fillId="0" borderId="0" xfId="0"/>
    <xf numFmtId="0" fontId="9" fillId="0" borderId="0" xfId="0" applyFont="1"/>
    <xf numFmtId="0" fontId="9" fillId="0" borderId="28" xfId="0" applyFont="1" applyBorder="1"/>
    <xf numFmtId="39" fontId="69" fillId="0" borderId="74" xfId="0" applyNumberFormat="1" applyFont="1" applyFill="1" applyBorder="1" applyAlignment="1">
      <alignment vertical="top"/>
    </xf>
    <xf numFmtId="49" fontId="76" fillId="0" borderId="1" xfId="0" applyNumberFormat="1" applyFont="1" applyBorder="1" applyAlignment="1">
      <alignment horizontal="center" vertical="center"/>
    </xf>
    <xf numFmtId="39" fontId="72" fillId="0" borderId="74" xfId="0" applyNumberFormat="1" applyFont="1" applyFill="1" applyBorder="1" applyAlignment="1">
      <alignment vertical="top"/>
    </xf>
    <xf numFmtId="0" fontId="69" fillId="0" borderId="51" xfId="5" applyFont="1" applyBorder="1" applyAlignment="1">
      <alignment vertical="center" wrapText="1"/>
    </xf>
    <xf numFmtId="39" fontId="72" fillId="0" borderId="53" xfId="0" applyNumberFormat="1" applyFont="1" applyFill="1" applyBorder="1" applyAlignment="1">
      <alignment horizontal="right" vertical="top"/>
    </xf>
    <xf numFmtId="166" fontId="68" fillId="0" borderId="7" xfId="228" applyNumberFormat="1" applyFont="1" applyFill="1" applyBorder="1" applyAlignment="1">
      <alignment horizontal="right" vertical="center"/>
    </xf>
    <xf numFmtId="0" fontId="0" fillId="0" borderId="0" xfId="0"/>
    <xf numFmtId="0" fontId="9" fillId="0" borderId="0" xfId="0" applyFont="1"/>
    <xf numFmtId="0" fontId="9" fillId="0" borderId="28" xfId="0" applyFont="1" applyBorder="1"/>
    <xf numFmtId="4" fontId="69" fillId="0" borderId="28" xfId="0" applyNumberFormat="1" applyFont="1" applyFill="1" applyBorder="1" applyAlignment="1">
      <alignment horizontal="right" vertical="center"/>
    </xf>
    <xf numFmtId="4" fontId="68" fillId="0" borderId="28" xfId="0" applyNumberFormat="1" applyFont="1" applyFill="1" applyBorder="1" applyAlignment="1">
      <alignment horizontal="right" vertical="center"/>
    </xf>
    <xf numFmtId="39" fontId="69" fillId="0" borderId="0" xfId="0" applyNumberFormat="1" applyFont="1" applyFill="1" applyBorder="1" applyAlignment="1">
      <alignment vertical="top"/>
    </xf>
    <xf numFmtId="49" fontId="76" fillId="0" borderId="1" xfId="0" applyNumberFormat="1" applyFont="1" applyBorder="1" applyAlignment="1">
      <alignment horizontal="center" vertical="center"/>
    </xf>
    <xf numFmtId="39" fontId="72" fillId="0" borderId="0" xfId="0" applyNumberFormat="1" applyFont="1" applyFill="1" applyBorder="1" applyAlignment="1">
      <alignment vertical="top"/>
    </xf>
    <xf numFmtId="4" fontId="68" fillId="0" borderId="51" xfId="0" applyNumberFormat="1" applyFont="1" applyFill="1" applyBorder="1" applyAlignment="1">
      <alignment horizontal="right" vertical="center"/>
    </xf>
    <xf numFmtId="0" fontId="68" fillId="0" borderId="51" xfId="0" applyFont="1" applyFill="1" applyBorder="1" applyAlignment="1">
      <alignment horizontal="left" vertical="center" wrapText="1"/>
    </xf>
    <xf numFmtId="0" fontId="0" fillId="0" borderId="0" xfId="0"/>
    <xf numFmtId="0" fontId="0" fillId="0" borderId="0" xfId="0" applyFont="1"/>
    <xf numFmtId="4" fontId="68" fillId="0" borderId="7" xfId="0" applyNumberFormat="1" applyFont="1" applyFill="1" applyBorder="1" applyAlignment="1">
      <alignment horizontal="right" vertical="center"/>
    </xf>
    <xf numFmtId="4" fontId="69" fillId="0" borderId="7" xfId="0" applyNumberFormat="1" applyFont="1" applyFill="1" applyBorder="1" applyAlignment="1">
      <alignment horizontal="right" vertical="center"/>
    </xf>
    <xf numFmtId="4" fontId="68" fillId="0" borderId="53" xfId="0" applyNumberFormat="1" applyFont="1" applyFill="1" applyBorder="1" applyAlignment="1">
      <alignment horizontal="right" vertical="center"/>
    </xf>
    <xf numFmtId="4" fontId="68" fillId="0" borderId="5" xfId="0" applyNumberFormat="1" applyFont="1" applyFill="1" applyBorder="1" applyAlignment="1">
      <alignment horizontal="right" vertical="center"/>
    </xf>
    <xf numFmtId="4" fontId="68" fillId="0" borderId="1" xfId="0" applyNumberFormat="1" applyFont="1" applyFill="1" applyBorder="1" applyAlignment="1">
      <alignment horizontal="right" vertical="center"/>
    </xf>
    <xf numFmtId="4" fontId="69" fillId="0" borderId="52" xfId="0" applyNumberFormat="1" applyFont="1" applyFill="1" applyBorder="1" applyAlignment="1">
      <alignment horizontal="right" vertical="center"/>
    </xf>
    <xf numFmtId="4" fontId="68" fillId="0" borderId="54" xfId="0" applyNumberFormat="1" applyFont="1" applyFill="1" applyBorder="1" applyAlignment="1">
      <alignment horizontal="right" vertical="center"/>
    </xf>
    <xf numFmtId="39" fontId="68" fillId="8" borderId="9" xfId="0" applyNumberFormat="1" applyFont="1" applyFill="1" applyBorder="1" applyAlignment="1">
      <alignment vertical="top"/>
    </xf>
    <xf numFmtId="4" fontId="68" fillId="0" borderId="56" xfId="0" applyNumberFormat="1" applyFont="1" applyFill="1" applyBorder="1" applyAlignment="1">
      <alignment horizontal="right" vertical="center"/>
    </xf>
    <xf numFmtId="39" fontId="69" fillId="0" borderId="7" xfId="0" applyNumberFormat="1" applyFont="1" applyFill="1" applyBorder="1" applyAlignment="1">
      <alignment horizontal="right" vertical="center"/>
    </xf>
    <xf numFmtId="39" fontId="68" fillId="0" borderId="7" xfId="0" applyNumberFormat="1" applyFont="1" applyFill="1" applyBorder="1" applyAlignment="1">
      <alignment horizontal="right" vertical="center"/>
    </xf>
    <xf numFmtId="39" fontId="69" fillId="0" borderId="0" xfId="0" applyNumberFormat="1" applyFont="1" applyFill="1" applyBorder="1" applyAlignment="1">
      <alignment vertical="top"/>
    </xf>
    <xf numFmtId="4" fontId="68" fillId="0" borderId="27" xfId="0" applyNumberFormat="1" applyFont="1" applyFill="1" applyBorder="1" applyAlignment="1">
      <alignment horizontal="right" vertical="center"/>
    </xf>
    <xf numFmtId="4" fontId="68" fillId="0" borderId="73" xfId="0" applyNumberFormat="1" applyFont="1" applyFill="1" applyBorder="1" applyAlignment="1">
      <alignment horizontal="right" vertical="center"/>
    </xf>
    <xf numFmtId="0" fontId="69" fillId="0" borderId="1" xfId="0" applyFont="1" applyFill="1" applyBorder="1" applyAlignment="1">
      <alignment horizontal="left" vertical="center" wrapText="1"/>
    </xf>
    <xf numFmtId="0" fontId="69" fillId="0" borderId="28" xfId="5" applyFont="1" applyBorder="1" applyAlignment="1">
      <alignment vertical="center" wrapText="1"/>
    </xf>
    <xf numFmtId="0" fontId="68" fillId="0" borderId="7" xfId="0" applyFont="1" applyFill="1" applyBorder="1" applyAlignment="1">
      <alignment horizontal="left" vertical="center" wrapText="1"/>
    </xf>
    <xf numFmtId="0" fontId="0" fillId="0" borderId="53" xfId="0" applyBorder="1"/>
    <xf numFmtId="166" fontId="69" fillId="0" borderId="14" xfId="228" applyNumberFormat="1" applyFont="1" applyBorder="1" applyAlignment="1">
      <alignment horizontal="right" vertical="center" indent="1"/>
    </xf>
    <xf numFmtId="4" fontId="72" fillId="0" borderId="7" xfId="0" applyNumberFormat="1" applyFont="1" applyFill="1" applyBorder="1" applyAlignment="1">
      <alignment horizontal="right" vertical="center"/>
    </xf>
    <xf numFmtId="4" fontId="69" fillId="0" borderId="52" xfId="0" applyNumberFormat="1" applyFont="1" applyFill="1" applyBorder="1" applyAlignment="1">
      <alignment vertical="center"/>
    </xf>
    <xf numFmtId="39" fontId="69" fillId="0" borderId="7" xfId="0" applyNumberFormat="1" applyFont="1" applyFill="1" applyBorder="1" applyAlignment="1">
      <alignment vertical="top"/>
    </xf>
    <xf numFmtId="4" fontId="72" fillId="0" borderId="1" xfId="0" applyNumberFormat="1" applyFont="1" applyFill="1" applyBorder="1" applyAlignment="1">
      <alignment horizontal="right" vertical="center"/>
    </xf>
    <xf numFmtId="49" fontId="68" fillId="0" borderId="14" xfId="0" applyNumberFormat="1" applyFont="1" applyBorder="1" applyAlignment="1">
      <alignment horizontal="center" vertical="center"/>
    </xf>
    <xf numFmtId="0" fontId="115" fillId="0" borderId="28" xfId="0" applyFont="1" applyBorder="1"/>
    <xf numFmtId="49" fontId="68" fillId="0" borderId="53" xfId="0" applyNumberFormat="1" applyFont="1" applyBorder="1" applyAlignment="1">
      <alignment horizontal="center" vertical="center"/>
    </xf>
    <xf numFmtId="49" fontId="68" fillId="0" borderId="5" xfId="0" applyNumberFormat="1" applyFont="1" applyBorder="1" applyAlignment="1">
      <alignment horizontal="center" vertical="center"/>
    </xf>
    <xf numFmtId="4" fontId="72" fillId="0" borderId="53" xfId="0" applyNumberFormat="1" applyFont="1" applyFill="1" applyBorder="1" applyAlignment="1">
      <alignment horizontal="right" vertical="center"/>
    </xf>
    <xf numFmtId="0" fontId="46" fillId="0" borderId="51" xfId="0" applyFont="1" applyFill="1" applyBorder="1"/>
    <xf numFmtId="39" fontId="102" fillId="8" borderId="53" xfId="0" applyNumberFormat="1" applyFont="1" applyFill="1" applyBorder="1" applyAlignment="1">
      <alignment vertical="top"/>
    </xf>
    <xf numFmtId="0" fontId="46" fillId="8" borderId="53" xfId="0" applyFont="1" applyFill="1" applyBorder="1"/>
    <xf numFmtId="39" fontId="102" fillId="8" borderId="73" xfId="0" applyNumberFormat="1" applyFont="1" applyFill="1" applyBorder="1" applyAlignment="1">
      <alignment vertical="top"/>
    </xf>
    <xf numFmtId="39" fontId="91" fillId="0" borderId="0" xfId="0" applyNumberFormat="1" applyFont="1" applyBorder="1" applyAlignment="1">
      <alignment vertical="top"/>
    </xf>
    <xf numFmtId="4" fontId="102" fillId="4" borderId="53" xfId="0" applyNumberFormat="1" applyFont="1" applyFill="1" applyBorder="1" applyAlignment="1">
      <alignment horizontal="right" vertical="center"/>
    </xf>
    <xf numFmtId="41" fontId="100" fillId="3" borderId="53" xfId="2" applyFont="1" applyFill="1" applyBorder="1" applyAlignment="1">
      <alignment horizontal="left" vertical="center" indent="1"/>
    </xf>
    <xf numFmtId="165" fontId="69" fillId="0" borderId="7" xfId="197" applyFont="1" applyBorder="1" applyAlignment="1">
      <alignment vertical="center"/>
    </xf>
    <xf numFmtId="166" fontId="0" fillId="0" borderId="28" xfId="2" applyNumberFormat="1" applyFont="1" applyBorder="1"/>
    <xf numFmtId="166" fontId="0" fillId="0" borderId="28" xfId="2" applyNumberFormat="1" applyFont="1" applyBorder="1" applyAlignment="1">
      <alignment horizontal="right"/>
    </xf>
    <xf numFmtId="0" fontId="126" fillId="0" borderId="7" xfId="6" applyFont="1" applyFill="1" applyBorder="1" applyAlignment="1">
      <alignment horizontal="left" vertical="center" wrapText="1"/>
    </xf>
    <xf numFmtId="0" fontId="68" fillId="0" borderId="51" xfId="0" applyFont="1" applyBorder="1" applyAlignment="1">
      <alignment horizontal="left" vertical="center" wrapText="1"/>
    </xf>
    <xf numFmtId="0" fontId="69" fillId="0" borderId="14" xfId="0" applyFont="1" applyBorder="1" applyAlignment="1">
      <alignment wrapText="1"/>
    </xf>
    <xf numFmtId="165" fontId="69" fillId="0" borderId="14" xfId="158" applyFont="1" applyBorder="1" applyAlignment="1">
      <alignment vertical="center"/>
    </xf>
    <xf numFmtId="165" fontId="69" fillId="0" borderId="5" xfId="166" applyFont="1" applyBorder="1" applyAlignment="1">
      <alignment vertical="center"/>
    </xf>
    <xf numFmtId="4" fontId="69" fillId="0" borderId="1" xfId="2" applyNumberFormat="1" applyFont="1" applyBorder="1" applyAlignment="1">
      <alignment vertical="center"/>
    </xf>
    <xf numFmtId="165" fontId="69" fillId="0" borderId="1" xfId="178" applyFont="1" applyBorder="1" applyAlignment="1">
      <alignment vertical="center"/>
    </xf>
    <xf numFmtId="165" fontId="69" fillId="0" borderId="51" xfId="178" applyFont="1" applyBorder="1" applyAlignment="1">
      <alignment vertical="center"/>
    </xf>
    <xf numFmtId="4" fontId="69" fillId="0" borderId="43" xfId="2" applyNumberFormat="1" applyFont="1" applyBorder="1" applyAlignment="1">
      <alignment vertical="center"/>
    </xf>
    <xf numFmtId="165" fontId="69" fillId="0" borderId="1" xfId="192" applyFont="1" applyBorder="1" applyAlignment="1">
      <alignment vertical="center"/>
    </xf>
    <xf numFmtId="165" fontId="69" fillId="0" borderId="5" xfId="195" applyFont="1" applyFill="1" applyBorder="1" applyAlignment="1">
      <alignment vertical="center"/>
    </xf>
    <xf numFmtId="165" fontId="69" fillId="0" borderId="27" xfId="195" applyFont="1" applyBorder="1" applyAlignment="1">
      <alignment vertical="center"/>
    </xf>
    <xf numFmtId="165" fontId="68" fillId="0" borderId="5" xfId="195" applyFont="1" applyFill="1" applyBorder="1" applyAlignment="1">
      <alignment vertical="center"/>
    </xf>
    <xf numFmtId="165" fontId="68" fillId="0" borderId="27" xfId="195" applyFont="1" applyBorder="1" applyAlignment="1">
      <alignment vertical="center"/>
    </xf>
    <xf numFmtId="0" fontId="69" fillId="0" borderId="7" xfId="0" applyFont="1" applyBorder="1"/>
    <xf numFmtId="0" fontId="69" fillId="0" borderId="7" xfId="0" applyFont="1" applyBorder="1" applyAlignment="1">
      <alignment horizontal="right"/>
    </xf>
    <xf numFmtId="166" fontId="72" fillId="0" borderId="27" xfId="2" quotePrefix="1" applyNumberFormat="1" applyFont="1" applyBorder="1" applyAlignment="1">
      <alignment vertical="center"/>
    </xf>
    <xf numFmtId="165" fontId="68" fillId="0" borderId="7" xfId="198" applyFont="1" applyBorder="1" applyAlignment="1">
      <alignment vertical="center"/>
    </xf>
    <xf numFmtId="4" fontId="69" fillId="0" borderId="5" xfId="2" applyNumberFormat="1" applyFont="1" applyBorder="1" applyAlignment="1">
      <alignment vertical="center"/>
    </xf>
    <xf numFmtId="165" fontId="0" fillId="0" borderId="28" xfId="197" applyFont="1" applyBorder="1" applyAlignment="1">
      <alignment vertical="center"/>
    </xf>
    <xf numFmtId="39" fontId="68" fillId="0" borderId="27" xfId="0" applyNumberFormat="1" applyFont="1" applyFill="1" applyBorder="1" applyAlignment="1">
      <alignment horizontal="right" vertical="center"/>
    </xf>
    <xf numFmtId="4" fontId="120" fillId="0" borderId="53" xfId="6" applyNumberFormat="1" applyFont="1" applyFill="1" applyBorder="1" applyAlignment="1">
      <alignment horizontal="right" vertical="center"/>
    </xf>
    <xf numFmtId="166" fontId="66" fillId="0" borderId="53" xfId="2" applyNumberFormat="1" applyFont="1" applyBorder="1" applyAlignment="1">
      <alignment horizontal="right" vertical="center"/>
    </xf>
    <xf numFmtId="166" fontId="66" fillId="0" borderId="53" xfId="2" applyNumberFormat="1" applyFont="1" applyBorder="1" applyAlignment="1">
      <alignment vertical="center"/>
    </xf>
    <xf numFmtId="166" fontId="76" fillId="0" borderId="1" xfId="2" applyNumberFormat="1" applyFont="1" applyBorder="1" applyAlignment="1">
      <alignment vertical="center"/>
    </xf>
    <xf numFmtId="43" fontId="102" fillId="8" borderId="53" xfId="0" applyNumberFormat="1" applyFont="1" applyFill="1" applyBorder="1" applyAlignment="1">
      <alignment horizontal="right" vertical="center" indent="1"/>
    </xf>
    <xf numFmtId="165" fontId="68" fillId="0" borderId="7" xfId="145" applyFont="1" applyBorder="1" applyAlignment="1">
      <alignment vertical="center"/>
    </xf>
    <xf numFmtId="165" fontId="68" fillId="0" borderId="7" xfId="145" applyFont="1" applyBorder="1" applyAlignment="1">
      <alignment horizontal="right" vertical="center"/>
    </xf>
    <xf numFmtId="165" fontId="68" fillId="0" borderId="7" xfId="144" applyFont="1" applyBorder="1" applyAlignment="1">
      <alignment vertical="center"/>
    </xf>
    <xf numFmtId="165" fontId="68" fillId="0" borderId="7" xfId="144" applyFont="1" applyBorder="1" applyAlignment="1">
      <alignment horizontal="right" vertical="center"/>
    </xf>
    <xf numFmtId="43" fontId="100" fillId="0" borderId="1" xfId="0" applyNumberFormat="1" applyFont="1" applyBorder="1" applyAlignment="1">
      <alignment horizontal="right" vertical="center"/>
    </xf>
    <xf numFmtId="0" fontId="17" fillId="0" borderId="28" xfId="0" applyFont="1" applyBorder="1"/>
    <xf numFmtId="0" fontId="54" fillId="0" borderId="28" xfId="0" applyFont="1" applyBorder="1"/>
    <xf numFmtId="41" fontId="69" fillId="0" borderId="0" xfId="2" applyFont="1"/>
    <xf numFmtId="166" fontId="68" fillId="0" borderId="14" xfId="2" applyNumberFormat="1" applyFont="1" applyBorder="1" applyAlignment="1">
      <alignment vertical="center"/>
    </xf>
    <xf numFmtId="49" fontId="27" fillId="0" borderId="1" xfId="0" applyNumberFormat="1" applyFont="1" applyBorder="1" applyAlignment="1">
      <alignment horizontal="center" vertical="center"/>
    </xf>
    <xf numFmtId="43" fontId="102" fillId="0" borderId="1" xfId="0" applyNumberFormat="1" applyFont="1" applyFill="1" applyBorder="1" applyAlignment="1">
      <alignment horizontal="left" vertical="center" indent="1"/>
    </xf>
    <xf numFmtId="43" fontId="68" fillId="0" borderId="64" xfId="1" applyFont="1" applyBorder="1" applyAlignment="1">
      <alignment horizontal="right" vertical="center" indent="1"/>
    </xf>
    <xf numFmtId="43" fontId="69" fillId="0" borderId="18" xfId="0" applyNumberFormat="1" applyFont="1" applyFill="1" applyBorder="1" applyAlignment="1">
      <alignment horizontal="right" vertical="center" indent="1"/>
    </xf>
    <xf numFmtId="43" fontId="68" fillId="0" borderId="64" xfId="1" applyNumberFormat="1" applyFont="1" applyBorder="1" applyAlignment="1">
      <alignment horizontal="right" vertical="center" indent="1"/>
    </xf>
    <xf numFmtId="43" fontId="68" fillId="0" borderId="14" xfId="1" applyFont="1" applyBorder="1" applyAlignment="1">
      <alignment horizontal="right" vertical="center" indent="1"/>
    </xf>
    <xf numFmtId="43" fontId="68" fillId="0" borderId="14" xfId="1" applyNumberFormat="1" applyFont="1" applyBorder="1" applyAlignment="1">
      <alignment horizontal="right" vertical="center" indent="1"/>
    </xf>
    <xf numFmtId="43" fontId="68" fillId="0" borderId="65" xfId="1" applyFont="1" applyBorder="1" applyAlignment="1">
      <alignment horizontal="right" vertical="center" indent="1"/>
    </xf>
    <xf numFmtId="43" fontId="69" fillId="0" borderId="64" xfId="1" applyFont="1" applyBorder="1" applyAlignment="1">
      <alignment horizontal="right" vertical="center" indent="1"/>
    </xf>
    <xf numFmtId="43" fontId="69" fillId="0" borderId="18" xfId="0" applyNumberFormat="1" applyFont="1" applyBorder="1" applyAlignment="1">
      <alignment horizontal="right" vertical="center" indent="1"/>
    </xf>
    <xf numFmtId="43" fontId="68" fillId="0" borderId="66" xfId="1" applyFont="1" applyBorder="1" applyAlignment="1">
      <alignment horizontal="right" vertical="center" indent="1"/>
    </xf>
    <xf numFmtId="0" fontId="91" fillId="0" borderId="14" xfId="0" applyFont="1" applyBorder="1" applyAlignment="1">
      <alignment horizontal="left" vertical="center" wrapText="1"/>
    </xf>
    <xf numFmtId="39" fontId="69" fillId="0" borderId="28" xfId="0" applyNumberFormat="1" applyFont="1" applyBorder="1" applyAlignment="1">
      <alignment horizontal="right" vertical="center"/>
    </xf>
    <xf numFmtId="41" fontId="68" fillId="0" borderId="0" xfId="2" applyFont="1" applyFill="1"/>
    <xf numFmtId="43" fontId="102" fillId="2" borderId="53" xfId="0" applyNumberFormat="1" applyFont="1" applyFill="1" applyBorder="1" applyAlignment="1">
      <alignment horizontal="left" vertical="center" indent="1"/>
    </xf>
    <xf numFmtId="0" fontId="69" fillId="0" borderId="8" xfId="12" applyFont="1" applyBorder="1" applyAlignment="1">
      <alignment horizontal="left" vertical="top" wrapText="1"/>
    </xf>
    <xf numFmtId="43" fontId="69" fillId="0" borderId="1" xfId="1" applyFont="1" applyBorder="1" applyAlignment="1">
      <alignment vertical="center" wrapText="1"/>
    </xf>
    <xf numFmtId="39" fontId="69" fillId="0" borderId="79" xfId="0" applyNumberFormat="1" applyFont="1" applyBorder="1" applyAlignment="1">
      <alignment vertical="center"/>
    </xf>
    <xf numFmtId="43" fontId="69" fillId="0" borderId="51" xfId="1" applyFont="1" applyBorder="1" applyAlignment="1">
      <alignment horizontal="left" vertical="center" indent="1"/>
    </xf>
    <xf numFmtId="43" fontId="69" fillId="0" borderId="51" xfId="1" applyFont="1" applyBorder="1" applyAlignment="1">
      <alignment vertical="center"/>
    </xf>
    <xf numFmtId="39" fontId="69" fillId="0" borderId="51" xfId="0" applyNumberFormat="1" applyFont="1" applyBorder="1" applyAlignment="1">
      <alignment vertical="center"/>
    </xf>
    <xf numFmtId="39" fontId="69" fillId="0" borderId="52" xfId="0" applyNumberFormat="1" applyFont="1" applyBorder="1" applyAlignment="1">
      <alignment horizontal="right" vertical="center"/>
    </xf>
    <xf numFmtId="39" fontId="69" fillId="0" borderId="51" xfId="0" applyNumberFormat="1" applyFont="1" applyBorder="1" applyAlignment="1">
      <alignment horizontal="right" vertical="center"/>
    </xf>
    <xf numFmtId="43" fontId="68" fillId="0" borderId="66" xfId="1" applyFont="1" applyBorder="1" applyAlignment="1">
      <alignment horizontal="right" vertical="center" wrapText="1"/>
    </xf>
    <xf numFmtId="43" fontId="68" fillId="0" borderId="1" xfId="1" applyFont="1" applyBorder="1" applyAlignment="1">
      <alignment horizontal="right" vertical="center" wrapText="1"/>
    </xf>
    <xf numFmtId="166" fontId="116" fillId="0" borderId="0" xfId="2" applyNumberFormat="1" applyFont="1" applyAlignment="1">
      <alignment vertical="center"/>
    </xf>
    <xf numFmtId="165" fontId="116" fillId="0" borderId="0" xfId="221" applyNumberFormat="1">
      <alignment vertical="center"/>
    </xf>
    <xf numFmtId="43" fontId="102" fillId="2" borderId="53" xfId="0" applyNumberFormat="1" applyFont="1" applyFill="1" applyBorder="1" applyAlignment="1">
      <alignment horizontal="right" vertical="center"/>
    </xf>
    <xf numFmtId="43" fontId="72" fillId="0" borderId="1" xfId="1" applyFont="1" applyBorder="1" applyAlignment="1">
      <alignment horizontal="right" vertical="center" wrapText="1"/>
    </xf>
    <xf numFmtId="39" fontId="69" fillId="0" borderId="79" xfId="0" applyNumberFormat="1" applyFont="1" applyBorder="1" applyAlignment="1">
      <alignment horizontal="right" vertical="center"/>
    </xf>
    <xf numFmtId="166" fontId="0" fillId="0" borderId="5" xfId="2" applyNumberFormat="1" applyFont="1" applyFill="1" applyBorder="1" applyAlignment="1">
      <alignment vertical="center"/>
    </xf>
    <xf numFmtId="166" fontId="100" fillId="0" borderId="53" xfId="2" applyNumberFormat="1" applyFont="1" applyBorder="1" applyAlignment="1">
      <alignment horizontal="right" vertical="center"/>
    </xf>
    <xf numFmtId="43" fontId="91" fillId="0" borderId="7" xfId="1" applyFont="1" applyBorder="1" applyAlignment="1">
      <alignment horizontal="left" vertical="center" indent="1"/>
    </xf>
    <xf numFmtId="4" fontId="91" fillId="0" borderId="51" xfId="0" applyNumberFormat="1" applyFont="1" applyFill="1" applyBorder="1" applyAlignment="1">
      <alignment horizontal="right" vertical="center"/>
    </xf>
    <xf numFmtId="43" fontId="91" fillId="0" borderId="7" xfId="1" applyFont="1" applyBorder="1" applyAlignment="1">
      <alignment vertical="center"/>
    </xf>
    <xf numFmtId="39" fontId="91" fillId="0" borderId="7" xfId="0" applyNumberFormat="1" applyFont="1" applyBorder="1" applyAlignment="1">
      <alignment vertical="center"/>
    </xf>
    <xf numFmtId="49" fontId="100" fillId="0" borderId="14" xfId="0" applyNumberFormat="1" applyFont="1" applyBorder="1" applyAlignment="1">
      <alignment horizontal="center" vertical="center"/>
    </xf>
    <xf numFmtId="4" fontId="101" fillId="0" borderId="51" xfId="0" applyNumberFormat="1" applyFont="1" applyFill="1" applyBorder="1" applyAlignment="1">
      <alignment horizontal="right" vertical="center"/>
    </xf>
    <xf numFmtId="4" fontId="101" fillId="0" borderId="52" xfId="0" applyNumberFormat="1" applyFont="1" applyFill="1" applyBorder="1" applyAlignment="1">
      <alignment horizontal="right" vertical="center"/>
    </xf>
    <xf numFmtId="4" fontId="101" fillId="0" borderId="53" xfId="0" applyNumberFormat="1" applyFont="1" applyFill="1" applyBorder="1" applyAlignment="1">
      <alignment horizontal="right" vertical="center"/>
    </xf>
    <xf numFmtId="0" fontId="107" fillId="0" borderId="53" xfId="0" applyFont="1" applyBorder="1"/>
    <xf numFmtId="166" fontId="98" fillId="0" borderId="1" xfId="2" applyNumberFormat="1" applyFont="1" applyFill="1" applyBorder="1" applyAlignment="1">
      <alignment vertical="center"/>
    </xf>
    <xf numFmtId="166" fontId="69" fillId="0" borderId="7" xfId="0" applyNumberFormat="1" applyFont="1" applyBorder="1" applyAlignment="1"/>
    <xf numFmtId="4" fontId="89" fillId="4" borderId="7" xfId="0" applyNumberFormat="1" applyFont="1" applyFill="1" applyBorder="1" applyAlignment="1">
      <alignment horizontal="right" vertical="center"/>
    </xf>
    <xf numFmtId="166" fontId="69" fillId="10" borderId="7" xfId="0" applyNumberFormat="1" applyFont="1" applyFill="1" applyBorder="1" applyAlignment="1"/>
    <xf numFmtId="0" fontId="0" fillId="0" borderId="0" xfId="0"/>
    <xf numFmtId="0" fontId="0" fillId="0" borderId="0" xfId="0" applyFont="1"/>
    <xf numFmtId="165" fontId="69" fillId="0" borderId="7" xfId="0" applyNumberFormat="1" applyFont="1" applyFill="1" applyBorder="1"/>
    <xf numFmtId="166" fontId="94" fillId="0" borderId="74" xfId="2" applyNumberFormat="1" applyFont="1" applyBorder="1" applyAlignment="1">
      <alignment vertical="center"/>
    </xf>
    <xf numFmtId="4" fontId="72" fillId="0" borderId="74" xfId="2" applyNumberFormat="1" applyFont="1" applyBorder="1" applyAlignment="1">
      <alignment vertical="center"/>
    </xf>
    <xf numFmtId="0" fontId="68" fillId="0" borderId="74" xfId="0" applyFont="1" applyBorder="1" applyAlignment="1">
      <alignment horizontal="right"/>
    </xf>
    <xf numFmtId="166" fontId="68" fillId="0" borderId="74" xfId="2" applyNumberFormat="1" applyFont="1" applyBorder="1" applyAlignment="1">
      <alignment vertical="center"/>
    </xf>
    <xf numFmtId="166" fontId="69" fillId="0" borderId="0" xfId="0" applyNumberFormat="1" applyFont="1" applyBorder="1" applyAlignment="1">
      <alignment horizontal="right"/>
    </xf>
    <xf numFmtId="0" fontId="115" fillId="0" borderId="27" xfId="0" applyFont="1" applyBorder="1"/>
    <xf numFmtId="0" fontId="115" fillId="0" borderId="53" xfId="0" applyFont="1" applyBorder="1"/>
    <xf numFmtId="4" fontId="69" fillId="0" borderId="7" xfId="0" applyNumberFormat="1" applyFont="1" applyBorder="1" applyAlignment="1">
      <alignment horizontal="right"/>
    </xf>
    <xf numFmtId="0" fontId="0" fillId="0" borderId="0" xfId="0"/>
    <xf numFmtId="0" fontId="9" fillId="0" borderId="0" xfId="0" applyFont="1"/>
    <xf numFmtId="0" fontId="9" fillId="0" borderId="28" xfId="0" applyFont="1" applyBorder="1"/>
    <xf numFmtId="165" fontId="68" fillId="0" borderId="7" xfId="599" applyFont="1" applyBorder="1" applyAlignment="1">
      <alignment horizontal="left" vertical="center" indent="1"/>
    </xf>
    <xf numFmtId="165" fontId="69" fillId="0" borderId="7" xfId="599" applyFont="1" applyBorder="1" applyAlignment="1">
      <alignment horizontal="left" vertical="center" indent="1"/>
    </xf>
    <xf numFmtId="165" fontId="69" fillId="0" borderId="7" xfId="599" applyFont="1" applyBorder="1" applyAlignment="1">
      <alignment vertical="center"/>
    </xf>
    <xf numFmtId="166" fontId="69" fillId="0" borderId="7" xfId="228" applyNumberFormat="1" applyFont="1" applyBorder="1" applyAlignment="1">
      <alignment vertical="center"/>
    </xf>
    <xf numFmtId="0" fontId="0" fillId="0" borderId="0" xfId="0" applyFont="1" applyAlignment="1">
      <alignment horizontal="right"/>
    </xf>
    <xf numFmtId="166" fontId="0" fillId="0" borderId="7" xfId="228" applyNumberFormat="1" applyFont="1" applyBorder="1" applyAlignment="1">
      <alignment vertical="center"/>
    </xf>
    <xf numFmtId="4" fontId="69" fillId="0" borderId="7" xfId="0" applyNumberFormat="1" applyFont="1" applyBorder="1" applyAlignment="1">
      <alignment horizontal="right" vertical="center"/>
    </xf>
    <xf numFmtId="39" fontId="69" fillId="0" borderId="7" xfId="0" applyNumberFormat="1" applyFont="1" applyBorder="1" applyAlignment="1">
      <alignment vertical="top"/>
    </xf>
    <xf numFmtId="39" fontId="68" fillId="0" borderId="7" xfId="0" applyNumberFormat="1" applyFont="1" applyBorder="1" applyAlignment="1">
      <alignment vertical="top"/>
    </xf>
    <xf numFmtId="39" fontId="69" fillId="0" borderId="7" xfId="0" applyNumberFormat="1" applyFont="1" applyBorder="1" applyAlignment="1">
      <alignment horizontal="right" vertical="top"/>
    </xf>
    <xf numFmtId="4" fontId="68" fillId="4" borderId="7" xfId="0" applyNumberFormat="1" applyFont="1" applyFill="1" applyBorder="1" applyAlignment="1">
      <alignment horizontal="right" vertical="center"/>
    </xf>
    <xf numFmtId="4" fontId="69" fillId="4" borderId="7" xfId="0" applyNumberFormat="1" applyFont="1" applyFill="1" applyBorder="1" applyAlignment="1">
      <alignment horizontal="right" vertical="center"/>
    </xf>
    <xf numFmtId="165" fontId="0" fillId="0" borderId="7" xfId="599" applyFont="1" applyBorder="1" applyAlignment="1">
      <alignment vertical="center"/>
    </xf>
    <xf numFmtId="4" fontId="69" fillId="0" borderId="28" xfId="228" applyNumberFormat="1" applyFont="1" applyBorder="1" applyAlignment="1">
      <alignment vertical="center"/>
    </xf>
    <xf numFmtId="4" fontId="68" fillId="0" borderId="28" xfId="228" applyNumberFormat="1" applyFont="1" applyBorder="1" applyAlignment="1">
      <alignment vertical="center"/>
    </xf>
    <xf numFmtId="166" fontId="69" fillId="0" borderId="28" xfId="228" applyNumberFormat="1" applyFont="1" applyBorder="1" applyAlignment="1">
      <alignment vertical="center"/>
    </xf>
    <xf numFmtId="165" fontId="68" fillId="0" borderId="7" xfId="599" applyFont="1" applyBorder="1" applyAlignment="1">
      <alignment vertical="center"/>
    </xf>
    <xf numFmtId="165" fontId="69" fillId="0" borderId="14" xfId="599" applyFont="1" applyBorder="1" applyAlignment="1">
      <alignment horizontal="left" vertical="center" indent="1"/>
    </xf>
    <xf numFmtId="49" fontId="76" fillId="0" borderId="1" xfId="0" applyNumberFormat="1" applyFont="1" applyBorder="1" applyAlignment="1">
      <alignment horizontal="center" vertical="center"/>
    </xf>
    <xf numFmtId="166" fontId="69" fillId="0" borderId="28" xfId="228" applyNumberFormat="1" applyFont="1" applyBorder="1" applyAlignment="1">
      <alignment horizontal="right" vertical="center"/>
    </xf>
    <xf numFmtId="166" fontId="70" fillId="0" borderId="28" xfId="228" applyNumberFormat="1" applyFont="1" applyBorder="1" applyAlignment="1">
      <alignment vertical="center"/>
    </xf>
    <xf numFmtId="166" fontId="72" fillId="0" borderId="28" xfId="228" applyNumberFormat="1" applyFont="1" applyBorder="1" applyAlignment="1">
      <alignment vertical="center"/>
    </xf>
    <xf numFmtId="166" fontId="70" fillId="0" borderId="7" xfId="228" applyNumberFormat="1" applyFont="1" applyBorder="1" applyAlignment="1">
      <alignment vertical="center"/>
    </xf>
    <xf numFmtId="166" fontId="72" fillId="0" borderId="7" xfId="228" applyNumberFormat="1" applyFont="1" applyBorder="1" applyAlignment="1">
      <alignment vertical="center"/>
    </xf>
    <xf numFmtId="165" fontId="69" fillId="0" borderId="1" xfId="599" applyFont="1" applyBorder="1" applyAlignment="1">
      <alignment vertical="center"/>
    </xf>
    <xf numFmtId="39" fontId="69" fillId="0" borderId="28" xfId="0" applyNumberFormat="1" applyFont="1" applyBorder="1" applyAlignment="1">
      <alignment vertical="top"/>
    </xf>
    <xf numFmtId="165" fontId="68" fillId="0" borderId="7" xfId="599" applyNumberFormat="1" applyFont="1" applyBorder="1" applyAlignment="1">
      <alignment vertical="center"/>
    </xf>
    <xf numFmtId="165" fontId="69" fillId="10" borderId="59" xfId="0" applyNumberFormat="1" applyFont="1" applyFill="1" applyBorder="1" applyAlignment="1"/>
    <xf numFmtId="166" fontId="69" fillId="10" borderId="59" xfId="0" applyNumberFormat="1" applyFont="1" applyFill="1" applyBorder="1" applyAlignment="1"/>
    <xf numFmtId="166" fontId="69" fillId="0" borderId="59" xfId="0" applyNumberFormat="1" applyFont="1" applyBorder="1" applyAlignment="1"/>
    <xf numFmtId="4" fontId="70" fillId="0" borderId="28" xfId="228" applyNumberFormat="1" applyFont="1" applyBorder="1" applyAlignment="1">
      <alignment vertical="center"/>
    </xf>
    <xf numFmtId="4" fontId="76" fillId="0" borderId="28" xfId="228" applyNumberFormat="1" applyFont="1" applyBorder="1" applyAlignment="1">
      <alignment vertical="center"/>
    </xf>
    <xf numFmtId="4" fontId="72" fillId="0" borderId="28" xfId="228" applyNumberFormat="1" applyFont="1" applyBorder="1" applyAlignment="1">
      <alignment vertical="center"/>
    </xf>
    <xf numFmtId="4" fontId="72" fillId="0" borderId="51" xfId="228" applyNumberFormat="1" applyFont="1" applyBorder="1" applyAlignment="1">
      <alignment vertical="center"/>
    </xf>
    <xf numFmtId="166" fontId="0" fillId="0" borderId="28" xfId="228" applyNumberFormat="1" applyFont="1" applyBorder="1" applyAlignment="1">
      <alignment horizontal="right" vertical="center"/>
    </xf>
    <xf numFmtId="4" fontId="72" fillId="0" borderId="7" xfId="228" applyNumberFormat="1" applyFont="1" applyBorder="1" applyAlignment="1">
      <alignment vertical="center"/>
    </xf>
    <xf numFmtId="4" fontId="0" fillId="0" borderId="28" xfId="228" applyNumberFormat="1" applyFont="1" applyBorder="1" applyAlignment="1">
      <alignment vertical="center"/>
    </xf>
    <xf numFmtId="39" fontId="72" fillId="0" borderId="7" xfId="0" applyNumberFormat="1" applyFont="1" applyBorder="1" applyAlignment="1">
      <alignment vertical="top"/>
    </xf>
    <xf numFmtId="4" fontId="69" fillId="4" borderId="28" xfId="0" applyNumberFormat="1" applyFont="1" applyFill="1" applyBorder="1" applyAlignment="1">
      <alignment horizontal="right" vertical="center"/>
    </xf>
    <xf numFmtId="4" fontId="72" fillId="4" borderId="7" xfId="0" applyNumberFormat="1" applyFont="1" applyFill="1" applyBorder="1" applyAlignment="1">
      <alignment vertical="center"/>
    </xf>
    <xf numFmtId="165" fontId="72" fillId="0" borderId="7" xfId="599" applyFont="1" applyBorder="1" applyAlignment="1">
      <alignment vertical="center"/>
    </xf>
    <xf numFmtId="166" fontId="89" fillId="0" borderId="28" xfId="228" applyNumberFormat="1" applyFont="1" applyBorder="1" applyAlignment="1">
      <alignment horizontal="right" vertical="center"/>
    </xf>
    <xf numFmtId="4" fontId="76" fillId="4" borderId="7" xfId="0" applyNumberFormat="1" applyFont="1" applyFill="1" applyBorder="1" applyAlignment="1">
      <alignment vertical="center"/>
    </xf>
    <xf numFmtId="4" fontId="69" fillId="4" borderId="14" xfId="0" applyNumberFormat="1" applyFont="1" applyFill="1" applyBorder="1" applyAlignment="1">
      <alignment horizontal="right" vertical="center"/>
    </xf>
    <xf numFmtId="4" fontId="72" fillId="4" borderId="28" xfId="0" applyNumberFormat="1" applyFont="1" applyFill="1" applyBorder="1" applyAlignment="1">
      <alignment vertical="center"/>
    </xf>
    <xf numFmtId="4" fontId="72" fillId="4" borderId="51" xfId="0" applyNumberFormat="1" applyFont="1" applyFill="1" applyBorder="1" applyAlignment="1">
      <alignment vertical="center"/>
    </xf>
    <xf numFmtId="165" fontId="69" fillId="10" borderId="43" xfId="0" applyNumberFormat="1" applyFont="1" applyFill="1" applyBorder="1" applyAlignment="1"/>
    <xf numFmtId="166" fontId="69" fillId="0" borderId="0" xfId="0" applyNumberFormat="1" applyFont="1" applyBorder="1" applyAlignment="1"/>
    <xf numFmtId="49" fontId="28" fillId="0" borderId="1" xfId="0" applyNumberFormat="1" applyFont="1" applyFill="1" applyBorder="1" applyAlignment="1">
      <alignment horizontal="center" vertical="center"/>
    </xf>
    <xf numFmtId="0" fontId="87" fillId="0" borderId="0" xfId="0" applyFont="1" applyFill="1" applyAlignment="1">
      <alignment wrapText="1"/>
    </xf>
    <xf numFmtId="49" fontId="76" fillId="0" borderId="7" xfId="0" applyNumberFormat="1" applyFont="1" applyFill="1" applyBorder="1" applyAlignment="1">
      <alignment horizontal="center" vertical="center"/>
    </xf>
    <xf numFmtId="0" fontId="85" fillId="0" borderId="43" xfId="0" applyFont="1" applyFill="1" applyBorder="1" applyAlignment="1">
      <alignment vertical="top" wrapText="1"/>
    </xf>
    <xf numFmtId="0" fontId="83" fillId="0" borderId="43" xfId="0" applyFont="1" applyFill="1" applyBorder="1" applyAlignment="1">
      <alignment vertical="top" wrapText="1"/>
    </xf>
    <xf numFmtId="0" fontId="88" fillId="0" borderId="7" xfId="6" applyFont="1" applyFill="1" applyBorder="1" applyAlignment="1">
      <alignment horizontal="left" vertical="center" wrapText="1"/>
    </xf>
    <xf numFmtId="165" fontId="68" fillId="0" borderId="53" xfId="0" applyNumberFormat="1" applyFont="1" applyBorder="1" applyAlignment="1">
      <alignment horizontal="right"/>
    </xf>
    <xf numFmtId="0" fontId="68" fillId="0" borderId="60" xfId="0" applyFont="1" applyFill="1" applyBorder="1" applyAlignment="1">
      <alignment wrapText="1"/>
    </xf>
    <xf numFmtId="165" fontId="0" fillId="0" borderId="7" xfId="0" applyNumberFormat="1" applyFont="1" applyBorder="1" applyAlignment="1">
      <alignment horizontal="right"/>
    </xf>
    <xf numFmtId="0" fontId="82" fillId="0" borderId="43" xfId="0" applyFont="1" applyFill="1" applyBorder="1" applyAlignment="1">
      <alignment vertical="top" wrapText="1"/>
    </xf>
    <xf numFmtId="0" fontId="88" fillId="0" borderId="7" xfId="6" applyFont="1" applyBorder="1" applyAlignment="1">
      <alignment horizontal="left" vertical="center" wrapText="1"/>
    </xf>
    <xf numFmtId="0" fontId="83" fillId="0" borderId="43" xfId="0" applyFont="1" applyBorder="1" applyAlignment="1">
      <alignment vertical="top" wrapText="1"/>
    </xf>
    <xf numFmtId="43" fontId="69" fillId="0" borderId="53" xfId="1" applyFont="1" applyBorder="1" applyAlignment="1">
      <alignment vertical="center"/>
    </xf>
    <xf numFmtId="0" fontId="83" fillId="0" borderId="42" xfId="0" applyFont="1" applyFill="1" applyBorder="1" applyAlignment="1">
      <alignment vertical="top" wrapText="1"/>
    </xf>
    <xf numFmtId="165" fontId="68" fillId="0" borderId="0" xfId="0" applyNumberFormat="1" applyFont="1" applyAlignment="1">
      <alignment horizontal="right" vertical="center"/>
    </xf>
    <xf numFmtId="4" fontId="84" fillId="0" borderId="7" xfId="0" applyNumberFormat="1" applyFont="1" applyBorder="1" applyAlignment="1">
      <alignment horizontal="right" vertical="center"/>
    </xf>
    <xf numFmtId="165" fontId="69" fillId="0" borderId="1" xfId="0" applyNumberFormat="1" applyFont="1" applyBorder="1" applyAlignment="1">
      <alignment horizontal="right" indent="2"/>
    </xf>
    <xf numFmtId="0" fontId="83" fillId="0" borderId="7" xfId="0" applyFont="1" applyFill="1" applyBorder="1" applyAlignment="1">
      <alignment vertical="top" wrapText="1"/>
    </xf>
    <xf numFmtId="21" fontId="69" fillId="0" borderId="7" xfId="0" applyNumberFormat="1" applyFont="1" applyFill="1" applyBorder="1" applyAlignment="1">
      <alignment horizontal="left" vertical="center" wrapText="1"/>
    </xf>
    <xf numFmtId="43" fontId="72" fillId="0" borderId="53" xfId="1" applyFont="1" applyBorder="1" applyAlignment="1">
      <alignment vertical="center"/>
    </xf>
    <xf numFmtId="0" fontId="0" fillId="0" borderId="0" xfId="0"/>
    <xf numFmtId="0" fontId="9" fillId="0" borderId="0" xfId="0" applyFont="1"/>
    <xf numFmtId="0" fontId="9" fillId="0" borderId="28" xfId="0" applyFont="1" applyBorder="1"/>
    <xf numFmtId="0" fontId="0" fillId="0" borderId="0" xfId="0" applyFont="1" applyAlignment="1">
      <alignment horizontal="right"/>
    </xf>
    <xf numFmtId="4" fontId="69" fillId="0" borderId="7" xfId="0" applyNumberFormat="1" applyFont="1" applyBorder="1" applyAlignment="1">
      <alignment horizontal="right" vertical="center"/>
    </xf>
    <xf numFmtId="4" fontId="68" fillId="0" borderId="7" xfId="0" applyNumberFormat="1" applyFont="1" applyBorder="1" applyAlignment="1">
      <alignment horizontal="right" vertical="center"/>
    </xf>
    <xf numFmtId="4" fontId="68" fillId="4" borderId="1" xfId="0" applyNumberFormat="1" applyFont="1" applyFill="1" applyBorder="1" applyAlignment="1">
      <alignment horizontal="right" vertical="center"/>
    </xf>
    <xf numFmtId="4" fontId="68" fillId="4" borderId="7" xfId="0" applyNumberFormat="1" applyFont="1" applyFill="1" applyBorder="1" applyAlignment="1">
      <alignment horizontal="right" vertical="center"/>
    </xf>
    <xf numFmtId="49" fontId="76" fillId="0" borderId="1" xfId="0" applyNumberFormat="1" applyFont="1" applyBorder="1" applyAlignment="1">
      <alignment horizontal="center" vertical="center"/>
    </xf>
    <xf numFmtId="4" fontId="69" fillId="0" borderId="27" xfId="0" applyNumberFormat="1" applyFont="1" applyBorder="1" applyAlignment="1">
      <alignment horizontal="right" vertical="center"/>
    </xf>
    <xf numFmtId="4" fontId="69" fillId="0" borderId="53" xfId="2" applyNumberFormat="1" applyFont="1" applyBorder="1" applyAlignment="1">
      <alignment vertical="center"/>
    </xf>
    <xf numFmtId="49" fontId="76" fillId="0" borderId="53" xfId="0" applyNumberFormat="1" applyFont="1" applyBorder="1" applyAlignment="1">
      <alignment horizontal="center" vertical="center"/>
    </xf>
    <xf numFmtId="0" fontId="0" fillId="0" borderId="0" xfId="0"/>
    <xf numFmtId="0" fontId="9" fillId="0" borderId="0" xfId="0" applyFont="1"/>
    <xf numFmtId="0" fontId="9" fillId="0" borderId="28" xfId="0" applyFont="1" applyBorder="1"/>
    <xf numFmtId="49" fontId="76" fillId="0" borderId="1" xfId="0" applyNumberFormat="1" applyFont="1" applyBorder="1" applyAlignment="1">
      <alignment horizontal="center" vertical="center"/>
    </xf>
    <xf numFmtId="49" fontId="76" fillId="0" borderId="53" xfId="0" applyNumberFormat="1" applyFont="1" applyBorder="1" applyAlignment="1">
      <alignment horizontal="center" vertical="center"/>
    </xf>
    <xf numFmtId="0" fontId="0" fillId="0" borderId="14" xfId="0" applyFont="1" applyBorder="1" applyAlignment="1">
      <alignment horizontal="right"/>
    </xf>
    <xf numFmtId="0" fontId="0" fillId="0" borderId="0" xfId="0" applyFont="1" applyBorder="1" applyAlignment="1">
      <alignment wrapText="1"/>
    </xf>
    <xf numFmtId="0" fontId="0" fillId="0" borderId="14" xfId="0" applyFont="1" applyBorder="1" applyAlignment="1">
      <alignment horizontal="left" vertical="center" wrapText="1"/>
    </xf>
    <xf numFmtId="0" fontId="0" fillId="0" borderId="0" xfId="0" applyFont="1" applyAlignment="1">
      <alignment horizontal="center" wrapText="1"/>
    </xf>
    <xf numFmtId="0" fontId="0" fillId="0" borderId="0" xfId="0" applyFont="1" applyAlignment="1">
      <alignment horizontal="left" vertical="center" wrapText="1"/>
    </xf>
    <xf numFmtId="0" fontId="0" fillId="0" borderId="17" xfId="0" quotePrefix="1" applyFont="1" applyBorder="1" applyAlignment="1">
      <alignment horizontal="center" vertical="center" wrapText="1"/>
    </xf>
    <xf numFmtId="0" fontId="0" fillId="0" borderId="0" xfId="0" applyFont="1" applyAlignment="1">
      <alignment wrapText="1"/>
    </xf>
    <xf numFmtId="0" fontId="0" fillId="0" borderId="0" xfId="0" applyFont="1" applyAlignment="1">
      <alignment horizontal="left" vertical="top" wrapText="1"/>
    </xf>
    <xf numFmtId="0" fontId="68" fillId="0" borderId="0" xfId="0" applyFont="1" applyAlignment="1">
      <alignment wrapText="1"/>
    </xf>
    <xf numFmtId="0" fontId="68" fillId="0" borderId="7" xfId="0" applyFont="1" applyBorder="1" applyAlignment="1">
      <alignment wrapText="1"/>
    </xf>
    <xf numFmtId="0" fontId="69" fillId="0" borderId="7" xfId="0" applyFont="1" applyBorder="1" applyAlignment="1">
      <alignment wrapText="1"/>
    </xf>
    <xf numFmtId="0" fontId="0" fillId="0" borderId="1" xfId="0" applyFont="1" applyBorder="1" applyAlignment="1">
      <alignment horizontal="left" vertical="center" wrapText="1"/>
    </xf>
    <xf numFmtId="0" fontId="68" fillId="0" borderId="53" xfId="0" applyFont="1" applyBorder="1" applyAlignment="1">
      <alignment horizontal="left" vertical="center" wrapText="1"/>
    </xf>
    <xf numFmtId="0" fontId="68" fillId="0" borderId="7" xfId="0" applyFont="1" applyBorder="1" applyAlignment="1">
      <alignment horizontal="left" vertical="top" wrapText="1"/>
    </xf>
    <xf numFmtId="0" fontId="69" fillId="0" borderId="7" xfId="0" applyFont="1" applyBorder="1" applyAlignment="1">
      <alignment horizontal="left" vertical="center" wrapText="1"/>
    </xf>
    <xf numFmtId="0" fontId="69" fillId="0" borderId="14" xfId="0" applyFont="1" applyBorder="1" applyAlignment="1">
      <alignment horizontal="left" vertical="center" wrapText="1"/>
    </xf>
    <xf numFmtId="0" fontId="68" fillId="0" borderId="13" xfId="0" applyFont="1" applyBorder="1" applyAlignment="1">
      <alignment horizontal="left" vertical="center" wrapText="1"/>
    </xf>
    <xf numFmtId="0" fontId="69" fillId="0" borderId="13" xfId="0" applyFont="1" applyBorder="1" applyAlignment="1">
      <alignment horizontal="left" vertical="center" wrapText="1"/>
    </xf>
    <xf numFmtId="0" fontId="69" fillId="0" borderId="13" xfId="5" applyFont="1" applyBorder="1" applyAlignment="1">
      <alignment vertical="center" wrapText="1"/>
    </xf>
    <xf numFmtId="49" fontId="69" fillId="0" borderId="28" xfId="13" applyNumberFormat="1" applyFont="1" applyBorder="1" applyAlignment="1">
      <alignment horizontal="left" vertical="center" wrapText="1"/>
    </xf>
    <xf numFmtId="0" fontId="69" fillId="0" borderId="28" xfId="13" applyFont="1" applyBorder="1" applyAlignment="1">
      <alignment vertical="center" wrapText="1"/>
    </xf>
    <xf numFmtId="0" fontId="69" fillId="0" borderId="28" xfId="13" applyFont="1" applyBorder="1" applyAlignment="1">
      <alignment horizontal="left" vertical="center" wrapText="1"/>
    </xf>
    <xf numFmtId="0" fontId="69" fillId="0" borderId="43" xfId="13" applyFont="1" applyBorder="1" applyAlignment="1">
      <alignment horizontal="left" vertical="center" wrapText="1"/>
    </xf>
    <xf numFmtId="49" fontId="68" fillId="0" borderId="79" xfId="13" applyNumberFormat="1" applyFont="1" applyBorder="1" applyAlignment="1">
      <alignment horizontal="left" vertical="center" wrapText="1"/>
    </xf>
    <xf numFmtId="0" fontId="69" fillId="0" borderId="43" xfId="13" applyFont="1" applyBorder="1" applyAlignment="1">
      <alignment vertical="center" wrapText="1"/>
    </xf>
    <xf numFmtId="0" fontId="68" fillId="0" borderId="5" xfId="0" applyFont="1" applyBorder="1" applyAlignment="1">
      <alignment horizontal="left" vertical="top" wrapText="1"/>
    </xf>
    <xf numFmtId="0" fontId="68" fillId="0" borderId="13" xfId="5" applyFont="1" applyBorder="1" applyAlignment="1">
      <alignment vertical="center" wrapText="1"/>
    </xf>
    <xf numFmtId="0" fontId="68" fillId="0" borderId="14" xfId="0" applyFont="1" applyBorder="1" applyAlignment="1">
      <alignment horizontal="left" vertical="center" wrapText="1"/>
    </xf>
    <xf numFmtId="0" fontId="69" fillId="0" borderId="0" xfId="0" applyFont="1" applyAlignment="1">
      <alignment wrapText="1"/>
    </xf>
    <xf numFmtId="0" fontId="68" fillId="0" borderId="55" xfId="0" applyFont="1" applyBorder="1" applyAlignment="1">
      <alignment wrapText="1"/>
    </xf>
    <xf numFmtId="0" fontId="69" fillId="0" borderId="13" xfId="0" applyFont="1" applyBorder="1" applyAlignment="1">
      <alignment wrapText="1"/>
    </xf>
    <xf numFmtId="0" fontId="69" fillId="0" borderId="43" xfId="0" applyFont="1" applyBorder="1" applyAlignment="1">
      <alignment horizontal="left" vertical="top" wrapText="1"/>
    </xf>
    <xf numFmtId="0" fontId="68" fillId="0" borderId="13" xfId="0" applyFont="1" applyBorder="1" applyAlignment="1">
      <alignment wrapText="1"/>
    </xf>
    <xf numFmtId="4" fontId="69" fillId="0" borderId="7" xfId="0" applyNumberFormat="1" applyFont="1" applyFill="1" applyBorder="1" applyAlignment="1">
      <alignment vertical="center"/>
    </xf>
    <xf numFmtId="0" fontId="68" fillId="5" borderId="14" xfId="0" applyFont="1" applyFill="1" applyBorder="1" applyAlignment="1">
      <alignment horizontal="left" vertical="center" wrapText="1"/>
    </xf>
    <xf numFmtId="0" fontId="68" fillId="0" borderId="5" xfId="0" applyFont="1" applyBorder="1" applyAlignment="1">
      <alignment horizontal="left" vertical="center" wrapText="1"/>
    </xf>
    <xf numFmtId="0" fontId="68" fillId="0" borderId="7" xfId="0" applyFont="1" applyBorder="1" applyAlignment="1">
      <alignment horizontal="left" vertical="center" wrapText="1"/>
    </xf>
    <xf numFmtId="0" fontId="69" fillId="0" borderId="0" xfId="0" applyFont="1" applyAlignment="1">
      <alignment horizontal="left" vertical="center" wrapText="1"/>
    </xf>
    <xf numFmtId="0" fontId="69" fillId="0" borderId="5" xfId="0" applyFont="1" applyBorder="1" applyAlignment="1">
      <alignment horizontal="left" vertical="top" wrapText="1"/>
    </xf>
    <xf numFmtId="0" fontId="68" fillId="0" borderId="14" xfId="0" applyFont="1" applyBorder="1" applyAlignment="1">
      <alignment horizontal="left" vertical="top" wrapText="1"/>
    </xf>
    <xf numFmtId="0" fontId="68" fillId="5" borderId="7" xfId="0" applyFont="1" applyFill="1" applyBorder="1" applyAlignment="1">
      <alignment horizontal="left" vertical="center" wrapText="1"/>
    </xf>
    <xf numFmtId="0" fontId="69" fillId="0" borderId="95" xfId="12" applyFont="1" applyBorder="1" applyAlignment="1">
      <alignment horizontal="left" vertical="top" wrapText="1"/>
    </xf>
    <xf numFmtId="0" fontId="69" fillId="0" borderId="13" xfId="12" applyFont="1" applyBorder="1" applyAlignment="1">
      <alignment horizontal="left" vertical="top" wrapText="1"/>
    </xf>
    <xf numFmtId="0" fontId="69" fillId="0" borderId="0" xfId="12" applyFont="1" applyBorder="1" applyAlignment="1">
      <alignment horizontal="left" vertical="top" wrapText="1"/>
    </xf>
    <xf numFmtId="0" fontId="0" fillId="0" borderId="7" xfId="0" applyFont="1" applyBorder="1" applyAlignment="1">
      <alignment horizontal="left" vertical="center" wrapText="1"/>
    </xf>
    <xf numFmtId="0" fontId="69" fillId="0" borderId="7" xfId="12" applyFont="1" applyBorder="1" applyAlignment="1">
      <alignment horizontal="left" vertical="top" wrapText="1"/>
    </xf>
    <xf numFmtId="0" fontId="69" fillId="0" borderId="1" xfId="0" applyFont="1" applyBorder="1" applyAlignment="1">
      <alignment horizontal="left" vertical="center" wrapText="1"/>
    </xf>
    <xf numFmtId="0" fontId="68" fillId="0" borderId="1" xfId="0" applyFont="1" applyBorder="1" applyAlignment="1">
      <alignment horizontal="left" vertical="center" wrapText="1"/>
    </xf>
    <xf numFmtId="0" fontId="69" fillId="0" borderId="74" xfId="0" applyFont="1" applyBorder="1" applyAlignment="1">
      <alignment horizontal="left" vertical="center" wrapText="1"/>
    </xf>
    <xf numFmtId="0" fontId="68" fillId="0" borderId="53" xfId="12" applyFont="1" applyBorder="1" applyAlignment="1">
      <alignment vertical="top" wrapText="1"/>
    </xf>
    <xf numFmtId="0" fontId="69" fillId="0" borderId="1" xfId="0" applyFont="1" applyFill="1" applyBorder="1" applyAlignment="1">
      <alignment horizontal="left" vertical="center" wrapText="1"/>
    </xf>
    <xf numFmtId="0" fontId="69" fillId="0" borderId="8" xfId="0" applyFont="1" applyBorder="1" applyAlignment="1">
      <alignment horizontal="left" vertical="center" wrapText="1"/>
    </xf>
    <xf numFmtId="0" fontId="69" fillId="0" borderId="80" xfId="0" applyFont="1" applyBorder="1" applyAlignment="1">
      <alignment horizontal="left" vertical="center" wrapText="1"/>
    </xf>
    <xf numFmtId="0" fontId="69" fillId="0" borderId="5" xfId="0" applyFont="1" applyBorder="1" applyAlignment="1">
      <alignment horizontal="left" vertical="center" wrapText="1"/>
    </xf>
    <xf numFmtId="0" fontId="68" fillId="0" borderId="57" xfId="0" applyFont="1" applyBorder="1" applyAlignment="1">
      <alignment horizontal="left" vertical="center" wrapText="1"/>
    </xf>
    <xf numFmtId="0" fontId="68" fillId="0" borderId="13" xfId="0" applyFont="1" applyBorder="1" applyAlignment="1">
      <alignment vertical="center" wrapText="1"/>
    </xf>
    <xf numFmtId="0" fontId="69" fillId="0" borderId="13" xfId="0" applyFont="1" applyBorder="1" applyAlignment="1">
      <alignment vertical="center" wrapText="1"/>
    </xf>
    <xf numFmtId="0" fontId="69" fillId="0" borderId="12" xfId="0" applyFont="1" applyBorder="1" applyAlignment="1">
      <alignment horizontal="left" vertical="center" wrapText="1"/>
    </xf>
    <xf numFmtId="0" fontId="69" fillId="0" borderId="18" xfId="0" applyFont="1" applyBorder="1" applyAlignment="1">
      <alignment horizontal="left" vertical="center" wrapText="1"/>
    </xf>
    <xf numFmtId="0" fontId="0" fillId="0" borderId="8" xfId="0" applyFont="1" applyBorder="1" applyAlignment="1">
      <alignment horizontal="left" vertical="center" wrapText="1"/>
    </xf>
    <xf numFmtId="0" fontId="68" fillId="0" borderId="55" xfId="0" applyFont="1" applyBorder="1" applyAlignment="1">
      <alignment horizontal="left" vertical="center" wrapText="1"/>
    </xf>
    <xf numFmtId="0" fontId="68" fillId="0" borderId="13" xfId="7" applyFont="1" applyBorder="1" applyAlignment="1">
      <alignment vertical="center" wrapText="1"/>
    </xf>
    <xf numFmtId="0" fontId="69" fillId="0" borderId="7" xfId="0" applyFont="1" applyBorder="1" applyAlignment="1">
      <alignment vertical="center" wrapText="1"/>
    </xf>
    <xf numFmtId="0" fontId="69" fillId="0" borderId="14" xfId="0" applyFont="1" applyBorder="1" applyAlignment="1">
      <alignment vertical="center" wrapText="1"/>
    </xf>
    <xf numFmtId="0" fontId="68" fillId="0" borderId="14" xfId="0" applyFont="1" applyBorder="1" applyAlignment="1">
      <alignment vertical="center" wrapText="1"/>
    </xf>
    <xf numFmtId="0" fontId="68" fillId="0" borderId="7" xfId="0" applyFont="1" applyBorder="1" applyAlignment="1">
      <alignment vertical="center" wrapText="1"/>
    </xf>
    <xf numFmtId="0" fontId="68" fillId="0" borderId="68" xfId="0" applyFont="1" applyBorder="1" applyAlignment="1">
      <alignment horizontal="left" vertical="center" wrapText="1"/>
    </xf>
    <xf numFmtId="0" fontId="68" fillId="0" borderId="53" xfId="0" applyFont="1" applyFill="1" applyBorder="1" applyAlignment="1">
      <alignment horizontal="left" vertical="center" wrapText="1"/>
    </xf>
    <xf numFmtId="0" fontId="68" fillId="0" borderId="68" xfId="0" applyFont="1" applyBorder="1" applyAlignment="1">
      <alignment vertical="center" wrapText="1"/>
    </xf>
    <xf numFmtId="0" fontId="0" fillId="0" borderId="7" xfId="0" applyFont="1" applyBorder="1" applyAlignment="1">
      <alignment vertical="center" wrapText="1"/>
    </xf>
    <xf numFmtId="0" fontId="0" fillId="0" borderId="74" xfId="0" applyFont="1" applyBorder="1" applyAlignment="1">
      <alignment vertical="center" wrapText="1"/>
    </xf>
    <xf numFmtId="0" fontId="69" fillId="0" borderId="7" xfId="0" applyFont="1" applyFill="1" applyBorder="1" applyAlignment="1">
      <alignment horizontal="left" vertical="center" wrapText="1"/>
    </xf>
    <xf numFmtId="0" fontId="0" fillId="0" borderId="74" xfId="0" applyFont="1" applyBorder="1" applyAlignment="1">
      <alignment horizontal="left" vertical="center" wrapText="1"/>
    </xf>
    <xf numFmtId="0" fontId="68" fillId="0" borderId="43" xfId="0" applyFont="1" applyBorder="1" applyAlignment="1">
      <alignment vertical="top" wrapText="1"/>
    </xf>
    <xf numFmtId="0" fontId="69" fillId="0" borderId="0" xfId="0" applyFont="1" applyAlignment="1">
      <alignment horizontal="left" vertical="top" wrapText="1"/>
    </xf>
    <xf numFmtId="0" fontId="68" fillId="0" borderId="53" xfId="0" applyFont="1" applyBorder="1" applyAlignment="1">
      <alignment vertical="center" wrapText="1"/>
    </xf>
    <xf numFmtId="0" fontId="68" fillId="0" borderId="68" xfId="0" applyFont="1" applyBorder="1" applyAlignment="1">
      <alignment vertical="top" wrapText="1"/>
    </xf>
    <xf numFmtId="0" fontId="69" fillId="0" borderId="0" xfId="0" applyFont="1" applyBorder="1" applyAlignment="1">
      <alignment horizontal="left" vertical="top" wrapText="1"/>
    </xf>
    <xf numFmtId="0" fontId="68" fillId="0" borderId="53" xfId="0" applyFont="1" applyBorder="1" applyAlignment="1">
      <alignment vertical="top" wrapText="1"/>
    </xf>
    <xf numFmtId="0" fontId="68" fillId="0" borderId="0" xfId="0" applyFont="1" applyAlignment="1">
      <alignment vertical="top" wrapText="1"/>
    </xf>
    <xf numFmtId="0" fontId="69" fillId="0" borderId="43" xfId="0" applyFont="1" applyBorder="1" applyAlignment="1">
      <alignment vertical="top" wrapText="1"/>
    </xf>
    <xf numFmtId="0" fontId="68" fillId="0" borderId="12" xfId="0" applyFont="1" applyBorder="1" applyAlignment="1">
      <alignment vertical="top" wrapText="1"/>
    </xf>
    <xf numFmtId="0" fontId="68" fillId="0" borderId="55" xfId="0" applyFont="1" applyBorder="1" applyAlignment="1">
      <alignment vertical="top" wrapText="1"/>
    </xf>
    <xf numFmtId="0" fontId="69" fillId="0" borderId="42" xfId="0" applyFont="1" applyBorder="1" applyAlignment="1">
      <alignment horizontal="left" vertical="top" wrapText="1"/>
    </xf>
    <xf numFmtId="0" fontId="68" fillId="0" borderId="13" xfId="0" applyFont="1" applyBorder="1" applyAlignment="1">
      <alignment vertical="top" wrapText="1"/>
    </xf>
    <xf numFmtId="0" fontId="69" fillId="0" borderId="13" xfId="0" applyFont="1" applyBorder="1" applyAlignment="1">
      <alignment horizontal="left" vertical="top" wrapText="1"/>
    </xf>
    <xf numFmtId="0" fontId="69" fillId="0" borderId="7" xfId="0" applyFont="1" applyBorder="1" applyAlignment="1">
      <alignment horizontal="left" vertical="top" wrapText="1"/>
    </xf>
    <xf numFmtId="0" fontId="0" fillId="0" borderId="43" xfId="0" applyFont="1" applyBorder="1" applyAlignment="1">
      <alignment horizontal="left" vertical="top" wrapText="1"/>
    </xf>
    <xf numFmtId="0" fontId="68" fillId="0" borderId="55" xfId="0" applyFont="1" applyBorder="1" applyAlignment="1">
      <alignment horizontal="left" vertical="top" wrapText="1"/>
    </xf>
    <xf numFmtId="0" fontId="68" fillId="0" borderId="0" xfId="0" applyFont="1" applyBorder="1" applyAlignment="1">
      <alignment horizontal="left" vertical="top" wrapText="1"/>
    </xf>
    <xf numFmtId="0" fontId="68" fillId="0" borderId="79" xfId="0" applyFont="1" applyBorder="1" applyAlignment="1">
      <alignment vertical="top" wrapText="1"/>
    </xf>
    <xf numFmtId="0" fontId="69" fillId="0" borderId="28" xfId="5" applyFont="1" applyBorder="1" applyAlignment="1">
      <alignment vertical="center" wrapText="1"/>
    </xf>
    <xf numFmtId="0" fontId="68" fillId="0" borderId="7" xfId="0" applyFont="1" applyFill="1" applyBorder="1" applyAlignment="1">
      <alignment horizontal="left" vertical="center" wrapText="1"/>
    </xf>
    <xf numFmtId="0" fontId="69" fillId="0" borderId="52" xfId="5" applyFont="1" applyBorder="1" applyAlignment="1">
      <alignment vertical="center" wrapText="1"/>
    </xf>
    <xf numFmtId="168" fontId="69" fillId="0" borderId="7" xfId="0" applyNumberFormat="1" applyFont="1" applyBorder="1" applyAlignment="1">
      <alignment horizontal="left" vertical="center" wrapText="1"/>
    </xf>
    <xf numFmtId="168" fontId="68" fillId="4" borderId="5" xfId="0" applyNumberFormat="1" applyFont="1" applyFill="1" applyBorder="1" applyAlignment="1">
      <alignment horizontal="left" vertical="center" wrapText="1"/>
    </xf>
    <xf numFmtId="168" fontId="68" fillId="0" borderId="7" xfId="0" applyNumberFormat="1" applyFont="1" applyBorder="1" applyAlignment="1">
      <alignment horizontal="left" vertical="center" wrapText="1"/>
    </xf>
    <xf numFmtId="168" fontId="68" fillId="0" borderId="5" xfId="0" applyNumberFormat="1" applyFont="1" applyBorder="1" applyAlignment="1">
      <alignment horizontal="left" vertical="center" wrapText="1"/>
    </xf>
    <xf numFmtId="168" fontId="68" fillId="4" borderId="7" xfId="0" applyNumberFormat="1" applyFont="1" applyFill="1" applyBorder="1" applyAlignment="1">
      <alignment horizontal="left" vertical="center" wrapText="1"/>
    </xf>
    <xf numFmtId="0" fontId="69" fillId="0" borderId="13" xfId="0" applyFont="1" applyBorder="1" applyAlignment="1">
      <alignment vertical="top" wrapText="1"/>
    </xf>
    <xf numFmtId="0" fontId="68" fillId="0" borderId="7" xfId="0" applyFont="1" applyBorder="1" applyAlignment="1">
      <alignment vertical="top" wrapText="1"/>
    </xf>
    <xf numFmtId="0" fontId="69" fillId="0" borderId="7" xfId="0" applyFont="1" applyBorder="1" applyAlignment="1">
      <alignment vertical="top" wrapText="1"/>
    </xf>
    <xf numFmtId="0" fontId="68" fillId="0" borderId="56" xfId="0" applyFont="1" applyFill="1" applyBorder="1" applyAlignment="1">
      <alignment vertical="center" wrapText="1"/>
    </xf>
    <xf numFmtId="0" fontId="68" fillId="0" borderId="118" xfId="0" applyFont="1" applyFill="1" applyBorder="1" applyAlignment="1">
      <alignment vertical="center" wrapText="1"/>
    </xf>
    <xf numFmtId="0" fontId="69" fillId="0" borderId="118" xfId="0" applyFont="1" applyFill="1" applyBorder="1" applyAlignment="1">
      <alignment vertical="center" wrapText="1"/>
    </xf>
    <xf numFmtId="0" fontId="0" fillId="0" borderId="13" xfId="0" applyFont="1" applyFill="1" applyBorder="1" applyAlignment="1">
      <alignment vertical="center" wrapText="1"/>
    </xf>
    <xf numFmtId="0" fontId="0" fillId="0" borderId="118" xfId="0" applyFont="1" applyFill="1" applyBorder="1" applyAlignment="1">
      <alignment vertical="center" wrapText="1"/>
    </xf>
    <xf numFmtId="0" fontId="68" fillId="0" borderId="8" xfId="0" applyFont="1" applyBorder="1" applyAlignment="1">
      <alignment horizontal="left" vertical="center" wrapText="1"/>
    </xf>
    <xf numFmtId="0" fontId="68" fillId="0" borderId="118" xfId="0" applyFont="1" applyFill="1" applyBorder="1" applyAlignment="1">
      <alignment horizontal="left" vertical="center" wrapText="1"/>
    </xf>
    <xf numFmtId="0" fontId="69" fillId="0" borderId="118" xfId="0" applyFont="1" applyFill="1" applyBorder="1" applyAlignment="1">
      <alignment horizontal="left" vertical="center" wrapText="1"/>
    </xf>
    <xf numFmtId="0" fontId="69" fillId="0" borderId="8" xfId="0" applyFont="1" applyFill="1" applyBorder="1" applyAlignment="1">
      <alignment horizontal="left" vertical="center" wrapText="1"/>
    </xf>
    <xf numFmtId="0" fontId="0" fillId="0" borderId="13" xfId="0" applyFont="1" applyFill="1" applyBorder="1" applyAlignment="1">
      <alignment horizontal="left" vertical="center" wrapText="1"/>
    </xf>
    <xf numFmtId="0" fontId="68" fillId="0" borderId="13" xfId="0" applyFont="1" applyFill="1" applyBorder="1" applyAlignment="1">
      <alignment horizontal="left" vertical="center" wrapText="1"/>
    </xf>
    <xf numFmtId="0" fontId="69" fillId="0" borderId="13" xfId="0" applyFont="1" applyFill="1" applyBorder="1" applyAlignment="1">
      <alignment horizontal="left" vertical="center" wrapText="1"/>
    </xf>
    <xf numFmtId="20" fontId="69" fillId="0" borderId="13" xfId="0" applyNumberFormat="1" applyFont="1" applyBorder="1" applyAlignment="1">
      <alignment horizontal="left" vertical="center" wrapText="1"/>
    </xf>
    <xf numFmtId="0" fontId="68" fillId="0" borderId="68" xfId="0" applyFont="1" applyFill="1" applyBorder="1" applyAlignment="1">
      <alignment horizontal="left" vertical="center" wrapText="1"/>
    </xf>
    <xf numFmtId="0" fontId="0" fillId="0" borderId="7" xfId="0" applyFont="1" applyFill="1" applyBorder="1" applyAlignment="1">
      <alignment horizontal="left" vertical="center" wrapText="1"/>
    </xf>
    <xf numFmtId="0" fontId="68" fillId="0" borderId="121" xfId="0" applyFont="1" applyFill="1" applyBorder="1" applyAlignment="1">
      <alignment horizontal="left" vertical="center" wrapText="1"/>
    </xf>
    <xf numFmtId="0" fontId="69" fillId="0" borderId="0" xfId="0" applyFont="1" applyBorder="1" applyAlignment="1">
      <alignment horizontal="left" vertical="center" wrapText="1"/>
    </xf>
    <xf numFmtId="0" fontId="68" fillId="0" borderId="1" xfId="0" applyFont="1" applyBorder="1" applyAlignment="1">
      <alignment horizontal="left" vertical="top" wrapText="1"/>
    </xf>
    <xf numFmtId="0" fontId="68" fillId="0" borderId="42" xfId="0" applyFont="1" applyBorder="1" applyAlignment="1">
      <alignment horizontal="left" vertical="top" wrapText="1"/>
    </xf>
    <xf numFmtId="0" fontId="68" fillId="2" borderId="53" xfId="0" applyFont="1" applyFill="1" applyBorder="1" applyAlignment="1">
      <alignment horizontal="left" vertical="center" wrapText="1"/>
    </xf>
    <xf numFmtId="0" fontId="68" fillId="0" borderId="1" xfId="0" applyFont="1" applyFill="1" applyBorder="1" applyAlignment="1">
      <alignment horizontal="left" vertical="center" wrapText="1"/>
    </xf>
    <xf numFmtId="0" fontId="68" fillId="0" borderId="49" xfId="5" applyFont="1" applyBorder="1" applyAlignment="1">
      <alignment vertical="center" wrapText="1"/>
    </xf>
    <xf numFmtId="0" fontId="68" fillId="0" borderId="0" xfId="5" applyFont="1" applyBorder="1" applyAlignment="1">
      <alignment vertical="center" wrapText="1"/>
    </xf>
    <xf numFmtId="0" fontId="69" fillId="0" borderId="5" xfId="0" applyFont="1" applyFill="1" applyBorder="1" applyAlignment="1">
      <alignment horizontal="left" vertical="center" wrapText="1"/>
    </xf>
    <xf numFmtId="0" fontId="68" fillId="0" borderId="14" xfId="0" applyFont="1" applyFill="1" applyBorder="1" applyAlignment="1">
      <alignment horizontal="left" vertical="center" wrapText="1"/>
    </xf>
    <xf numFmtId="0" fontId="68" fillId="0" borderId="55" xfId="0" applyFont="1" applyFill="1" applyBorder="1" applyAlignment="1">
      <alignment horizontal="left" vertical="center" wrapText="1"/>
    </xf>
    <xf numFmtId="49" fontId="68" fillId="0" borderId="13" xfId="5" applyNumberFormat="1" applyFont="1" applyBorder="1" applyAlignment="1">
      <alignment horizontal="left" vertical="center" wrapText="1"/>
    </xf>
    <xf numFmtId="49" fontId="68" fillId="0" borderId="43" xfId="13" applyNumberFormat="1" applyFont="1" applyBorder="1" applyAlignment="1">
      <alignment horizontal="left" vertical="center" wrapText="1"/>
    </xf>
    <xf numFmtId="49" fontId="68" fillId="0" borderId="101" xfId="5" applyNumberFormat="1" applyFont="1" applyBorder="1" applyAlignment="1">
      <alignment horizontal="left" vertical="center" wrapText="1"/>
    </xf>
    <xf numFmtId="0" fontId="68" fillId="0" borderId="57" xfId="0" applyFont="1" applyFill="1" applyBorder="1" applyAlignment="1">
      <alignment horizontal="left" vertical="center" wrapText="1"/>
    </xf>
    <xf numFmtId="49" fontId="69" fillId="0" borderId="27" xfId="13" applyNumberFormat="1" applyFont="1" applyBorder="1" applyAlignment="1">
      <alignment horizontal="left" vertical="center" wrapText="1"/>
    </xf>
    <xf numFmtId="0" fontId="68" fillId="0" borderId="43" xfId="13" applyFont="1" applyBorder="1" applyAlignment="1">
      <alignment horizontal="left" vertical="center" wrapText="1"/>
    </xf>
    <xf numFmtId="49" fontId="68" fillId="0" borderId="55" xfId="13" applyNumberFormat="1" applyFont="1" applyBorder="1" applyAlignment="1">
      <alignment horizontal="left" vertical="center" wrapText="1"/>
    </xf>
    <xf numFmtId="49" fontId="69" fillId="0" borderId="0" xfId="13" applyNumberFormat="1" applyFont="1" applyBorder="1" applyAlignment="1">
      <alignment horizontal="left" vertical="center" wrapText="1"/>
    </xf>
    <xf numFmtId="0" fontId="69" fillId="0" borderId="74" xfId="0" applyFont="1" applyFill="1" applyBorder="1" applyAlignment="1">
      <alignment horizontal="left" vertical="center" wrapText="1"/>
    </xf>
    <xf numFmtId="0" fontId="68" fillId="0" borderId="8" xfId="0" applyFont="1" applyFill="1" applyBorder="1" applyAlignment="1">
      <alignment horizontal="left" vertical="center" wrapText="1"/>
    </xf>
    <xf numFmtId="0" fontId="69" fillId="0" borderId="1" xfId="0" applyFont="1" applyBorder="1" applyAlignment="1">
      <alignment horizontal="left" wrapText="1"/>
    </xf>
    <xf numFmtId="0" fontId="69" fillId="0" borderId="7" xfId="0" applyFont="1" applyBorder="1" applyAlignment="1">
      <alignment horizontal="left" wrapText="1"/>
    </xf>
    <xf numFmtId="0" fontId="0" fillId="0" borderId="13" xfId="0" applyFont="1" applyBorder="1" applyAlignment="1">
      <alignment wrapText="1"/>
    </xf>
    <xf numFmtId="0" fontId="69" fillId="0" borderId="12" xfId="0" applyFont="1" applyBorder="1" applyAlignment="1">
      <alignment vertical="center" wrapText="1"/>
    </xf>
    <xf numFmtId="0" fontId="69" fillId="0" borderId="12" xfId="0" applyFont="1" applyBorder="1" applyAlignment="1">
      <alignment wrapText="1"/>
    </xf>
    <xf numFmtId="0" fontId="0" fillId="0" borderId="14" xfId="0" applyFont="1" applyBorder="1" applyAlignment="1">
      <alignment wrapText="1"/>
    </xf>
    <xf numFmtId="0" fontId="69" fillId="0" borderId="18" xfId="0" applyFont="1" applyBorder="1" applyAlignment="1">
      <alignment wrapText="1"/>
    </xf>
    <xf numFmtId="0" fontId="0" fillId="0" borderId="7" xfId="0" applyFont="1" applyBorder="1" applyAlignment="1">
      <alignment wrapText="1"/>
    </xf>
    <xf numFmtId="0" fontId="68" fillId="0" borderId="101" xfId="0" applyFont="1" applyBorder="1" applyAlignment="1">
      <alignment wrapText="1"/>
    </xf>
    <xf numFmtId="0" fontId="0" fillId="0" borderId="18" xfId="0" applyFont="1" applyBorder="1" applyAlignment="1">
      <alignment wrapText="1"/>
    </xf>
    <xf numFmtId="0" fontId="68" fillId="0" borderId="53" xfId="0" applyFont="1" applyBorder="1" applyAlignment="1">
      <alignment wrapText="1"/>
    </xf>
    <xf numFmtId="0" fontId="68" fillId="0" borderId="57" xfId="0" applyFont="1" applyFill="1" applyBorder="1" applyAlignment="1">
      <alignment vertical="center" wrapText="1"/>
    </xf>
    <xf numFmtId="0" fontId="69" fillId="4" borderId="7" xfId="0" applyFont="1" applyFill="1" applyBorder="1" applyAlignment="1">
      <alignment horizontal="left" vertical="center" wrapText="1"/>
    </xf>
    <xf numFmtId="0" fontId="69" fillId="4" borderId="14" xfId="0" applyFont="1" applyFill="1" applyBorder="1" applyAlignment="1">
      <alignment horizontal="left" vertical="center" wrapText="1"/>
    </xf>
    <xf numFmtId="0" fontId="89" fillId="0" borderId="66" xfId="0" applyFont="1" applyBorder="1" applyAlignment="1">
      <alignment horizontal="left" vertical="center" wrapText="1"/>
    </xf>
    <xf numFmtId="20" fontId="68" fillId="0" borderId="7" xfId="0" applyNumberFormat="1" applyFont="1" applyFill="1" applyBorder="1" applyAlignment="1">
      <alignment horizontal="left" vertical="center" wrapText="1"/>
    </xf>
    <xf numFmtId="0" fontId="69" fillId="4" borderId="7" xfId="0" applyFont="1" applyFill="1" applyBorder="1" applyAlignment="1">
      <alignment vertical="center" wrapText="1"/>
    </xf>
    <xf numFmtId="0" fontId="69" fillId="0" borderId="14" xfId="0"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5" xfId="0" applyFont="1" applyBorder="1" applyAlignment="1">
      <alignment vertical="center" wrapText="1"/>
    </xf>
    <xf numFmtId="0" fontId="0" fillId="0" borderId="57" xfId="0" applyFont="1" applyBorder="1" applyAlignment="1">
      <alignment vertical="center" wrapText="1"/>
    </xf>
    <xf numFmtId="0" fontId="89" fillId="0" borderId="5" xfId="0" applyFont="1" applyBorder="1" applyAlignment="1">
      <alignment horizontal="left" vertical="center" wrapText="1"/>
    </xf>
    <xf numFmtId="0" fontId="69" fillId="0" borderId="5" xfId="0" applyFont="1" applyBorder="1" applyAlignment="1">
      <alignment vertical="center" wrapText="1"/>
    </xf>
    <xf numFmtId="0" fontId="68" fillId="0" borderId="5" xfId="0" applyFont="1" applyBorder="1" applyAlignment="1">
      <alignment vertical="center" wrapText="1"/>
    </xf>
    <xf numFmtId="0" fontId="68" fillId="8" borderId="9" xfId="0" applyFont="1" applyFill="1" applyBorder="1" applyAlignment="1">
      <alignment horizontal="left" vertical="center" wrapText="1"/>
    </xf>
    <xf numFmtId="0" fontId="69" fillId="0" borderId="43" xfId="0" applyFont="1" applyBorder="1" applyAlignment="1">
      <alignment horizontal="left" vertical="center" wrapText="1"/>
    </xf>
    <xf numFmtId="0" fontId="68" fillId="0" borderId="42" xfId="0" applyFont="1" applyBorder="1" applyAlignment="1">
      <alignment horizontal="left" vertical="center" wrapText="1"/>
    </xf>
    <xf numFmtId="0" fontId="68" fillId="0" borderId="79" xfId="0" applyFont="1" applyBorder="1" applyAlignment="1">
      <alignment horizontal="left" vertical="center" wrapText="1"/>
    </xf>
    <xf numFmtId="0" fontId="68" fillId="0" borderId="43" xfId="0" applyFont="1" applyBorder="1" applyAlignment="1">
      <alignment horizontal="left" vertical="center" wrapText="1"/>
    </xf>
    <xf numFmtId="0" fontId="69" fillId="0" borderId="42" xfId="0" applyFont="1" applyBorder="1" applyAlignment="1">
      <alignment horizontal="left" vertical="center" wrapText="1"/>
    </xf>
    <xf numFmtId="0" fontId="68" fillId="0" borderId="5" xfId="0" applyFont="1" applyBorder="1" applyAlignment="1">
      <alignment vertical="top" wrapText="1"/>
    </xf>
    <xf numFmtId="0" fontId="68" fillId="0" borderId="18" xfId="0" applyFont="1" applyBorder="1" applyAlignment="1">
      <alignment horizontal="left" vertical="center" wrapText="1"/>
    </xf>
    <xf numFmtId="0" fontId="68" fillId="0" borderId="74" xfId="0" applyFont="1" applyBorder="1" applyAlignment="1">
      <alignment horizontal="left" vertical="center" wrapText="1"/>
    </xf>
    <xf numFmtId="0" fontId="69" fillId="0" borderId="57" xfId="0" applyFont="1" applyBorder="1" applyAlignment="1">
      <alignment horizontal="left" vertical="center" wrapText="1"/>
    </xf>
    <xf numFmtId="0" fontId="89" fillId="0" borderId="18" xfId="0" applyFont="1" applyBorder="1" applyAlignment="1">
      <alignment horizontal="left" vertical="center" wrapText="1"/>
    </xf>
    <xf numFmtId="0" fontId="69" fillId="4" borderId="43" xfId="0" applyFont="1" applyFill="1" applyBorder="1" applyAlignment="1">
      <alignment vertical="top" wrapText="1"/>
    </xf>
    <xf numFmtId="0" fontId="69" fillId="4" borderId="0" xfId="0" applyFont="1" applyFill="1" applyAlignment="1">
      <alignment vertical="top" wrapText="1"/>
    </xf>
    <xf numFmtId="0" fontId="68" fillId="0" borderId="5" xfId="0" applyFont="1" applyFill="1" applyBorder="1" applyAlignment="1">
      <alignment horizontal="left" vertical="center" wrapText="1"/>
    </xf>
    <xf numFmtId="0" fontId="68" fillId="0" borderId="52" xfId="5" applyFont="1" applyBorder="1" applyAlignment="1">
      <alignment vertical="center" wrapText="1"/>
    </xf>
    <xf numFmtId="168" fontId="68" fillId="0" borderId="57" xfId="0" applyNumberFormat="1" applyFont="1" applyFill="1" applyBorder="1" applyAlignment="1">
      <alignment horizontal="left" vertical="center" wrapText="1"/>
    </xf>
    <xf numFmtId="168" fontId="68" fillId="4" borderId="53" xfId="0" applyNumberFormat="1" applyFont="1" applyFill="1" applyBorder="1" applyAlignment="1">
      <alignment horizontal="left" vertical="center" wrapText="1"/>
    </xf>
    <xf numFmtId="168" fontId="69" fillId="0" borderId="5" xfId="0" applyNumberFormat="1" applyFont="1" applyBorder="1" applyAlignment="1">
      <alignment horizontal="left" vertical="center" wrapText="1"/>
    </xf>
    <xf numFmtId="168" fontId="69" fillId="0" borderId="14" xfId="0" applyNumberFormat="1" applyFont="1" applyBorder="1" applyAlignment="1">
      <alignment horizontal="left" vertical="center" wrapText="1"/>
    </xf>
    <xf numFmtId="168" fontId="68" fillId="0" borderId="53" xfId="0" applyNumberFormat="1" applyFont="1" applyBorder="1" applyAlignment="1">
      <alignment horizontal="left" vertical="center" wrapText="1"/>
    </xf>
    <xf numFmtId="168" fontId="68" fillId="0" borderId="1" xfId="0" applyNumberFormat="1" applyFont="1" applyBorder="1" applyAlignment="1">
      <alignment horizontal="left" vertical="center" wrapText="1"/>
    </xf>
    <xf numFmtId="168" fontId="68" fillId="0" borderId="14" xfId="0" applyNumberFormat="1" applyFont="1" applyBorder="1" applyAlignment="1">
      <alignment horizontal="left" vertical="center" wrapText="1"/>
    </xf>
    <xf numFmtId="168" fontId="0" fillId="0" borderId="7" xfId="0" applyNumberFormat="1" applyFont="1" applyBorder="1" applyAlignment="1">
      <alignment horizontal="left" vertical="center" wrapText="1"/>
    </xf>
    <xf numFmtId="168" fontId="69" fillId="4" borderId="7" xfId="0" applyNumberFormat="1" applyFont="1" applyFill="1" applyBorder="1" applyAlignment="1">
      <alignment horizontal="left" vertical="center" wrapText="1"/>
    </xf>
    <xf numFmtId="168" fontId="0" fillId="0" borderId="1" xfId="0" applyNumberFormat="1" applyFont="1" applyBorder="1" applyAlignment="1">
      <alignment horizontal="left" vertical="center" wrapText="1"/>
    </xf>
    <xf numFmtId="168" fontId="69" fillId="0" borderId="1" xfId="0" applyNumberFormat="1" applyFont="1" applyBorder="1" applyAlignment="1">
      <alignment horizontal="left" vertical="center" wrapText="1"/>
    </xf>
    <xf numFmtId="168" fontId="69" fillId="4" borderId="1" xfId="0" applyNumberFormat="1" applyFont="1" applyFill="1" applyBorder="1" applyAlignment="1">
      <alignment horizontal="left" vertical="center" wrapText="1"/>
    </xf>
    <xf numFmtId="168" fontId="68" fillId="4" borderId="14" xfId="0" applyNumberFormat="1" applyFont="1" applyFill="1" applyBorder="1" applyAlignment="1">
      <alignment horizontal="left" vertical="center" wrapText="1"/>
    </xf>
    <xf numFmtId="168" fontId="69" fillId="4" borderId="14" xfId="0" applyNumberFormat="1" applyFont="1" applyFill="1" applyBorder="1" applyAlignment="1">
      <alignment horizontal="left" vertical="center" wrapText="1"/>
    </xf>
    <xf numFmtId="0" fontId="68" fillId="8" borderId="53" xfId="0" applyFont="1" applyFill="1" applyBorder="1" applyAlignment="1">
      <alignment horizontal="left" vertical="center" wrapText="1"/>
    </xf>
    <xf numFmtId="168" fontId="69" fillId="0" borderId="8" xfId="0" applyNumberFormat="1" applyFont="1" applyBorder="1" applyAlignment="1">
      <alignment horizontal="left" vertical="center" wrapText="1"/>
    </xf>
    <xf numFmtId="0" fontId="89" fillId="0" borderId="13" xfId="0" applyFont="1" applyBorder="1" applyAlignment="1">
      <alignment vertical="top" wrapText="1"/>
    </xf>
    <xf numFmtId="168" fontId="69" fillId="0" borderId="80" xfId="0" applyNumberFormat="1" applyFont="1" applyBorder="1" applyAlignment="1">
      <alignment horizontal="left" vertical="center" wrapText="1"/>
    </xf>
    <xf numFmtId="168" fontId="68" fillId="0" borderId="53" xfId="0" applyNumberFormat="1" applyFont="1" applyFill="1" applyBorder="1" applyAlignment="1">
      <alignment horizontal="left" vertical="center" wrapText="1"/>
    </xf>
    <xf numFmtId="0" fontId="68" fillId="8" borderId="90" xfId="0" applyFont="1" applyFill="1" applyBorder="1" applyAlignment="1">
      <alignment wrapText="1"/>
    </xf>
    <xf numFmtId="0" fontId="68" fillId="0" borderId="54" xfId="0" applyFont="1" applyBorder="1" applyAlignment="1">
      <alignment wrapText="1"/>
    </xf>
    <xf numFmtId="0" fontId="68" fillId="0" borderId="73" xfId="0" applyFont="1" applyBorder="1" applyAlignment="1">
      <alignment wrapText="1"/>
    </xf>
    <xf numFmtId="0" fontId="68" fillId="0" borderId="0" xfId="0" applyFont="1" applyFill="1" applyAlignment="1">
      <alignment wrapText="1"/>
    </xf>
    <xf numFmtId="0" fontId="68" fillId="0" borderId="1" xfId="0" applyFont="1" applyFill="1" applyBorder="1" applyAlignment="1">
      <alignment horizontal="right" vertical="center" wrapText="1"/>
    </xf>
    <xf numFmtId="0" fontId="68" fillId="0" borderId="53" xfId="0" applyFont="1" applyFill="1" applyBorder="1" applyAlignment="1">
      <alignment vertical="center" wrapText="1"/>
    </xf>
    <xf numFmtId="0" fontId="0" fillId="0" borderId="74" xfId="0" applyFont="1" applyBorder="1" applyAlignment="1">
      <alignment wrapText="1"/>
    </xf>
    <xf numFmtId="0" fontId="69" fillId="4" borderId="7" xfId="0" applyFont="1" applyFill="1" applyBorder="1" applyAlignment="1">
      <alignment vertical="top" wrapText="1"/>
    </xf>
    <xf numFmtId="49" fontId="76" fillId="0" borderId="53" xfId="0" applyNumberFormat="1" applyFont="1" applyBorder="1" applyAlignment="1">
      <alignment horizontal="center" vertical="center"/>
    </xf>
    <xf numFmtId="165" fontId="69" fillId="0" borderId="7" xfId="0" applyNumberFormat="1" applyFont="1" applyBorder="1" applyAlignment="1">
      <alignment horizontal="right" vertical="center"/>
    </xf>
    <xf numFmtId="0" fontId="69" fillId="10" borderId="43" xfId="0" applyFont="1" applyFill="1" applyBorder="1" applyAlignment="1">
      <alignment vertical="center" wrapText="1"/>
    </xf>
    <xf numFmtId="165" fontId="68" fillId="0" borderId="7" xfId="0" applyNumberFormat="1" applyFont="1" applyBorder="1" applyAlignment="1">
      <alignment horizontal="right" vertical="center"/>
    </xf>
    <xf numFmtId="0" fontId="68" fillId="0" borderId="73" xfId="12" applyFont="1" applyBorder="1" applyAlignment="1">
      <alignment vertical="top" wrapText="1"/>
    </xf>
    <xf numFmtId="0" fontId="0" fillId="0" borderId="18" xfId="0" applyFont="1" applyFill="1" applyBorder="1" applyAlignment="1">
      <alignment wrapText="1"/>
    </xf>
    <xf numFmtId="4" fontId="68" fillId="0" borderId="7" xfId="0" applyNumberFormat="1" applyFont="1" applyFill="1" applyBorder="1" applyAlignment="1">
      <alignment vertical="center"/>
    </xf>
    <xf numFmtId="39" fontId="68" fillId="0" borderId="7" xfId="0" applyNumberFormat="1" applyFont="1" applyFill="1" applyBorder="1" applyAlignment="1">
      <alignment vertical="center"/>
    </xf>
    <xf numFmtId="4" fontId="69" fillId="0" borderId="7" xfId="0" applyNumberFormat="1" applyFont="1" applyBorder="1" applyAlignment="1">
      <alignment vertical="center"/>
    </xf>
    <xf numFmtId="39" fontId="69" fillId="0" borderId="7" xfId="0" applyNumberFormat="1" applyFont="1" applyFill="1" applyBorder="1" applyAlignment="1">
      <alignment vertical="center"/>
    </xf>
    <xf numFmtId="0" fontId="69" fillId="0" borderId="0" xfId="0" applyFont="1" applyFill="1" applyBorder="1" applyAlignment="1">
      <alignment horizontal="left" vertical="center" wrapText="1"/>
    </xf>
    <xf numFmtId="0" fontId="68" fillId="0" borderId="0" xfId="0" applyFont="1" applyAlignment="1">
      <alignment horizontal="left" wrapText="1"/>
    </xf>
    <xf numFmtId="0" fontId="69" fillId="0" borderId="0" xfId="0" applyFont="1" applyBorder="1" applyAlignment="1">
      <alignment wrapText="1"/>
    </xf>
    <xf numFmtId="0" fontId="68" fillId="0" borderId="5" xfId="0" applyFont="1" applyBorder="1" applyAlignment="1">
      <alignment wrapText="1"/>
    </xf>
    <xf numFmtId="0" fontId="68" fillId="0" borderId="13" xfId="0" applyFont="1" applyFill="1" applyBorder="1" applyAlignment="1">
      <alignment wrapText="1"/>
    </xf>
    <xf numFmtId="0" fontId="0" fillId="10" borderId="43" xfId="0" applyFont="1" applyFill="1" applyBorder="1" applyAlignment="1">
      <alignment vertical="center" wrapText="1"/>
    </xf>
    <xf numFmtId="168" fontId="69" fillId="0" borderId="13" xfId="0" applyNumberFormat="1" applyFont="1" applyFill="1" applyBorder="1" applyAlignment="1">
      <alignment horizontal="left" vertical="center" wrapText="1"/>
    </xf>
    <xf numFmtId="0" fontId="69" fillId="0" borderId="7" xfId="5" applyFont="1" applyBorder="1" applyAlignment="1">
      <alignment vertical="center" wrapText="1"/>
    </xf>
    <xf numFmtId="0" fontId="68" fillId="0" borderId="1" xfId="0" applyFont="1" applyBorder="1" applyAlignment="1">
      <alignment vertical="center" wrapText="1"/>
    </xf>
    <xf numFmtId="0" fontId="68" fillId="0" borderId="7" xfId="0" applyFont="1" applyFill="1" applyBorder="1" applyAlignment="1">
      <alignment wrapText="1"/>
    </xf>
    <xf numFmtId="0" fontId="68" fillId="0" borderId="53" xfId="0" applyFont="1" applyFill="1" applyBorder="1" applyAlignment="1">
      <alignment wrapText="1"/>
    </xf>
    <xf numFmtId="0" fontId="68" fillId="0" borderId="12" xfId="0" applyFont="1" applyBorder="1" applyAlignment="1">
      <alignment horizontal="left" vertical="center" wrapText="1"/>
    </xf>
    <xf numFmtId="0" fontId="68" fillId="0" borderId="43" xfId="0" applyFont="1" applyBorder="1" applyAlignment="1">
      <alignment horizontal="left" vertical="top" wrapText="1"/>
    </xf>
    <xf numFmtId="0" fontId="69" fillId="0" borderId="1" xfId="0" applyFont="1" applyBorder="1" applyAlignment="1">
      <alignment horizontal="left" vertical="top" wrapText="1"/>
    </xf>
    <xf numFmtId="0" fontId="69" fillId="0" borderId="57" xfId="0" applyFont="1" applyBorder="1" applyAlignment="1">
      <alignment horizontal="left" vertical="top" wrapText="1"/>
    </xf>
    <xf numFmtId="0" fontId="68" fillId="0" borderId="66" xfId="0" applyFont="1" applyBorder="1" applyAlignment="1">
      <alignment horizontal="left" vertical="top" wrapText="1"/>
    </xf>
    <xf numFmtId="0" fontId="68" fillId="0" borderId="53" xfId="0" applyFont="1" applyBorder="1" applyAlignment="1">
      <alignment horizontal="left" vertical="top" wrapText="1"/>
    </xf>
    <xf numFmtId="0" fontId="69" fillId="4" borderId="42" xfId="0" applyFont="1" applyFill="1" applyBorder="1" applyAlignment="1">
      <alignment vertical="top" wrapText="1"/>
    </xf>
    <xf numFmtId="0" fontId="68" fillId="4" borderId="42" xfId="0" applyFont="1" applyFill="1" applyBorder="1" applyAlignment="1">
      <alignment vertical="top" wrapText="1"/>
    </xf>
    <xf numFmtId="21" fontId="69" fillId="0" borderId="13" xfId="0" applyNumberFormat="1" applyFont="1" applyBorder="1" applyAlignment="1">
      <alignment horizontal="left" vertical="center" wrapText="1"/>
    </xf>
    <xf numFmtId="166" fontId="68" fillId="0" borderId="1" xfId="2" applyNumberFormat="1" applyFont="1" applyBorder="1" applyAlignment="1">
      <alignment vertical="center" wrapText="1"/>
    </xf>
    <xf numFmtId="166" fontId="70" fillId="0" borderId="28" xfId="2" applyNumberFormat="1" applyFont="1" applyBorder="1" applyAlignment="1"/>
    <xf numFmtId="166" fontId="70" fillId="0" borderId="52" xfId="2" applyNumberFormat="1" applyFont="1" applyBorder="1" applyAlignment="1"/>
    <xf numFmtId="166" fontId="0" fillId="0" borderId="74" xfId="2" applyNumberFormat="1" applyFont="1" applyBorder="1" applyAlignment="1"/>
    <xf numFmtId="166" fontId="0" fillId="0" borderId="1" xfId="2" applyNumberFormat="1" applyFont="1" applyBorder="1" applyAlignment="1"/>
    <xf numFmtId="166" fontId="69" fillId="0" borderId="122" xfId="2" applyNumberFormat="1" applyFont="1" applyFill="1" applyBorder="1" applyAlignment="1">
      <alignment vertical="center" wrapText="1"/>
    </xf>
    <xf numFmtId="166" fontId="0" fillId="0" borderId="122" xfId="2" applyNumberFormat="1" applyFont="1" applyFill="1" applyBorder="1" applyAlignment="1">
      <alignment vertical="center" wrapText="1"/>
    </xf>
    <xf numFmtId="165" fontId="87" fillId="0" borderId="7" xfId="599" applyFont="1" applyFill="1" applyBorder="1" applyAlignment="1">
      <alignment vertical="center"/>
    </xf>
    <xf numFmtId="164" fontId="69" fillId="10" borderId="7" xfId="0" applyNumberFormat="1" applyFont="1" applyFill="1" applyBorder="1" applyAlignment="1"/>
    <xf numFmtId="165" fontId="68" fillId="0" borderId="7" xfId="599" applyFont="1" applyFill="1" applyBorder="1" applyAlignment="1">
      <alignment vertical="center"/>
    </xf>
    <xf numFmtId="166" fontId="84" fillId="10" borderId="7" xfId="0" applyNumberFormat="1" applyFont="1" applyFill="1" applyBorder="1" applyAlignment="1"/>
    <xf numFmtId="166" fontId="0" fillId="0" borderId="7" xfId="0" applyNumberFormat="1" applyFont="1" applyBorder="1" applyAlignment="1"/>
    <xf numFmtId="166" fontId="68" fillId="0" borderId="7" xfId="0" applyNumberFormat="1" applyFont="1" applyFill="1" applyBorder="1" applyAlignment="1"/>
    <xf numFmtId="166" fontId="69" fillId="0" borderId="51" xfId="2" applyNumberFormat="1" applyFont="1" applyBorder="1" applyAlignment="1"/>
    <xf numFmtId="166" fontId="68" fillId="8" borderId="55" xfId="2" applyNumberFormat="1" applyFont="1" applyFill="1" applyBorder="1" applyAlignment="1"/>
    <xf numFmtId="43" fontId="0" fillId="0" borderId="1" xfId="1" applyFont="1" applyBorder="1" applyAlignment="1">
      <alignment vertical="center"/>
    </xf>
    <xf numFmtId="0" fontId="82" fillId="0" borderId="7" xfId="0" applyFont="1" applyFill="1" applyBorder="1" applyAlignment="1">
      <alignment vertical="top"/>
    </xf>
    <xf numFmtId="4" fontId="69" fillId="0" borderId="51" xfId="0" applyNumberFormat="1" applyFont="1" applyBorder="1" applyAlignment="1">
      <alignment horizontal="right" vertical="center"/>
    </xf>
    <xf numFmtId="43" fontId="70" fillId="0" borderId="1" xfId="1" applyFont="1" applyBorder="1" applyAlignment="1">
      <alignment vertical="center"/>
    </xf>
    <xf numFmtId="0" fontId="0" fillId="0" borderId="0" xfId="0"/>
    <xf numFmtId="0" fontId="0" fillId="0" borderId="0" xfId="0" applyFont="1"/>
    <xf numFmtId="0" fontId="9" fillId="0" borderId="0" xfId="0" applyFont="1"/>
    <xf numFmtId="0" fontId="68" fillId="0" borderId="0" xfId="0" applyFont="1" applyAlignment="1">
      <alignment wrapText="1"/>
    </xf>
    <xf numFmtId="0" fontId="68" fillId="0" borderId="7" xfId="0" applyFont="1" applyBorder="1" applyAlignment="1">
      <alignment wrapText="1"/>
    </xf>
    <xf numFmtId="0" fontId="69" fillId="0" borderId="7" xfId="0" applyFont="1" applyBorder="1" applyAlignment="1">
      <alignment horizontal="left" vertical="center" wrapText="1"/>
    </xf>
    <xf numFmtId="0" fontId="68" fillId="0" borderId="13" xfId="0" applyFont="1" applyBorder="1" applyAlignment="1">
      <alignment horizontal="left" vertical="center" wrapText="1"/>
    </xf>
    <xf numFmtId="0" fontId="69" fillId="0" borderId="13" xfId="0" applyFont="1" applyBorder="1" applyAlignment="1">
      <alignment horizontal="left" vertical="center" wrapText="1"/>
    </xf>
    <xf numFmtId="0" fontId="0" fillId="0" borderId="7" xfId="0" applyFont="1" applyBorder="1"/>
    <xf numFmtId="0" fontId="0" fillId="0" borderId="1" xfId="0" applyFont="1" applyBorder="1"/>
    <xf numFmtId="0" fontId="9" fillId="0" borderId="28" xfId="0" applyFont="1" applyBorder="1"/>
    <xf numFmtId="0" fontId="9" fillId="0" borderId="27" xfId="0" applyFont="1" applyBorder="1"/>
    <xf numFmtId="0" fontId="69" fillId="0" borderId="0" xfId="0" applyFont="1" applyAlignment="1">
      <alignment wrapText="1"/>
    </xf>
    <xf numFmtId="0" fontId="0" fillId="0" borderId="0" xfId="0" applyFont="1" applyAlignment="1">
      <alignment horizontal="right"/>
    </xf>
    <xf numFmtId="4" fontId="69" fillId="0" borderId="7" xfId="0" applyNumberFormat="1" applyFont="1" applyBorder="1" applyAlignment="1">
      <alignment horizontal="right" vertical="center"/>
    </xf>
    <xf numFmtId="4" fontId="68" fillId="0" borderId="7" xfId="0" applyNumberFormat="1" applyFont="1" applyBorder="1" applyAlignment="1">
      <alignment horizontal="right" vertical="center"/>
    </xf>
    <xf numFmtId="4" fontId="68" fillId="4" borderId="7" xfId="0" applyNumberFormat="1" applyFont="1" applyFill="1" applyBorder="1" applyAlignment="1">
      <alignment horizontal="right" vertical="center"/>
    </xf>
    <xf numFmtId="0" fontId="68" fillId="0" borderId="7" xfId="0" applyFont="1" applyBorder="1" applyAlignment="1">
      <alignment horizontal="left" vertical="center" wrapText="1"/>
    </xf>
    <xf numFmtId="0" fontId="69" fillId="0" borderId="8" xfId="0" applyFont="1" applyBorder="1" applyAlignment="1">
      <alignment horizontal="left" vertical="center" wrapText="1"/>
    </xf>
    <xf numFmtId="0" fontId="69" fillId="0" borderId="7" xfId="0" applyFont="1" applyFill="1" applyBorder="1" applyAlignment="1">
      <alignment horizontal="left" vertical="center" wrapText="1"/>
    </xf>
    <xf numFmtId="49" fontId="76" fillId="0" borderId="1" xfId="0" applyNumberFormat="1" applyFont="1" applyBorder="1" applyAlignment="1">
      <alignment horizontal="center" vertical="center"/>
    </xf>
    <xf numFmtId="0" fontId="0" fillId="0" borderId="14" xfId="0" applyFont="1" applyBorder="1" applyAlignment="1">
      <alignment horizontal="right"/>
    </xf>
    <xf numFmtId="4" fontId="69" fillId="0" borderId="27" xfId="0" applyNumberFormat="1" applyFont="1" applyBorder="1" applyAlignment="1">
      <alignment horizontal="right" vertical="center"/>
    </xf>
    <xf numFmtId="4" fontId="68" fillId="0" borderId="27" xfId="0" applyNumberFormat="1" applyFont="1" applyBorder="1" applyAlignment="1">
      <alignment horizontal="right" vertical="center"/>
    </xf>
    <xf numFmtId="4" fontId="72" fillId="4" borderId="7" xfId="0" applyNumberFormat="1" applyFont="1" applyFill="1" applyBorder="1" applyAlignment="1">
      <alignment vertical="center"/>
    </xf>
    <xf numFmtId="0" fontId="83" fillId="0" borderId="43" xfId="0" applyFont="1" applyBorder="1" applyAlignment="1">
      <alignment vertical="top"/>
    </xf>
    <xf numFmtId="4" fontId="0" fillId="0" borderId="27" xfId="0" applyNumberFormat="1" applyFont="1" applyBorder="1" applyAlignment="1">
      <alignment horizontal="right" vertical="center"/>
    </xf>
    <xf numFmtId="43" fontId="0" fillId="0" borderId="1" xfId="1" applyFont="1" applyBorder="1" applyAlignment="1">
      <alignment horizontal="left" vertical="center" indent="1"/>
    </xf>
    <xf numFmtId="4" fontId="72" fillId="4" borderId="52" xfId="0" applyNumberFormat="1" applyFont="1" applyFill="1" applyBorder="1" applyAlignment="1">
      <alignment vertical="center"/>
    </xf>
    <xf numFmtId="166" fontId="102" fillId="8" borderId="9" xfId="2" applyNumberFormat="1" applyFont="1" applyFill="1" applyBorder="1"/>
    <xf numFmtId="169" fontId="69" fillId="0" borderId="7" xfId="0" applyNumberFormat="1" applyFont="1" applyBorder="1" applyAlignment="1"/>
    <xf numFmtId="166" fontId="102" fillId="8" borderId="54" xfId="2" applyNumberFormat="1" applyFont="1" applyFill="1" applyBorder="1" applyAlignment="1">
      <alignment horizontal="right" vertical="center"/>
    </xf>
    <xf numFmtId="43" fontId="106" fillId="0" borderId="1" xfId="1" applyFont="1" applyBorder="1" applyAlignment="1">
      <alignment horizontal="right" vertical="center"/>
    </xf>
    <xf numFmtId="166" fontId="69" fillId="0" borderId="61" xfId="0" applyNumberFormat="1" applyFont="1" applyBorder="1" applyAlignment="1">
      <alignment horizontal="right"/>
    </xf>
    <xf numFmtId="43" fontId="72" fillId="0" borderId="53" xfId="1" applyFont="1" applyBorder="1" applyAlignment="1">
      <alignment horizontal="right" vertical="center"/>
    </xf>
    <xf numFmtId="166" fontId="69" fillId="0" borderId="53" xfId="0" applyNumberFormat="1" applyFont="1" applyBorder="1" applyAlignment="1">
      <alignment horizontal="right"/>
    </xf>
    <xf numFmtId="4" fontId="72" fillId="4" borderId="53" xfId="0" applyNumberFormat="1" applyFont="1" applyFill="1" applyBorder="1" applyAlignment="1">
      <alignment vertical="center"/>
    </xf>
    <xf numFmtId="166" fontId="69" fillId="0" borderId="7" xfId="0" applyNumberFormat="1" applyFont="1" applyBorder="1" applyAlignment="1">
      <alignment horizontal="right"/>
    </xf>
    <xf numFmtId="4" fontId="27" fillId="0" borderId="51" xfId="2" applyNumberFormat="1" applyFont="1" applyBorder="1" applyAlignment="1">
      <alignment vertical="center"/>
    </xf>
    <xf numFmtId="43" fontId="123" fillId="0" borderId="1" xfId="1" applyFont="1" applyBorder="1" applyAlignment="1">
      <alignment vertical="center"/>
    </xf>
    <xf numFmtId="4" fontId="72" fillId="0" borderId="53" xfId="0" applyNumberFormat="1" applyFont="1" applyBorder="1" applyAlignment="1">
      <alignment vertical="center"/>
    </xf>
    <xf numFmtId="166" fontId="69" fillId="0" borderId="1" xfId="2" applyNumberFormat="1" applyFont="1" applyBorder="1" applyAlignment="1" applyProtection="1">
      <alignment vertical="center"/>
    </xf>
    <xf numFmtId="39" fontId="82" fillId="0" borderId="7" xfId="0" applyNumberFormat="1" applyFont="1" applyBorder="1" applyAlignment="1">
      <alignment vertical="top"/>
    </xf>
    <xf numFmtId="166" fontId="69" fillId="0" borderId="28" xfId="11" applyNumberFormat="1" applyFont="1" applyBorder="1" applyAlignment="1">
      <alignment vertical="center"/>
    </xf>
    <xf numFmtId="166" fontId="68" fillId="0" borderId="28" xfId="11" applyNumberFormat="1" applyFont="1" applyBorder="1" applyAlignment="1">
      <alignment vertical="center"/>
    </xf>
    <xf numFmtId="39" fontId="83" fillId="0" borderId="43" xfId="0" applyNumberFormat="1" applyFont="1" applyBorder="1" applyAlignment="1">
      <alignment vertical="top"/>
    </xf>
    <xf numFmtId="39" fontId="83" fillId="0" borderId="14" xfId="0" applyNumberFormat="1" applyFont="1" applyBorder="1" applyAlignment="1">
      <alignment vertical="top"/>
    </xf>
    <xf numFmtId="166" fontId="69" fillId="0" borderId="52" xfId="11" applyNumberFormat="1" applyFont="1" applyBorder="1" applyAlignment="1">
      <alignment vertical="center"/>
    </xf>
    <xf numFmtId="166" fontId="68" fillId="0" borderId="57" xfId="2" applyNumberFormat="1" applyFont="1" applyBorder="1" applyAlignment="1">
      <alignment vertical="center"/>
    </xf>
    <xf numFmtId="0" fontId="60" fillId="0" borderId="0" xfId="0" applyFont="1"/>
    <xf numFmtId="0" fontId="60" fillId="0" borderId="28" xfId="0" applyFont="1" applyBorder="1"/>
    <xf numFmtId="0" fontId="89" fillId="0" borderId="0" xfId="0" applyFont="1"/>
    <xf numFmtId="41" fontId="89" fillId="0" borderId="0" xfId="2" applyFont="1"/>
    <xf numFmtId="0" fontId="27" fillId="0" borderId="52" xfId="0" applyFont="1" applyBorder="1"/>
    <xf numFmtId="166" fontId="69" fillId="0" borderId="52" xfId="2" applyNumberFormat="1" applyFont="1" applyBorder="1" applyAlignment="1" applyProtection="1">
      <alignment vertical="center"/>
    </xf>
    <xf numFmtId="49" fontId="94" fillId="0" borderId="7" xfId="0" applyNumberFormat="1" applyFont="1" applyBorder="1" applyAlignment="1">
      <alignment horizontal="center" vertical="center"/>
    </xf>
    <xf numFmtId="166" fontId="68" fillId="0" borderId="7" xfId="0" applyNumberFormat="1" applyFont="1" applyBorder="1" applyAlignment="1">
      <alignment horizontal="right"/>
    </xf>
    <xf numFmtId="0" fontId="18" fillId="0" borderId="0" xfId="0" applyFont="1"/>
    <xf numFmtId="4" fontId="87" fillId="0" borderId="53" xfId="0" applyNumberFormat="1" applyFont="1" applyFill="1" applyBorder="1" applyAlignment="1">
      <alignment horizontal="right" vertical="center"/>
    </xf>
    <xf numFmtId="0" fontId="18" fillId="0" borderId="28" xfId="0" applyFont="1" applyBorder="1"/>
    <xf numFmtId="0" fontId="86" fillId="0" borderId="0" xfId="0" applyFont="1"/>
    <xf numFmtId="41" fontId="86" fillId="0" borderId="0" xfId="2" applyFont="1"/>
    <xf numFmtId="0" fontId="68" fillId="0" borderId="14" xfId="0" applyFont="1" applyBorder="1" applyAlignment="1">
      <alignment wrapText="1"/>
    </xf>
    <xf numFmtId="166" fontId="94" fillId="0" borderId="5" xfId="2" applyNumberFormat="1" applyFont="1" applyBorder="1" applyAlignment="1">
      <alignment vertical="center"/>
    </xf>
    <xf numFmtId="39" fontId="68" fillId="7" borderId="53" xfId="0" applyNumberFormat="1" applyFont="1" applyFill="1" applyBorder="1" applyAlignment="1">
      <alignment horizontal="right" vertical="center"/>
    </xf>
    <xf numFmtId="166" fontId="69" fillId="0" borderId="1" xfId="2" applyNumberFormat="1" applyFont="1" applyFill="1" applyBorder="1" applyAlignment="1" applyProtection="1">
      <alignment horizontal="left" vertical="center" indent="1"/>
    </xf>
    <xf numFmtId="166" fontId="102" fillId="8" borderId="73" xfId="2" applyNumberFormat="1" applyFont="1" applyFill="1" applyBorder="1"/>
    <xf numFmtId="166" fontId="69" fillId="0" borderId="0" xfId="2" applyNumberFormat="1" applyFont="1" applyFill="1" applyBorder="1" applyAlignment="1" applyProtection="1">
      <alignment horizontal="left" vertical="center" indent="1"/>
    </xf>
    <xf numFmtId="166" fontId="69" fillId="4" borderId="28" xfId="2" applyNumberFormat="1" applyFont="1" applyFill="1" applyBorder="1" applyAlignment="1">
      <alignment horizontal="right" vertical="center"/>
    </xf>
    <xf numFmtId="166" fontId="89" fillId="0" borderId="1" xfId="2" applyNumberFormat="1" applyFont="1" applyFill="1" applyBorder="1" applyAlignment="1">
      <alignment horizontal="right" vertical="center"/>
    </xf>
    <xf numFmtId="166" fontId="89" fillId="0" borderId="51" xfId="2" applyNumberFormat="1" applyFont="1" applyFill="1" applyBorder="1" applyAlignment="1">
      <alignment horizontal="right" vertical="center"/>
    </xf>
    <xf numFmtId="0" fontId="0" fillId="0" borderId="53" xfId="0" applyFont="1" applyBorder="1"/>
    <xf numFmtId="166" fontId="68" fillId="0" borderId="5" xfId="2" applyNumberFormat="1" applyFont="1" applyBorder="1" applyAlignment="1"/>
    <xf numFmtId="0" fontId="0" fillId="0" borderId="1" xfId="0" applyFont="1" applyBorder="1" applyAlignment="1">
      <alignment wrapText="1"/>
    </xf>
    <xf numFmtId="166" fontId="0" fillId="0" borderId="0" xfId="2" applyNumberFormat="1" applyFont="1" applyAlignment="1">
      <alignment vertical="top"/>
    </xf>
    <xf numFmtId="166" fontId="72" fillId="0" borderId="0" xfId="2" applyNumberFormat="1" applyFont="1" applyAlignment="1">
      <alignment vertical="center" wrapText="1"/>
    </xf>
    <xf numFmtId="166" fontId="72" fillId="0" borderId="28" xfId="2" applyNumberFormat="1" applyFont="1" applyBorder="1" applyAlignment="1"/>
    <xf numFmtId="166" fontId="68" fillId="0" borderId="5" xfId="2" applyNumberFormat="1" applyFont="1" applyBorder="1" applyAlignment="1">
      <alignment vertical="center" wrapText="1"/>
    </xf>
    <xf numFmtId="166" fontId="68" fillId="0" borderId="7" xfId="2" applyNumberFormat="1" applyFont="1" applyBorder="1" applyAlignment="1">
      <alignment vertical="center" wrapText="1"/>
    </xf>
    <xf numFmtId="166" fontId="68" fillId="0" borderId="68" xfId="2" applyNumberFormat="1" applyFont="1" applyBorder="1" applyAlignment="1">
      <alignment vertical="center" wrapText="1"/>
    </xf>
    <xf numFmtId="166" fontId="69" fillId="0" borderId="7" xfId="2" applyNumberFormat="1" applyFont="1" applyBorder="1" applyAlignment="1">
      <alignment vertical="center" wrapText="1"/>
    </xf>
    <xf numFmtId="166" fontId="69" fillId="0" borderId="14" xfId="2" applyNumberFormat="1" applyFont="1" applyBorder="1" applyAlignment="1">
      <alignment vertical="center" wrapText="1"/>
    </xf>
    <xf numFmtId="166" fontId="69" fillId="0" borderId="1" xfId="2" applyNumberFormat="1" applyFont="1" applyBorder="1" applyAlignment="1">
      <alignment vertical="center" wrapText="1"/>
    </xf>
    <xf numFmtId="166" fontId="0" fillId="0" borderId="1" xfId="2" applyNumberFormat="1" applyFont="1" applyBorder="1" applyAlignment="1">
      <alignment vertical="center" wrapText="1"/>
    </xf>
    <xf numFmtId="166" fontId="69" fillId="0" borderId="59" xfId="2" applyNumberFormat="1" applyFont="1" applyBorder="1" applyAlignment="1">
      <alignment vertical="center" wrapText="1"/>
    </xf>
    <xf numFmtId="166" fontId="69" fillId="0" borderId="7" xfId="2" applyNumberFormat="1" applyFont="1" applyBorder="1" applyAlignment="1">
      <alignment vertical="top"/>
    </xf>
    <xf numFmtId="166" fontId="69" fillId="0" borderId="5" xfId="2" applyNumberFormat="1" applyFont="1" applyBorder="1" applyAlignment="1">
      <alignment vertical="top"/>
    </xf>
    <xf numFmtId="166" fontId="69" fillId="0" borderId="61" xfId="2" applyNumberFormat="1" applyFont="1" applyBorder="1" applyAlignment="1">
      <alignment vertical="center"/>
    </xf>
    <xf numFmtId="166" fontId="69" fillId="0" borderId="51" xfId="2" applyNumberFormat="1" applyFont="1" applyBorder="1" applyAlignment="1">
      <alignment vertical="center" wrapText="1"/>
    </xf>
    <xf numFmtId="166" fontId="68" fillId="0" borderId="28" xfId="2" applyNumberFormat="1" applyFont="1" applyBorder="1" applyAlignment="1">
      <alignment vertical="center" wrapText="1"/>
    </xf>
    <xf numFmtId="166" fontId="69" fillId="0" borderId="28" xfId="2" applyNumberFormat="1" applyFont="1" applyBorder="1" applyAlignment="1">
      <alignment vertical="center" wrapText="1"/>
    </xf>
    <xf numFmtId="166" fontId="69" fillId="0" borderId="42" xfId="2" applyNumberFormat="1" applyFont="1" applyBorder="1" applyAlignment="1">
      <alignment vertical="center"/>
    </xf>
    <xf numFmtId="166" fontId="68" fillId="0" borderId="42" xfId="2" applyNumberFormat="1" applyFont="1" applyBorder="1" applyAlignment="1">
      <alignment vertical="center"/>
    </xf>
    <xf numFmtId="166" fontId="69" fillId="0" borderId="42" xfId="2" applyNumberFormat="1" applyFont="1" applyFill="1" applyBorder="1" applyAlignment="1">
      <alignment vertical="center"/>
    </xf>
    <xf numFmtId="166" fontId="68" fillId="0" borderId="61" xfId="2" applyNumberFormat="1" applyFont="1" applyBorder="1" applyAlignment="1">
      <alignment vertical="center"/>
    </xf>
    <xf numFmtId="166" fontId="68" fillId="0" borderId="50" xfId="2" applyNumberFormat="1" applyFont="1" applyBorder="1" applyAlignment="1">
      <alignment vertical="center"/>
    </xf>
    <xf numFmtId="166" fontId="0" fillId="0" borderId="61" xfId="2" applyNumberFormat="1" applyFont="1" applyBorder="1" applyAlignment="1">
      <alignment vertical="center"/>
    </xf>
    <xf numFmtId="166" fontId="69" fillId="0" borderId="98" xfId="2" applyNumberFormat="1" applyFont="1" applyBorder="1" applyAlignment="1">
      <alignment vertical="center"/>
    </xf>
    <xf numFmtId="166" fontId="68" fillId="0" borderId="67" xfId="2" applyNumberFormat="1" applyFont="1" applyBorder="1" applyAlignment="1">
      <alignment vertical="center"/>
    </xf>
    <xf numFmtId="166" fontId="68" fillId="0" borderId="0" xfId="2" applyNumberFormat="1" applyFont="1" applyBorder="1" applyAlignment="1">
      <alignment vertical="center"/>
    </xf>
    <xf numFmtId="166" fontId="68" fillId="0" borderId="102" xfId="2" applyNumberFormat="1" applyFont="1" applyBorder="1" applyAlignment="1">
      <alignment vertical="center"/>
    </xf>
    <xf numFmtId="166" fontId="68" fillId="0" borderId="43" xfId="2" applyNumberFormat="1" applyFont="1" applyBorder="1" applyAlignment="1">
      <alignment vertical="center"/>
    </xf>
    <xf numFmtId="166" fontId="68" fillId="0" borderId="53" xfId="2" applyNumberFormat="1" applyFont="1" applyBorder="1" applyAlignment="1">
      <alignment vertical="top" wrapText="1"/>
    </xf>
    <xf numFmtId="166" fontId="68" fillId="0" borderId="51" xfId="2" applyNumberFormat="1" applyFont="1" applyBorder="1" applyAlignment="1">
      <alignment vertical="center" wrapText="1"/>
    </xf>
    <xf numFmtId="166" fontId="68" fillId="0" borderId="53" xfId="2" applyNumberFormat="1" applyFont="1" applyBorder="1" applyAlignment="1">
      <alignment vertical="center" wrapText="1"/>
    </xf>
    <xf numFmtId="166" fontId="68" fillId="0" borderId="66" xfId="2" applyNumberFormat="1" applyFont="1" applyBorder="1" applyAlignment="1">
      <alignment vertical="center" wrapText="1"/>
    </xf>
    <xf numFmtId="166" fontId="69" fillId="0" borderId="5" xfId="2" applyNumberFormat="1" applyFont="1" applyBorder="1" applyAlignment="1">
      <alignment vertical="center" wrapText="1"/>
    </xf>
    <xf numFmtId="166" fontId="0" fillId="0" borderId="5" xfId="2" applyNumberFormat="1" applyFont="1" applyBorder="1" applyAlignment="1"/>
    <xf numFmtId="166" fontId="69" fillId="4" borderId="59" xfId="2" applyNumberFormat="1" applyFont="1" applyFill="1" applyBorder="1" applyAlignment="1">
      <alignment vertical="center"/>
    </xf>
    <xf numFmtId="166" fontId="68" fillId="4" borderId="59" xfId="2" applyNumberFormat="1" applyFont="1" applyFill="1" applyBorder="1" applyAlignment="1">
      <alignment vertical="center"/>
    </xf>
    <xf numFmtId="166" fontId="69" fillId="4" borderId="42" xfId="2" applyNumberFormat="1" applyFont="1" applyFill="1" applyBorder="1" applyAlignment="1">
      <alignment vertical="center"/>
    </xf>
    <xf numFmtId="166" fontId="68" fillId="4" borderId="42" xfId="2" applyNumberFormat="1" applyFont="1" applyFill="1" applyBorder="1" applyAlignment="1">
      <alignment vertical="center"/>
    </xf>
    <xf numFmtId="166" fontId="69" fillId="4" borderId="99" xfId="2" applyNumberFormat="1" applyFont="1" applyFill="1" applyBorder="1" applyAlignment="1">
      <alignment vertical="center"/>
    </xf>
    <xf numFmtId="166" fontId="68" fillId="4" borderId="99" xfId="2" applyNumberFormat="1" applyFont="1" applyFill="1" applyBorder="1" applyAlignment="1">
      <alignment vertical="center"/>
    </xf>
    <xf numFmtId="166" fontId="69" fillId="0" borderId="14" xfId="2" applyNumberFormat="1" applyFont="1" applyFill="1" applyBorder="1" applyAlignment="1"/>
    <xf numFmtId="166" fontId="68" fillId="0" borderId="99" xfId="2" applyNumberFormat="1" applyFont="1" applyBorder="1" applyAlignment="1">
      <alignment vertical="center"/>
    </xf>
    <xf numFmtId="166" fontId="69" fillId="0" borderId="99" xfId="2" applyNumberFormat="1" applyFont="1" applyBorder="1" applyAlignment="1">
      <alignment vertical="center"/>
    </xf>
    <xf numFmtId="166" fontId="68" fillId="0" borderId="99" xfId="2" applyNumberFormat="1" applyFont="1" applyBorder="1" applyAlignment="1">
      <alignment vertical="center" wrapText="1"/>
    </xf>
    <xf numFmtId="166" fontId="69" fillId="4" borderId="7" xfId="2" applyNumberFormat="1" applyFont="1" applyFill="1" applyBorder="1" applyAlignment="1">
      <alignment vertical="center"/>
    </xf>
    <xf numFmtId="166" fontId="69" fillId="0" borderId="59" xfId="2" applyNumberFormat="1" applyFont="1" applyBorder="1" applyAlignment="1">
      <alignment vertical="center"/>
    </xf>
    <xf numFmtId="166" fontId="68" fillId="0" borderId="79" xfId="2" applyNumberFormat="1" applyFont="1" applyBorder="1" applyAlignment="1">
      <alignment vertical="center"/>
    </xf>
    <xf numFmtId="166" fontId="68" fillId="10" borderId="68" xfId="2" applyNumberFormat="1" applyFont="1" applyFill="1" applyBorder="1" applyAlignment="1">
      <alignment vertical="center" wrapText="1"/>
    </xf>
    <xf numFmtId="166" fontId="69" fillId="4" borderId="0" xfId="2" applyNumberFormat="1" applyFont="1" applyFill="1" applyBorder="1" applyAlignment="1">
      <alignment vertical="center"/>
    </xf>
    <xf numFmtId="166" fontId="69" fillId="4" borderId="43" xfId="2" applyNumberFormat="1" applyFont="1" applyFill="1" applyBorder="1" applyAlignment="1">
      <alignment vertical="center"/>
    </xf>
    <xf numFmtId="166" fontId="89" fillId="0" borderId="7" xfId="2" applyNumberFormat="1" applyFont="1" applyFill="1" applyBorder="1" applyAlignment="1">
      <alignment vertical="center"/>
    </xf>
    <xf numFmtId="166" fontId="68" fillId="0" borderId="95" xfId="2" applyNumberFormat="1" applyFont="1" applyBorder="1" applyAlignment="1">
      <alignment vertical="center" wrapText="1"/>
    </xf>
    <xf numFmtId="166" fontId="68" fillId="0" borderId="71" xfId="2" applyNumberFormat="1" applyFont="1" applyBorder="1" applyAlignment="1">
      <alignment vertical="center" wrapText="1"/>
    </xf>
    <xf numFmtId="166" fontId="69" fillId="0" borderId="99" xfId="2" applyNumberFormat="1" applyFont="1" applyBorder="1" applyAlignment="1">
      <alignment vertical="center" wrapText="1"/>
    </xf>
    <xf numFmtId="166" fontId="0" fillId="0" borderId="0" xfId="2" applyNumberFormat="1" applyFont="1" applyBorder="1" applyAlignment="1">
      <alignment vertical="center" wrapText="1"/>
    </xf>
    <xf numFmtId="166" fontId="68" fillId="0" borderId="59" xfId="2" applyNumberFormat="1" applyFont="1" applyBorder="1" applyAlignment="1">
      <alignment vertical="center"/>
    </xf>
    <xf numFmtId="166" fontId="68" fillId="0" borderId="70" xfId="2" applyNumberFormat="1" applyFont="1" applyBorder="1" applyAlignment="1">
      <alignment vertical="center"/>
    </xf>
    <xf numFmtId="166" fontId="89" fillId="0" borderId="7" xfId="2" applyNumberFormat="1" applyFont="1" applyBorder="1" applyAlignment="1">
      <alignment vertical="center"/>
    </xf>
    <xf numFmtId="166" fontId="69" fillId="0" borderId="7" xfId="2" applyNumberFormat="1" applyFont="1" applyFill="1" applyBorder="1" applyAlignment="1"/>
    <xf numFmtId="166" fontId="69" fillId="0" borderId="78" xfId="2" applyNumberFormat="1" applyFont="1" applyBorder="1" applyAlignment="1">
      <alignment vertical="center"/>
    </xf>
    <xf numFmtId="166" fontId="68" fillId="0" borderId="68" xfId="2" applyNumberFormat="1" applyFont="1" applyBorder="1" applyAlignment="1">
      <alignment vertical="top" wrapText="1"/>
    </xf>
    <xf numFmtId="166" fontId="28" fillId="0" borderId="7" xfId="2" applyNumberFormat="1" applyFont="1" applyBorder="1" applyAlignment="1">
      <alignment vertical="top" wrapText="1"/>
    </xf>
    <xf numFmtId="166" fontId="68" fillId="0" borderId="7" xfId="2" applyNumberFormat="1" applyFont="1" applyBorder="1" applyAlignment="1">
      <alignment vertical="top"/>
    </xf>
    <xf numFmtId="166" fontId="87" fillId="0" borderId="59" xfId="2" applyNumberFormat="1" applyFont="1" applyBorder="1" applyAlignment="1">
      <alignment vertical="top"/>
    </xf>
    <xf numFmtId="166" fontId="68" fillId="0" borderId="100" xfId="2" applyNumberFormat="1" applyFont="1" applyBorder="1" applyAlignment="1">
      <alignment vertical="top"/>
    </xf>
    <xf numFmtId="166" fontId="69" fillId="0" borderId="1" xfId="2" applyNumberFormat="1" applyFont="1" applyBorder="1" applyAlignment="1">
      <alignment vertical="top"/>
    </xf>
    <xf numFmtId="166" fontId="0" fillId="0" borderId="1" xfId="2" applyNumberFormat="1" applyFont="1" applyBorder="1" applyAlignment="1">
      <alignment vertical="top"/>
    </xf>
    <xf numFmtId="166" fontId="68" fillId="0" borderId="68" xfId="2" applyNumberFormat="1" applyFont="1" applyBorder="1" applyAlignment="1">
      <alignment vertical="top"/>
    </xf>
    <xf numFmtId="166" fontId="68" fillId="0" borderId="5" xfId="2" applyNumberFormat="1" applyFont="1" applyBorder="1" applyAlignment="1">
      <alignment vertical="top"/>
    </xf>
    <xf numFmtId="166" fontId="68" fillId="0" borderId="7" xfId="2" applyNumberFormat="1" applyFont="1" applyBorder="1" applyAlignment="1">
      <alignment vertical="top" wrapText="1"/>
    </xf>
    <xf numFmtId="166" fontId="68" fillId="0" borderId="53" xfId="2" applyNumberFormat="1" applyFont="1" applyBorder="1" applyAlignment="1">
      <alignment vertical="top"/>
    </xf>
    <xf numFmtId="166" fontId="68" fillId="0" borderId="70" xfId="2" applyNumberFormat="1" applyFont="1" applyBorder="1" applyAlignment="1">
      <alignment vertical="top"/>
    </xf>
    <xf numFmtId="166" fontId="68" fillId="0" borderId="14" xfId="2" applyNumberFormat="1" applyFont="1" applyBorder="1" applyAlignment="1">
      <alignment vertical="top"/>
    </xf>
    <xf numFmtId="166" fontId="68" fillId="0" borderId="59" xfId="2" applyNumberFormat="1" applyFont="1" applyBorder="1" applyAlignment="1">
      <alignment vertical="top"/>
    </xf>
    <xf numFmtId="166" fontId="68" fillId="0" borderId="66" xfId="2" applyNumberFormat="1" applyFont="1" applyBorder="1" applyAlignment="1">
      <alignment vertical="top"/>
    </xf>
    <xf numFmtId="166" fontId="68" fillId="0" borderId="49" xfId="2" applyNumberFormat="1" applyFont="1" applyBorder="1" applyAlignment="1">
      <alignment vertical="top"/>
    </xf>
    <xf numFmtId="166" fontId="68" fillId="0" borderId="0" xfId="2" applyNumberFormat="1" applyFont="1" applyBorder="1" applyAlignment="1">
      <alignment vertical="top"/>
    </xf>
    <xf numFmtId="166" fontId="69" fillId="0" borderId="74" xfId="2" applyNumberFormat="1" applyFont="1" applyBorder="1" applyAlignment="1">
      <alignment vertical="top"/>
    </xf>
    <xf numFmtId="166" fontId="68" fillId="0" borderId="73" xfId="2" applyNumberFormat="1" applyFont="1" applyBorder="1" applyAlignment="1">
      <alignment vertical="top"/>
    </xf>
    <xf numFmtId="166" fontId="69" fillId="0" borderId="0" xfId="2" applyNumberFormat="1" applyFont="1" applyBorder="1" applyAlignment="1">
      <alignment vertical="top"/>
    </xf>
    <xf numFmtId="166" fontId="68" fillId="0" borderId="1" xfId="2" applyNumberFormat="1" applyFont="1" applyBorder="1" applyAlignment="1">
      <alignment vertical="top"/>
    </xf>
    <xf numFmtId="166" fontId="69" fillId="0" borderId="7" xfId="2" applyNumberFormat="1" applyFont="1" applyBorder="1" applyAlignment="1">
      <alignment vertical="top" wrapText="1"/>
    </xf>
    <xf numFmtId="166" fontId="89" fillId="0" borderId="53" xfId="2" applyNumberFormat="1" applyFont="1" applyBorder="1" applyAlignment="1">
      <alignment vertical="top"/>
    </xf>
    <xf numFmtId="166" fontId="69" fillId="4" borderId="5" xfId="2" applyNumberFormat="1" applyFont="1" applyFill="1" applyBorder="1" applyAlignment="1">
      <alignment vertical="center"/>
    </xf>
    <xf numFmtId="166" fontId="69" fillId="4" borderId="5" xfId="2" applyNumberFormat="1" applyFont="1" applyFill="1" applyBorder="1" applyAlignment="1">
      <alignment vertical="top"/>
    </xf>
    <xf numFmtId="166" fontId="69" fillId="0" borderId="42" xfId="2" applyNumberFormat="1" applyFont="1" applyBorder="1" applyAlignment="1">
      <alignment vertical="top"/>
    </xf>
    <xf numFmtId="166" fontId="68" fillId="8" borderId="90" xfId="2" applyNumberFormat="1" applyFont="1" applyFill="1" applyBorder="1" applyAlignment="1">
      <alignment vertical="top"/>
    </xf>
    <xf numFmtId="166" fontId="69" fillId="0" borderId="0" xfId="2" applyNumberFormat="1" applyFont="1" applyFill="1" applyBorder="1" applyAlignment="1">
      <alignment vertical="top"/>
    </xf>
    <xf numFmtId="166" fontId="69" fillId="0" borderId="80" xfId="2" applyNumberFormat="1" applyFont="1" applyFill="1" applyBorder="1" applyAlignment="1">
      <alignment vertical="top"/>
    </xf>
    <xf numFmtId="166" fontId="68" fillId="0" borderId="73" xfId="2" applyNumberFormat="1" applyFont="1" applyFill="1" applyBorder="1" applyAlignment="1">
      <alignment vertical="center"/>
    </xf>
    <xf numFmtId="166" fontId="69" fillId="0" borderId="74" xfId="2" applyNumberFormat="1" applyFont="1" applyFill="1" applyBorder="1" applyAlignment="1">
      <alignment vertical="top"/>
    </xf>
    <xf numFmtId="166" fontId="69" fillId="0" borderId="0" xfId="2" applyNumberFormat="1" applyFont="1" applyFill="1" applyBorder="1" applyAlignment="1">
      <alignment vertical="center"/>
    </xf>
    <xf numFmtId="166" fontId="68" fillId="0" borderId="75" xfId="2" applyNumberFormat="1" applyFont="1" applyFill="1" applyBorder="1" applyAlignment="1">
      <alignment vertical="top"/>
    </xf>
    <xf numFmtId="166" fontId="68" fillId="4" borderId="53" xfId="2" applyNumberFormat="1" applyFont="1" applyFill="1" applyBorder="1" applyAlignment="1">
      <alignment vertical="center"/>
    </xf>
    <xf numFmtId="166" fontId="68" fillId="4" borderId="7" xfId="2" applyNumberFormat="1" applyFont="1" applyFill="1" applyBorder="1" applyAlignment="1">
      <alignment vertical="center"/>
    </xf>
    <xf numFmtId="166" fontId="0" fillId="4" borderId="7" xfId="2" applyNumberFormat="1" applyFont="1" applyFill="1" applyBorder="1" applyAlignment="1">
      <alignment vertical="center"/>
    </xf>
    <xf numFmtId="166" fontId="69" fillId="4" borderId="1" xfId="2" applyNumberFormat="1" applyFont="1" applyFill="1" applyBorder="1" applyAlignment="1">
      <alignment vertical="center"/>
    </xf>
    <xf numFmtId="166" fontId="68" fillId="4" borderId="14" xfId="2" applyNumberFormat="1" applyFont="1" applyFill="1" applyBorder="1" applyAlignment="1">
      <alignment vertical="center"/>
    </xf>
    <xf numFmtId="166" fontId="68" fillId="4" borderId="74" xfId="2" applyNumberFormat="1" applyFont="1" applyFill="1" applyBorder="1" applyAlignment="1">
      <alignment vertical="center"/>
    </xf>
    <xf numFmtId="166" fontId="69" fillId="4" borderId="14" xfId="2" applyNumberFormat="1" applyFont="1" applyFill="1" applyBorder="1" applyAlignment="1">
      <alignment vertical="center"/>
    </xf>
    <xf numFmtId="166" fontId="68" fillId="8" borderId="73" xfId="2" applyNumberFormat="1" applyFont="1" applyFill="1" applyBorder="1" applyAlignment="1">
      <alignment vertical="center"/>
    </xf>
    <xf numFmtId="166" fontId="68" fillId="0" borderId="43" xfId="2" applyNumberFormat="1" applyFont="1" applyBorder="1" applyAlignment="1"/>
    <xf numFmtId="166" fontId="68" fillId="0" borderId="120" xfId="2" applyNumberFormat="1" applyFont="1" applyBorder="1" applyAlignment="1">
      <alignment vertical="center"/>
    </xf>
    <xf numFmtId="166" fontId="69" fillId="0" borderId="7" xfId="2" applyNumberFormat="1" applyFont="1" applyFill="1" applyBorder="1" applyAlignment="1">
      <alignment vertical="center" wrapText="1"/>
    </xf>
    <xf numFmtId="166" fontId="68" fillId="0" borderId="7" xfId="2" applyNumberFormat="1" applyFont="1" applyFill="1" applyBorder="1" applyAlignment="1">
      <alignment vertical="center" wrapText="1"/>
    </xf>
    <xf numFmtId="166" fontId="68" fillId="0" borderId="68" xfId="2" applyNumberFormat="1" applyFont="1" applyFill="1" applyBorder="1" applyAlignment="1">
      <alignment vertical="center" wrapText="1"/>
    </xf>
    <xf numFmtId="166" fontId="0" fillId="0" borderId="7" xfId="2" applyNumberFormat="1" applyFont="1" applyFill="1" applyBorder="1" applyAlignment="1">
      <alignment vertical="center" wrapText="1"/>
    </xf>
    <xf numFmtId="166" fontId="69" fillId="10" borderId="7" xfId="2" applyNumberFormat="1" applyFont="1" applyFill="1" applyBorder="1" applyAlignment="1"/>
    <xf numFmtId="166" fontId="84" fillId="10" borderId="7" xfId="2" applyNumberFormat="1" applyFont="1" applyFill="1" applyBorder="1" applyAlignment="1"/>
    <xf numFmtId="166" fontId="68" fillId="0" borderId="7" xfId="2" applyNumberFormat="1" applyFont="1" applyFill="1" applyBorder="1" applyAlignment="1"/>
    <xf numFmtId="166" fontId="68" fillId="0" borderId="53" xfId="2" applyNumberFormat="1" applyFont="1" applyBorder="1" applyAlignment="1">
      <alignment horizontal="left" vertical="center" indent="1"/>
    </xf>
    <xf numFmtId="166" fontId="126" fillId="0" borderId="7" xfId="2" applyNumberFormat="1" applyFont="1" applyFill="1" applyBorder="1" applyAlignment="1">
      <alignment vertical="center"/>
    </xf>
    <xf numFmtId="166" fontId="88" fillId="0" borderId="7" xfId="2" applyNumberFormat="1" applyFont="1" applyBorder="1" applyAlignment="1">
      <alignment vertical="center"/>
    </xf>
    <xf numFmtId="166" fontId="88" fillId="0" borderId="7" xfId="2" applyNumberFormat="1" applyFont="1" applyFill="1" applyBorder="1" applyAlignment="1">
      <alignment vertical="center"/>
    </xf>
    <xf numFmtId="166" fontId="0" fillId="0" borderId="57" xfId="2" applyNumberFormat="1" applyFont="1" applyBorder="1" applyAlignment="1"/>
    <xf numFmtId="166" fontId="69" fillId="0" borderId="13" xfId="2" applyNumberFormat="1" applyFont="1" applyFill="1" applyBorder="1" applyAlignment="1">
      <alignment vertical="center"/>
    </xf>
    <xf numFmtId="166" fontId="68" fillId="0" borderId="17" xfId="2" applyNumberFormat="1" applyFont="1" applyBorder="1" applyAlignment="1">
      <alignment vertical="center"/>
    </xf>
    <xf numFmtId="0" fontId="27" fillId="0" borderId="7" xfId="0" applyFont="1" applyBorder="1"/>
    <xf numFmtId="0" fontId="68" fillId="0" borderId="5" xfId="0" applyFont="1" applyBorder="1"/>
    <xf numFmtId="0" fontId="26" fillId="0" borderId="5" xfId="0" applyFont="1" applyBorder="1"/>
    <xf numFmtId="0" fontId="26" fillId="0" borderId="53" xfId="0" applyFont="1" applyBorder="1"/>
    <xf numFmtId="0" fontId="69" fillId="0" borderId="14" xfId="0" applyFont="1" applyBorder="1"/>
    <xf numFmtId="0" fontId="27" fillId="0" borderId="14" xfId="0" applyFont="1" applyBorder="1"/>
    <xf numFmtId="166" fontId="89" fillId="0" borderId="5" xfId="2" applyNumberFormat="1" applyFont="1" applyFill="1" applyBorder="1" applyAlignment="1">
      <alignment horizontal="right" vertical="center"/>
    </xf>
    <xf numFmtId="166" fontId="89" fillId="0" borderId="53" xfId="2" applyNumberFormat="1" applyFont="1" applyFill="1" applyBorder="1" applyAlignment="1">
      <alignment horizontal="right" vertical="center"/>
    </xf>
    <xf numFmtId="0" fontId="27" fillId="0" borderId="27" xfId="0" applyFont="1" applyBorder="1"/>
    <xf numFmtId="0" fontId="68" fillId="0" borderId="1" xfId="0" applyFont="1" applyBorder="1" applyAlignment="1">
      <alignment wrapText="1"/>
    </xf>
    <xf numFmtId="166" fontId="69" fillId="0" borderId="28" xfId="2" applyNumberFormat="1" applyFont="1" applyBorder="1" applyAlignment="1" applyProtection="1">
      <alignment vertical="center"/>
    </xf>
    <xf numFmtId="165" fontId="68" fillId="0" borderId="53" xfId="0" applyNumberFormat="1" applyFont="1" applyBorder="1" applyAlignment="1">
      <alignment horizontal="right" vertical="center"/>
    </xf>
    <xf numFmtId="166" fontId="76" fillId="0" borderId="53" xfId="2" applyNumberFormat="1" applyFont="1" applyBorder="1" applyAlignment="1">
      <alignment horizontal="center" vertical="center"/>
    </xf>
    <xf numFmtId="0" fontId="87" fillId="0" borderId="53" xfId="0" applyFont="1" applyBorder="1" applyAlignment="1">
      <alignment wrapText="1"/>
    </xf>
    <xf numFmtId="166" fontId="69" fillId="0" borderId="1" xfId="11" applyNumberFormat="1" applyFont="1" applyBorder="1" applyAlignment="1">
      <alignment vertical="center"/>
    </xf>
    <xf numFmtId="166" fontId="69" fillId="0" borderId="51" xfId="11" applyNumberFormat="1" applyFont="1" applyBorder="1" applyAlignment="1">
      <alignment vertical="center"/>
    </xf>
    <xf numFmtId="39" fontId="69" fillId="0" borderId="27" xfId="0" applyNumberFormat="1" applyFont="1" applyFill="1" applyBorder="1" applyAlignment="1">
      <alignment horizontal="right" vertical="center"/>
    </xf>
    <xf numFmtId="4" fontId="69" fillId="0" borderId="7" xfId="1" applyNumberFormat="1" applyFont="1" applyBorder="1" applyAlignment="1">
      <alignment horizontal="right" vertical="center"/>
    </xf>
    <xf numFmtId="166" fontId="69" fillId="0" borderId="7" xfId="0" applyNumberFormat="1" applyFont="1" applyFill="1" applyBorder="1" applyAlignment="1">
      <alignment horizontal="left" vertical="center" wrapText="1" indent="1"/>
    </xf>
    <xf numFmtId="41" fontId="105" fillId="10" borderId="28" xfId="0" applyNumberFormat="1" applyFont="1" applyFill="1" applyBorder="1" applyAlignment="1">
      <alignment horizontal="right" vertical="center" wrapText="1"/>
    </xf>
    <xf numFmtId="0" fontId="69" fillId="0" borderId="13" xfId="0" applyFont="1" applyFill="1" applyBorder="1" applyAlignment="1">
      <alignment vertical="center" wrapText="1"/>
    </xf>
    <xf numFmtId="0" fontId="68" fillId="0" borderId="13" xfId="0" applyFont="1" applyFill="1" applyBorder="1" applyAlignment="1">
      <alignment vertical="center" wrapText="1"/>
    </xf>
    <xf numFmtId="43" fontId="94" fillId="0" borderId="7" xfId="1" applyFont="1" applyBorder="1" applyAlignment="1">
      <alignment vertical="center"/>
    </xf>
    <xf numFmtId="43" fontId="72" fillId="0" borderId="43" xfId="1" applyFont="1" applyBorder="1" applyAlignment="1">
      <alignment vertical="center"/>
    </xf>
    <xf numFmtId="166" fontId="72" fillId="0" borderId="43" xfId="2" applyNumberFormat="1" applyFont="1" applyBorder="1" applyAlignment="1">
      <alignment vertical="center"/>
    </xf>
    <xf numFmtId="43" fontId="72" fillId="0" borderId="13" xfId="1" applyFont="1" applyBorder="1" applyAlignment="1">
      <alignment vertical="center"/>
    </xf>
    <xf numFmtId="166" fontId="72" fillId="0" borderId="13" xfId="2" applyNumberFormat="1" applyFont="1" applyBorder="1" applyAlignment="1">
      <alignment vertical="center"/>
    </xf>
    <xf numFmtId="4" fontId="69" fillId="0" borderId="43" xfId="0" applyNumberFormat="1" applyFont="1" applyFill="1" applyBorder="1" applyAlignment="1">
      <alignment vertical="center" wrapText="1"/>
    </xf>
    <xf numFmtId="43" fontId="76" fillId="0" borderId="7" xfId="1" applyFont="1" applyBorder="1" applyAlignment="1">
      <alignment vertical="center"/>
    </xf>
    <xf numFmtId="43" fontId="76" fillId="0" borderId="13" xfId="1" applyFont="1" applyBorder="1" applyAlignment="1">
      <alignment vertical="center"/>
    </xf>
    <xf numFmtId="166" fontId="76" fillId="0" borderId="13" xfId="2" applyNumberFormat="1" applyFont="1" applyBorder="1" applyAlignment="1">
      <alignment vertical="center"/>
    </xf>
    <xf numFmtId="0" fontId="69" fillId="0" borderId="124" xfId="0" applyFont="1" applyBorder="1" applyAlignment="1">
      <alignment horizontal="left" vertical="center" wrapText="1"/>
    </xf>
    <xf numFmtId="0" fontId="0" fillId="0" borderId="75" xfId="0" applyFont="1" applyBorder="1" applyAlignment="1">
      <alignment horizontal="right"/>
    </xf>
    <xf numFmtId="43" fontId="69" fillId="0" borderId="57" xfId="1" applyFont="1" applyBorder="1" applyAlignment="1">
      <alignment horizontal="left" vertical="center" indent="1"/>
    </xf>
    <xf numFmtId="166" fontId="89" fillId="0" borderId="56" xfId="2" applyNumberFormat="1" applyFont="1" applyBorder="1" applyAlignment="1">
      <alignment horizontal="right" vertical="center"/>
    </xf>
    <xf numFmtId="4" fontId="0" fillId="0" borderId="56" xfId="2" applyNumberFormat="1" applyFont="1" applyBorder="1" applyAlignment="1">
      <alignment vertical="center"/>
    </xf>
    <xf numFmtId="43" fontId="72" fillId="0" borderId="57" xfId="1" applyFont="1" applyBorder="1" applyAlignment="1">
      <alignment vertical="center"/>
    </xf>
    <xf numFmtId="166" fontId="72" fillId="0" borderId="57" xfId="2" applyNumberFormat="1" applyFont="1" applyBorder="1" applyAlignment="1">
      <alignment vertical="center"/>
    </xf>
    <xf numFmtId="166" fontId="94" fillId="0" borderId="56" xfId="2" applyNumberFormat="1" applyFont="1" applyBorder="1" applyAlignment="1">
      <alignment vertical="center"/>
    </xf>
    <xf numFmtId="0" fontId="0" fillId="0" borderId="42" xfId="0" applyFont="1" applyBorder="1" applyAlignment="1">
      <alignment horizontal="right"/>
    </xf>
    <xf numFmtId="39" fontId="69" fillId="0" borderId="28" xfId="0" applyNumberFormat="1" applyFont="1" applyBorder="1" applyAlignment="1">
      <alignment horizontal="right" vertical="top"/>
    </xf>
    <xf numFmtId="39" fontId="68" fillId="0" borderId="28" xfId="0" applyNumberFormat="1" applyFont="1" applyBorder="1" applyAlignment="1">
      <alignment horizontal="right" vertical="center"/>
    </xf>
    <xf numFmtId="39" fontId="68" fillId="0" borderId="51" xfId="0" applyNumberFormat="1" applyFont="1" applyBorder="1" applyAlignment="1">
      <alignment horizontal="right" vertical="center"/>
    </xf>
    <xf numFmtId="169" fontId="68" fillId="0" borderId="7" xfId="0" applyNumberFormat="1" applyFont="1" applyFill="1" applyBorder="1" applyAlignment="1">
      <alignment vertical="center"/>
    </xf>
    <xf numFmtId="169" fontId="68" fillId="0" borderId="7" xfId="0" applyNumberFormat="1" applyFont="1" applyFill="1" applyBorder="1" applyAlignment="1">
      <alignment vertical="center" wrapText="1"/>
    </xf>
    <xf numFmtId="166" fontId="68" fillId="0" borderId="14" xfId="2" applyNumberFormat="1" applyFont="1" applyFill="1" applyBorder="1" applyAlignment="1">
      <alignment vertical="center" wrapText="1"/>
    </xf>
    <xf numFmtId="4" fontId="68" fillId="0" borderId="14" xfId="0" applyNumberFormat="1" applyFont="1" applyFill="1" applyBorder="1" applyAlignment="1">
      <alignment vertical="center" wrapText="1"/>
    </xf>
    <xf numFmtId="166" fontId="68" fillId="0" borderId="14" xfId="0" applyNumberFormat="1" applyFont="1" applyFill="1" applyBorder="1" applyAlignment="1">
      <alignment horizontal="right" vertical="center" wrapText="1"/>
    </xf>
    <xf numFmtId="169" fontId="68" fillId="0" borderId="14" xfId="0" applyNumberFormat="1" applyFont="1" applyFill="1" applyBorder="1" applyAlignment="1">
      <alignment vertical="center"/>
    </xf>
    <xf numFmtId="169" fontId="68" fillId="0" borderId="14" xfId="0" applyNumberFormat="1" applyFont="1" applyFill="1" applyBorder="1" applyAlignment="1">
      <alignment vertical="center" wrapText="1"/>
    </xf>
    <xf numFmtId="166" fontId="89" fillId="0" borderId="57" xfId="2" applyNumberFormat="1" applyFont="1" applyBorder="1" applyAlignment="1">
      <alignment horizontal="right" vertical="center"/>
    </xf>
    <xf numFmtId="0" fontId="0" fillId="0" borderId="8" xfId="0" applyFont="1" applyFill="1" applyBorder="1" applyAlignment="1">
      <alignment horizontal="left" vertical="center" wrapText="1"/>
    </xf>
    <xf numFmtId="166" fontId="0" fillId="0" borderId="1" xfId="2" applyNumberFormat="1" applyFont="1" applyFill="1" applyBorder="1" applyAlignment="1">
      <alignment vertical="center" wrapText="1"/>
    </xf>
    <xf numFmtId="0" fontId="0" fillId="0" borderId="0" xfId="0" applyFont="1" applyBorder="1" applyAlignment="1">
      <alignment horizontal="right"/>
    </xf>
    <xf numFmtId="4" fontId="0" fillId="0" borderId="1" xfId="0" applyNumberFormat="1" applyFont="1" applyFill="1" applyBorder="1" applyAlignment="1">
      <alignment vertical="center" wrapText="1"/>
    </xf>
    <xf numFmtId="166" fontId="0" fillId="0" borderId="14" xfId="2" applyNumberFormat="1" applyFont="1" applyFill="1" applyBorder="1" applyAlignment="1">
      <alignment vertical="center" wrapText="1"/>
    </xf>
    <xf numFmtId="4" fontId="0" fillId="0" borderId="14" xfId="0" applyNumberFormat="1" applyFont="1" applyFill="1" applyBorder="1" applyAlignment="1">
      <alignment vertical="center" wrapText="1"/>
    </xf>
    <xf numFmtId="4" fontId="0" fillId="0" borderId="53" xfId="0" applyNumberFormat="1" applyFont="1" applyFill="1" applyBorder="1" applyAlignment="1">
      <alignment vertical="center" wrapText="1"/>
    </xf>
    <xf numFmtId="4" fontId="69" fillId="0" borderId="53" xfId="2" applyNumberFormat="1" applyFont="1" applyBorder="1" applyAlignment="1">
      <alignment horizontal="right" vertical="center"/>
    </xf>
    <xf numFmtId="4" fontId="70" fillId="0" borderId="53" xfId="2" applyNumberFormat="1" applyFont="1" applyBorder="1" applyAlignment="1">
      <alignment vertical="center"/>
    </xf>
    <xf numFmtId="166" fontId="68" fillId="0" borderId="1" xfId="2" applyNumberFormat="1" applyFont="1" applyFill="1" applyBorder="1" applyAlignment="1">
      <alignment vertical="center" wrapText="1"/>
    </xf>
    <xf numFmtId="4" fontId="68" fillId="0" borderId="1" xfId="0" applyNumberFormat="1" applyFont="1" applyFill="1" applyBorder="1" applyAlignment="1">
      <alignment vertical="center" wrapText="1"/>
    </xf>
    <xf numFmtId="4" fontId="89" fillId="0" borderId="1" xfId="2" applyNumberFormat="1" applyFont="1" applyBorder="1" applyAlignment="1">
      <alignment horizontal="right" vertical="center"/>
    </xf>
    <xf numFmtId="0" fontId="68" fillId="0" borderId="7" xfId="0" applyFont="1" applyBorder="1"/>
    <xf numFmtId="166" fontId="68" fillId="0" borderId="5" xfId="2" applyNumberFormat="1" applyFont="1" applyFill="1" applyBorder="1" applyAlignment="1">
      <alignment vertical="center" wrapText="1"/>
    </xf>
    <xf numFmtId="4" fontId="68" fillId="0" borderId="5" xfId="0" applyNumberFormat="1" applyFont="1" applyFill="1" applyBorder="1" applyAlignment="1">
      <alignment vertical="center" wrapText="1"/>
    </xf>
    <xf numFmtId="4" fontId="89" fillId="0" borderId="5" xfId="2" applyNumberFormat="1" applyFont="1" applyBorder="1" applyAlignment="1">
      <alignment vertical="center"/>
    </xf>
    <xf numFmtId="43" fontId="94" fillId="0" borderId="5" xfId="1" applyFont="1" applyBorder="1" applyAlignment="1">
      <alignment vertical="center"/>
    </xf>
    <xf numFmtId="4" fontId="76" fillId="0" borderId="5" xfId="2" applyNumberFormat="1" applyFont="1" applyBorder="1" applyAlignment="1">
      <alignment vertical="center"/>
    </xf>
    <xf numFmtId="166" fontId="68" fillId="0" borderId="53" xfId="2" applyNumberFormat="1" applyFont="1" applyFill="1" applyBorder="1" applyAlignment="1">
      <alignment vertical="center" wrapText="1"/>
    </xf>
    <xf numFmtId="166" fontId="68" fillId="0" borderId="5" xfId="0" applyNumberFormat="1" applyFont="1" applyBorder="1"/>
    <xf numFmtId="165" fontId="69" fillId="0" borderId="1" xfId="0" applyNumberFormat="1" applyFont="1" applyBorder="1" applyAlignment="1">
      <alignment horizontal="right" vertical="center"/>
    </xf>
    <xf numFmtId="0" fontId="69" fillId="0" borderId="8" xfId="0" applyFont="1" applyFill="1" applyBorder="1" applyAlignment="1">
      <alignment vertical="center" wrapText="1"/>
    </xf>
    <xf numFmtId="43" fontId="102" fillId="8" borderId="53" xfId="1" applyFont="1" applyFill="1" applyBorder="1" applyAlignment="1">
      <alignment horizontal="right" vertical="center"/>
    </xf>
    <xf numFmtId="166" fontId="69" fillId="0" borderId="131" xfId="2" applyNumberFormat="1" applyFont="1" applyFill="1" applyBorder="1" applyAlignment="1">
      <alignment horizontal="right" vertical="center" wrapText="1"/>
    </xf>
    <xf numFmtId="165" fontId="69" fillId="0" borderId="0" xfId="0" applyNumberFormat="1" applyFont="1" applyAlignment="1">
      <alignment horizontal="right"/>
    </xf>
    <xf numFmtId="39" fontId="102" fillId="0" borderId="73" xfId="0" applyNumberFormat="1" applyFont="1" applyBorder="1" applyAlignment="1">
      <alignment horizontal="right" vertical="top"/>
    </xf>
    <xf numFmtId="39" fontId="69" fillId="0" borderId="1" xfId="0" applyNumberFormat="1" applyFont="1" applyFill="1" applyBorder="1" applyAlignment="1">
      <alignment vertical="top"/>
    </xf>
    <xf numFmtId="41" fontId="0" fillId="0" borderId="7" xfId="2" applyFont="1" applyBorder="1"/>
    <xf numFmtId="41" fontId="0" fillId="0" borderId="0" xfId="2" applyFont="1" applyBorder="1"/>
    <xf numFmtId="4" fontId="76" fillId="2" borderId="53" xfId="0" applyNumberFormat="1" applyFont="1" applyFill="1" applyBorder="1" applyAlignment="1">
      <alignment horizontal="right" vertical="center"/>
    </xf>
    <xf numFmtId="43" fontId="69" fillId="0" borderId="5" xfId="1" applyFont="1" applyFill="1" applyBorder="1" applyAlignment="1">
      <alignment horizontal="right" vertical="center" wrapText="1"/>
    </xf>
    <xf numFmtId="2" fontId="128" fillId="0" borderId="7" xfId="17" applyNumberFormat="1" applyFont="1" applyFill="1" applyBorder="1" applyAlignment="1">
      <alignment horizontal="right" vertical="center" wrapText="1"/>
    </xf>
    <xf numFmtId="2" fontId="127" fillId="0" borderId="7" xfId="0" applyNumberFormat="1" applyFont="1" applyBorder="1" applyAlignment="1">
      <alignment horizontal="right" vertical="center"/>
    </xf>
    <xf numFmtId="0" fontId="69" fillId="0" borderId="14" xfId="0" applyFont="1" applyBorder="1" applyAlignment="1">
      <alignment vertical="top" wrapText="1"/>
    </xf>
    <xf numFmtId="43" fontId="69" fillId="0" borderId="14" xfId="1" applyFont="1" applyFill="1" applyBorder="1" applyAlignment="1">
      <alignment horizontal="right" vertical="center" wrapText="1"/>
    </xf>
    <xf numFmtId="43" fontId="83" fillId="0" borderId="7" xfId="17" applyFont="1" applyFill="1" applyBorder="1" applyAlignment="1">
      <alignment vertical="center" wrapText="1"/>
    </xf>
    <xf numFmtId="43" fontId="83" fillId="0" borderId="7" xfId="17" applyFont="1" applyFill="1" applyBorder="1" applyAlignment="1">
      <alignment vertical="center"/>
    </xf>
    <xf numFmtId="0" fontId="46" fillId="0" borderId="27" xfId="0" applyFont="1" applyFill="1" applyBorder="1"/>
    <xf numFmtId="0" fontId="69" fillId="0" borderId="7" xfId="0" applyFont="1" applyFill="1" applyBorder="1" applyAlignment="1">
      <alignment vertical="top" wrapText="1"/>
    </xf>
    <xf numFmtId="169" fontId="69" fillId="0" borderId="27" xfId="2" applyNumberFormat="1" applyFont="1" applyBorder="1" applyAlignment="1">
      <alignment vertical="center"/>
    </xf>
    <xf numFmtId="169" fontId="72" fillId="0" borderId="27" xfId="2" applyNumberFormat="1" applyFont="1" applyBorder="1" applyAlignment="1">
      <alignment vertical="center"/>
    </xf>
    <xf numFmtId="168" fontId="69" fillId="0" borderId="18" xfId="0" applyNumberFormat="1" applyFont="1" applyFill="1" applyBorder="1" applyAlignment="1">
      <alignment horizontal="left" vertical="center" wrapText="1"/>
    </xf>
    <xf numFmtId="0" fontId="28" fillId="0" borderId="28" xfId="0" applyFont="1" applyFill="1" applyBorder="1"/>
    <xf numFmtId="168" fontId="68" fillId="0" borderId="18" xfId="0" applyNumberFormat="1" applyFont="1" applyFill="1" applyBorder="1" applyAlignment="1">
      <alignment horizontal="left" vertical="center" wrapText="1"/>
    </xf>
    <xf numFmtId="168" fontId="68" fillId="0" borderId="7" xfId="0" applyNumberFormat="1" applyFont="1" applyFill="1" applyBorder="1" applyAlignment="1">
      <alignment horizontal="left" vertical="center" wrapText="1"/>
    </xf>
    <xf numFmtId="4" fontId="68" fillId="0" borderId="1" xfId="0" applyNumberFormat="1" applyFont="1" applyBorder="1" applyAlignment="1">
      <alignment vertical="center"/>
    </xf>
    <xf numFmtId="169" fontId="76" fillId="0" borderId="27" xfId="2" applyNumberFormat="1" applyFont="1" applyBorder="1" applyAlignment="1">
      <alignment vertical="center"/>
    </xf>
    <xf numFmtId="4" fontId="0" fillId="0" borderId="7" xfId="0" applyNumberFormat="1" applyFont="1" applyFill="1" applyBorder="1" applyAlignment="1">
      <alignment vertical="center"/>
    </xf>
    <xf numFmtId="169" fontId="69" fillId="0" borderId="51" xfId="2" applyNumberFormat="1" applyFont="1" applyBorder="1" applyAlignment="1">
      <alignment vertical="center"/>
    </xf>
    <xf numFmtId="169" fontId="70" fillId="0" borderId="1" xfId="2" applyNumberFormat="1" applyFont="1" applyBorder="1" applyAlignment="1">
      <alignment vertical="center"/>
    </xf>
    <xf numFmtId="169" fontId="72" fillId="0" borderId="51" xfId="2" applyNumberFormat="1" applyFont="1" applyBorder="1" applyAlignment="1">
      <alignment vertical="center"/>
    </xf>
    <xf numFmtId="4" fontId="89" fillId="0" borderId="7" xfId="0" applyNumberFormat="1" applyFont="1" applyFill="1" applyBorder="1" applyAlignment="1">
      <alignment horizontal="right" vertical="center"/>
    </xf>
    <xf numFmtId="166" fontId="68" fillId="0" borderId="5" xfId="2" applyNumberFormat="1" applyFont="1" applyBorder="1" applyAlignment="1">
      <alignment horizontal="right" vertical="center" indent="1"/>
    </xf>
    <xf numFmtId="169" fontId="66" fillId="0" borderId="7" xfId="2" applyNumberFormat="1" applyFont="1" applyBorder="1" applyAlignment="1">
      <alignment vertical="center"/>
    </xf>
    <xf numFmtId="4" fontId="94" fillId="0" borderId="7" xfId="0" applyNumberFormat="1" applyFont="1" applyFill="1" applyBorder="1" applyAlignment="1">
      <alignment vertical="center"/>
    </xf>
    <xf numFmtId="39" fontId="69" fillId="0" borderId="14" xfId="0" applyNumberFormat="1" applyFont="1" applyBorder="1" applyAlignment="1">
      <alignment vertical="center"/>
    </xf>
    <xf numFmtId="169" fontId="76" fillId="0" borderId="7" xfId="2" applyNumberFormat="1" applyFont="1" applyBorder="1" applyAlignment="1">
      <alignment vertical="center"/>
    </xf>
    <xf numFmtId="0" fontId="9" fillId="0" borderId="74" xfId="0" applyFont="1" applyBorder="1"/>
    <xf numFmtId="49" fontId="76" fillId="0" borderId="74" xfId="0" applyNumberFormat="1" applyFont="1" applyBorder="1" applyAlignment="1">
      <alignment horizontal="center" vertical="center"/>
    </xf>
    <xf numFmtId="4" fontId="68" fillId="0" borderId="1" xfId="2" applyNumberFormat="1" applyFont="1" applyFill="1" applyBorder="1"/>
    <xf numFmtId="4" fontId="0" fillId="0" borderId="7" xfId="2" applyNumberFormat="1" applyFont="1" applyFill="1" applyBorder="1"/>
    <xf numFmtId="4" fontId="0" fillId="0" borderId="1" xfId="2" applyNumberFormat="1" applyFont="1" applyFill="1" applyBorder="1"/>
    <xf numFmtId="0" fontId="26" fillId="0" borderId="7" xfId="0" applyFont="1" applyBorder="1"/>
    <xf numFmtId="4" fontId="68" fillId="0" borderId="53" xfId="2" applyNumberFormat="1" applyFont="1" applyFill="1" applyBorder="1"/>
    <xf numFmtId="4" fontId="68" fillId="0" borderId="5" xfId="2" applyNumberFormat="1" applyFont="1" applyFill="1" applyBorder="1"/>
    <xf numFmtId="4" fontId="0" fillId="0" borderId="14" xfId="2" applyNumberFormat="1" applyFont="1" applyFill="1" applyBorder="1"/>
    <xf numFmtId="39" fontId="76" fillId="0" borderId="1" xfId="0" applyNumberFormat="1" applyFont="1" applyBorder="1" applyAlignment="1">
      <alignment vertical="top"/>
    </xf>
    <xf numFmtId="0" fontId="83" fillId="0" borderId="7" xfId="0" applyFont="1" applyFill="1" applyBorder="1" applyAlignment="1">
      <alignment wrapText="1"/>
    </xf>
    <xf numFmtId="43" fontId="83" fillId="0" borderId="7" xfId="1" applyFont="1" applyFill="1" applyBorder="1" applyAlignment="1">
      <alignment wrapText="1"/>
    </xf>
    <xf numFmtId="4" fontId="102" fillId="8" borderId="73" xfId="0" applyNumberFormat="1" applyFont="1" applyFill="1" applyBorder="1" applyAlignment="1">
      <alignment horizontal="right" vertical="center"/>
    </xf>
    <xf numFmtId="166" fontId="102" fillId="8" borderId="73" xfId="2" applyNumberFormat="1" applyFont="1" applyFill="1" applyBorder="1" applyAlignment="1">
      <alignment vertical="center"/>
    </xf>
    <xf numFmtId="165" fontId="0" fillId="0" borderId="7" xfId="0" applyNumberFormat="1" applyFont="1" applyBorder="1" applyAlignment="1">
      <alignment horizontal="right" vertical="center"/>
    </xf>
    <xf numFmtId="4" fontId="68" fillId="0" borderId="74" xfId="2" applyNumberFormat="1" applyFont="1" applyBorder="1" applyAlignment="1">
      <alignment horizontal="right" vertical="center" indent="1"/>
    </xf>
    <xf numFmtId="169" fontId="69" fillId="0" borderId="51" xfId="2" applyNumberFormat="1" applyFont="1" applyBorder="1" applyAlignment="1">
      <alignment horizontal="right" vertical="center"/>
    </xf>
    <xf numFmtId="169" fontId="72" fillId="0" borderId="14" xfId="2" applyNumberFormat="1" applyFont="1" applyBorder="1" applyAlignment="1">
      <alignment horizontal="right" vertical="center"/>
    </xf>
    <xf numFmtId="39" fontId="68" fillId="0" borderId="51" xfId="0" applyNumberFormat="1" applyFont="1" applyBorder="1" applyAlignment="1">
      <alignment vertical="top"/>
    </xf>
    <xf numFmtId="39" fontId="76" fillId="0" borderId="0" xfId="0" applyNumberFormat="1" applyFont="1" applyBorder="1" applyAlignment="1">
      <alignment horizontal="right" vertical="top"/>
    </xf>
    <xf numFmtId="4" fontId="27" fillId="0" borderId="14" xfId="2" applyNumberFormat="1" applyFont="1" applyBorder="1" applyAlignment="1">
      <alignment vertical="center"/>
    </xf>
    <xf numFmtId="4" fontId="27" fillId="0" borderId="5" xfId="2" applyNumberFormat="1" applyFont="1" applyBorder="1" applyAlignment="1">
      <alignment vertical="center"/>
    </xf>
    <xf numFmtId="4" fontId="27" fillId="0" borderId="7" xfId="2" applyNumberFormat="1" applyFont="1" applyBorder="1" applyAlignment="1">
      <alignment vertical="center"/>
    </xf>
    <xf numFmtId="166" fontId="27" fillId="0" borderId="52" xfId="2" applyNumberFormat="1" applyFont="1" applyBorder="1" applyAlignment="1">
      <alignment vertical="center"/>
    </xf>
    <xf numFmtId="4" fontId="68" fillId="8" borderId="56" xfId="2" applyNumberFormat="1" applyFont="1" applyFill="1" applyBorder="1" applyAlignment="1">
      <alignment vertical="center"/>
    </xf>
    <xf numFmtId="43" fontId="68" fillId="8" borderId="57" xfId="1" applyFont="1" applyFill="1" applyBorder="1" applyAlignment="1">
      <alignment horizontal="left" vertical="center" indent="1"/>
    </xf>
    <xf numFmtId="166" fontId="76" fillId="8" borderId="56" xfId="2" applyNumberFormat="1" applyFont="1" applyFill="1" applyBorder="1" applyAlignment="1">
      <alignment vertical="center"/>
    </xf>
    <xf numFmtId="4" fontId="26" fillId="8" borderId="56" xfId="2" applyNumberFormat="1" applyFont="1" applyFill="1" applyBorder="1" applyAlignment="1">
      <alignment vertical="center"/>
    </xf>
    <xf numFmtId="0" fontId="46" fillId="8" borderId="27" xfId="0" applyFont="1" applyFill="1" applyBorder="1"/>
    <xf numFmtId="166" fontId="26" fillId="0" borderId="7" xfId="2" applyNumberFormat="1" applyFont="1" applyBorder="1" applyAlignment="1">
      <alignment vertical="center"/>
    </xf>
    <xf numFmtId="49" fontId="60" fillId="0" borderId="1" xfId="0" applyNumberFormat="1" applyFont="1" applyBorder="1" applyAlignment="1">
      <alignment horizontal="center" vertical="center"/>
    </xf>
    <xf numFmtId="39" fontId="72" fillId="0" borderId="53" xfId="0" applyNumberFormat="1" applyFont="1" applyFill="1" applyBorder="1" applyAlignment="1">
      <alignment vertical="top"/>
    </xf>
    <xf numFmtId="166" fontId="72" fillId="0" borderId="14" xfId="2" applyNumberFormat="1" applyFont="1" applyBorder="1" applyAlignment="1">
      <alignment horizontal="left" vertical="center" indent="1"/>
    </xf>
    <xf numFmtId="39" fontId="76" fillId="0" borderId="1" xfId="0" applyNumberFormat="1" applyFont="1" applyFill="1" applyBorder="1" applyAlignment="1">
      <alignment horizontal="right" vertical="top"/>
    </xf>
    <xf numFmtId="39" fontId="76" fillId="0" borderId="1" xfId="0" applyNumberFormat="1" applyFont="1" applyFill="1" applyBorder="1" applyAlignment="1">
      <alignment vertical="top"/>
    </xf>
    <xf numFmtId="43" fontId="68" fillId="0" borderId="21" xfId="0" applyNumberFormat="1" applyFont="1" applyFill="1" applyBorder="1" applyAlignment="1">
      <alignment horizontal="left" vertical="center" indent="1"/>
    </xf>
    <xf numFmtId="41" fontId="102" fillId="10" borderId="99" xfId="2" applyFont="1" applyFill="1" applyBorder="1" applyAlignment="1">
      <alignment horizontal="right" vertical="center"/>
    </xf>
    <xf numFmtId="41" fontId="102" fillId="10" borderId="60" xfId="2" applyFont="1" applyFill="1" applyBorder="1" applyAlignment="1">
      <alignment horizontal="right" vertical="center"/>
    </xf>
    <xf numFmtId="41" fontId="98" fillId="10" borderId="60" xfId="2" applyFont="1" applyFill="1" applyBorder="1" applyAlignment="1">
      <alignment horizontal="right" vertical="center" wrapText="1"/>
    </xf>
    <xf numFmtId="41" fontId="102" fillId="10" borderId="60" xfId="2" applyFont="1" applyFill="1" applyBorder="1" applyAlignment="1">
      <alignment horizontal="center" vertical="center" wrapText="1"/>
    </xf>
    <xf numFmtId="41" fontId="98" fillId="10" borderId="60" xfId="2" applyFont="1" applyFill="1" applyBorder="1" applyAlignment="1">
      <alignment horizontal="center" vertical="center" wrapText="1"/>
    </xf>
    <xf numFmtId="41" fontId="0" fillId="10" borderId="60" xfId="2" applyFont="1" applyFill="1" applyBorder="1" applyAlignment="1">
      <alignment horizontal="right" vertical="center" wrapText="1"/>
    </xf>
    <xf numFmtId="41" fontId="0" fillId="10" borderId="60" xfId="2" applyFont="1" applyFill="1" applyBorder="1" applyAlignment="1">
      <alignment horizontal="center" vertical="center" wrapText="1"/>
    </xf>
    <xf numFmtId="0" fontId="100" fillId="0" borderId="53" xfId="0" applyFont="1" applyBorder="1"/>
    <xf numFmtId="10" fontId="112" fillId="0" borderId="7" xfId="838" applyNumberFormat="1" applyFont="1" applyBorder="1" applyAlignment="1">
      <alignment horizontal="center" vertical="center"/>
    </xf>
    <xf numFmtId="10" fontId="112" fillId="0" borderId="14" xfId="838" applyNumberFormat="1" applyFont="1" applyBorder="1" applyAlignment="1">
      <alignment horizontal="center" vertical="center"/>
    </xf>
    <xf numFmtId="41" fontId="129" fillId="0" borderId="7" xfId="11" applyNumberFormat="1" applyFont="1" applyBorder="1" applyAlignment="1">
      <alignment horizontal="center" vertical="center"/>
    </xf>
    <xf numFmtId="0" fontId="68" fillId="0" borderId="18" xfId="0" applyFont="1" applyBorder="1" applyAlignment="1">
      <alignment vertical="center" wrapText="1"/>
    </xf>
    <xf numFmtId="0" fontId="69" fillId="0" borderId="7" xfId="0" applyFont="1" applyFill="1" applyBorder="1" applyAlignment="1">
      <alignment horizontal="left" vertical="top" wrapText="1"/>
    </xf>
    <xf numFmtId="4" fontId="68" fillId="0" borderId="28" xfId="2" applyNumberFormat="1" applyFont="1" applyFill="1" applyBorder="1" applyAlignment="1">
      <alignment horizontal="right" vertical="center"/>
    </xf>
    <xf numFmtId="0" fontId="68" fillId="0" borderId="0" xfId="0" applyFont="1" applyBorder="1" applyAlignment="1">
      <alignment wrapText="1"/>
    </xf>
    <xf numFmtId="4" fontId="68" fillId="0" borderId="14" xfId="2" applyNumberFormat="1" applyFont="1" applyFill="1" applyBorder="1" applyAlignment="1">
      <alignment vertical="center"/>
    </xf>
    <xf numFmtId="0" fontId="68" fillId="0" borderId="18" xfId="0" applyFont="1" applyBorder="1" applyAlignment="1">
      <alignment wrapText="1"/>
    </xf>
    <xf numFmtId="4" fontId="68" fillId="0" borderId="52" xfId="2" applyNumberFormat="1" applyFont="1" applyFill="1" applyBorder="1" applyAlignment="1">
      <alignment horizontal="right" vertical="center"/>
    </xf>
    <xf numFmtId="4" fontId="68" fillId="0" borderId="52" xfId="2" applyNumberFormat="1" applyFont="1" applyFill="1" applyBorder="1" applyAlignment="1">
      <alignment vertical="center"/>
    </xf>
    <xf numFmtId="0" fontId="69" fillId="0" borderId="8" xfId="0" applyFont="1" applyBorder="1" applyAlignment="1">
      <alignment vertical="center" wrapText="1"/>
    </xf>
    <xf numFmtId="166" fontId="68" fillId="0" borderId="52" xfId="2" applyNumberFormat="1" applyFont="1" applyBorder="1" applyAlignment="1">
      <alignment vertical="center"/>
    </xf>
    <xf numFmtId="43" fontId="76" fillId="0" borderId="14" xfId="0" applyNumberFormat="1" applyFont="1" applyBorder="1" applyAlignment="1">
      <alignment vertical="center"/>
    </xf>
    <xf numFmtId="4" fontId="69" fillId="0" borderId="51" xfId="2" applyNumberFormat="1" applyFont="1" applyFill="1" applyBorder="1" applyAlignment="1">
      <alignment horizontal="right" vertical="center"/>
    </xf>
    <xf numFmtId="4" fontId="89" fillId="0" borderId="7" xfId="2" applyNumberFormat="1" applyFont="1" applyFill="1" applyBorder="1" applyAlignment="1">
      <alignment horizontal="right" vertical="center"/>
    </xf>
    <xf numFmtId="43" fontId="94" fillId="0" borderId="7" xfId="0" applyNumberFormat="1" applyFont="1" applyBorder="1" applyAlignment="1">
      <alignment vertical="center"/>
    </xf>
    <xf numFmtId="4" fontId="94" fillId="0" borderId="7" xfId="2" applyNumberFormat="1" applyFont="1" applyFill="1" applyBorder="1" applyAlignment="1">
      <alignment vertical="center"/>
    </xf>
    <xf numFmtId="0" fontId="69" fillId="0" borderId="8" xfId="0" applyFont="1" applyBorder="1" applyAlignment="1">
      <alignment wrapText="1"/>
    </xf>
    <xf numFmtId="4" fontId="69" fillId="0" borderId="57" xfId="2" applyNumberFormat="1" applyFont="1" applyBorder="1" applyAlignment="1">
      <alignment horizontal="right" vertical="center"/>
    </xf>
    <xf numFmtId="4" fontId="69" fillId="0" borderId="56" xfId="2" applyNumberFormat="1" applyFont="1" applyBorder="1" applyAlignment="1">
      <alignment vertical="center"/>
    </xf>
    <xf numFmtId="166" fontId="72" fillId="0" borderId="57" xfId="2" applyNumberFormat="1" applyFont="1" applyFill="1" applyBorder="1" applyAlignment="1">
      <alignment vertical="center"/>
    </xf>
    <xf numFmtId="4" fontId="72" fillId="0" borderId="57" xfId="2" applyNumberFormat="1" applyFont="1" applyFill="1" applyBorder="1" applyAlignment="1">
      <alignment vertical="center"/>
    </xf>
    <xf numFmtId="166" fontId="0" fillId="0" borderId="5" xfId="11" applyNumberFormat="1" applyFont="1" applyBorder="1" applyAlignment="1">
      <alignment vertical="center"/>
    </xf>
    <xf numFmtId="0" fontId="92" fillId="0" borderId="1" xfId="0" applyFont="1" applyBorder="1" applyAlignment="1">
      <alignment horizontal="center" vertical="center"/>
    </xf>
    <xf numFmtId="0" fontId="95" fillId="0" borderId="14" xfId="0" applyFont="1" applyBorder="1" applyAlignment="1">
      <alignment horizontal="center" vertical="center"/>
    </xf>
    <xf numFmtId="166" fontId="94" fillId="0" borderId="27" xfId="2" applyNumberFormat="1" applyFont="1" applyBorder="1" applyAlignment="1">
      <alignment vertical="center"/>
    </xf>
    <xf numFmtId="0" fontId="92" fillId="0" borderId="52" xfId="0" applyFont="1" applyBorder="1" applyAlignment="1">
      <alignment horizontal="center" vertical="center"/>
    </xf>
    <xf numFmtId="4" fontId="94" fillId="0" borderId="1" xfId="2" applyNumberFormat="1" applyFont="1" applyFill="1" applyBorder="1" applyAlignment="1">
      <alignment vertical="center"/>
    </xf>
    <xf numFmtId="166" fontId="89" fillId="0" borderId="27" xfId="2" applyNumberFormat="1" applyFont="1" applyBorder="1" applyAlignment="1">
      <alignment horizontal="right" vertical="center"/>
    </xf>
    <xf numFmtId="4" fontId="89" fillId="0" borderId="5" xfId="2" applyNumberFormat="1" applyFont="1" applyFill="1" applyBorder="1" applyAlignment="1">
      <alignment vertical="center"/>
    </xf>
    <xf numFmtId="4" fontId="89" fillId="0" borderId="27" xfId="2" applyNumberFormat="1" applyFont="1" applyBorder="1" applyAlignment="1">
      <alignment vertical="center"/>
    </xf>
    <xf numFmtId="4" fontId="89" fillId="0" borderId="14" xfId="2" applyNumberFormat="1" applyFont="1" applyFill="1" applyBorder="1" applyAlignment="1">
      <alignment vertical="center"/>
    </xf>
    <xf numFmtId="4" fontId="70" fillId="0" borderId="7" xfId="2" applyNumberFormat="1" applyFont="1" applyFill="1" applyBorder="1" applyAlignment="1"/>
    <xf numFmtId="4" fontId="89" fillId="0" borderId="7" xfId="2" applyNumberFormat="1" applyFont="1" applyBorder="1" applyAlignment="1">
      <alignment vertical="center"/>
    </xf>
    <xf numFmtId="4" fontId="76" fillId="0" borderId="7" xfId="2" applyNumberFormat="1" applyFont="1" applyFill="1" applyBorder="1" applyAlignment="1"/>
    <xf numFmtId="0" fontId="69" fillId="0" borderId="74" xfId="0" applyFont="1" applyBorder="1" applyAlignment="1">
      <alignment wrapText="1"/>
    </xf>
    <xf numFmtId="166" fontId="69" fillId="0" borderId="74" xfId="2" applyNumberFormat="1" applyFont="1" applyBorder="1" applyAlignment="1"/>
    <xf numFmtId="4" fontId="69" fillId="0" borderId="74" xfId="2" applyNumberFormat="1" applyFont="1" applyBorder="1" applyAlignment="1">
      <alignment horizontal="right" vertical="center"/>
    </xf>
    <xf numFmtId="4" fontId="69" fillId="0" borderId="74" xfId="2" applyNumberFormat="1" applyFont="1" applyFill="1" applyBorder="1"/>
    <xf numFmtId="4" fontId="69" fillId="0" borderId="74" xfId="2" applyNumberFormat="1" applyFont="1" applyBorder="1" applyAlignment="1">
      <alignment vertical="center"/>
    </xf>
    <xf numFmtId="4" fontId="72" fillId="0" borderId="74" xfId="2" applyNumberFormat="1" applyFont="1" applyFill="1" applyBorder="1" applyAlignment="1"/>
    <xf numFmtId="0" fontId="69" fillId="0" borderId="1" xfId="0" applyFont="1" applyBorder="1"/>
    <xf numFmtId="0" fontId="69" fillId="0" borderId="1" xfId="0" applyFont="1" applyBorder="1" applyAlignment="1"/>
    <xf numFmtId="0" fontId="69" fillId="0" borderId="5" xfId="0" applyFont="1" applyBorder="1"/>
    <xf numFmtId="0" fontId="69" fillId="0" borderId="5" xfId="0" applyFont="1" applyBorder="1" applyAlignment="1"/>
    <xf numFmtId="0" fontId="69" fillId="0" borderId="0" xfId="0" applyFont="1" applyBorder="1" applyAlignment="1">
      <alignment vertical="center" wrapText="1"/>
    </xf>
    <xf numFmtId="0" fontId="68" fillId="0" borderId="12" xfId="7" applyFont="1" applyBorder="1" applyAlignment="1">
      <alignment vertical="center" wrapText="1"/>
    </xf>
    <xf numFmtId="0" fontId="68" fillId="0" borderId="12" xfId="0" applyFont="1" applyBorder="1" applyAlignment="1">
      <alignment vertical="center" wrapText="1"/>
    </xf>
    <xf numFmtId="4" fontId="89" fillId="0" borderId="5" xfId="2" applyNumberFormat="1" applyFont="1" applyFill="1" applyBorder="1" applyAlignment="1">
      <alignment horizontal="right" vertical="center"/>
    </xf>
    <xf numFmtId="166" fontId="89" fillId="0" borderId="5" xfId="2" applyNumberFormat="1" applyFont="1" applyBorder="1" applyAlignment="1"/>
    <xf numFmtId="166" fontId="89" fillId="0" borderId="5" xfId="2" applyNumberFormat="1" applyFont="1" applyBorder="1"/>
    <xf numFmtId="0" fontId="68" fillId="0" borderId="12" xfId="0" applyFont="1" applyBorder="1" applyAlignment="1">
      <alignment wrapText="1"/>
    </xf>
    <xf numFmtId="166" fontId="69" fillId="0" borderId="74" xfId="2" applyNumberFormat="1" applyFont="1" applyBorder="1"/>
    <xf numFmtId="166" fontId="69" fillId="0" borderId="57" xfId="2" applyNumberFormat="1" applyFont="1" applyBorder="1"/>
    <xf numFmtId="0" fontId="99" fillId="0" borderId="7" xfId="0" applyFont="1" applyBorder="1"/>
    <xf numFmtId="0" fontId="100" fillId="0" borderId="7" xfId="0" applyFont="1" applyBorder="1"/>
    <xf numFmtId="166" fontId="89" fillId="0" borderId="7" xfId="11" applyNumberFormat="1" applyFont="1" applyBorder="1" applyAlignment="1">
      <alignment vertical="center"/>
    </xf>
    <xf numFmtId="0" fontId="69" fillId="0" borderId="7" xfId="0" applyFont="1" applyBorder="1" applyAlignment="1"/>
    <xf numFmtId="166" fontId="68" fillId="6" borderId="7" xfId="11" applyNumberFormat="1" applyFont="1" applyFill="1" applyBorder="1" applyAlignment="1">
      <alignment horizontal="right" vertical="center" wrapText="1"/>
    </xf>
    <xf numFmtId="4" fontId="69" fillId="0" borderId="1" xfId="2" applyNumberFormat="1" applyFont="1" applyBorder="1" applyAlignment="1">
      <alignment horizontal="right" vertical="center" indent="1"/>
    </xf>
    <xf numFmtId="4" fontId="72" fillId="0" borderId="53" xfId="2" applyNumberFormat="1" applyFont="1" applyFill="1" applyBorder="1" applyAlignment="1">
      <alignment horizontal="right" vertical="center"/>
    </xf>
    <xf numFmtId="4" fontId="72" fillId="0" borderId="53" xfId="2" applyNumberFormat="1" applyFont="1" applyFill="1" applyBorder="1" applyAlignment="1">
      <alignment vertical="center"/>
    </xf>
    <xf numFmtId="166" fontId="28" fillId="2" borderId="53" xfId="2" applyNumberFormat="1" applyFont="1" applyFill="1" applyBorder="1" applyAlignment="1">
      <alignment vertical="center"/>
    </xf>
    <xf numFmtId="43" fontId="84" fillId="0" borderId="64" xfId="1" applyFont="1" applyBorder="1" applyAlignment="1">
      <alignment horizontal="right" vertical="center" indent="1"/>
    </xf>
    <xf numFmtId="43" fontId="84" fillId="0" borderId="7" xfId="1" applyFont="1" applyBorder="1" applyAlignment="1">
      <alignment horizontal="right" vertical="center" indent="1"/>
    </xf>
    <xf numFmtId="43" fontId="69" fillId="0" borderId="74" xfId="1" applyFont="1" applyBorder="1" applyAlignment="1">
      <alignment horizontal="right" vertical="center" wrapText="1"/>
    </xf>
    <xf numFmtId="39" fontId="69" fillId="0" borderId="1" xfId="0" applyNumberFormat="1" applyFont="1" applyBorder="1" applyAlignment="1">
      <alignment vertical="center"/>
    </xf>
    <xf numFmtId="41" fontId="102" fillId="0" borderId="0" xfId="2" applyFont="1"/>
    <xf numFmtId="39" fontId="68" fillId="0" borderId="7" xfId="12" applyNumberFormat="1" applyFont="1" applyBorder="1" applyAlignment="1">
      <alignment horizontal="right" vertical="top"/>
    </xf>
    <xf numFmtId="43" fontId="68" fillId="0" borderId="68" xfId="1" applyFont="1" applyFill="1" applyBorder="1" applyAlignment="1">
      <alignment horizontal="right" vertical="center" indent="1"/>
    </xf>
    <xf numFmtId="43" fontId="0" fillId="0" borderId="74" xfId="1" applyFont="1" applyBorder="1" applyAlignment="1">
      <alignment horizontal="right" vertical="center" indent="1"/>
    </xf>
    <xf numFmtId="3" fontId="112" fillId="0" borderId="132" xfId="16" applyNumberFormat="1" applyFont="1" applyBorder="1" applyAlignment="1">
      <alignment horizontal="right" vertical="center"/>
    </xf>
    <xf numFmtId="41" fontId="112" fillId="0" borderId="132" xfId="16" applyNumberFormat="1" applyFont="1" applyBorder="1" applyAlignment="1">
      <alignment horizontal="right" vertical="center"/>
    </xf>
    <xf numFmtId="166" fontId="0" fillId="0" borderId="17" xfId="2" quotePrefix="1" applyNumberFormat="1" applyFont="1" applyBorder="1" applyAlignment="1">
      <alignment horizontal="center" vertical="center"/>
    </xf>
    <xf numFmtId="166" fontId="69" fillId="0" borderId="59" xfId="0" applyNumberFormat="1" applyFont="1" applyBorder="1" applyAlignment="1">
      <alignment vertical="center"/>
    </xf>
    <xf numFmtId="41" fontId="9" fillId="0" borderId="0" xfId="2" applyFont="1"/>
    <xf numFmtId="43" fontId="69" fillId="0" borderId="7" xfId="1" applyFont="1" applyBorder="1" applyAlignment="1">
      <alignment horizontal="right"/>
    </xf>
    <xf numFmtId="39" fontId="82" fillId="0" borderId="5" xfId="0" applyNumberFormat="1" applyFont="1" applyBorder="1" applyAlignment="1">
      <alignment vertical="top"/>
    </xf>
    <xf numFmtId="39" fontId="82" fillId="0" borderId="53" xfId="0" applyNumberFormat="1" applyFont="1" applyBorder="1" applyAlignment="1">
      <alignment vertical="top"/>
    </xf>
    <xf numFmtId="0" fontId="27" fillId="0" borderId="0" xfId="0" applyFont="1" applyFill="1"/>
    <xf numFmtId="49" fontId="94" fillId="0" borderId="53" xfId="0" applyNumberFormat="1" applyFont="1" applyFill="1" applyBorder="1" applyAlignment="1">
      <alignment horizontal="center" vertical="center"/>
    </xf>
    <xf numFmtId="43" fontId="68" fillId="0" borderId="57" xfId="0" applyNumberFormat="1" applyFont="1" applyFill="1" applyBorder="1" applyAlignment="1">
      <alignment horizontal="right" vertical="center" indent="1"/>
    </xf>
    <xf numFmtId="4" fontId="76" fillId="0" borderId="56" xfId="2" applyNumberFormat="1" applyFont="1" applyFill="1" applyBorder="1" applyAlignment="1">
      <alignment vertical="center"/>
    </xf>
    <xf numFmtId="0" fontId="101" fillId="0" borderId="28" xfId="0" applyFont="1" applyFill="1" applyBorder="1"/>
    <xf numFmtId="0" fontId="68" fillId="7" borderId="9" xfId="0" applyFont="1" applyFill="1" applyBorder="1" applyAlignment="1">
      <alignment horizontal="left" vertical="center" wrapText="1"/>
    </xf>
    <xf numFmtId="166" fontId="76" fillId="7" borderId="9" xfId="2" applyNumberFormat="1" applyFont="1" applyFill="1" applyBorder="1" applyAlignment="1">
      <alignment vertical="center"/>
    </xf>
    <xf numFmtId="43" fontId="68" fillId="7" borderId="53" xfId="0" applyNumberFormat="1" applyFont="1" applyFill="1" applyBorder="1" applyAlignment="1">
      <alignment horizontal="right" vertical="center" indent="1"/>
    </xf>
    <xf numFmtId="39" fontId="68" fillId="7" borderId="9" xfId="0" applyNumberFormat="1" applyFont="1" applyFill="1" applyBorder="1" applyAlignment="1">
      <alignment horizontal="right" vertical="top"/>
    </xf>
    <xf numFmtId="4" fontId="76" fillId="7" borderId="9" xfId="0" applyNumberFormat="1" applyFont="1" applyFill="1" applyBorder="1" applyAlignment="1">
      <alignment vertical="center"/>
    </xf>
    <xf numFmtId="0" fontId="68" fillId="0" borderId="0" xfId="0" applyFont="1" applyFill="1" applyBorder="1"/>
    <xf numFmtId="0" fontId="0" fillId="0" borderId="11" xfId="0" applyBorder="1"/>
    <xf numFmtId="0" fontId="0" fillId="0" borderId="9" xfId="0" applyBorder="1"/>
    <xf numFmtId="0" fontId="68" fillId="0" borderId="11" xfId="0" applyFont="1" applyBorder="1"/>
    <xf numFmtId="166" fontId="68" fillId="0" borderId="9" xfId="2" applyNumberFormat="1" applyFont="1" applyBorder="1"/>
    <xf numFmtId="4" fontId="68" fillId="7" borderId="54" xfId="2" applyNumberFormat="1" applyFont="1" applyFill="1" applyBorder="1" applyAlignment="1">
      <alignment vertical="center"/>
    </xf>
    <xf numFmtId="166" fontId="26" fillId="7" borderId="28" xfId="2" applyNumberFormat="1" applyFont="1" applyFill="1" applyBorder="1" applyAlignment="1">
      <alignment vertical="center"/>
    </xf>
    <xf numFmtId="0" fontId="47" fillId="7" borderId="28" xfId="0" applyFont="1" applyFill="1" applyBorder="1"/>
    <xf numFmtId="165" fontId="0" fillId="0" borderId="9" xfId="0" applyNumberFormat="1" applyFill="1" applyBorder="1"/>
    <xf numFmtId="4" fontId="0" fillId="10" borderId="9" xfId="0" applyNumberFormat="1" applyFill="1" applyBorder="1"/>
    <xf numFmtId="3" fontId="68" fillId="0" borderId="1" xfId="0" applyNumberFormat="1" applyFont="1" applyFill="1" applyBorder="1" applyAlignment="1">
      <alignment horizontal="right" vertical="center"/>
    </xf>
    <xf numFmtId="165" fontId="76" fillId="0" borderId="51" xfId="0" applyNumberFormat="1" applyFont="1" applyFill="1" applyBorder="1" applyAlignment="1">
      <alignment vertical="center"/>
    </xf>
    <xf numFmtId="0" fontId="106" fillId="0" borderId="0" xfId="0" applyFont="1"/>
    <xf numFmtId="43" fontId="89" fillId="0" borderId="1" xfId="0" applyNumberFormat="1" applyFont="1" applyFill="1" applyBorder="1" applyAlignment="1">
      <alignment horizontal="left" vertical="center" indent="1"/>
    </xf>
    <xf numFmtId="166" fontId="89" fillId="0" borderId="28" xfId="2" applyNumberFormat="1" applyFont="1" applyFill="1" applyBorder="1" applyAlignment="1">
      <alignment vertical="center"/>
    </xf>
    <xf numFmtId="4" fontId="94" fillId="0" borderId="28" xfId="0" applyNumberFormat="1" applyFont="1" applyFill="1" applyBorder="1" applyAlignment="1">
      <alignment vertical="center"/>
    </xf>
    <xf numFmtId="165" fontId="94" fillId="0" borderId="28" xfId="0" applyNumberFormat="1" applyFont="1" applyFill="1" applyBorder="1" applyAlignment="1">
      <alignment vertical="center"/>
    </xf>
    <xf numFmtId="166" fontId="94" fillId="0" borderId="28" xfId="2" applyNumberFormat="1" applyFont="1" applyFill="1" applyBorder="1" applyAlignment="1">
      <alignment vertical="center"/>
    </xf>
    <xf numFmtId="0" fontId="106" fillId="0" borderId="28" xfId="0" applyFont="1" applyBorder="1"/>
    <xf numFmtId="0" fontId="123" fillId="0" borderId="0" xfId="0" applyFont="1"/>
    <xf numFmtId="21" fontId="69" fillId="0" borderId="0" xfId="5" applyNumberFormat="1" applyFont="1" applyBorder="1" applyAlignment="1">
      <alignment vertical="center" wrapText="1"/>
    </xf>
    <xf numFmtId="3" fontId="89" fillId="0" borderId="14" xfId="0" applyNumberFormat="1" applyFont="1" applyFill="1" applyBorder="1" applyAlignment="1">
      <alignment horizontal="right" vertical="center"/>
    </xf>
    <xf numFmtId="21" fontId="69" fillId="0" borderId="7" xfId="5" applyNumberFormat="1" applyFont="1" applyBorder="1" applyAlignment="1">
      <alignment vertical="center" wrapText="1"/>
    </xf>
    <xf numFmtId="0" fontId="68" fillId="0" borderId="7" xfId="5" applyFont="1" applyBorder="1" applyAlignment="1">
      <alignment vertical="center" wrapText="1"/>
    </xf>
    <xf numFmtId="0" fontId="69" fillId="0" borderId="27" xfId="15" applyFont="1" applyBorder="1" applyAlignment="1">
      <alignment vertical="center" wrapText="1"/>
    </xf>
    <xf numFmtId="166" fontId="69" fillId="0" borderId="5" xfId="16" applyNumberFormat="1" applyFont="1" applyBorder="1" applyAlignment="1">
      <alignment horizontal="left" vertical="center"/>
    </xf>
    <xf numFmtId="166" fontId="69" fillId="0" borderId="14" xfId="14" applyNumberFormat="1" applyFont="1" applyBorder="1" applyAlignment="1">
      <alignment horizontal="left" vertical="center"/>
    </xf>
    <xf numFmtId="2" fontId="68" fillId="0" borderId="14" xfId="0" applyNumberFormat="1" applyFont="1" applyFill="1" applyBorder="1" applyAlignment="1">
      <alignment horizontal="right" vertical="center"/>
    </xf>
    <xf numFmtId="2" fontId="69" fillId="0" borderId="5" xfId="0" applyNumberFormat="1" applyFont="1" applyFill="1" applyBorder="1" applyAlignment="1">
      <alignment horizontal="right" vertical="center"/>
    </xf>
    <xf numFmtId="166" fontId="69" fillId="0" borderId="1" xfId="16" applyNumberFormat="1" applyFont="1" applyFill="1" applyBorder="1" applyAlignment="1">
      <alignment horizontal="left" vertical="center"/>
    </xf>
    <xf numFmtId="166" fontId="69" fillId="0" borderId="1" xfId="16" applyNumberFormat="1" applyFont="1" applyFill="1" applyBorder="1" applyAlignment="1">
      <alignment vertical="center"/>
    </xf>
    <xf numFmtId="49" fontId="69" fillId="0" borderId="7" xfId="13" applyNumberFormat="1" applyFont="1" applyBorder="1" applyAlignment="1">
      <alignment horizontal="left" vertical="center" wrapText="1"/>
    </xf>
    <xf numFmtId="166" fontId="69" fillId="0" borderId="1" xfId="14" applyNumberFormat="1" applyFont="1" applyBorder="1" applyAlignment="1">
      <alignment horizontal="left" vertical="center"/>
    </xf>
    <xf numFmtId="166" fontId="69" fillId="0" borderId="28" xfId="14" applyNumberFormat="1" applyFont="1" applyBorder="1" applyAlignment="1">
      <alignment vertical="center"/>
    </xf>
    <xf numFmtId="0" fontId="69" fillId="0" borderId="7" xfId="13" applyFont="1" applyBorder="1" applyAlignment="1">
      <alignment vertical="center" wrapText="1"/>
    </xf>
    <xf numFmtId="49" fontId="68" fillId="0" borderId="7" xfId="13" applyNumberFormat="1" applyFont="1" applyBorder="1" applyAlignment="1">
      <alignment horizontal="left" vertical="center" wrapText="1"/>
    </xf>
    <xf numFmtId="166" fontId="69" fillId="0" borderId="51" xfId="14" applyNumberFormat="1" applyFont="1" applyBorder="1" applyAlignment="1">
      <alignment vertical="center"/>
    </xf>
    <xf numFmtId="0" fontId="68" fillId="0" borderId="79" xfId="13" applyFont="1" applyBorder="1" applyAlignment="1">
      <alignment horizontal="left" vertical="center" wrapText="1"/>
    </xf>
    <xf numFmtId="41" fontId="0" fillId="0" borderId="7" xfId="14" applyFont="1" applyBorder="1" applyAlignment="1">
      <alignment horizontal="left" vertical="center"/>
    </xf>
    <xf numFmtId="0" fontId="69" fillId="0" borderId="51" xfId="15" applyFont="1" applyBorder="1" applyAlignment="1">
      <alignment vertical="center" wrapText="1"/>
    </xf>
    <xf numFmtId="0" fontId="69" fillId="0" borderId="52" xfId="15" applyFont="1" applyBorder="1" applyAlignment="1">
      <alignment vertical="center" wrapText="1"/>
    </xf>
    <xf numFmtId="166" fontId="69" fillId="0" borderId="14" xfId="14" applyNumberFormat="1" applyFont="1" applyBorder="1" applyAlignment="1">
      <alignment vertical="center"/>
    </xf>
    <xf numFmtId="0" fontId="69" fillId="0" borderId="7" xfId="15" applyFont="1" applyBorder="1" applyAlignment="1">
      <alignment vertical="center" wrapText="1"/>
    </xf>
    <xf numFmtId="0" fontId="69" fillId="0" borderId="51" xfId="13" applyFont="1" applyBorder="1" applyAlignment="1">
      <alignment vertical="center" wrapText="1"/>
    </xf>
    <xf numFmtId="43" fontId="69" fillId="0" borderId="51" xfId="16" applyNumberFormat="1" applyFont="1" applyBorder="1" applyAlignment="1">
      <alignment horizontal="left" vertical="center"/>
    </xf>
    <xf numFmtId="43" fontId="69" fillId="0" borderId="51" xfId="16" applyNumberFormat="1" applyFont="1" applyBorder="1" applyAlignment="1">
      <alignment vertical="center"/>
    </xf>
    <xf numFmtId="0" fontId="68" fillId="0" borderId="7" xfId="13" applyFont="1" applyBorder="1" applyAlignment="1">
      <alignment vertical="center" wrapText="1"/>
    </xf>
    <xf numFmtId="166" fontId="69" fillId="0" borderId="1" xfId="16" applyNumberFormat="1" applyFont="1" applyBorder="1" applyAlignment="1">
      <alignment horizontal="left" vertical="center"/>
    </xf>
    <xf numFmtId="166" fontId="69" fillId="0" borderId="1" xfId="16" applyNumberFormat="1" applyFont="1" applyBorder="1" applyAlignment="1">
      <alignment vertical="center"/>
    </xf>
    <xf numFmtId="49" fontId="68" fillId="0" borderId="53" xfId="13" applyNumberFormat="1" applyFont="1" applyBorder="1" applyAlignment="1">
      <alignment horizontal="left" vertical="center" wrapText="1"/>
    </xf>
    <xf numFmtId="166" fontId="68" fillId="0" borderId="53" xfId="13" applyNumberFormat="1" applyFont="1" applyBorder="1" applyAlignment="1">
      <alignment vertical="center" wrapText="1"/>
    </xf>
    <xf numFmtId="0" fontId="68" fillId="0" borderId="0" xfId="13" applyFont="1" applyBorder="1" applyAlignment="1">
      <alignment vertical="center" wrapText="1"/>
    </xf>
    <xf numFmtId="166" fontId="0" fillId="0" borderId="57" xfId="2" applyNumberFormat="1" applyFont="1" applyFill="1" applyBorder="1" applyAlignment="1">
      <alignment horizontal="right" vertical="center"/>
    </xf>
    <xf numFmtId="166" fontId="41" fillId="0" borderId="0" xfId="2" applyNumberFormat="1" applyFont="1"/>
    <xf numFmtId="166" fontId="100" fillId="0" borderId="0" xfId="2" applyNumberFormat="1" applyFont="1"/>
    <xf numFmtId="166" fontId="101" fillId="0" borderId="0" xfId="2" applyNumberFormat="1" applyFont="1"/>
    <xf numFmtId="166" fontId="98" fillId="0" borderId="0" xfId="2" applyNumberFormat="1" applyFont="1"/>
    <xf numFmtId="166" fontId="31" fillId="0" borderId="0" xfId="2" applyNumberFormat="1" applyFont="1" applyFill="1"/>
    <xf numFmtId="166" fontId="123" fillId="0" borderId="0" xfId="2" applyNumberFormat="1" applyFont="1"/>
    <xf numFmtId="166" fontId="102" fillId="0" borderId="0" xfId="2" applyNumberFormat="1" applyFont="1"/>
    <xf numFmtId="166" fontId="68" fillId="0" borderId="0" xfId="2" applyNumberFormat="1" applyFont="1"/>
    <xf numFmtId="166" fontId="102" fillId="0" borderId="7" xfId="2" applyNumberFormat="1" applyFont="1" applyFill="1" applyBorder="1" applyAlignment="1">
      <alignment horizontal="left" vertical="center" indent="1"/>
    </xf>
    <xf numFmtId="166" fontId="102" fillId="0" borderId="61" xfId="2" applyNumberFormat="1" applyFont="1" applyBorder="1" applyAlignment="1">
      <alignment horizontal="left" vertical="center" indent="1"/>
    </xf>
    <xf numFmtId="166" fontId="102" fillId="13" borderId="49" xfId="2" applyNumberFormat="1" applyFont="1" applyFill="1" applyBorder="1" applyAlignment="1">
      <alignment horizontal="right" vertical="center"/>
    </xf>
    <xf numFmtId="166" fontId="55" fillId="0" borderId="0" xfId="2" applyNumberFormat="1" applyFont="1"/>
    <xf numFmtId="166" fontId="26" fillId="0" borderId="0" xfId="2" applyNumberFormat="1" applyFont="1"/>
    <xf numFmtId="166" fontId="91" fillId="0" borderId="0" xfId="2" applyNumberFormat="1" applyFont="1"/>
    <xf numFmtId="166" fontId="102" fillId="10" borderId="59" xfId="2" applyNumberFormat="1" applyFont="1" applyFill="1" applyBorder="1" applyAlignment="1">
      <alignment horizontal="right" vertical="center"/>
    </xf>
    <xf numFmtId="166" fontId="98" fillId="10" borderId="59" xfId="2" applyNumberFormat="1" applyFont="1" applyFill="1" applyBorder="1" applyAlignment="1">
      <alignment horizontal="right" vertical="center" wrapText="1"/>
    </xf>
    <xf numFmtId="166" fontId="102" fillId="10" borderId="59" xfId="2" applyNumberFormat="1" applyFont="1" applyFill="1" applyBorder="1" applyAlignment="1">
      <alignment horizontal="center" vertical="center" wrapText="1"/>
    </xf>
    <xf numFmtId="166" fontId="98" fillId="10" borderId="59" xfId="2" applyNumberFormat="1" applyFont="1" applyFill="1" applyBorder="1" applyAlignment="1">
      <alignment horizontal="center" vertical="center" wrapText="1"/>
    </xf>
    <xf numFmtId="166" fontId="0" fillId="10" borderId="59" xfId="2" applyNumberFormat="1" applyFont="1" applyFill="1" applyBorder="1" applyAlignment="1">
      <alignment horizontal="right" vertical="center" wrapText="1"/>
    </xf>
    <xf numFmtId="166" fontId="0" fillId="10" borderId="59" xfId="2" applyNumberFormat="1" applyFont="1" applyFill="1" applyBorder="1" applyAlignment="1">
      <alignment horizontal="center" vertical="center" wrapText="1"/>
    </xf>
    <xf numFmtId="166" fontId="0" fillId="0" borderId="0" xfId="2" applyNumberFormat="1" applyFont="1" applyAlignment="1">
      <alignment wrapText="1"/>
    </xf>
    <xf numFmtId="166" fontId="68" fillId="10" borderId="59" xfId="2" applyNumberFormat="1" applyFont="1" applyFill="1" applyBorder="1" applyAlignment="1">
      <alignment horizontal="right" vertical="center"/>
    </xf>
    <xf numFmtId="166" fontId="66" fillId="10" borderId="59" xfId="2" applyNumberFormat="1" applyFont="1" applyFill="1" applyBorder="1" applyAlignment="1">
      <alignment horizontal="right" vertical="center"/>
    </xf>
    <xf numFmtId="166" fontId="0" fillId="0" borderId="43" xfId="2" applyNumberFormat="1" applyFont="1" applyBorder="1"/>
    <xf numFmtId="166" fontId="62" fillId="3" borderId="53" xfId="2" applyNumberFormat="1" applyFont="1" applyFill="1" applyBorder="1" applyAlignment="1">
      <alignment horizontal="left" vertical="center" indent="1"/>
    </xf>
    <xf numFmtId="166" fontId="88" fillId="0" borderId="7" xfId="2" applyNumberFormat="1" applyFont="1" applyBorder="1" applyAlignment="1">
      <alignment horizontal="right" vertical="center"/>
    </xf>
    <xf numFmtId="166" fontId="63" fillId="0" borderId="0" xfId="2" applyNumberFormat="1" applyFont="1" applyFill="1" applyBorder="1" applyAlignment="1">
      <alignment vertical="top"/>
    </xf>
    <xf numFmtId="166" fontId="104" fillId="0" borderId="42" xfId="2" applyNumberFormat="1" applyFont="1" applyBorder="1" applyAlignment="1">
      <alignment horizontal="left" vertical="center" indent="1"/>
    </xf>
    <xf numFmtId="166" fontId="104" fillId="0" borderId="0" xfId="2" applyNumberFormat="1" applyFont="1" applyBorder="1" applyAlignment="1">
      <alignment horizontal="left" vertical="center" indent="1"/>
    </xf>
    <xf numFmtId="166" fontId="104" fillId="0" borderId="0" xfId="2" applyNumberFormat="1" applyFont="1" applyBorder="1" applyAlignment="1">
      <alignment horizontal="left" vertical="center" wrapText="1" indent="1"/>
    </xf>
    <xf numFmtId="165" fontId="76" fillId="0" borderId="7" xfId="0" applyNumberFormat="1" applyFont="1" applyFill="1" applyBorder="1" applyAlignment="1">
      <alignment vertical="center"/>
    </xf>
    <xf numFmtId="0" fontId="85" fillId="0" borderId="5" xfId="0" applyFont="1" applyBorder="1" applyAlignment="1">
      <alignment horizontal="left" vertical="center" indent="1"/>
    </xf>
    <xf numFmtId="0" fontId="85" fillId="0" borderId="14" xfId="0" applyFont="1" applyBorder="1" applyAlignment="1">
      <alignment horizontal="left" vertical="center" indent="1"/>
    </xf>
    <xf numFmtId="0" fontId="85" fillId="0" borderId="7" xfId="0" applyFont="1" applyBorder="1" applyAlignment="1">
      <alignment horizontal="left" vertical="center" indent="1"/>
    </xf>
    <xf numFmtId="166" fontId="70" fillId="11" borderId="53" xfId="2" applyNumberFormat="1" applyFont="1" applyFill="1" applyBorder="1" applyAlignment="1">
      <alignment horizontal="right"/>
    </xf>
    <xf numFmtId="0" fontId="0" fillId="0" borderId="7" xfId="0" applyFont="1" applyFill="1" applyBorder="1"/>
    <xf numFmtId="166" fontId="69" fillId="0" borderId="7" xfId="2" applyNumberFormat="1" applyFont="1" applyFill="1" applyBorder="1" applyAlignment="1">
      <alignment horizontal="left" vertical="center" indent="1"/>
    </xf>
    <xf numFmtId="4" fontId="68" fillId="0" borderId="57" xfId="2" applyNumberFormat="1" applyFont="1" applyFill="1" applyBorder="1" applyAlignment="1">
      <alignment horizontal="right" vertical="center"/>
    </xf>
    <xf numFmtId="169" fontId="68" fillId="10" borderId="70" xfId="0" applyNumberFormat="1" applyFont="1" applyFill="1" applyBorder="1" applyAlignment="1">
      <alignment vertical="center"/>
    </xf>
    <xf numFmtId="4" fontId="76" fillId="0" borderId="57" xfId="0" applyNumberFormat="1" applyFont="1" applyFill="1" applyBorder="1" applyAlignment="1">
      <alignment horizontal="right" vertical="center"/>
    </xf>
    <xf numFmtId="2" fontId="68" fillId="2" borderId="53" xfId="0" applyNumberFormat="1" applyFont="1" applyFill="1" applyBorder="1" applyAlignment="1">
      <alignment horizontal="right" vertical="center"/>
    </xf>
    <xf numFmtId="4" fontId="102" fillId="2" borderId="53" xfId="0" applyNumberFormat="1" applyFont="1" applyFill="1" applyBorder="1" applyAlignment="1">
      <alignment vertical="center"/>
    </xf>
    <xf numFmtId="4" fontId="68" fillId="2" borderId="53" xfId="0" applyNumberFormat="1" applyFont="1" applyFill="1" applyBorder="1" applyAlignment="1">
      <alignment vertical="center"/>
    </xf>
    <xf numFmtId="166" fontId="76" fillId="3" borderId="53" xfId="2" applyNumberFormat="1" applyFont="1" applyFill="1" applyBorder="1" applyAlignment="1">
      <alignment vertical="center"/>
    </xf>
    <xf numFmtId="166" fontId="69" fillId="0" borderId="68" xfId="0" applyNumberFormat="1" applyFont="1" applyBorder="1" applyAlignment="1">
      <alignment horizontal="right" vertical="center"/>
    </xf>
    <xf numFmtId="4" fontId="69" fillId="0" borderId="68" xfId="2" applyNumberFormat="1" applyFont="1" applyFill="1" applyBorder="1" applyAlignment="1">
      <alignment horizontal="right" vertical="center"/>
    </xf>
    <xf numFmtId="166" fontId="72" fillId="0" borderId="68" xfId="2" applyNumberFormat="1" applyFont="1" applyBorder="1" applyAlignment="1">
      <alignment vertical="center"/>
    </xf>
    <xf numFmtId="169" fontId="69" fillId="10" borderId="68" xfId="0" applyNumberFormat="1" applyFont="1" applyFill="1" applyBorder="1" applyAlignment="1">
      <alignment horizontal="right" vertical="center"/>
    </xf>
    <xf numFmtId="166" fontId="69" fillId="0" borderId="68" xfId="2" applyNumberFormat="1" applyFont="1" applyBorder="1" applyAlignment="1">
      <alignment horizontal="right" vertical="center"/>
    </xf>
    <xf numFmtId="4" fontId="97" fillId="0" borderId="0" xfId="0" applyNumberFormat="1" applyFont="1" applyAlignment="1">
      <alignment horizontal="right"/>
    </xf>
    <xf numFmtId="4" fontId="97" fillId="0" borderId="0" xfId="0" applyNumberFormat="1" applyFont="1" applyAlignment="1">
      <alignment horizontal="right" vertical="top"/>
    </xf>
    <xf numFmtId="0" fontId="97" fillId="0" borderId="0" xfId="0" applyFont="1" applyAlignment="1">
      <alignment horizontal="left" vertical="center" wrapText="1"/>
    </xf>
    <xf numFmtId="4" fontId="97" fillId="0" borderId="0" xfId="2" applyNumberFormat="1" applyFont="1" applyAlignment="1">
      <alignment horizontal="right"/>
    </xf>
    <xf numFmtId="166" fontId="131" fillId="0" borderId="1" xfId="2" applyNumberFormat="1" applyFont="1" applyBorder="1" applyAlignment="1">
      <alignment horizontal="center" vertical="center" wrapText="1"/>
    </xf>
    <xf numFmtId="0" fontId="97" fillId="0" borderId="17" xfId="0" quotePrefix="1" applyFont="1" applyBorder="1" applyAlignment="1">
      <alignment horizontal="center" vertical="center" wrapText="1"/>
    </xf>
    <xf numFmtId="49" fontId="97" fillId="0" borderId="17" xfId="2" quotePrefix="1" applyNumberFormat="1" applyFont="1" applyBorder="1" applyAlignment="1">
      <alignment horizontal="center" vertical="center"/>
    </xf>
    <xf numFmtId="0" fontId="131" fillId="5" borderId="7" xfId="0" applyFont="1" applyFill="1" applyBorder="1" applyAlignment="1">
      <alignment horizontal="left" vertical="center" wrapText="1"/>
    </xf>
    <xf numFmtId="4" fontId="131" fillId="9" borderId="7" xfId="0" applyNumberFormat="1" applyFont="1" applyFill="1" applyBorder="1" applyAlignment="1">
      <alignment horizontal="right" vertical="center" indent="1"/>
    </xf>
    <xf numFmtId="0" fontId="131" fillId="0" borderId="53" xfId="0" applyFont="1" applyBorder="1" applyAlignment="1">
      <alignment horizontal="left" vertical="center" wrapText="1"/>
    </xf>
    <xf numFmtId="4" fontId="131" fillId="0" borderId="7" xfId="0" applyNumberFormat="1" applyFont="1" applyBorder="1" applyAlignment="1">
      <alignment horizontal="right" vertical="center" indent="1"/>
    </xf>
    <xf numFmtId="0" fontId="131" fillId="0" borderId="1" xfId="0" applyFont="1" applyBorder="1" applyAlignment="1">
      <alignment horizontal="left" vertical="center" wrapText="1"/>
    </xf>
    <xf numFmtId="4" fontId="131" fillId="0" borderId="7" xfId="0" applyNumberFormat="1" applyFont="1" applyBorder="1" applyAlignment="1">
      <alignment horizontal="right" vertical="center"/>
    </xf>
    <xf numFmtId="0" fontId="130" fillId="0" borderId="7" xfId="0" applyFont="1" applyBorder="1" applyAlignment="1">
      <alignment horizontal="left" vertical="center" wrapText="1"/>
    </xf>
    <xf numFmtId="4" fontId="130" fillId="0" borderId="7" xfId="0" applyNumberFormat="1" applyFont="1" applyBorder="1" applyAlignment="1">
      <alignment horizontal="right" vertical="center"/>
    </xf>
    <xf numFmtId="0" fontId="131" fillId="0" borderId="7" xfId="0" applyFont="1" applyBorder="1" applyAlignment="1">
      <alignment horizontal="left" vertical="center" wrapText="1"/>
    </xf>
    <xf numFmtId="0" fontId="130" fillId="0" borderId="1" xfId="0" applyFont="1" applyBorder="1" applyAlignment="1">
      <alignment horizontal="left" vertical="center" wrapText="1"/>
    </xf>
    <xf numFmtId="166" fontId="130" fillId="0" borderId="7" xfId="2" applyNumberFormat="1" applyFont="1" applyFill="1" applyBorder="1" applyAlignment="1">
      <alignment horizontal="right" vertical="center"/>
    </xf>
    <xf numFmtId="4" fontId="97" fillId="0" borderId="7" xfId="2" applyNumberFormat="1" applyFont="1" applyBorder="1" applyAlignment="1">
      <alignment horizontal="right" vertical="center"/>
    </xf>
    <xf numFmtId="0" fontId="131" fillId="0" borderId="14" xfId="0" applyFont="1" applyBorder="1" applyAlignment="1">
      <alignment horizontal="left" vertical="center" wrapText="1"/>
    </xf>
    <xf numFmtId="166" fontId="97" fillId="0" borderId="14" xfId="2" applyNumberFormat="1" applyFont="1" applyBorder="1" applyAlignment="1">
      <alignment vertical="center"/>
    </xf>
    <xf numFmtId="0" fontId="131" fillId="8" borderId="53" xfId="0" applyFont="1" applyFill="1" applyBorder="1" applyAlignment="1">
      <alignment horizontal="left" vertical="center" wrapText="1"/>
    </xf>
    <xf numFmtId="166" fontId="131" fillId="8" borderId="53" xfId="2" applyNumberFormat="1" applyFont="1" applyFill="1" applyBorder="1" applyAlignment="1">
      <alignment vertical="center"/>
    </xf>
    <xf numFmtId="0" fontId="131" fillId="0" borderId="1" xfId="0" applyFont="1" applyFill="1" applyBorder="1" applyAlignment="1">
      <alignment horizontal="left" vertical="center" wrapText="1"/>
    </xf>
    <xf numFmtId="4" fontId="131" fillId="0" borderId="51" xfId="0" applyNumberFormat="1" applyFont="1" applyFill="1" applyBorder="1" applyAlignment="1">
      <alignment vertical="center"/>
    </xf>
    <xf numFmtId="166" fontId="97" fillId="0" borderId="1" xfId="2" applyNumberFormat="1" applyFont="1" applyBorder="1" applyAlignment="1">
      <alignment vertical="center"/>
    </xf>
    <xf numFmtId="0" fontId="131" fillId="0" borderId="55" xfId="0" applyFont="1" applyFill="1" applyBorder="1" applyAlignment="1">
      <alignment horizontal="left" vertical="center" wrapText="1"/>
    </xf>
    <xf numFmtId="166" fontId="131" fillId="0" borderId="53" xfId="2" applyNumberFormat="1" applyFont="1" applyFill="1" applyBorder="1" applyAlignment="1">
      <alignment vertical="center"/>
    </xf>
    <xf numFmtId="49" fontId="131" fillId="0" borderId="13" xfId="5" applyNumberFormat="1" applyFont="1" applyBorder="1" applyAlignment="1">
      <alignment horizontal="left" vertical="center" wrapText="1"/>
    </xf>
    <xf numFmtId="166" fontId="131" fillId="0" borderId="5" xfId="2" applyNumberFormat="1" applyFont="1" applyBorder="1" applyAlignment="1">
      <alignment vertical="center" wrapText="1"/>
    </xf>
    <xf numFmtId="166" fontId="131" fillId="0" borderId="1" xfId="2" applyNumberFormat="1" applyFont="1" applyFill="1" applyBorder="1" applyAlignment="1">
      <alignment horizontal="right" vertical="center"/>
    </xf>
    <xf numFmtId="0" fontId="130" fillId="0" borderId="13" xfId="5" applyFont="1" applyBorder="1" applyAlignment="1">
      <alignment vertical="center" wrapText="1"/>
    </xf>
    <xf numFmtId="166" fontId="130" fillId="0" borderId="7" xfId="2" applyNumberFormat="1" applyFont="1" applyBorder="1" applyAlignment="1">
      <alignment vertical="center"/>
    </xf>
    <xf numFmtId="166" fontId="130" fillId="0" borderId="1" xfId="2" applyNumberFormat="1" applyFont="1" applyFill="1" applyBorder="1" applyAlignment="1">
      <alignment horizontal="right" vertical="center"/>
    </xf>
    <xf numFmtId="0" fontId="130" fillId="0" borderId="7" xfId="0" applyFont="1" applyFill="1" applyBorder="1" applyAlignment="1">
      <alignment horizontal="left" vertical="center" wrapText="1"/>
    </xf>
    <xf numFmtId="166" fontId="130" fillId="0" borderId="7" xfId="2" applyNumberFormat="1" applyFont="1" applyFill="1" applyBorder="1" applyAlignment="1">
      <alignment vertical="center"/>
    </xf>
    <xf numFmtId="49" fontId="131" fillId="0" borderId="43" xfId="13" applyNumberFormat="1" applyFont="1" applyBorder="1" applyAlignment="1">
      <alignment horizontal="left" vertical="center" wrapText="1"/>
    </xf>
    <xf numFmtId="166" fontId="131" fillId="0" borderId="7" xfId="2" applyNumberFormat="1" applyFont="1" applyBorder="1" applyAlignment="1">
      <alignment vertical="center" wrapText="1"/>
    </xf>
    <xf numFmtId="166" fontId="131" fillId="0" borderId="7" xfId="2" applyNumberFormat="1" applyFont="1" applyFill="1" applyBorder="1" applyAlignment="1">
      <alignment horizontal="right" vertical="center"/>
    </xf>
    <xf numFmtId="0" fontId="130" fillId="0" borderId="28" xfId="13" applyFont="1" applyBorder="1" applyAlignment="1">
      <alignment vertical="center" wrapText="1"/>
    </xf>
    <xf numFmtId="0" fontId="130" fillId="0" borderId="13" xfId="0" applyFont="1" applyFill="1" applyBorder="1" applyAlignment="1">
      <alignment horizontal="left" vertical="center" wrapText="1"/>
    </xf>
    <xf numFmtId="0" fontId="131" fillId="0" borderId="13" xfId="5" applyFont="1" applyBorder="1" applyAlignment="1">
      <alignment vertical="center" wrapText="1"/>
    </xf>
    <xf numFmtId="49" fontId="130" fillId="0" borderId="28" xfId="13" applyNumberFormat="1" applyFont="1" applyBorder="1" applyAlignment="1">
      <alignment horizontal="left" vertical="center" wrapText="1"/>
    </xf>
    <xf numFmtId="49" fontId="130" fillId="0" borderId="0" xfId="13" applyNumberFormat="1" applyFont="1" applyBorder="1" applyAlignment="1">
      <alignment horizontal="left" vertical="center" wrapText="1"/>
    </xf>
    <xf numFmtId="166" fontId="130" fillId="0" borderId="1" xfId="2" applyNumberFormat="1" applyFont="1" applyFill="1" applyBorder="1" applyAlignment="1">
      <alignment vertical="center"/>
    </xf>
    <xf numFmtId="49" fontId="130" fillId="0" borderId="7" xfId="13" applyNumberFormat="1" applyFont="1" applyBorder="1" applyAlignment="1">
      <alignment horizontal="left" vertical="center" wrapText="1"/>
    </xf>
    <xf numFmtId="0" fontId="130" fillId="0" borderId="28" xfId="15" applyFont="1" applyBorder="1" applyAlignment="1">
      <alignment vertical="center" wrapText="1"/>
    </xf>
    <xf numFmtId="166" fontId="130" fillId="0" borderId="7" xfId="16" applyNumberFormat="1" applyFont="1" applyBorder="1" applyAlignment="1">
      <alignment horizontal="left" vertical="center"/>
    </xf>
    <xf numFmtId="0" fontId="130" fillId="0" borderId="18" xfId="5" applyFont="1" applyBorder="1" applyAlignment="1">
      <alignment vertical="center" wrapText="1"/>
    </xf>
    <xf numFmtId="166" fontId="130" fillId="0" borderId="14" xfId="2" applyNumberFormat="1" applyFont="1" applyBorder="1" applyAlignment="1">
      <alignment horizontal="left" vertical="center"/>
    </xf>
    <xf numFmtId="0" fontId="131" fillId="0" borderId="53" xfId="0" applyFont="1" applyFill="1" applyBorder="1" applyAlignment="1">
      <alignment horizontal="left" vertical="center" wrapText="1"/>
    </xf>
    <xf numFmtId="49" fontId="131" fillId="0" borderId="101" xfId="5" applyNumberFormat="1" applyFont="1" applyBorder="1" applyAlignment="1">
      <alignment horizontal="left" vertical="center" wrapText="1"/>
    </xf>
    <xf numFmtId="166" fontId="131" fillId="0" borderId="68" xfId="2" applyNumberFormat="1" applyFont="1" applyBorder="1" applyAlignment="1">
      <alignment vertical="center" wrapText="1"/>
    </xf>
    <xf numFmtId="166" fontId="131" fillId="0" borderId="7" xfId="2" applyNumberFormat="1" applyFont="1" applyFill="1" applyBorder="1" applyAlignment="1">
      <alignment vertical="center"/>
    </xf>
    <xf numFmtId="0" fontId="130" fillId="0" borderId="7" xfId="5" applyFont="1" applyBorder="1" applyAlignment="1">
      <alignment vertical="center" wrapText="1"/>
    </xf>
    <xf numFmtId="166" fontId="131" fillId="0" borderId="53" xfId="2" applyNumberFormat="1" applyFont="1" applyBorder="1" applyAlignment="1">
      <alignment horizontal="left" vertical="center"/>
    </xf>
    <xf numFmtId="0" fontId="131" fillId="0" borderId="43" xfId="13" applyFont="1" applyBorder="1" applyAlignment="1">
      <alignment horizontal="left" vertical="center" wrapText="1"/>
    </xf>
    <xf numFmtId="166" fontId="131" fillId="0" borderId="1" xfId="2" applyNumberFormat="1" applyFont="1" applyBorder="1" applyAlignment="1">
      <alignment horizontal="left" vertical="center"/>
    </xf>
    <xf numFmtId="0" fontId="97" fillId="0" borderId="7" xfId="0" applyFont="1" applyBorder="1" applyAlignment="1">
      <alignment horizontal="left" vertical="center" wrapText="1"/>
    </xf>
    <xf numFmtId="0" fontId="97" fillId="0" borderId="14" xfId="0" applyFont="1" applyBorder="1" applyAlignment="1">
      <alignment horizontal="left" vertical="center" wrapText="1"/>
    </xf>
    <xf numFmtId="0" fontId="132" fillId="0" borderId="5" xfId="0" applyFont="1" applyBorder="1" applyAlignment="1">
      <alignment horizontal="left" vertical="center" wrapText="1"/>
    </xf>
    <xf numFmtId="0" fontId="130" fillId="0" borderId="14" xfId="0" applyFont="1" applyBorder="1" applyAlignment="1">
      <alignment horizontal="left" vertical="center" wrapText="1"/>
    </xf>
    <xf numFmtId="4" fontId="97" fillId="0" borderId="14" xfId="2" applyNumberFormat="1" applyFont="1" applyBorder="1" applyAlignment="1">
      <alignment horizontal="right" vertical="center"/>
    </xf>
    <xf numFmtId="0" fontId="130" fillId="0" borderId="14" xfId="0" applyFont="1" applyFill="1" applyBorder="1" applyAlignment="1">
      <alignment horizontal="left" vertical="center" wrapText="1"/>
    </xf>
    <xf numFmtId="4" fontId="130" fillId="0" borderId="7" xfId="2" applyNumberFormat="1" applyFont="1" applyFill="1" applyBorder="1" applyAlignment="1">
      <alignment horizontal="right" vertical="center" indent="1"/>
    </xf>
    <xf numFmtId="166" fontId="130" fillId="0" borderId="7" xfId="0" applyNumberFormat="1" applyFont="1" applyFill="1" applyBorder="1" applyAlignment="1">
      <alignment horizontal="right" vertical="center"/>
    </xf>
    <xf numFmtId="0" fontId="97" fillId="0" borderId="1" xfId="0" applyFont="1" applyFill="1" applyBorder="1" applyAlignment="1">
      <alignment horizontal="left" vertical="center" wrapText="1"/>
    </xf>
    <xf numFmtId="166" fontId="130" fillId="0" borderId="28" xfId="2" applyNumberFormat="1" applyFont="1" applyFill="1" applyBorder="1" applyAlignment="1">
      <alignment horizontal="right" vertical="center"/>
    </xf>
    <xf numFmtId="4" fontId="130" fillId="0" borderId="14" xfId="2" applyNumberFormat="1" applyFont="1" applyFill="1" applyBorder="1" applyAlignment="1">
      <alignment horizontal="right" vertical="center"/>
    </xf>
    <xf numFmtId="4" fontId="130" fillId="0" borderId="1" xfId="2" applyNumberFormat="1" applyFont="1" applyFill="1" applyBorder="1" applyAlignment="1">
      <alignment horizontal="right" vertical="center" indent="1"/>
    </xf>
    <xf numFmtId="0" fontId="130" fillId="0" borderId="7" xfId="0" applyFont="1" applyFill="1" applyBorder="1" applyAlignment="1">
      <alignment vertical="center" wrapText="1"/>
    </xf>
    <xf numFmtId="0" fontId="130" fillId="0" borderId="1" xfId="0" applyFont="1" applyFill="1" applyBorder="1" applyAlignment="1">
      <alignment horizontal="left" vertical="center" wrapText="1"/>
    </xf>
    <xf numFmtId="166" fontId="131" fillId="0" borderId="5" xfId="2" applyNumberFormat="1" applyFont="1" applyFill="1" applyBorder="1" applyAlignment="1">
      <alignment vertical="center"/>
    </xf>
    <xf numFmtId="4" fontId="97" fillId="0" borderId="14" xfId="2" applyNumberFormat="1" applyFont="1" applyFill="1" applyBorder="1" applyAlignment="1">
      <alignment horizontal="right" vertical="center"/>
    </xf>
    <xf numFmtId="0" fontId="131" fillId="0" borderId="1" xfId="0" applyFont="1" applyFill="1" applyBorder="1" applyAlignment="1">
      <alignment vertical="center" wrapText="1"/>
    </xf>
    <xf numFmtId="0" fontId="130" fillId="0" borderId="14" xfId="0" applyFont="1" applyFill="1" applyBorder="1" applyAlignment="1">
      <alignment vertical="center" wrapText="1"/>
    </xf>
    <xf numFmtId="0" fontId="130" fillId="0" borderId="74" xfId="0" applyFont="1" applyFill="1" applyBorder="1" applyAlignment="1">
      <alignment horizontal="left" vertical="center" wrapText="1"/>
    </xf>
    <xf numFmtId="0" fontId="130" fillId="0" borderId="18" xfId="0" applyFont="1" applyFill="1" applyBorder="1" applyAlignment="1">
      <alignment horizontal="left" vertical="center" wrapText="1"/>
    </xf>
    <xf numFmtId="4" fontId="97" fillId="0" borderId="1" xfId="2" applyNumberFormat="1" applyFont="1" applyFill="1" applyBorder="1" applyAlignment="1">
      <alignment horizontal="right" vertical="center"/>
    </xf>
    <xf numFmtId="4" fontId="131" fillId="8" borderId="53" xfId="0" applyNumberFormat="1" applyFont="1" applyFill="1" applyBorder="1" applyAlignment="1">
      <alignment vertical="center"/>
    </xf>
    <xf numFmtId="4" fontId="131" fillId="0" borderId="53" xfId="0" applyNumberFormat="1" applyFont="1" applyFill="1" applyBorder="1" applyAlignment="1">
      <alignment horizontal="right" vertical="center"/>
    </xf>
    <xf numFmtId="4" fontId="131" fillId="0" borderId="53" xfId="2" applyNumberFormat="1" applyFont="1" applyFill="1" applyBorder="1" applyAlignment="1">
      <alignment horizontal="right" vertical="center"/>
    </xf>
    <xf numFmtId="0" fontId="132" fillId="0" borderId="66" xfId="0" applyFont="1" applyBorder="1" applyAlignment="1">
      <alignment horizontal="left" vertical="center" wrapText="1"/>
    </xf>
    <xf numFmtId="166" fontId="131" fillId="0" borderId="99" xfId="0" applyNumberFormat="1" applyFont="1" applyBorder="1" applyAlignment="1">
      <alignment horizontal="right" vertical="center"/>
    </xf>
    <xf numFmtId="4" fontId="131" fillId="0" borderId="5" xfId="2" applyNumberFormat="1" applyFont="1" applyFill="1" applyBorder="1" applyAlignment="1">
      <alignment horizontal="right" vertical="center"/>
    </xf>
    <xf numFmtId="0" fontId="130" fillId="0" borderId="7" xfId="0" applyFont="1" applyBorder="1" applyAlignment="1">
      <alignment vertical="center" wrapText="1"/>
    </xf>
    <xf numFmtId="166" fontId="130" fillId="0" borderId="99" xfId="0" applyNumberFormat="1" applyFont="1" applyBorder="1" applyAlignment="1">
      <alignment horizontal="right" vertical="center"/>
    </xf>
    <xf numFmtId="4" fontId="130" fillId="0" borderId="5" xfId="2" applyNumberFormat="1" applyFont="1" applyFill="1" applyBorder="1" applyAlignment="1">
      <alignment horizontal="right" vertical="center"/>
    </xf>
    <xf numFmtId="4" fontId="130" fillId="0" borderId="14" xfId="0" applyNumberFormat="1" applyFont="1" applyFill="1" applyBorder="1" applyAlignment="1">
      <alignment horizontal="right" vertical="center"/>
    </xf>
    <xf numFmtId="0" fontId="131" fillId="0" borderId="7" xfId="0" applyFont="1" applyFill="1" applyBorder="1" applyAlignment="1">
      <alignment horizontal="left" vertical="center" wrapText="1"/>
    </xf>
    <xf numFmtId="4" fontId="131" fillId="0" borderId="28" xfId="0" applyNumberFormat="1" applyFont="1" applyFill="1" applyBorder="1" applyAlignment="1">
      <alignment horizontal="right" vertical="center"/>
    </xf>
    <xf numFmtId="166" fontId="131" fillId="0" borderId="7" xfId="0" applyNumberFormat="1" applyFont="1" applyFill="1" applyBorder="1" applyAlignment="1">
      <alignment horizontal="right" vertical="center"/>
    </xf>
    <xf numFmtId="0" fontId="130" fillId="0" borderId="13" xfId="0" applyFont="1" applyBorder="1" applyAlignment="1">
      <alignment vertical="center" wrapText="1"/>
    </xf>
    <xf numFmtId="166" fontId="130" fillId="0" borderId="7" xfId="0" applyNumberFormat="1" applyFont="1" applyBorder="1" applyAlignment="1">
      <alignment horizontal="right" vertical="center"/>
    </xf>
    <xf numFmtId="0" fontId="97" fillId="0" borderId="7" xfId="0" applyFont="1" applyFill="1" applyBorder="1" applyAlignment="1">
      <alignment horizontal="left" vertical="center" wrapText="1"/>
    </xf>
    <xf numFmtId="166" fontId="97" fillId="0" borderId="7" xfId="0" applyNumberFormat="1" applyFont="1" applyFill="1" applyBorder="1" applyAlignment="1">
      <alignment horizontal="right" vertical="center"/>
    </xf>
    <xf numFmtId="0" fontId="131" fillId="0" borderId="7" xfId="0" applyFont="1" applyBorder="1" applyAlignment="1">
      <alignment vertical="center" wrapText="1"/>
    </xf>
    <xf numFmtId="166" fontId="131" fillId="0" borderId="7" xfId="0" applyNumberFormat="1" applyFont="1" applyBorder="1" applyAlignment="1">
      <alignment horizontal="right" vertical="center"/>
    </xf>
    <xf numFmtId="4" fontId="130" fillId="0" borderId="7" xfId="0" applyNumberFormat="1" applyFont="1" applyFill="1" applyBorder="1" applyAlignment="1">
      <alignment horizontal="right" vertical="center"/>
    </xf>
    <xf numFmtId="20" fontId="131" fillId="0" borderId="7" xfId="0" applyNumberFormat="1" applyFont="1" applyFill="1" applyBorder="1" applyAlignment="1">
      <alignment horizontal="left" vertical="center" wrapText="1"/>
    </xf>
    <xf numFmtId="4" fontId="131" fillId="0" borderId="7" xfId="0" applyNumberFormat="1" applyFont="1" applyFill="1" applyBorder="1" applyAlignment="1">
      <alignment horizontal="right" vertical="center"/>
    </xf>
    <xf numFmtId="0" fontId="97" fillId="10" borderId="43" xfId="0" applyFont="1" applyFill="1" applyBorder="1" applyAlignment="1">
      <alignment vertical="center" wrapText="1"/>
    </xf>
    <xf numFmtId="166" fontId="131" fillId="0" borderId="7" xfId="0" applyNumberFormat="1" applyFont="1" applyBorder="1" applyAlignment="1">
      <alignment horizontal="right" vertical="center" wrapText="1"/>
    </xf>
    <xf numFmtId="166" fontId="131" fillId="0" borderId="99" xfId="0" applyNumberFormat="1" applyFont="1" applyBorder="1" applyAlignment="1">
      <alignment horizontal="right" vertical="center" wrapText="1"/>
    </xf>
    <xf numFmtId="0" fontId="97" fillId="0" borderId="7" xfId="0" applyFont="1" applyBorder="1" applyAlignment="1">
      <alignment vertical="center" wrapText="1"/>
    </xf>
    <xf numFmtId="166" fontId="97" fillId="0" borderId="43" xfId="0" applyNumberFormat="1" applyFont="1" applyBorder="1" applyAlignment="1">
      <alignment horizontal="right" vertical="center"/>
    </xf>
    <xf numFmtId="166" fontId="130" fillId="0" borderId="7" xfId="0" applyNumberFormat="1" applyFont="1" applyBorder="1" applyAlignment="1">
      <alignment horizontal="right" vertical="center" wrapText="1"/>
    </xf>
    <xf numFmtId="0" fontId="130" fillId="4" borderId="7" xfId="0" applyFont="1" applyFill="1" applyBorder="1" applyAlignment="1">
      <alignment vertical="center" wrapText="1"/>
    </xf>
    <xf numFmtId="166" fontId="130" fillId="4" borderId="7" xfId="0" applyNumberFormat="1" applyFont="1" applyFill="1" applyBorder="1" applyAlignment="1">
      <alignment horizontal="right" vertical="center"/>
    </xf>
    <xf numFmtId="0" fontId="130" fillId="0" borderId="1" xfId="0" applyFont="1" applyFill="1" applyBorder="1" applyAlignment="1">
      <alignment vertical="center" wrapText="1"/>
    </xf>
    <xf numFmtId="166" fontId="130" fillId="0" borderId="51" xfId="0" applyNumberFormat="1" applyFont="1" applyFill="1" applyBorder="1" applyAlignment="1">
      <alignment horizontal="right" vertical="center"/>
    </xf>
    <xf numFmtId="4" fontId="130" fillId="0" borderId="1" xfId="2" applyNumberFormat="1" applyFont="1" applyFill="1" applyBorder="1" applyAlignment="1">
      <alignment horizontal="right" vertical="center"/>
    </xf>
    <xf numFmtId="4" fontId="131" fillId="0" borderId="51" xfId="0" applyNumberFormat="1" applyFont="1" applyFill="1" applyBorder="1" applyAlignment="1">
      <alignment horizontal="right" vertical="center"/>
    </xf>
    <xf numFmtId="4" fontId="130" fillId="0" borderId="28" xfId="0" applyNumberFormat="1" applyFont="1" applyFill="1" applyBorder="1" applyAlignment="1">
      <alignment horizontal="right" vertical="center"/>
    </xf>
    <xf numFmtId="4" fontId="130" fillId="0" borderId="7" xfId="2" applyNumberFormat="1" applyFont="1" applyFill="1" applyBorder="1" applyAlignment="1">
      <alignment horizontal="right" vertical="center"/>
    </xf>
    <xf numFmtId="0" fontId="131" fillId="7" borderId="53" xfId="0" applyFont="1" applyFill="1" applyBorder="1" applyAlignment="1">
      <alignment horizontal="left" vertical="center" wrapText="1"/>
    </xf>
    <xf numFmtId="0" fontId="131" fillId="0" borderId="5" xfId="0" applyFont="1" applyBorder="1" applyAlignment="1">
      <alignment horizontal="left" vertical="center" wrapText="1"/>
    </xf>
    <xf numFmtId="4" fontId="131" fillId="0" borderId="5" xfId="2" applyNumberFormat="1" applyFont="1" applyBorder="1" applyAlignment="1">
      <alignment horizontal="right" vertical="center"/>
    </xf>
    <xf numFmtId="0" fontId="131" fillId="0" borderId="5" xfId="0" applyFont="1" applyFill="1" applyBorder="1" applyAlignment="1">
      <alignment horizontal="left" vertical="center" wrapText="1"/>
    </xf>
    <xf numFmtId="0" fontId="131" fillId="0" borderId="14" xfId="0" applyFont="1" applyFill="1" applyBorder="1" applyAlignment="1">
      <alignment horizontal="left" vertical="center" wrapText="1"/>
    </xf>
    <xf numFmtId="0" fontId="131" fillId="0" borderId="53" xfId="0" applyFont="1" applyFill="1" applyBorder="1" applyAlignment="1">
      <alignment vertical="center" wrapText="1"/>
    </xf>
    <xf numFmtId="166" fontId="131" fillId="0" borderId="66" xfId="2" applyNumberFormat="1" applyFont="1" applyFill="1" applyBorder="1" applyAlignment="1">
      <alignment vertical="center"/>
    </xf>
    <xf numFmtId="39" fontId="131" fillId="0" borderId="7" xfId="0" applyNumberFormat="1" applyFont="1" applyBorder="1" applyAlignment="1">
      <alignment horizontal="right" vertical="center"/>
    </xf>
    <xf numFmtId="39" fontId="130" fillId="0" borderId="7" xfId="0" applyNumberFormat="1" applyFont="1" applyBorder="1" applyAlignment="1">
      <alignment horizontal="right" vertical="center"/>
    </xf>
    <xf numFmtId="0" fontId="131" fillId="0" borderId="8" xfId="0" applyFont="1" applyBorder="1" applyAlignment="1">
      <alignment horizontal="left" vertical="center" wrapText="1"/>
    </xf>
    <xf numFmtId="39" fontId="131" fillId="0" borderId="68" xfId="0" applyNumberFormat="1" applyFont="1" applyBorder="1" applyAlignment="1">
      <alignment horizontal="right" vertical="center"/>
    </xf>
    <xf numFmtId="0" fontId="131" fillId="0" borderId="13" xfId="0" applyFont="1" applyBorder="1" applyAlignment="1">
      <alignment horizontal="left" vertical="center" wrapText="1"/>
    </xf>
    <xf numFmtId="0" fontId="131" fillId="0" borderId="42" xfId="0" applyFont="1" applyBorder="1" applyAlignment="1">
      <alignment horizontal="left" vertical="center" wrapText="1"/>
    </xf>
    <xf numFmtId="0" fontId="130" fillId="0" borderId="13" xfId="0" applyFont="1" applyBorder="1" applyAlignment="1">
      <alignment horizontal="left" vertical="center" wrapText="1"/>
    </xf>
    <xf numFmtId="4" fontId="130" fillId="0" borderId="5" xfId="0" applyNumberFormat="1" applyFont="1" applyFill="1" applyBorder="1" applyAlignment="1">
      <alignment horizontal="right" vertical="center"/>
    </xf>
    <xf numFmtId="0" fontId="131" fillId="0" borderId="79" xfId="0" applyFont="1" applyBorder="1" applyAlignment="1">
      <alignment horizontal="left" vertical="center" wrapText="1"/>
    </xf>
    <xf numFmtId="0" fontId="131" fillId="0" borderId="43" xfId="0" applyFont="1" applyFill="1" applyBorder="1" applyAlignment="1">
      <alignment horizontal="left" vertical="center" wrapText="1"/>
    </xf>
    <xf numFmtId="0" fontId="130" fillId="0" borderId="28" xfId="5" applyFont="1" applyBorder="1" applyAlignment="1">
      <alignment vertical="center" wrapText="1"/>
    </xf>
    <xf numFmtId="166" fontId="130" fillId="0" borderId="5" xfId="2" applyNumberFormat="1" applyFont="1" applyFill="1" applyBorder="1" applyAlignment="1">
      <alignment vertical="center"/>
    </xf>
    <xf numFmtId="0" fontId="131" fillId="0" borderId="28" xfId="5" applyFont="1" applyBorder="1" applyAlignment="1">
      <alignment vertical="center" wrapText="1"/>
    </xf>
    <xf numFmtId="166" fontId="131" fillId="0" borderId="7" xfId="2" applyNumberFormat="1" applyFont="1" applyBorder="1" applyAlignment="1">
      <alignment vertical="center"/>
    </xf>
    <xf numFmtId="0" fontId="130" fillId="0" borderId="52" xfId="5" applyFont="1" applyBorder="1" applyAlignment="1">
      <alignment vertical="center" wrapText="1"/>
    </xf>
    <xf numFmtId="166" fontId="130" fillId="0" borderId="0" xfId="2" applyNumberFormat="1" applyFont="1" applyBorder="1" applyAlignment="1">
      <alignment vertical="center"/>
    </xf>
    <xf numFmtId="0" fontId="131" fillId="0" borderId="52" xfId="5" applyFont="1" applyBorder="1" applyAlignment="1">
      <alignment vertical="center" wrapText="1"/>
    </xf>
    <xf numFmtId="166" fontId="131" fillId="0" borderId="13" xfId="2" applyNumberFormat="1" applyFont="1" applyBorder="1" applyAlignment="1">
      <alignment vertical="center"/>
    </xf>
    <xf numFmtId="166" fontId="130" fillId="0" borderId="14" xfId="2" applyNumberFormat="1" applyFont="1" applyBorder="1" applyAlignment="1">
      <alignment vertical="center"/>
    </xf>
    <xf numFmtId="4" fontId="131" fillId="0" borderId="27" xfId="0" applyNumberFormat="1" applyFont="1" applyFill="1" applyBorder="1" applyAlignment="1">
      <alignment horizontal="right" vertical="center"/>
    </xf>
    <xf numFmtId="4" fontId="130" fillId="0" borderId="58" xfId="0" applyNumberFormat="1" applyFont="1" applyFill="1" applyBorder="1" applyAlignment="1">
      <alignment horizontal="right" vertical="center"/>
    </xf>
    <xf numFmtId="4" fontId="130" fillId="0" borderId="1" xfId="0" applyNumberFormat="1" applyFont="1" applyBorder="1" applyAlignment="1">
      <alignment horizontal="right" vertical="center"/>
    </xf>
    <xf numFmtId="168" fontId="131" fillId="4" borderId="53" xfId="0" applyNumberFormat="1" applyFont="1" applyFill="1" applyBorder="1" applyAlignment="1">
      <alignment horizontal="left" vertical="center" wrapText="1"/>
    </xf>
    <xf numFmtId="4" fontId="131" fillId="4" borderId="53" xfId="0" applyNumberFormat="1" applyFont="1" applyFill="1" applyBorder="1" applyAlignment="1">
      <alignment horizontal="right" vertical="center"/>
    </xf>
    <xf numFmtId="4" fontId="131" fillId="0" borderId="53" xfId="0" applyNumberFormat="1" applyFont="1" applyBorder="1" applyAlignment="1">
      <alignment horizontal="right" vertical="center"/>
    </xf>
    <xf numFmtId="168" fontId="131" fillId="4" borderId="7" xfId="0" applyNumberFormat="1" applyFont="1" applyFill="1" applyBorder="1" applyAlignment="1">
      <alignment horizontal="left" vertical="center" wrapText="1"/>
    </xf>
    <xf numFmtId="4" fontId="131" fillId="4" borderId="7" xfId="0" applyNumberFormat="1" applyFont="1" applyFill="1" applyBorder="1" applyAlignment="1">
      <alignment horizontal="right" vertical="center"/>
    </xf>
    <xf numFmtId="4" fontId="131" fillId="0" borderId="5" xfId="0" applyNumberFormat="1" applyFont="1" applyBorder="1" applyAlignment="1">
      <alignment horizontal="right" vertical="center"/>
    </xf>
    <xf numFmtId="168" fontId="130" fillId="0" borderId="7" xfId="0" applyNumberFormat="1" applyFont="1" applyBorder="1" applyAlignment="1">
      <alignment horizontal="left" vertical="center" wrapText="1"/>
    </xf>
    <xf numFmtId="4" fontId="130" fillId="0" borderId="5" xfId="0" applyNumberFormat="1" applyFont="1" applyBorder="1" applyAlignment="1">
      <alignment horizontal="right" vertical="center"/>
    </xf>
    <xf numFmtId="168" fontId="130" fillId="0" borderId="5" xfId="0" applyNumberFormat="1" applyFont="1" applyBorder="1" applyAlignment="1">
      <alignment horizontal="left" vertical="center" wrapText="1"/>
    </xf>
    <xf numFmtId="168" fontId="131" fillId="4" borderId="5" xfId="0" applyNumberFormat="1" applyFont="1" applyFill="1" applyBorder="1" applyAlignment="1">
      <alignment horizontal="left" vertical="center" wrapText="1"/>
    </xf>
    <xf numFmtId="168" fontId="130" fillId="4" borderId="5" xfId="0" applyNumberFormat="1" applyFont="1" applyFill="1" applyBorder="1" applyAlignment="1">
      <alignment horizontal="left" vertical="center" wrapText="1"/>
    </xf>
    <xf numFmtId="4" fontId="130" fillId="4" borderId="7" xfId="0" applyNumberFormat="1" applyFont="1" applyFill="1" applyBorder="1" applyAlignment="1">
      <alignment horizontal="right" vertical="center"/>
    </xf>
    <xf numFmtId="168" fontId="130" fillId="0" borderId="14" xfId="0" applyNumberFormat="1" applyFont="1" applyBorder="1" applyAlignment="1">
      <alignment horizontal="left" vertical="center" wrapText="1"/>
    </xf>
    <xf numFmtId="168" fontId="131" fillId="0" borderId="7" xfId="0" applyNumberFormat="1" applyFont="1" applyBorder="1" applyAlignment="1">
      <alignment horizontal="left" vertical="center" wrapText="1"/>
    </xf>
    <xf numFmtId="168" fontId="130" fillId="0" borderId="1" xfId="0" applyNumberFormat="1" applyFont="1" applyBorder="1" applyAlignment="1">
      <alignment horizontal="left" vertical="center" wrapText="1"/>
    </xf>
    <xf numFmtId="4" fontId="130" fillId="0" borderId="0" xfId="0" applyNumberFormat="1" applyFont="1" applyBorder="1" applyAlignment="1">
      <alignment horizontal="right" vertical="center"/>
    </xf>
    <xf numFmtId="168" fontId="131" fillId="0" borderId="53" xfId="0" applyNumberFormat="1" applyFont="1" applyBorder="1" applyAlignment="1">
      <alignment horizontal="left" vertical="center" wrapText="1"/>
    </xf>
    <xf numFmtId="166" fontId="131" fillId="0" borderId="53" xfId="2" applyNumberFormat="1" applyFont="1" applyBorder="1" applyAlignment="1">
      <alignment vertical="center"/>
    </xf>
    <xf numFmtId="4" fontId="130" fillId="0" borderId="14" xfId="0" applyNumberFormat="1" applyFont="1" applyBorder="1" applyAlignment="1">
      <alignment horizontal="right" vertical="center"/>
    </xf>
    <xf numFmtId="168" fontId="131" fillId="0" borderId="5" xfId="0" applyNumberFormat="1" applyFont="1" applyBorder="1" applyAlignment="1">
      <alignment horizontal="left" vertical="center" wrapText="1"/>
    </xf>
    <xf numFmtId="0" fontId="130" fillId="0" borderId="57" xfId="0" applyFont="1" applyFill="1" applyBorder="1" applyAlignment="1">
      <alignment horizontal="left" vertical="center" wrapText="1"/>
    </xf>
    <xf numFmtId="4" fontId="130" fillId="0" borderId="75" xfId="0" applyNumberFormat="1" applyFont="1" applyFill="1" applyBorder="1" applyAlignment="1">
      <alignment horizontal="right" vertical="center"/>
    </xf>
    <xf numFmtId="4" fontId="131" fillId="8" borderId="73" xfId="0" applyNumberFormat="1" applyFont="1" applyFill="1" applyBorder="1" applyAlignment="1">
      <alignment horizontal="right" vertical="center"/>
    </xf>
    <xf numFmtId="4" fontId="130" fillId="0" borderId="0" xfId="0" applyNumberFormat="1" applyFont="1" applyFill="1" applyBorder="1" applyAlignment="1">
      <alignment horizontal="right" vertical="center"/>
    </xf>
    <xf numFmtId="168" fontId="131" fillId="0" borderId="53" xfId="0" applyNumberFormat="1" applyFont="1" applyFill="1" applyBorder="1" applyAlignment="1">
      <alignment horizontal="left" vertical="center" wrapText="1"/>
    </xf>
    <xf numFmtId="166" fontId="130" fillId="0" borderId="1" xfId="2" applyNumberFormat="1" applyFont="1" applyBorder="1" applyAlignment="1">
      <alignment vertical="center"/>
    </xf>
    <xf numFmtId="166" fontId="130" fillId="0" borderId="5" xfId="2" applyNumberFormat="1" applyFont="1" applyBorder="1" applyAlignment="1">
      <alignment vertical="center"/>
    </xf>
    <xf numFmtId="166" fontId="131" fillId="0" borderId="5" xfId="2" applyNumberFormat="1" applyFont="1" applyBorder="1" applyAlignment="1">
      <alignment vertical="center"/>
    </xf>
    <xf numFmtId="166" fontId="131" fillId="0" borderId="0" xfId="2" applyNumberFormat="1" applyFont="1" applyAlignment="1">
      <alignment vertical="center"/>
    </xf>
    <xf numFmtId="0" fontId="130" fillId="0" borderId="8" xfId="0" applyFont="1" applyBorder="1" applyAlignment="1">
      <alignment horizontal="left" vertical="center" wrapText="1"/>
    </xf>
    <xf numFmtId="0" fontId="131" fillId="8" borderId="55" xfId="0" applyFont="1" applyFill="1" applyBorder="1" applyAlignment="1">
      <alignment horizontal="left" vertical="center" wrapText="1"/>
    </xf>
    <xf numFmtId="0" fontId="130" fillId="0" borderId="18" xfId="0" applyFont="1" applyBorder="1" applyAlignment="1">
      <alignment horizontal="left" vertical="center" wrapText="1"/>
    </xf>
    <xf numFmtId="4" fontId="130" fillId="0" borderId="52" xfId="0" applyNumberFormat="1" applyFont="1" applyBorder="1" applyAlignment="1">
      <alignment horizontal="right" vertical="center" indent="1"/>
    </xf>
    <xf numFmtId="0" fontId="131" fillId="0" borderId="55" xfId="0" applyFont="1" applyBorder="1" applyAlignment="1">
      <alignment horizontal="left" vertical="center" wrapText="1"/>
    </xf>
    <xf numFmtId="4" fontId="131" fillId="0" borderId="53" xfId="0" applyNumberFormat="1" applyFont="1" applyBorder="1" applyAlignment="1">
      <alignment horizontal="right" vertical="center" indent="1"/>
    </xf>
    <xf numFmtId="0" fontId="131" fillId="0" borderId="118" xfId="0" applyFont="1" applyFill="1" applyBorder="1" applyAlignment="1">
      <alignment vertical="center" wrapText="1"/>
    </xf>
    <xf numFmtId="4" fontId="131" fillId="0" borderId="68" xfId="0" applyNumberFormat="1" applyFont="1" applyBorder="1" applyAlignment="1">
      <alignment horizontal="right" vertical="center" indent="1"/>
    </xf>
    <xf numFmtId="0" fontId="130" fillId="0" borderId="118" xfId="0" applyFont="1" applyFill="1" applyBorder="1" applyAlignment="1">
      <alignment vertical="center" wrapText="1"/>
    </xf>
    <xf numFmtId="166" fontId="130" fillId="0" borderId="119" xfId="2" applyNumberFormat="1" applyFont="1" applyFill="1" applyBorder="1" applyAlignment="1">
      <alignment vertical="center" wrapText="1"/>
    </xf>
    <xf numFmtId="4" fontId="130" fillId="0" borderId="28" xfId="0" applyNumberFormat="1" applyFont="1" applyBorder="1" applyAlignment="1">
      <alignment horizontal="right" vertical="center" indent="1"/>
    </xf>
    <xf numFmtId="166" fontId="131" fillId="0" borderId="122" xfId="2" applyNumberFormat="1" applyFont="1" applyFill="1" applyBorder="1" applyAlignment="1">
      <alignment vertical="center" wrapText="1"/>
    </xf>
    <xf numFmtId="4" fontId="130" fillId="0" borderId="7" xfId="0" applyNumberFormat="1" applyFont="1" applyBorder="1" applyAlignment="1">
      <alignment horizontal="right" vertical="center" indent="1"/>
    </xf>
    <xf numFmtId="166" fontId="130" fillId="0" borderId="122" xfId="2" applyNumberFormat="1" applyFont="1" applyFill="1" applyBorder="1" applyAlignment="1">
      <alignment vertical="center" wrapText="1"/>
    </xf>
    <xf numFmtId="0" fontId="97" fillId="0" borderId="118" xfId="0" applyFont="1" applyFill="1" applyBorder="1" applyAlignment="1">
      <alignment vertical="center" wrapText="1"/>
    </xf>
    <xf numFmtId="166" fontId="97" fillId="0" borderId="122" xfId="2" applyNumberFormat="1" applyFont="1" applyFill="1" applyBorder="1" applyAlignment="1">
      <alignment vertical="center" wrapText="1"/>
    </xf>
    <xf numFmtId="166" fontId="130" fillId="0" borderId="13" xfId="2" applyNumberFormat="1" applyFont="1" applyBorder="1" applyAlignment="1">
      <alignment vertical="center"/>
    </xf>
    <xf numFmtId="0" fontId="131" fillId="0" borderId="118" xfId="0" applyFont="1" applyFill="1" applyBorder="1" applyAlignment="1">
      <alignment horizontal="left" vertical="center" wrapText="1"/>
    </xf>
    <xf numFmtId="0" fontId="130" fillId="0" borderId="118" xfId="0" applyFont="1" applyFill="1" applyBorder="1" applyAlignment="1">
      <alignment horizontal="left" vertical="center" wrapText="1"/>
    </xf>
    <xf numFmtId="0" fontId="130" fillId="0" borderId="0" xfId="0" applyFont="1" applyBorder="1" applyAlignment="1">
      <alignment horizontal="left" vertical="center" wrapText="1"/>
    </xf>
    <xf numFmtId="0" fontId="131" fillId="8" borderId="73" xfId="0" applyFont="1" applyFill="1" applyBorder="1" applyAlignment="1">
      <alignment vertical="center" wrapText="1"/>
    </xf>
    <xf numFmtId="4" fontId="132" fillId="0" borderId="51" xfId="0" applyNumberFormat="1" applyFont="1" applyBorder="1" applyAlignment="1">
      <alignment horizontal="right" vertical="center" indent="1"/>
    </xf>
    <xf numFmtId="4" fontId="131" fillId="0" borderId="54" xfId="0" applyNumberFormat="1" applyFont="1" applyBorder="1" applyAlignment="1">
      <alignment horizontal="right" vertical="center" indent="1"/>
    </xf>
    <xf numFmtId="4" fontId="131" fillId="0" borderId="28" xfId="0" applyNumberFormat="1" applyFont="1" applyBorder="1" applyAlignment="1">
      <alignment horizontal="right" vertical="center" indent="1"/>
    </xf>
    <xf numFmtId="4" fontId="130" fillId="0" borderId="7" xfId="0" applyNumberFormat="1" applyFont="1" applyBorder="1" applyAlignment="1">
      <alignment vertical="center"/>
    </xf>
    <xf numFmtId="4" fontId="130" fillId="0" borderId="7" xfId="716" applyNumberFormat="1" applyFont="1" applyBorder="1" applyAlignment="1">
      <alignment vertical="center"/>
    </xf>
    <xf numFmtId="4" fontId="131" fillId="0" borderId="7" xfId="716" applyNumberFormat="1" applyFont="1" applyFill="1" applyBorder="1" applyAlignment="1">
      <alignment vertical="center"/>
    </xf>
    <xf numFmtId="4" fontId="130" fillId="0" borderId="51" xfId="0" applyNumberFormat="1" applyFont="1" applyBorder="1" applyAlignment="1">
      <alignment horizontal="right" vertical="center" indent="1"/>
    </xf>
    <xf numFmtId="4" fontId="131" fillId="0" borderId="53" xfId="721" applyNumberFormat="1" applyFont="1" applyFill="1" applyBorder="1" applyAlignment="1">
      <alignment vertical="center"/>
    </xf>
    <xf numFmtId="4" fontId="131" fillId="0" borderId="5" xfId="721" applyNumberFormat="1" applyFont="1" applyFill="1" applyBorder="1" applyAlignment="1">
      <alignment vertical="center"/>
    </xf>
    <xf numFmtId="4" fontId="130" fillId="0" borderId="7" xfId="721" applyNumberFormat="1" applyFont="1" applyBorder="1" applyAlignment="1">
      <alignment vertical="center"/>
    </xf>
    <xf numFmtId="0" fontId="131" fillId="0" borderId="13" xfId="0" applyFont="1" applyFill="1" applyBorder="1" applyAlignment="1">
      <alignment horizontal="left" vertical="center" wrapText="1"/>
    </xf>
    <xf numFmtId="4" fontId="131" fillId="0" borderId="7" xfId="721" applyNumberFormat="1" applyFont="1" applyFill="1" applyBorder="1" applyAlignment="1">
      <alignment vertical="center"/>
    </xf>
    <xf numFmtId="21" fontId="130" fillId="0" borderId="13" xfId="0" applyNumberFormat="1" applyFont="1" applyBorder="1" applyAlignment="1">
      <alignment horizontal="left" vertical="center" wrapText="1"/>
    </xf>
    <xf numFmtId="166" fontId="131" fillId="0" borderId="1" xfId="2" applyNumberFormat="1" applyFont="1" applyBorder="1" applyAlignment="1">
      <alignment vertical="center"/>
    </xf>
    <xf numFmtId="4" fontId="131" fillId="0" borderId="68" xfId="0" applyNumberFormat="1" applyFont="1" applyFill="1" applyBorder="1" applyAlignment="1">
      <alignment horizontal="right" vertical="center"/>
    </xf>
    <xf numFmtId="166" fontId="97" fillId="0" borderId="7" xfId="2" applyNumberFormat="1" applyFont="1" applyBorder="1" applyAlignment="1">
      <alignment vertical="center"/>
    </xf>
    <xf numFmtId="166" fontId="130" fillId="0" borderId="13" xfId="2" applyNumberFormat="1" applyFont="1" applyFill="1" applyBorder="1" applyAlignment="1">
      <alignment vertical="center"/>
    </xf>
    <xf numFmtId="166" fontId="131" fillId="0" borderId="53" xfId="2" applyNumberFormat="1" applyFont="1" applyFill="1" applyBorder="1" applyAlignment="1">
      <alignment horizontal="right" vertical="center"/>
    </xf>
    <xf numFmtId="166" fontId="131" fillId="0" borderId="5" xfId="2" applyNumberFormat="1" applyFont="1" applyFill="1" applyBorder="1" applyAlignment="1">
      <alignment horizontal="right" vertical="center"/>
    </xf>
    <xf numFmtId="166" fontId="130" fillId="0" borderId="5" xfId="2" applyNumberFormat="1" applyFont="1" applyFill="1" applyBorder="1" applyAlignment="1">
      <alignment horizontal="right" vertical="center"/>
    </xf>
    <xf numFmtId="166" fontId="130" fillId="0" borderId="14" xfId="2" applyNumberFormat="1" applyFont="1" applyFill="1" applyBorder="1" applyAlignment="1">
      <alignment horizontal="right" vertical="center"/>
    </xf>
    <xf numFmtId="166" fontId="131" fillId="0" borderId="51" xfId="2" applyNumberFormat="1" applyFont="1" applyFill="1" applyBorder="1" applyAlignment="1">
      <alignment vertical="center"/>
    </xf>
    <xf numFmtId="0" fontId="131" fillId="0" borderId="40" xfId="0" applyFont="1" applyBorder="1" applyAlignment="1">
      <alignment horizontal="center" vertical="center" wrapText="1"/>
    </xf>
    <xf numFmtId="166" fontId="131" fillId="0" borderId="40" xfId="2" applyNumberFormat="1" applyFont="1" applyFill="1" applyBorder="1" applyAlignment="1">
      <alignment horizontal="right" vertical="center"/>
    </xf>
    <xf numFmtId="0" fontId="97" fillId="0" borderId="0" xfId="0" applyNumberFormat="1" applyFont="1" applyBorder="1" applyAlignment="1">
      <alignment horizontal="left" vertical="center" wrapText="1"/>
    </xf>
    <xf numFmtId="4" fontId="97" fillId="0" borderId="0" xfId="0" applyNumberFormat="1" applyFont="1" applyBorder="1" applyAlignment="1">
      <alignment horizontal="right" vertical="top"/>
    </xf>
    <xf numFmtId="0" fontId="97" fillId="0" borderId="0" xfId="0" applyFont="1" applyBorder="1" applyAlignment="1">
      <alignment horizontal="left" vertical="center" wrapText="1"/>
    </xf>
    <xf numFmtId="0" fontId="97" fillId="0" borderId="0" xfId="0" applyFont="1" applyBorder="1" applyAlignment="1">
      <alignment horizontal="left" vertical="center"/>
    </xf>
    <xf numFmtId="43" fontId="102" fillId="0" borderId="53" xfId="0" applyNumberFormat="1" applyFont="1" applyFill="1" applyBorder="1" applyAlignment="1">
      <alignment horizontal="right" vertical="center"/>
    </xf>
    <xf numFmtId="166" fontId="26" fillId="0" borderId="51" xfId="2" applyNumberFormat="1" applyFont="1" applyFill="1" applyBorder="1" applyAlignment="1">
      <alignment vertical="center"/>
    </xf>
    <xf numFmtId="4" fontId="130" fillId="0" borderId="5" xfId="2" applyNumberFormat="1" applyFont="1" applyBorder="1" applyAlignment="1">
      <alignment horizontal="right" vertical="center"/>
    </xf>
    <xf numFmtId="166" fontId="68" fillId="8" borderId="66" xfId="2" applyNumberFormat="1" applyFont="1" applyFill="1" applyBorder="1" applyAlignment="1">
      <alignment vertical="center"/>
    </xf>
    <xf numFmtId="39" fontId="102" fillId="8" borderId="81" xfId="0" applyNumberFormat="1" applyFont="1" applyFill="1" applyBorder="1" applyAlignment="1">
      <alignment horizontal="right" vertical="top"/>
    </xf>
    <xf numFmtId="39" fontId="68" fillId="8" borderId="66" xfId="0" applyNumberFormat="1" applyFont="1" applyFill="1" applyBorder="1" applyAlignment="1">
      <alignment horizontal="right" vertical="top"/>
    </xf>
    <xf numFmtId="166" fontId="76" fillId="8" borderId="77" xfId="2" applyNumberFormat="1" applyFont="1" applyFill="1" applyBorder="1" applyAlignment="1">
      <alignment horizontal="right" vertical="center"/>
    </xf>
    <xf numFmtId="166" fontId="76" fillId="8" borderId="77" xfId="2" applyNumberFormat="1" applyFont="1" applyFill="1" applyBorder="1" applyAlignment="1">
      <alignment vertical="center"/>
    </xf>
    <xf numFmtId="39" fontId="68" fillId="8" borderId="81" xfId="0" applyNumberFormat="1" applyFont="1" applyFill="1" applyBorder="1" applyAlignment="1">
      <alignment horizontal="right" vertical="top"/>
    </xf>
    <xf numFmtId="166" fontId="76" fillId="8" borderId="66" xfId="2" applyNumberFormat="1" applyFont="1" applyFill="1" applyBorder="1" applyAlignment="1">
      <alignment horizontal="right" vertical="center"/>
    </xf>
    <xf numFmtId="166" fontId="72" fillId="0" borderId="5" xfId="2" applyNumberFormat="1" applyFont="1" applyBorder="1" applyAlignment="1">
      <alignment horizontal="left" vertical="center" indent="1"/>
    </xf>
    <xf numFmtId="169" fontId="69" fillId="0" borderId="5" xfId="105" applyNumberFormat="1" applyFont="1" applyBorder="1" applyAlignment="1">
      <alignment horizontal="right" vertical="center"/>
    </xf>
    <xf numFmtId="49" fontId="68" fillId="0" borderId="1" xfId="0" applyNumberFormat="1" applyFont="1" applyFill="1" applyBorder="1" applyAlignment="1">
      <alignment horizontal="center" vertical="center"/>
    </xf>
    <xf numFmtId="39" fontId="102" fillId="0" borderId="81" xfId="0" applyNumberFormat="1" applyFont="1" applyFill="1" applyBorder="1" applyAlignment="1">
      <alignment horizontal="right" vertical="top"/>
    </xf>
    <xf numFmtId="39" fontId="68" fillId="0" borderId="66" xfId="0" applyNumberFormat="1" applyFont="1" applyFill="1" applyBorder="1" applyAlignment="1">
      <alignment horizontal="right" vertical="top"/>
    </xf>
    <xf numFmtId="166" fontId="76" fillId="0" borderId="77" xfId="2" applyNumberFormat="1" applyFont="1" applyFill="1" applyBorder="1" applyAlignment="1">
      <alignment horizontal="right" vertical="center"/>
    </xf>
    <xf numFmtId="166" fontId="76" fillId="0" borderId="77" xfId="2" applyNumberFormat="1" applyFont="1" applyFill="1" applyBorder="1" applyAlignment="1">
      <alignment vertical="center"/>
    </xf>
    <xf numFmtId="39" fontId="68" fillId="0" borderId="81" xfId="0" applyNumberFormat="1" applyFont="1" applyFill="1" applyBorder="1" applyAlignment="1">
      <alignment vertical="top"/>
    </xf>
    <xf numFmtId="39" fontId="68" fillId="0" borderId="81" xfId="0" applyNumberFormat="1" applyFont="1" applyFill="1" applyBorder="1" applyAlignment="1">
      <alignment horizontal="right" vertical="top"/>
    </xf>
    <xf numFmtId="0" fontId="115" fillId="0" borderId="28" xfId="0" applyFont="1" applyFill="1" applyBorder="1"/>
    <xf numFmtId="0" fontId="0" fillId="0" borderId="8" xfId="0" applyFont="1" applyFill="1" applyBorder="1" applyAlignment="1">
      <alignment wrapText="1"/>
    </xf>
    <xf numFmtId="166" fontId="131" fillId="0" borderId="122" xfId="2" applyNumberFormat="1" applyFont="1" applyBorder="1" applyAlignment="1">
      <alignment vertical="center"/>
    </xf>
    <xf numFmtId="166" fontId="130" fillId="0" borderId="13" xfId="2" applyNumberFormat="1" applyFont="1" applyFill="1" applyBorder="1" applyAlignment="1">
      <alignment vertical="center" wrapText="1"/>
    </xf>
    <xf numFmtId="166" fontId="68" fillId="0" borderId="43" xfId="2" applyNumberFormat="1" applyFont="1" applyFill="1" applyBorder="1" applyAlignment="1">
      <alignment horizontal="right" vertical="center" wrapText="1"/>
    </xf>
    <xf numFmtId="166" fontId="69" fillId="0" borderId="43" xfId="2" applyNumberFormat="1" applyFont="1" applyFill="1" applyBorder="1" applyAlignment="1">
      <alignment horizontal="right" vertical="center" wrapText="1"/>
    </xf>
    <xf numFmtId="166" fontId="0" fillId="0" borderId="43" xfId="2" applyNumberFormat="1" applyFont="1" applyFill="1" applyBorder="1" applyAlignment="1">
      <alignment horizontal="right" vertical="center" wrapText="1"/>
    </xf>
    <xf numFmtId="41" fontId="0" fillId="0" borderId="43" xfId="2" applyFont="1" applyFill="1" applyBorder="1" applyAlignment="1">
      <alignment horizontal="right" vertical="center" wrapText="1"/>
    </xf>
    <xf numFmtId="4" fontId="69" fillId="0" borderId="43" xfId="0" applyNumberFormat="1" applyFont="1" applyFill="1" applyBorder="1" applyAlignment="1">
      <alignment horizontal="right" vertical="center" wrapText="1"/>
    </xf>
    <xf numFmtId="0" fontId="133" fillId="0" borderId="43" xfId="0" applyFont="1" applyFill="1" applyBorder="1" applyAlignment="1">
      <alignment vertical="center" wrapText="1"/>
    </xf>
    <xf numFmtId="4" fontId="130" fillId="0" borderId="28" xfId="0" applyNumberFormat="1" applyFont="1" applyBorder="1" applyAlignment="1">
      <alignment horizontal="right" vertical="center"/>
    </xf>
    <xf numFmtId="4" fontId="131" fillId="0" borderId="1" xfId="2" applyNumberFormat="1" applyFont="1" applyBorder="1" applyAlignment="1">
      <alignment horizontal="right" vertical="center" wrapText="1"/>
    </xf>
    <xf numFmtId="4" fontId="97" fillId="0" borderId="17" xfId="2" quotePrefix="1" applyNumberFormat="1" applyFont="1" applyBorder="1" applyAlignment="1">
      <alignment horizontal="right" vertical="center"/>
    </xf>
    <xf numFmtId="166" fontId="97" fillId="0" borderId="14" xfId="2" applyNumberFormat="1" applyFont="1" applyBorder="1" applyAlignment="1">
      <alignment horizontal="right" vertical="center"/>
    </xf>
    <xf numFmtId="166" fontId="131" fillId="8" borderId="53" xfId="2" applyNumberFormat="1" applyFont="1" applyFill="1" applyBorder="1" applyAlignment="1">
      <alignment horizontal="right" vertical="center"/>
    </xf>
    <xf numFmtId="166" fontId="97" fillId="0" borderId="1" xfId="2" applyNumberFormat="1" applyFont="1" applyBorder="1" applyAlignment="1">
      <alignment horizontal="right" vertical="center"/>
    </xf>
    <xf numFmtId="166" fontId="97" fillId="0" borderId="1" xfId="2" applyNumberFormat="1" applyFont="1" applyFill="1" applyBorder="1" applyAlignment="1">
      <alignment horizontal="right" vertical="center"/>
    </xf>
    <xf numFmtId="166" fontId="131" fillId="0" borderId="14" xfId="2" applyNumberFormat="1" applyFont="1" applyBorder="1" applyAlignment="1">
      <alignment horizontal="right" vertical="center"/>
    </xf>
    <xf numFmtId="4" fontId="131" fillId="0" borderId="7" xfId="2" applyNumberFormat="1" applyFont="1" applyFill="1" applyBorder="1" applyAlignment="1">
      <alignment horizontal="right" vertical="center"/>
    </xf>
    <xf numFmtId="4" fontId="132" fillId="0" borderId="7" xfId="2" applyNumberFormat="1" applyFont="1" applyFill="1" applyBorder="1" applyAlignment="1">
      <alignment horizontal="right" vertical="center"/>
    </xf>
    <xf numFmtId="166" fontId="131" fillId="7" borderId="53" xfId="2" applyNumberFormat="1" applyFont="1" applyFill="1" applyBorder="1" applyAlignment="1">
      <alignment horizontal="right" vertical="center"/>
    </xf>
    <xf numFmtId="4" fontId="131" fillId="0" borderId="1" xfId="2" applyNumberFormat="1" applyFont="1" applyFill="1" applyBorder="1" applyAlignment="1">
      <alignment horizontal="right" vertical="center"/>
    </xf>
    <xf numFmtId="166" fontId="97" fillId="0" borderId="14" xfId="2" applyNumberFormat="1" applyFont="1" applyFill="1" applyBorder="1" applyAlignment="1">
      <alignment horizontal="right" vertical="center"/>
    </xf>
    <xf numFmtId="166" fontId="131" fillId="0" borderId="66" xfId="2" applyNumberFormat="1" applyFont="1" applyFill="1" applyBorder="1" applyAlignment="1">
      <alignment horizontal="right" vertical="center"/>
    </xf>
    <xf numFmtId="166" fontId="130" fillId="0" borderId="57" xfId="2" applyNumberFormat="1" applyFont="1" applyFill="1" applyBorder="1" applyAlignment="1">
      <alignment horizontal="right" vertical="center"/>
    </xf>
    <xf numFmtId="166" fontId="130" fillId="0" borderId="7" xfId="2" applyNumberFormat="1" applyFont="1" applyBorder="1" applyAlignment="1">
      <alignment horizontal="right" vertical="center"/>
    </xf>
    <xf numFmtId="166" fontId="131" fillId="8" borderId="57" xfId="2" applyNumberFormat="1" applyFont="1" applyFill="1" applyBorder="1" applyAlignment="1">
      <alignment horizontal="right" vertical="center"/>
    </xf>
    <xf numFmtId="166" fontId="130" fillId="0" borderId="1" xfId="2" applyNumberFormat="1" applyFont="1" applyBorder="1" applyAlignment="1">
      <alignment horizontal="right" vertical="center"/>
    </xf>
    <xf numFmtId="166" fontId="131" fillId="0" borderId="1" xfId="2" applyNumberFormat="1" applyFont="1" applyBorder="1" applyAlignment="1">
      <alignment horizontal="right" vertical="center"/>
    </xf>
    <xf numFmtId="166" fontId="131" fillId="0" borderId="53" xfId="2" applyNumberFormat="1" applyFont="1" applyBorder="1" applyAlignment="1">
      <alignment horizontal="right" vertical="center"/>
    </xf>
    <xf numFmtId="166" fontId="131" fillId="0" borderId="66" xfId="2" applyNumberFormat="1" applyFont="1" applyBorder="1" applyAlignment="1">
      <alignment horizontal="right" vertical="center"/>
    </xf>
    <xf numFmtId="166" fontId="131" fillId="0" borderId="7" xfId="2" applyNumberFormat="1" applyFont="1" applyBorder="1" applyAlignment="1">
      <alignment horizontal="right" vertical="center"/>
    </xf>
    <xf numFmtId="0" fontId="135" fillId="0" borderId="43" xfId="0" applyFont="1" applyFill="1" applyBorder="1" applyAlignment="1">
      <alignment vertical="center" wrapText="1"/>
    </xf>
    <xf numFmtId="4" fontId="131" fillId="0" borderId="7" xfId="0" applyNumberFormat="1" applyFont="1" applyFill="1" applyBorder="1" applyAlignment="1">
      <alignment vertical="center"/>
    </xf>
    <xf numFmtId="0" fontId="97" fillId="0" borderId="0" xfId="0" applyFont="1" applyAlignment="1">
      <alignment horizontal="center" vertical="center" wrapText="1"/>
    </xf>
    <xf numFmtId="0" fontId="131" fillId="0" borderId="101" xfId="0" applyFont="1" applyFill="1" applyBorder="1" applyAlignment="1">
      <alignment vertical="center" wrapText="1"/>
    </xf>
    <xf numFmtId="0" fontId="130" fillId="0" borderId="13" xfId="0" applyFont="1" applyFill="1" applyBorder="1" applyAlignment="1">
      <alignment vertical="center" wrapText="1"/>
    </xf>
    <xf numFmtId="0" fontId="97" fillId="0" borderId="13" xfId="0" applyFont="1" applyFill="1" applyBorder="1" applyAlignment="1">
      <alignment vertical="center" wrapText="1"/>
    </xf>
    <xf numFmtId="0" fontId="131" fillId="0" borderId="13" xfId="0" applyFont="1" applyFill="1" applyBorder="1" applyAlignment="1">
      <alignment vertical="center" wrapText="1"/>
    </xf>
    <xf numFmtId="0" fontId="130" fillId="0" borderId="0" xfId="0" applyFont="1" applyFill="1" applyAlignment="1">
      <alignment vertical="center" wrapText="1"/>
    </xf>
    <xf numFmtId="0" fontId="131" fillId="0" borderId="7" xfId="0" applyFont="1" applyFill="1" applyBorder="1" applyAlignment="1">
      <alignment vertical="center" wrapText="1"/>
    </xf>
    <xf numFmtId="0" fontId="97" fillId="0" borderId="7" xfId="0" applyFont="1" applyFill="1" applyBorder="1" applyAlignment="1">
      <alignment vertical="center" wrapText="1"/>
    </xf>
    <xf numFmtId="0" fontId="131" fillId="0" borderId="0" xfId="0" applyFont="1" applyFill="1" applyAlignment="1">
      <alignment vertical="center" wrapText="1"/>
    </xf>
    <xf numFmtId="0" fontId="131" fillId="0" borderId="68" xfId="0" applyFont="1" applyBorder="1" applyAlignment="1">
      <alignment vertical="center" wrapText="1"/>
    </xf>
    <xf numFmtId="0" fontId="130" fillId="0" borderId="43" xfId="0" applyFont="1" applyBorder="1" applyAlignment="1">
      <alignment horizontal="left" vertical="center" wrapText="1"/>
    </xf>
    <xf numFmtId="0" fontId="131" fillId="0" borderId="43" xfId="0" applyFont="1" applyBorder="1" applyAlignment="1">
      <alignment vertical="center" wrapText="1"/>
    </xf>
    <xf numFmtId="0" fontId="130" fillId="0" borderId="43" xfId="0" applyFont="1" applyBorder="1" applyAlignment="1">
      <alignment vertical="center" wrapText="1"/>
    </xf>
    <xf numFmtId="0" fontId="130" fillId="0" borderId="0" xfId="0" applyFont="1" applyAlignment="1">
      <alignment horizontal="left" vertical="center" wrapText="1"/>
    </xf>
    <xf numFmtId="0" fontId="131" fillId="0" borderId="43" xfId="0" applyFont="1" applyFill="1" applyBorder="1" applyAlignment="1">
      <alignment vertical="center" wrapText="1"/>
    </xf>
    <xf numFmtId="0" fontId="131" fillId="0" borderId="12" xfId="0" applyFont="1" applyBorder="1" applyAlignment="1">
      <alignment vertical="center" wrapText="1"/>
    </xf>
    <xf numFmtId="0" fontId="131" fillId="0" borderId="5" xfId="0" applyFont="1" applyBorder="1" applyAlignment="1">
      <alignment vertical="center" wrapText="1"/>
    </xf>
    <xf numFmtId="0" fontId="97" fillId="0" borderId="0" xfId="0" applyFont="1" applyAlignment="1">
      <alignment vertical="center" wrapText="1"/>
    </xf>
    <xf numFmtId="0" fontId="131" fillId="0" borderId="0" xfId="0" applyFont="1" applyAlignment="1">
      <alignment vertical="center" wrapText="1"/>
    </xf>
    <xf numFmtId="0" fontId="131" fillId="0" borderId="60" xfId="0" applyFont="1" applyFill="1" applyBorder="1" applyAlignment="1">
      <alignment vertical="center" wrapText="1"/>
    </xf>
    <xf numFmtId="0" fontId="133" fillId="0" borderId="42" xfId="0" applyFont="1" applyFill="1" applyBorder="1" applyAlignment="1">
      <alignment vertical="center" wrapText="1"/>
    </xf>
    <xf numFmtId="0" fontId="134" fillId="0" borderId="43" xfId="0" applyFont="1" applyFill="1" applyBorder="1" applyAlignment="1">
      <alignment vertical="center" wrapText="1"/>
    </xf>
    <xf numFmtId="0" fontId="133" fillId="0" borderId="43" xfId="0" applyFont="1" applyBorder="1" applyAlignment="1">
      <alignment vertical="center" wrapText="1"/>
    </xf>
    <xf numFmtId="0" fontId="130" fillId="0" borderId="0" xfId="0" applyFont="1" applyAlignment="1">
      <alignment vertical="center" wrapText="1"/>
    </xf>
    <xf numFmtId="0" fontId="130" fillId="0" borderId="1" xfId="0" applyFont="1" applyBorder="1" applyAlignment="1">
      <alignment vertical="center" wrapText="1"/>
    </xf>
    <xf numFmtId="0" fontId="131" fillId="0" borderId="53" xfId="0" applyFont="1" applyBorder="1" applyAlignment="1">
      <alignment vertical="center" wrapText="1"/>
    </xf>
    <xf numFmtId="0" fontId="130" fillId="0" borderId="14" xfId="0" applyFont="1" applyBorder="1" applyAlignment="1">
      <alignment vertical="center" wrapText="1"/>
    </xf>
    <xf numFmtId="0" fontId="97" fillId="0" borderId="1" xfId="0" applyFont="1" applyBorder="1" applyAlignment="1">
      <alignment vertical="center" wrapText="1"/>
    </xf>
    <xf numFmtId="0" fontId="131" fillId="0" borderId="1" xfId="0" applyFont="1" applyBorder="1" applyAlignment="1">
      <alignment vertical="center" wrapText="1"/>
    </xf>
    <xf numFmtId="0" fontId="97" fillId="0" borderId="0" xfId="0" applyFont="1" applyBorder="1" applyAlignment="1">
      <alignment vertical="center" wrapText="1"/>
    </xf>
    <xf numFmtId="166" fontId="97" fillId="0" borderId="0" xfId="2" applyNumberFormat="1" applyFont="1" applyBorder="1" applyAlignment="1">
      <alignment vertical="center" wrapText="1"/>
    </xf>
    <xf numFmtId="0" fontId="97" fillId="0" borderId="0" xfId="0" applyFont="1" applyAlignment="1">
      <alignment horizontal="center" vertical="center"/>
    </xf>
    <xf numFmtId="41" fontId="97" fillId="0" borderId="0" xfId="2" applyFont="1" applyAlignment="1">
      <alignment horizontal="left" vertical="center"/>
    </xf>
    <xf numFmtId="166" fontId="97" fillId="0" borderId="0" xfId="2" applyNumberFormat="1" applyFont="1" applyAlignment="1">
      <alignment vertical="center"/>
    </xf>
    <xf numFmtId="43" fontId="131" fillId="0" borderId="7" xfId="0" applyNumberFormat="1" applyFont="1" applyBorder="1" applyAlignment="1">
      <alignment horizontal="left" vertical="center"/>
    </xf>
    <xf numFmtId="43" fontId="131" fillId="0" borderId="1" xfId="0" applyNumberFormat="1" applyFont="1" applyFill="1" applyBorder="1" applyAlignment="1">
      <alignment horizontal="right" vertical="center"/>
    </xf>
    <xf numFmtId="43" fontId="130" fillId="0" borderId="7" xfId="0" applyNumberFormat="1" applyFont="1" applyFill="1" applyBorder="1" applyAlignment="1">
      <alignment horizontal="right" vertical="center"/>
    </xf>
    <xf numFmtId="43" fontId="131" fillId="0" borderId="7" xfId="0" applyNumberFormat="1" applyFont="1" applyFill="1" applyBorder="1" applyAlignment="1">
      <alignment horizontal="right" vertical="center"/>
    </xf>
    <xf numFmtId="43" fontId="130" fillId="0" borderId="1" xfId="0" applyNumberFormat="1" applyFont="1" applyFill="1" applyBorder="1" applyAlignment="1">
      <alignment horizontal="right" vertical="center"/>
    </xf>
    <xf numFmtId="43" fontId="130" fillId="0" borderId="7" xfId="4" applyFont="1" applyFill="1" applyBorder="1" applyAlignment="1">
      <alignment horizontal="right" vertical="center"/>
    </xf>
    <xf numFmtId="0" fontId="97" fillId="0" borderId="28" xfId="0" applyFont="1" applyBorder="1" applyAlignment="1">
      <alignment horizontal="right" vertical="center"/>
    </xf>
    <xf numFmtId="43" fontId="131" fillId="0" borderId="7" xfId="4" applyFont="1" applyFill="1" applyBorder="1" applyAlignment="1">
      <alignment horizontal="right" vertical="center"/>
    </xf>
    <xf numFmtId="43" fontId="130" fillId="0" borderId="7" xfId="0" applyNumberFormat="1" applyFont="1" applyBorder="1" applyAlignment="1">
      <alignment horizontal="left" vertical="center"/>
    </xf>
    <xf numFmtId="43" fontId="131" fillId="5" borderId="7" xfId="0" applyNumberFormat="1" applyFont="1" applyFill="1" applyBorder="1" applyAlignment="1">
      <alignment horizontal="left" vertical="center"/>
    </xf>
    <xf numFmtId="43" fontId="130" fillId="0" borderId="14" xfId="0" applyNumberFormat="1" applyFont="1" applyBorder="1" applyAlignment="1">
      <alignment horizontal="left" vertical="center"/>
    </xf>
    <xf numFmtId="43" fontId="131" fillId="8" borderId="53" xfId="0" applyNumberFormat="1" applyFont="1" applyFill="1" applyBorder="1" applyAlignment="1">
      <alignment horizontal="left" vertical="center"/>
    </xf>
    <xf numFmtId="43" fontId="131" fillId="0" borderId="53" xfId="0" applyNumberFormat="1" applyFont="1" applyFill="1" applyBorder="1" applyAlignment="1">
      <alignment horizontal="left" vertical="center"/>
    </xf>
    <xf numFmtId="43" fontId="130" fillId="0" borderId="1" xfId="0" applyNumberFormat="1" applyFont="1" applyFill="1" applyBorder="1" applyAlignment="1">
      <alignment horizontal="left" vertical="center"/>
    </xf>
    <xf numFmtId="43" fontId="131" fillId="0" borderId="53" xfId="0" applyNumberFormat="1" applyFont="1" applyFill="1" applyBorder="1" applyAlignment="1">
      <alignment horizontal="right" vertical="center"/>
    </xf>
    <xf numFmtId="43" fontId="130" fillId="0" borderId="7" xfId="1" applyFont="1" applyBorder="1" applyAlignment="1">
      <alignment horizontal="right" vertical="center"/>
    </xf>
    <xf numFmtId="166" fontId="97" fillId="0" borderId="0" xfId="2" applyNumberFormat="1" applyFont="1" applyAlignment="1">
      <alignment horizontal="right" vertical="center"/>
    </xf>
    <xf numFmtId="43" fontId="131" fillId="0" borderId="14" xfId="0" applyNumberFormat="1" applyFont="1" applyFill="1" applyBorder="1" applyAlignment="1">
      <alignment horizontal="right" vertical="center"/>
    </xf>
    <xf numFmtId="43" fontId="130" fillId="0" borderId="61" xfId="1" applyFont="1" applyBorder="1" applyAlignment="1">
      <alignment horizontal="right" vertical="center"/>
    </xf>
    <xf numFmtId="43" fontId="130" fillId="0" borderId="14" xfId="0" applyNumberFormat="1" applyFont="1" applyFill="1" applyBorder="1" applyAlignment="1">
      <alignment horizontal="right" vertical="center"/>
    </xf>
    <xf numFmtId="43" fontId="130" fillId="0" borderId="42" xfId="1" applyFont="1" applyBorder="1" applyAlignment="1">
      <alignment horizontal="right" vertical="center"/>
    </xf>
    <xf numFmtId="43" fontId="131" fillId="0" borderId="42" xfId="1" applyFont="1" applyBorder="1" applyAlignment="1">
      <alignment horizontal="right" vertical="center"/>
    </xf>
    <xf numFmtId="43" fontId="130" fillId="0" borderId="42" xfId="0" applyNumberFormat="1" applyFont="1" applyFill="1" applyBorder="1" applyAlignment="1">
      <alignment horizontal="right" vertical="center"/>
    </xf>
    <xf numFmtId="43" fontId="131" fillId="0" borderId="61" xfId="1" applyFont="1" applyBorder="1" applyAlignment="1">
      <alignment horizontal="right" vertical="center"/>
    </xf>
    <xf numFmtId="43" fontId="130" fillId="0" borderId="1" xfId="0" applyNumberFormat="1" applyFont="1" applyBorder="1" applyAlignment="1">
      <alignment horizontal="left" vertical="center"/>
    </xf>
    <xf numFmtId="43" fontId="131" fillId="0" borderId="53" xfId="0" applyNumberFormat="1" applyFont="1" applyBorder="1" applyAlignment="1">
      <alignment horizontal="left" vertical="center"/>
    </xf>
    <xf numFmtId="43" fontId="131" fillId="0" borderId="50" xfId="1" applyFont="1" applyBorder="1" applyAlignment="1">
      <alignment horizontal="right" vertical="center"/>
    </xf>
    <xf numFmtId="43" fontId="131" fillId="0" borderId="1" xfId="0" applyNumberFormat="1" applyFont="1" applyBorder="1" applyAlignment="1">
      <alignment horizontal="left" vertical="center"/>
    </xf>
    <xf numFmtId="43" fontId="130" fillId="0" borderId="14" xfId="0" applyNumberFormat="1" applyFont="1" applyFill="1" applyBorder="1" applyAlignment="1">
      <alignment horizontal="left" vertical="center"/>
    </xf>
    <xf numFmtId="166" fontId="131" fillId="0" borderId="68" xfId="2" applyNumberFormat="1" applyFont="1" applyFill="1" applyBorder="1" applyAlignment="1">
      <alignment vertical="center"/>
    </xf>
    <xf numFmtId="166" fontId="97" fillId="0" borderId="7" xfId="2" applyNumberFormat="1" applyFont="1" applyFill="1" applyBorder="1" applyAlignment="1">
      <alignment vertical="center"/>
    </xf>
    <xf numFmtId="0" fontId="97" fillId="0" borderId="0" xfId="0" applyFont="1" applyFill="1" applyAlignment="1">
      <alignment vertical="center"/>
    </xf>
    <xf numFmtId="0" fontId="97" fillId="0" borderId="52" xfId="0" applyFont="1" applyFill="1" applyBorder="1" applyAlignment="1">
      <alignment vertical="center"/>
    </xf>
    <xf numFmtId="0" fontId="97" fillId="0" borderId="7" xfId="0" applyFont="1" applyFill="1" applyBorder="1" applyAlignment="1">
      <alignment vertical="center"/>
    </xf>
    <xf numFmtId="0" fontId="97" fillId="0" borderId="51" xfId="0" applyFont="1" applyFill="1" applyBorder="1" applyAlignment="1">
      <alignment vertical="center"/>
    </xf>
    <xf numFmtId="166" fontId="130" fillId="0" borderId="51" xfId="0" applyNumberFormat="1" applyFont="1" applyFill="1" applyBorder="1" applyAlignment="1">
      <alignment horizontal="left" vertical="center"/>
    </xf>
    <xf numFmtId="166" fontId="131" fillId="0" borderId="0" xfId="2" applyNumberFormat="1" applyFont="1" applyFill="1" applyAlignment="1">
      <alignment vertical="center"/>
    </xf>
    <xf numFmtId="166" fontId="130" fillId="0" borderId="0" xfId="2" applyNumberFormat="1" applyFont="1" applyFill="1" applyAlignment="1">
      <alignment vertical="center"/>
    </xf>
    <xf numFmtId="166" fontId="130" fillId="0" borderId="74" xfId="2" applyNumberFormat="1" applyFont="1" applyFill="1" applyBorder="1" applyAlignment="1">
      <alignment horizontal="left" vertical="center"/>
    </xf>
    <xf numFmtId="166" fontId="130" fillId="0" borderId="14" xfId="2" applyNumberFormat="1" applyFont="1" applyFill="1" applyBorder="1" applyAlignment="1">
      <alignment horizontal="left" vertical="center"/>
    </xf>
    <xf numFmtId="43" fontId="131" fillId="7" borderId="53" xfId="0" applyNumberFormat="1" applyFont="1" applyFill="1" applyBorder="1" applyAlignment="1">
      <alignment horizontal="left" vertical="center"/>
    </xf>
    <xf numFmtId="43" fontId="131" fillId="0" borderId="53" xfId="0" applyNumberFormat="1" applyFont="1" applyBorder="1" applyAlignment="1">
      <alignment horizontal="right" vertical="center"/>
    </xf>
    <xf numFmtId="43" fontId="131" fillId="0" borderId="5" xfId="0" applyNumberFormat="1" applyFont="1" applyBorder="1" applyAlignment="1">
      <alignment horizontal="right" vertical="center"/>
    </xf>
    <xf numFmtId="43" fontId="130" fillId="0" borderId="7" xfId="0" applyNumberFormat="1" applyFont="1" applyBorder="1" applyAlignment="1">
      <alignment horizontal="right" vertical="center"/>
    </xf>
    <xf numFmtId="43" fontId="131" fillId="0" borderId="7" xfId="0" applyNumberFormat="1" applyFont="1" applyBorder="1" applyAlignment="1">
      <alignment horizontal="right" vertical="center"/>
    </xf>
    <xf numFmtId="43" fontId="132" fillId="0" borderId="7" xfId="0" applyNumberFormat="1" applyFont="1" applyBorder="1" applyAlignment="1">
      <alignment horizontal="right" vertical="center"/>
    </xf>
    <xf numFmtId="43" fontId="130" fillId="0" borderId="7" xfId="0" applyNumberFormat="1" applyFont="1" applyFill="1" applyBorder="1" applyAlignment="1">
      <alignment horizontal="left" vertical="center"/>
    </xf>
    <xf numFmtId="39" fontId="131" fillId="0" borderId="100" xfId="0" applyNumberFormat="1" applyFont="1" applyBorder="1" applyAlignment="1">
      <alignment horizontal="right" vertical="center"/>
    </xf>
    <xf numFmtId="39" fontId="130" fillId="0" borderId="1" xfId="0" applyNumberFormat="1" applyFont="1" applyBorder="1" applyAlignment="1">
      <alignment horizontal="right" vertical="center"/>
    </xf>
    <xf numFmtId="43" fontId="130" fillId="0" borderId="1" xfId="0" applyNumberFormat="1" applyFont="1" applyBorder="1" applyAlignment="1">
      <alignment horizontal="right" vertical="center"/>
    </xf>
    <xf numFmtId="43" fontId="131" fillId="0" borderId="53" xfId="0" applyNumberFormat="1" applyFont="1" applyFill="1" applyBorder="1" applyAlignment="1">
      <alignment vertical="center" wrapText="1"/>
    </xf>
    <xf numFmtId="39" fontId="97" fillId="0" borderId="1" xfId="0" applyNumberFormat="1" applyFont="1" applyBorder="1" applyAlignment="1">
      <alignment horizontal="right" vertical="center"/>
    </xf>
    <xf numFmtId="39" fontId="97" fillId="0" borderId="1" xfId="0" applyNumberFormat="1" applyFont="1" applyFill="1" applyBorder="1" applyAlignment="1">
      <alignment vertical="center"/>
    </xf>
    <xf numFmtId="39" fontId="131" fillId="0" borderId="53" xfId="0" applyNumberFormat="1" applyFont="1" applyFill="1" applyBorder="1" applyAlignment="1">
      <alignment horizontal="right" vertical="center"/>
    </xf>
    <xf numFmtId="39" fontId="131" fillId="0" borderId="5" xfId="0" applyNumberFormat="1" applyFont="1" applyFill="1" applyBorder="1" applyAlignment="1">
      <alignment vertical="center" wrapText="1"/>
    </xf>
    <xf numFmtId="39" fontId="130" fillId="0" borderId="0" xfId="0" applyNumberFormat="1" applyFont="1" applyFill="1" applyBorder="1" applyAlignment="1">
      <alignment vertical="center"/>
    </xf>
    <xf numFmtId="39" fontId="131" fillId="8" borderId="53" xfId="0" applyNumberFormat="1" applyFont="1" applyFill="1" applyBorder="1" applyAlignment="1">
      <alignment vertical="center"/>
    </xf>
    <xf numFmtId="39" fontId="131" fillId="0" borderId="53" xfId="0" applyNumberFormat="1" applyFont="1" applyFill="1" applyBorder="1" applyAlignment="1">
      <alignment vertical="center"/>
    </xf>
    <xf numFmtId="39" fontId="131" fillId="0" borderId="0" xfId="0" applyNumberFormat="1" applyFont="1" applyFill="1" applyBorder="1" applyAlignment="1">
      <alignment vertical="center"/>
    </xf>
    <xf numFmtId="39" fontId="130" fillId="0" borderId="7" xfId="0" applyNumberFormat="1" applyFont="1" applyFill="1" applyBorder="1" applyAlignment="1">
      <alignment vertical="center"/>
    </xf>
    <xf numFmtId="39" fontId="131" fillId="8" borderId="73" xfId="0" applyNumberFormat="1" applyFont="1" applyFill="1" applyBorder="1" applyAlignment="1">
      <alignment vertical="center"/>
    </xf>
    <xf numFmtId="39" fontId="130" fillId="0" borderId="0" xfId="0" applyNumberFormat="1" applyFont="1" applyBorder="1" applyAlignment="1">
      <alignment vertical="center"/>
    </xf>
    <xf numFmtId="166" fontId="131" fillId="0" borderId="68" xfId="2" applyNumberFormat="1" applyFont="1" applyBorder="1" applyAlignment="1">
      <alignment vertical="center"/>
    </xf>
    <xf numFmtId="43" fontId="131" fillId="8" borderId="53" xfId="1" applyFont="1" applyFill="1" applyBorder="1" applyAlignment="1">
      <alignment horizontal="left" vertical="center"/>
    </xf>
    <xf numFmtId="43" fontId="130" fillId="0" borderId="14" xfId="1" applyFont="1" applyBorder="1" applyAlignment="1">
      <alignment horizontal="left" vertical="center"/>
    </xf>
    <xf numFmtId="166" fontId="131" fillId="0" borderId="43" xfId="2" applyNumberFormat="1" applyFont="1" applyBorder="1" applyAlignment="1">
      <alignment vertical="center"/>
    </xf>
    <xf numFmtId="43" fontId="132" fillId="0" borderId="1" xfId="1" applyFont="1" applyBorder="1" applyAlignment="1">
      <alignment horizontal="left" vertical="center"/>
    </xf>
    <xf numFmtId="43" fontId="131" fillId="0" borderId="53" xfId="1" applyFont="1" applyBorder="1" applyAlignment="1">
      <alignment horizontal="left" vertical="center"/>
    </xf>
    <xf numFmtId="4" fontId="97" fillId="0" borderId="7" xfId="0" applyNumberFormat="1" applyFont="1" applyBorder="1" applyAlignment="1">
      <alignment vertical="center"/>
    </xf>
    <xf numFmtId="43" fontId="130" fillId="0" borderId="1" xfId="1" applyFont="1" applyBorder="1" applyAlignment="1">
      <alignment horizontal="left" vertical="center"/>
    </xf>
    <xf numFmtId="43" fontId="131" fillId="0" borderId="1" xfId="1" applyFont="1" applyBorder="1" applyAlignment="1">
      <alignment horizontal="left" vertical="center"/>
    </xf>
    <xf numFmtId="43" fontId="130" fillId="0" borderId="7" xfId="1" applyFont="1" applyBorder="1" applyAlignment="1">
      <alignment horizontal="left" vertical="center"/>
    </xf>
    <xf numFmtId="43" fontId="131" fillId="0" borderId="1" xfId="0" applyNumberFormat="1" applyFont="1" applyFill="1" applyBorder="1" applyAlignment="1">
      <alignment horizontal="left" vertical="center"/>
    </xf>
    <xf numFmtId="166" fontId="131" fillId="0" borderId="40" xfId="2" applyNumberFormat="1" applyFont="1" applyBorder="1" applyAlignment="1">
      <alignment vertical="center"/>
    </xf>
    <xf numFmtId="43" fontId="130" fillId="0" borderId="0" xfId="0" applyNumberFormat="1" applyFont="1" applyBorder="1" applyAlignment="1">
      <alignment horizontal="left" vertical="center"/>
    </xf>
    <xf numFmtId="0" fontId="97" fillId="0" borderId="0" xfId="0" applyFont="1" applyBorder="1" applyAlignment="1">
      <alignment vertical="center"/>
    </xf>
    <xf numFmtId="166" fontId="97" fillId="0" borderId="0" xfId="2" applyNumberFormat="1" applyFont="1" applyBorder="1" applyAlignment="1">
      <alignment vertical="center"/>
    </xf>
    <xf numFmtId="166" fontId="130" fillId="0" borderId="14" xfId="2" applyNumberFormat="1" applyFont="1" applyBorder="1" applyAlignment="1">
      <alignment horizontal="right" vertical="center"/>
    </xf>
    <xf numFmtId="39" fontId="131" fillId="0" borderId="7" xfId="0" applyNumberFormat="1" applyFont="1" applyBorder="1" applyAlignment="1">
      <alignment vertical="center"/>
    </xf>
    <xf numFmtId="39" fontId="130" fillId="0" borderId="7" xfId="0" applyNumberFormat="1" applyFont="1" applyBorder="1" applyAlignment="1">
      <alignment vertical="center"/>
    </xf>
    <xf numFmtId="165" fontId="69" fillId="0" borderId="0" xfId="0" applyNumberFormat="1" applyFont="1" applyBorder="1" applyAlignment="1">
      <alignment horizontal="right"/>
    </xf>
    <xf numFmtId="165" fontId="69" fillId="0" borderId="43" xfId="0" applyNumberFormat="1" applyFont="1" applyBorder="1" applyAlignment="1">
      <alignment horizontal="right" vertical="center"/>
    </xf>
    <xf numFmtId="0" fontId="40" fillId="0" borderId="13" xfId="0" applyFont="1" applyBorder="1" applyAlignment="1">
      <alignment horizontal="center" vertical="center"/>
    </xf>
    <xf numFmtId="4" fontId="68" fillId="7" borderId="53" xfId="0" applyNumberFormat="1" applyFont="1" applyFill="1" applyBorder="1" applyAlignment="1">
      <alignment horizontal="right" vertical="center"/>
    </xf>
    <xf numFmtId="0" fontId="136" fillId="0" borderId="0" xfId="0" applyFont="1" applyFill="1"/>
    <xf numFmtId="0" fontId="138" fillId="0" borderId="1" xfId="0" applyFont="1" applyFill="1" applyBorder="1" applyAlignment="1">
      <alignment horizontal="left" vertical="center" wrapText="1"/>
    </xf>
    <xf numFmtId="43" fontId="138" fillId="0" borderId="1" xfId="0" applyNumberFormat="1" applyFont="1" applyFill="1" applyBorder="1" applyAlignment="1">
      <alignment horizontal="right" vertical="center" indent="1"/>
    </xf>
    <xf numFmtId="0" fontId="136" fillId="0" borderId="28" xfId="0" applyFont="1" applyFill="1" applyBorder="1"/>
    <xf numFmtId="0" fontId="139" fillId="0" borderId="0" xfId="0" applyFont="1" applyFill="1"/>
    <xf numFmtId="41" fontId="136" fillId="0" borderId="0" xfId="2" applyFont="1" applyFill="1"/>
    <xf numFmtId="41" fontId="139" fillId="0" borderId="0" xfId="2" applyFont="1" applyFill="1"/>
    <xf numFmtId="166" fontId="76" fillId="0" borderId="53" xfId="228" applyNumberFormat="1" applyFont="1" applyBorder="1" applyAlignment="1">
      <alignment vertical="center"/>
    </xf>
    <xf numFmtId="39" fontId="68" fillId="0" borderId="91" xfId="0" applyNumberFormat="1" applyFont="1" applyFill="1" applyBorder="1" applyAlignment="1">
      <alignment horizontal="right" vertical="top"/>
    </xf>
    <xf numFmtId="166" fontId="68" fillId="0" borderId="1" xfId="2" applyNumberFormat="1" applyFont="1" applyFill="1" applyBorder="1" applyAlignment="1">
      <alignment horizontal="right"/>
    </xf>
    <xf numFmtId="165" fontId="76" fillId="0" borderId="1" xfId="0" applyNumberFormat="1" applyFont="1" applyFill="1" applyBorder="1"/>
    <xf numFmtId="166" fontId="68" fillId="0" borderId="53" xfId="2" applyNumberFormat="1" applyFont="1" applyBorder="1" applyAlignment="1">
      <alignment horizontal="right" vertical="center" indent="1"/>
    </xf>
    <xf numFmtId="4" fontId="76" fillId="4" borderId="5" xfId="0" applyNumberFormat="1" applyFont="1" applyFill="1" applyBorder="1" applyAlignment="1">
      <alignment vertical="center"/>
    </xf>
    <xf numFmtId="0" fontId="68" fillId="8" borderId="53" xfId="0" applyFont="1" applyFill="1" applyBorder="1" applyAlignment="1">
      <alignment wrapText="1"/>
    </xf>
    <xf numFmtId="4" fontId="68" fillId="11" borderId="53" xfId="0" applyNumberFormat="1" applyFont="1" applyFill="1" applyBorder="1" applyAlignment="1">
      <alignment horizontal="right" vertical="center"/>
    </xf>
    <xf numFmtId="166" fontId="76" fillId="11" borderId="53" xfId="2" applyNumberFormat="1" applyFont="1" applyFill="1" applyBorder="1" applyAlignment="1">
      <alignment vertical="center"/>
    </xf>
    <xf numFmtId="166" fontId="69" fillId="0" borderId="7" xfId="11" applyNumberFormat="1" applyFont="1" applyFill="1" applyBorder="1" applyAlignment="1">
      <alignment horizontal="right" indent="3"/>
    </xf>
    <xf numFmtId="166" fontId="69" fillId="0" borderId="7" xfId="11" applyNumberFormat="1" applyFont="1" applyFill="1" applyBorder="1" applyAlignment="1">
      <alignment horizontal="left" vertical="center" indent="1"/>
    </xf>
    <xf numFmtId="4" fontId="68" fillId="8" borderId="53" xfId="0" applyNumberFormat="1" applyFont="1" applyFill="1" applyBorder="1" applyAlignment="1">
      <alignment horizontal="right"/>
    </xf>
    <xf numFmtId="165" fontId="76" fillId="8" borderId="53" xfId="0" applyNumberFormat="1" applyFont="1" applyFill="1" applyBorder="1"/>
    <xf numFmtId="0" fontId="40" fillId="9" borderId="7" xfId="0" applyFont="1" applyFill="1" applyBorder="1" applyAlignment="1">
      <alignment horizontal="left" vertical="center" indent="1"/>
    </xf>
    <xf numFmtId="49" fontId="76" fillId="9" borderId="7" xfId="0" applyNumberFormat="1" applyFont="1" applyFill="1" applyBorder="1" applyAlignment="1">
      <alignment horizontal="center" vertical="center"/>
    </xf>
    <xf numFmtId="4" fontId="69" fillId="9" borderId="7" xfId="0" applyNumberFormat="1" applyFont="1" applyFill="1" applyBorder="1" applyAlignment="1">
      <alignment horizontal="right" vertical="center"/>
    </xf>
    <xf numFmtId="166" fontId="69" fillId="9" borderId="7" xfId="11" applyNumberFormat="1" applyFont="1" applyFill="1" applyBorder="1" applyAlignment="1">
      <alignment vertical="center"/>
    </xf>
    <xf numFmtId="166" fontId="69" fillId="9" borderId="7" xfId="2" applyNumberFormat="1" applyFont="1" applyFill="1" applyBorder="1" applyAlignment="1">
      <alignment horizontal="right" vertical="center"/>
    </xf>
    <xf numFmtId="166" fontId="69" fillId="9" borderId="7" xfId="2" applyNumberFormat="1" applyFont="1" applyFill="1" applyBorder="1" applyAlignment="1">
      <alignment vertical="center"/>
    </xf>
    <xf numFmtId="166" fontId="69" fillId="9" borderId="7" xfId="2" applyNumberFormat="1" applyFont="1" applyFill="1" applyBorder="1" applyAlignment="1" applyProtection="1">
      <alignment horizontal="left" vertical="center" indent="1"/>
    </xf>
    <xf numFmtId="166" fontId="69" fillId="9" borderId="7" xfId="2" applyNumberFormat="1" applyFont="1" applyFill="1" applyBorder="1" applyAlignment="1" applyProtection="1">
      <alignment vertical="center"/>
    </xf>
    <xf numFmtId="166" fontId="72" fillId="9" borderId="7" xfId="2" applyNumberFormat="1" applyFont="1" applyFill="1" applyBorder="1" applyAlignment="1">
      <alignment horizontal="right" vertical="center"/>
    </xf>
    <xf numFmtId="4" fontId="72" fillId="9" borderId="7" xfId="2" applyNumberFormat="1" applyFont="1" applyFill="1" applyBorder="1" applyAlignment="1">
      <alignment vertical="center"/>
    </xf>
    <xf numFmtId="43" fontId="82" fillId="9" borderId="7" xfId="2" applyNumberFormat="1" applyFont="1" applyFill="1" applyBorder="1" applyAlignment="1">
      <alignment vertical="center"/>
    </xf>
    <xf numFmtId="166" fontId="68" fillId="5" borderId="7" xfId="2" applyNumberFormat="1" applyFont="1" applyFill="1" applyBorder="1" applyAlignment="1">
      <alignment horizontal="right" vertical="center"/>
    </xf>
    <xf numFmtId="0" fontId="15" fillId="0" borderId="13" xfId="0" applyFont="1" applyBorder="1" applyAlignment="1">
      <alignment horizontal="center" vertical="center"/>
    </xf>
    <xf numFmtId="0" fontId="15" fillId="0" borderId="18" xfId="0" applyFont="1" applyBorder="1" applyAlignment="1">
      <alignment horizontal="center" vertical="center"/>
    </xf>
    <xf numFmtId="43" fontId="85" fillId="0" borderId="43" xfId="0" applyNumberFormat="1" applyFont="1" applyBorder="1" applyAlignment="1">
      <alignment horizontal="center" vertical="center"/>
    </xf>
    <xf numFmtId="43" fontId="82" fillId="0" borderId="7" xfId="2" applyNumberFormat="1" applyFont="1" applyBorder="1"/>
    <xf numFmtId="43" fontId="85" fillId="0" borderId="7" xfId="2" applyNumberFormat="1" applyFont="1" applyBorder="1"/>
    <xf numFmtId="43" fontId="85" fillId="0" borderId="43" xfId="2" applyNumberFormat="1" applyFont="1" applyBorder="1"/>
    <xf numFmtId="43" fontId="82" fillId="0" borderId="7" xfId="2" applyNumberFormat="1" applyFont="1" applyBorder="1" applyAlignment="1">
      <alignment vertical="center"/>
    </xf>
    <xf numFmtId="43" fontId="82" fillId="0" borderId="14" xfId="2" applyNumberFormat="1" applyFont="1" applyBorder="1" applyAlignment="1">
      <alignment vertical="center"/>
    </xf>
    <xf numFmtId="43" fontId="82" fillId="0" borderId="17" xfId="2" applyNumberFormat="1" applyFont="1" applyBorder="1"/>
    <xf numFmtId="43" fontId="83" fillId="0" borderId="7" xfId="2" applyNumberFormat="1" applyFont="1" applyBorder="1"/>
    <xf numFmtId="166" fontId="68" fillId="7" borderId="53" xfId="2" applyNumberFormat="1" applyFont="1" applyFill="1" applyBorder="1" applyAlignment="1">
      <alignment vertical="center"/>
    </xf>
    <xf numFmtId="49" fontId="94" fillId="8" borderId="53" xfId="0" applyNumberFormat="1" applyFont="1" applyFill="1" applyBorder="1" applyAlignment="1">
      <alignment horizontal="center" vertical="center"/>
    </xf>
    <xf numFmtId="4" fontId="68" fillId="8" borderId="53" xfId="2" applyNumberFormat="1" applyFont="1" applyFill="1" applyBorder="1" applyAlignment="1">
      <alignment horizontal="right" vertical="center"/>
    </xf>
    <xf numFmtId="43" fontId="102" fillId="0" borderId="57" xfId="0" applyNumberFormat="1" applyFont="1" applyFill="1" applyBorder="1" applyAlignment="1">
      <alignment horizontal="left" vertical="center" indent="1"/>
    </xf>
    <xf numFmtId="43" fontId="68" fillId="0" borderId="57" xfId="0" applyNumberFormat="1" applyFont="1" applyFill="1" applyBorder="1" applyAlignment="1">
      <alignment horizontal="left" vertical="center" indent="1"/>
    </xf>
    <xf numFmtId="4" fontId="68" fillId="0" borderId="56" xfId="2" applyNumberFormat="1" applyFont="1" applyFill="1" applyBorder="1" applyAlignment="1">
      <alignment vertical="center"/>
    </xf>
    <xf numFmtId="43" fontId="68" fillId="0" borderId="57" xfId="0" applyNumberFormat="1" applyFont="1" applyFill="1" applyBorder="1" applyAlignment="1">
      <alignment vertical="center"/>
    </xf>
    <xf numFmtId="0" fontId="27" fillId="0" borderId="28" xfId="0" applyFont="1" applyFill="1" applyBorder="1"/>
    <xf numFmtId="166" fontId="55" fillId="0" borderId="0" xfId="2" applyNumberFormat="1" applyFont="1" applyFill="1"/>
    <xf numFmtId="0" fontId="9" fillId="8" borderId="0" xfId="0" applyFont="1" applyFill="1"/>
    <xf numFmtId="166" fontId="76" fillId="8" borderId="28" xfId="2" applyNumberFormat="1" applyFont="1" applyFill="1" applyBorder="1" applyAlignment="1">
      <alignment vertical="center"/>
    </xf>
    <xf numFmtId="0" fontId="26" fillId="8" borderId="28" xfId="0" applyFont="1" applyFill="1" applyBorder="1"/>
    <xf numFmtId="166" fontId="0" fillId="8" borderId="0" xfId="2" applyNumberFormat="1" applyFont="1" applyFill="1"/>
    <xf numFmtId="0" fontId="0" fillId="0" borderId="0" xfId="0" applyFont="1" applyAlignment="1">
      <alignment horizontal="right" wrapText="1"/>
    </xf>
    <xf numFmtId="0" fontId="0" fillId="0" borderId="0" xfId="0" applyFont="1" applyFill="1" applyBorder="1" applyAlignment="1">
      <alignment horizontal="right" wrapText="1"/>
    </xf>
    <xf numFmtId="4" fontId="68" fillId="0" borderId="118" xfId="0" applyNumberFormat="1" applyFont="1" applyBorder="1" applyAlignment="1">
      <alignment horizontal="right" vertical="center"/>
    </xf>
    <xf numFmtId="41" fontId="68" fillId="0" borderId="53" xfId="0" applyNumberFormat="1" applyFont="1" applyFill="1" applyBorder="1"/>
    <xf numFmtId="166" fontId="68" fillId="0" borderId="0" xfId="2" applyNumberFormat="1" applyFont="1" applyAlignment="1"/>
    <xf numFmtId="49" fontId="76" fillId="0" borderId="57" xfId="0" applyNumberFormat="1" applyFont="1" applyFill="1" applyBorder="1" applyAlignment="1">
      <alignment horizontal="center" vertical="center"/>
    </xf>
    <xf numFmtId="2" fontId="68" fillId="0" borderId="57" xfId="0" applyNumberFormat="1" applyFont="1" applyFill="1" applyBorder="1" applyAlignment="1">
      <alignment horizontal="right" vertical="center"/>
    </xf>
    <xf numFmtId="4" fontId="102" fillId="0" borderId="56" xfId="0" applyNumberFormat="1" applyFont="1" applyFill="1" applyBorder="1" applyAlignment="1">
      <alignment vertical="center"/>
    </xf>
    <xf numFmtId="4" fontId="68" fillId="0" borderId="0" xfId="0" applyNumberFormat="1" applyFont="1" applyFill="1" applyBorder="1" applyAlignment="1">
      <alignment vertical="center"/>
    </xf>
    <xf numFmtId="166" fontId="76" fillId="0" borderId="57" xfId="2" applyNumberFormat="1" applyFont="1" applyFill="1" applyBorder="1" applyAlignment="1">
      <alignment vertical="center"/>
    </xf>
    <xf numFmtId="4" fontId="0" fillId="0" borderId="0" xfId="0" applyNumberFormat="1" applyFill="1"/>
    <xf numFmtId="0" fontId="70" fillId="0" borderId="1" xfId="0" applyFont="1" applyBorder="1"/>
    <xf numFmtId="4" fontId="70" fillId="0" borderId="1" xfId="0" applyNumberFormat="1" applyFont="1" applyBorder="1"/>
    <xf numFmtId="43" fontId="76" fillId="9" borderId="7" xfId="0" applyNumberFormat="1" applyFont="1" applyFill="1" applyBorder="1" applyAlignment="1">
      <alignment horizontal="right" vertical="center" indent="1"/>
    </xf>
    <xf numFmtId="43" fontId="68" fillId="9" borderId="7" xfId="0" applyNumberFormat="1" applyFont="1" applyFill="1" applyBorder="1" applyAlignment="1">
      <alignment horizontal="right" vertical="center" indent="1"/>
    </xf>
    <xf numFmtId="4" fontId="76" fillId="9" borderId="7" xfId="0" applyNumberFormat="1" applyFont="1" applyFill="1" applyBorder="1" applyAlignment="1">
      <alignment horizontal="right" vertical="center"/>
    </xf>
    <xf numFmtId="0" fontId="68" fillId="9" borderId="7" xfId="0" applyFont="1" applyFill="1" applyBorder="1" applyAlignment="1">
      <alignment horizontal="left" vertical="top" wrapText="1"/>
    </xf>
    <xf numFmtId="4" fontId="76" fillId="9" borderId="7" xfId="18" applyNumberFormat="1" applyFont="1" applyFill="1" applyBorder="1" applyAlignment="1">
      <alignment vertical="center"/>
    </xf>
    <xf numFmtId="0" fontId="0" fillId="0" borderId="7" xfId="0" applyFont="1" applyBorder="1" applyAlignment="1"/>
    <xf numFmtId="0" fontId="70" fillId="0" borderId="7" xfId="0" applyFont="1" applyBorder="1"/>
    <xf numFmtId="4" fontId="70" fillId="0" borderId="7" xfId="0" applyNumberFormat="1" applyFont="1" applyBorder="1"/>
    <xf numFmtId="166" fontId="68" fillId="9" borderId="7" xfId="2" applyNumberFormat="1" applyFont="1" applyFill="1" applyBorder="1" applyAlignment="1">
      <alignment horizontal="right" vertical="center"/>
    </xf>
    <xf numFmtId="4" fontId="68" fillId="9" borderId="7" xfId="0" applyNumberFormat="1" applyFont="1" applyFill="1" applyBorder="1" applyAlignment="1">
      <alignment horizontal="right" vertical="center"/>
    </xf>
    <xf numFmtId="43" fontId="68" fillId="5" borderId="7" xfId="0" applyNumberFormat="1" applyFont="1" applyFill="1" applyBorder="1" applyAlignment="1">
      <alignment horizontal="left" vertical="center"/>
    </xf>
    <xf numFmtId="43" fontId="68" fillId="2" borderId="53" xfId="0" applyNumberFormat="1" applyFont="1" applyFill="1" applyBorder="1" applyAlignment="1">
      <alignment horizontal="left" vertical="center"/>
    </xf>
    <xf numFmtId="43" fontId="68" fillId="0" borderId="53" xfId="0" applyNumberFormat="1" applyFont="1" applyFill="1" applyBorder="1" applyAlignment="1">
      <alignment horizontal="right" vertical="center"/>
    </xf>
    <xf numFmtId="43" fontId="68" fillId="0" borderId="1" xfId="0" applyNumberFormat="1" applyFont="1" applyFill="1" applyBorder="1" applyAlignment="1">
      <alignment horizontal="right" vertical="center"/>
    </xf>
    <xf numFmtId="166" fontId="69" fillId="0" borderId="0" xfId="2" applyNumberFormat="1" applyFont="1" applyAlignment="1">
      <alignment horizontal="right" vertical="center"/>
    </xf>
    <xf numFmtId="43" fontId="69" fillId="0" borderId="7" xfId="0" applyNumberFormat="1" applyFont="1" applyFill="1" applyBorder="1" applyAlignment="1">
      <alignment horizontal="right" vertical="center"/>
    </xf>
    <xf numFmtId="39" fontId="69" fillId="0" borderId="14" xfId="12" applyNumberFormat="1" applyFont="1" applyBorder="1" applyAlignment="1">
      <alignment horizontal="right" vertical="center"/>
    </xf>
    <xf numFmtId="39" fontId="69" fillId="0" borderId="7" xfId="12" applyNumberFormat="1" applyFont="1" applyBorder="1" applyAlignment="1">
      <alignment horizontal="right" vertical="center"/>
    </xf>
    <xf numFmtId="39" fontId="69" fillId="0" borderId="5" xfId="12" applyNumberFormat="1" applyFont="1" applyBorder="1" applyAlignment="1">
      <alignment horizontal="right" vertical="center"/>
    </xf>
    <xf numFmtId="43" fontId="69" fillId="0" borderId="61" xfId="1" applyFont="1" applyBorder="1" applyAlignment="1">
      <alignment horizontal="right" vertical="center"/>
    </xf>
    <xf numFmtId="43" fontId="69" fillId="0" borderId="14" xfId="0" applyNumberFormat="1" applyFont="1" applyFill="1" applyBorder="1" applyAlignment="1">
      <alignment horizontal="right" vertical="center"/>
    </xf>
    <xf numFmtId="43" fontId="68" fillId="0" borderId="14" xfId="0" applyNumberFormat="1" applyFont="1" applyFill="1" applyBorder="1" applyAlignment="1">
      <alignment horizontal="right" vertical="center"/>
    </xf>
    <xf numFmtId="43" fontId="68" fillId="0" borderId="53" xfId="12" applyNumberFormat="1" applyFont="1" applyBorder="1" applyAlignment="1">
      <alignment horizontal="right" vertical="center" wrapText="1"/>
    </xf>
    <xf numFmtId="43" fontId="69" fillId="0" borderId="7" xfId="1" applyFont="1" applyFill="1" applyBorder="1" applyAlignment="1">
      <alignment horizontal="right" vertical="center"/>
    </xf>
    <xf numFmtId="43" fontId="68" fillId="8" borderId="53" xfId="0" applyNumberFormat="1" applyFont="1" applyFill="1" applyBorder="1" applyAlignment="1">
      <alignment horizontal="left" vertical="center"/>
    </xf>
    <xf numFmtId="0" fontId="0" fillId="0" borderId="14" xfId="0" applyFont="1" applyBorder="1" applyAlignment="1">
      <alignment horizontal="right" vertical="center"/>
    </xf>
    <xf numFmtId="43" fontId="69" fillId="0" borderId="14" xfId="0" applyNumberFormat="1" applyFont="1" applyBorder="1" applyAlignment="1">
      <alignment horizontal="left" vertical="center"/>
    </xf>
    <xf numFmtId="43" fontId="68" fillId="0" borderId="53" xfId="0" applyNumberFormat="1" applyFont="1" applyBorder="1" applyAlignment="1">
      <alignment horizontal="left" vertical="center"/>
    </xf>
    <xf numFmtId="43" fontId="68" fillId="0" borderId="5" xfId="0" applyNumberFormat="1" applyFont="1" applyBorder="1" applyAlignment="1">
      <alignment horizontal="left" vertical="center"/>
    </xf>
    <xf numFmtId="43" fontId="69" fillId="0" borderId="7" xfId="0" applyNumberFormat="1" applyFont="1" applyBorder="1" applyAlignment="1">
      <alignment horizontal="left" vertical="center"/>
    </xf>
    <xf numFmtId="43" fontId="68" fillId="0" borderId="7" xfId="0" applyNumberFormat="1" applyFont="1" applyBorder="1" applyAlignment="1">
      <alignment horizontal="left" vertical="center"/>
    </xf>
    <xf numFmtId="43" fontId="69" fillId="0" borderId="14" xfId="0" applyNumberFormat="1" applyFont="1" applyBorder="1" applyAlignment="1">
      <alignment horizontal="right" vertical="center"/>
    </xf>
    <xf numFmtId="43" fontId="68" fillId="7" borderId="53" xfId="0" applyNumberFormat="1" applyFont="1" applyFill="1" applyBorder="1" applyAlignment="1">
      <alignment horizontal="left" vertical="center"/>
    </xf>
    <xf numFmtId="39" fontId="68" fillId="0" borderId="68" xfId="0" applyNumberFormat="1" applyFont="1" applyBorder="1" applyAlignment="1">
      <alignment vertical="center" wrapText="1"/>
    </xf>
    <xf numFmtId="39" fontId="68" fillId="0" borderId="7" xfId="0" applyNumberFormat="1" applyFont="1" applyBorder="1" applyAlignment="1">
      <alignment vertical="center" wrapText="1"/>
    </xf>
    <xf numFmtId="39" fontId="68" fillId="8" borderId="73" xfId="0" applyNumberFormat="1" applyFont="1" applyFill="1" applyBorder="1" applyAlignment="1">
      <alignment vertical="center"/>
    </xf>
    <xf numFmtId="39" fontId="69" fillId="0" borderId="0" xfId="0" applyNumberFormat="1" applyFont="1" applyFill="1" applyBorder="1" applyAlignment="1">
      <alignment horizontal="right" vertical="center"/>
    </xf>
    <xf numFmtId="166" fontId="69" fillId="0" borderId="14" xfId="228" applyNumberFormat="1" applyFont="1" applyBorder="1" applyAlignment="1">
      <alignment horizontal="right" vertical="center"/>
    </xf>
    <xf numFmtId="39" fontId="69" fillId="0" borderId="1" xfId="0" applyNumberFormat="1" applyFont="1" applyBorder="1" applyAlignment="1">
      <alignment horizontal="right" vertical="center"/>
    </xf>
    <xf numFmtId="43" fontId="68" fillId="0" borderId="7" xfId="1" applyNumberFormat="1" applyFont="1" applyBorder="1" applyAlignment="1">
      <alignment vertical="center"/>
    </xf>
    <xf numFmtId="43" fontId="68" fillId="0" borderId="57" xfId="1" applyFont="1" applyBorder="1" applyAlignment="1">
      <alignment horizontal="right" vertical="center"/>
    </xf>
    <xf numFmtId="43" fontId="69" fillId="0" borderId="43" xfId="1" applyFont="1" applyBorder="1" applyAlignment="1">
      <alignment horizontal="right" vertical="center"/>
    </xf>
    <xf numFmtId="43" fontId="68" fillId="0" borderId="43" xfId="1" applyFont="1" applyBorder="1" applyAlignment="1">
      <alignment horizontal="right" vertical="center"/>
    </xf>
    <xf numFmtId="43" fontId="68" fillId="0" borderId="68" xfId="0" applyNumberFormat="1" applyFont="1" applyBorder="1" applyAlignment="1">
      <alignment horizontal="left" vertical="center"/>
    </xf>
    <xf numFmtId="43" fontId="68" fillId="0" borderId="14" xfId="0" applyNumberFormat="1" applyFont="1" applyBorder="1" applyAlignment="1">
      <alignment horizontal="left" vertical="center"/>
    </xf>
    <xf numFmtId="39" fontId="68" fillId="0" borderId="73" xfId="0" applyNumberFormat="1" applyFont="1" applyBorder="1" applyAlignment="1">
      <alignment horizontal="right" vertical="center"/>
    </xf>
    <xf numFmtId="39" fontId="82" fillId="0" borderId="7" xfId="0" applyNumberFormat="1" applyFont="1" applyBorder="1" applyAlignment="1">
      <alignment vertical="center"/>
    </xf>
    <xf numFmtId="0" fontId="0" fillId="0" borderId="7" xfId="0" applyFont="1" applyBorder="1" applyAlignment="1">
      <alignment horizontal="right" vertical="center"/>
    </xf>
    <xf numFmtId="39" fontId="68" fillId="0" borderId="68" xfId="0" applyNumberFormat="1" applyFont="1" applyBorder="1" applyAlignment="1">
      <alignment horizontal="right" vertical="center" wrapText="1"/>
    </xf>
    <xf numFmtId="39" fontId="69" fillId="0" borderId="99" xfId="0" applyNumberFormat="1" applyFont="1" applyBorder="1" applyAlignment="1">
      <alignment horizontal="right" vertical="center"/>
    </xf>
    <xf numFmtId="39" fontId="68" fillId="0" borderId="7" xfId="0" applyNumberFormat="1" applyFont="1" applyBorder="1" applyAlignment="1">
      <alignment horizontal="right" vertical="center" wrapText="1"/>
    </xf>
    <xf numFmtId="39" fontId="69" fillId="4" borderId="5" xfId="0" applyNumberFormat="1" applyFont="1" applyFill="1" applyBorder="1" applyAlignment="1">
      <alignment vertical="center"/>
    </xf>
    <xf numFmtId="39" fontId="68" fillId="8" borderId="53" xfId="0" applyNumberFormat="1" applyFont="1" applyFill="1" applyBorder="1" applyAlignment="1">
      <alignment horizontal="right" vertical="center"/>
    </xf>
    <xf numFmtId="43" fontId="69" fillId="10" borderId="59" xfId="0" applyNumberFormat="1" applyFont="1" applyFill="1" applyBorder="1" applyAlignment="1">
      <alignment vertical="center"/>
    </xf>
    <xf numFmtId="166" fontId="69" fillId="10" borderId="61" xfId="0" applyNumberFormat="1" applyFont="1" applyFill="1" applyBorder="1" applyAlignment="1">
      <alignment vertical="center"/>
    </xf>
    <xf numFmtId="166" fontId="69" fillId="0" borderId="7" xfId="2" applyNumberFormat="1" applyFont="1" applyBorder="1" applyAlignment="1" applyProtection="1">
      <alignment horizontal="left" vertical="center"/>
    </xf>
    <xf numFmtId="166" fontId="69" fillId="0" borderId="7" xfId="2" applyNumberFormat="1" applyFont="1" applyFill="1" applyBorder="1" applyAlignment="1" applyProtection="1">
      <alignment horizontal="left" vertical="center"/>
    </xf>
    <xf numFmtId="49" fontId="68" fillId="0" borderId="53" xfId="0" applyNumberFormat="1" applyFont="1" applyFill="1" applyBorder="1" applyAlignment="1">
      <alignment horizontal="center" vertical="center"/>
    </xf>
    <xf numFmtId="43" fontId="68" fillId="0" borderId="57" xfId="0" applyNumberFormat="1" applyFont="1" applyFill="1" applyBorder="1" applyAlignment="1">
      <alignment horizontal="left" vertical="center"/>
    </xf>
    <xf numFmtId="43" fontId="68" fillId="0" borderId="57" xfId="0" applyNumberFormat="1" applyFont="1" applyFill="1" applyBorder="1" applyAlignment="1">
      <alignment horizontal="right" vertical="center"/>
    </xf>
    <xf numFmtId="39" fontId="68" fillId="0" borderId="75" xfId="0" applyNumberFormat="1" applyFont="1" applyFill="1" applyBorder="1" applyAlignment="1">
      <alignment vertical="center"/>
    </xf>
    <xf numFmtId="39" fontId="68" fillId="0" borderId="56" xfId="0" applyNumberFormat="1" applyFont="1" applyFill="1" applyBorder="1" applyAlignment="1">
      <alignment horizontal="right" vertical="center"/>
    </xf>
    <xf numFmtId="0" fontId="82" fillId="0" borderId="0" xfId="0" applyFont="1" applyFill="1"/>
    <xf numFmtId="49" fontId="68" fillId="0" borderId="57" xfId="0" applyNumberFormat="1" applyFont="1" applyFill="1" applyBorder="1" applyAlignment="1">
      <alignment horizontal="center" vertical="center"/>
    </xf>
    <xf numFmtId="39" fontId="68" fillId="0" borderId="57" xfId="0" applyNumberFormat="1" applyFont="1" applyFill="1" applyBorder="1" applyAlignment="1">
      <alignment horizontal="right" vertical="center"/>
    </xf>
    <xf numFmtId="0" fontId="124" fillId="0" borderId="28" xfId="0" applyFont="1" applyFill="1" applyBorder="1"/>
    <xf numFmtId="166" fontId="0" fillId="0" borderId="0" xfId="2" applyNumberFormat="1" applyFont="1" applyAlignment="1">
      <alignment vertical="center"/>
    </xf>
    <xf numFmtId="166" fontId="0" fillId="0" borderId="0" xfId="2" applyNumberFormat="1" applyFont="1" applyAlignment="1">
      <alignment horizontal="right" vertical="center"/>
    </xf>
    <xf numFmtId="166" fontId="68" fillId="9" borderId="52" xfId="18" applyNumberFormat="1" applyFont="1" applyFill="1" applyBorder="1" applyAlignment="1">
      <alignment horizontal="right" vertical="center"/>
    </xf>
    <xf numFmtId="43" fontId="68" fillId="0" borderId="53" xfId="2" applyNumberFormat="1" applyFont="1" applyFill="1" applyBorder="1" applyAlignment="1">
      <alignment horizontal="right" vertical="center"/>
    </xf>
    <xf numFmtId="166" fontId="68" fillId="0" borderId="53" xfId="18" applyNumberFormat="1" applyFont="1" applyBorder="1" applyAlignment="1">
      <alignment horizontal="right" vertical="center"/>
    </xf>
    <xf numFmtId="43" fontId="68" fillId="0" borderId="53" xfId="18" applyNumberFormat="1" applyFont="1" applyFill="1" applyBorder="1" applyAlignment="1">
      <alignment horizontal="right" vertical="center"/>
    </xf>
    <xf numFmtId="166" fontId="68" fillId="0" borderId="28" xfId="18" applyNumberFormat="1" applyFont="1" applyBorder="1" applyAlignment="1">
      <alignment horizontal="right" vertical="center"/>
    </xf>
    <xf numFmtId="43" fontId="68" fillId="0" borderId="7" xfId="0" applyNumberFormat="1" applyFont="1" applyFill="1" applyBorder="1" applyAlignment="1">
      <alignment horizontal="left" vertical="center"/>
    </xf>
    <xf numFmtId="0" fontId="0" fillId="0" borderId="28" xfId="0" applyFont="1" applyBorder="1" applyAlignment="1">
      <alignment horizontal="right" vertical="center"/>
    </xf>
    <xf numFmtId="43" fontId="69" fillId="0" borderId="1" xfId="0" applyNumberFormat="1" applyFont="1" applyFill="1" applyBorder="1" applyAlignment="1">
      <alignment horizontal="right" vertical="center"/>
    </xf>
    <xf numFmtId="166" fontId="69" fillId="0" borderId="51" xfId="18" applyNumberFormat="1" applyFont="1" applyBorder="1" applyAlignment="1">
      <alignment vertical="center"/>
    </xf>
    <xf numFmtId="43" fontId="68" fillId="0" borderId="53" xfId="0" applyNumberFormat="1" applyFont="1" applyFill="1" applyBorder="1" applyAlignment="1">
      <alignment horizontal="left" vertical="center"/>
    </xf>
    <xf numFmtId="166" fontId="68" fillId="0" borderId="54" xfId="18" applyNumberFormat="1" applyFont="1" applyBorder="1" applyAlignment="1">
      <alignment vertical="center"/>
    </xf>
    <xf numFmtId="43" fontId="68" fillId="0" borderId="5" xfId="0" applyNumberFormat="1" applyFont="1" applyFill="1" applyBorder="1" applyAlignment="1">
      <alignment horizontal="left" vertical="center"/>
    </xf>
    <xf numFmtId="43" fontId="69" fillId="0" borderId="5" xfId="0" applyNumberFormat="1" applyFont="1" applyFill="1" applyBorder="1" applyAlignment="1">
      <alignment horizontal="left" vertical="center"/>
    </xf>
    <xf numFmtId="166" fontId="0" fillId="0" borderId="27" xfId="18" applyNumberFormat="1" applyFont="1" applyBorder="1" applyAlignment="1">
      <alignment horizontal="right" vertical="center"/>
    </xf>
    <xf numFmtId="166" fontId="68" fillId="0" borderId="27" xfId="18" applyNumberFormat="1" applyFont="1" applyBorder="1" applyAlignment="1">
      <alignment vertical="center"/>
    </xf>
    <xf numFmtId="4" fontId="69" fillId="0" borderId="28" xfId="18" applyNumberFormat="1" applyFont="1" applyBorder="1" applyAlignment="1">
      <alignment vertical="center"/>
    </xf>
    <xf numFmtId="43" fontId="87" fillId="0" borderId="53" xfId="1" applyFont="1" applyFill="1" applyBorder="1" applyAlignment="1">
      <alignment horizontal="right" vertical="center"/>
    </xf>
    <xf numFmtId="4" fontId="87" fillId="0" borderId="54" xfId="0" applyNumberFormat="1" applyFont="1" applyFill="1" applyBorder="1" applyAlignment="1">
      <alignment horizontal="right" vertical="center"/>
    </xf>
    <xf numFmtId="43" fontId="87" fillId="0" borderId="1" xfId="0" applyNumberFormat="1" applyFont="1" applyFill="1" applyBorder="1" applyAlignment="1">
      <alignment horizontal="right" vertical="center"/>
    </xf>
    <xf numFmtId="4" fontId="87" fillId="0" borderId="1" xfId="0" applyNumberFormat="1" applyFont="1" applyFill="1" applyBorder="1" applyAlignment="1">
      <alignment horizontal="right" vertical="center"/>
    </xf>
    <xf numFmtId="39" fontId="84" fillId="0" borderId="59" xfId="12" applyNumberFormat="1" applyFont="1" applyFill="1" applyBorder="1" applyAlignment="1">
      <alignment horizontal="right" vertical="center"/>
    </xf>
    <xf numFmtId="4" fontId="84" fillId="0" borderId="7" xfId="0" applyNumberFormat="1" applyFont="1" applyFill="1" applyBorder="1" applyAlignment="1">
      <alignment horizontal="right" vertical="center"/>
    </xf>
    <xf numFmtId="4" fontId="84" fillId="0" borderId="1" xfId="0" applyNumberFormat="1" applyFont="1" applyFill="1" applyBorder="1" applyAlignment="1">
      <alignment horizontal="right" vertical="center"/>
    </xf>
    <xf numFmtId="43" fontId="69" fillId="0" borderId="1" xfId="1" applyFont="1" applyBorder="1" applyAlignment="1">
      <alignment horizontal="right" vertical="center"/>
    </xf>
    <xf numFmtId="43" fontId="69" fillId="0" borderId="28" xfId="1" applyFont="1" applyBorder="1" applyAlignment="1">
      <alignment horizontal="right" vertical="center"/>
    </xf>
    <xf numFmtId="4" fontId="68" fillId="8" borderId="9" xfId="2" applyNumberFormat="1" applyFont="1" applyFill="1" applyBorder="1" applyAlignment="1">
      <alignment vertical="center"/>
    </xf>
    <xf numFmtId="4" fontId="68" fillId="0" borderId="2" xfId="2" applyNumberFormat="1" applyFont="1" applyFill="1" applyBorder="1" applyAlignment="1">
      <alignment vertical="center"/>
    </xf>
    <xf numFmtId="166" fontId="68" fillId="0" borderId="26" xfId="2" applyNumberFormat="1" applyFont="1" applyFill="1" applyBorder="1" applyAlignment="1">
      <alignment vertical="center"/>
    </xf>
    <xf numFmtId="0" fontId="83" fillId="0" borderId="7" xfId="0" applyFont="1" applyBorder="1" applyAlignment="1">
      <alignment vertical="center"/>
    </xf>
    <xf numFmtId="43" fontId="68" fillId="0" borderId="57" xfId="0" applyNumberFormat="1" applyFont="1" applyBorder="1" applyAlignment="1">
      <alignment horizontal="left" vertical="center"/>
    </xf>
    <xf numFmtId="166" fontId="0" fillId="0" borderId="74" xfId="2" applyNumberFormat="1" applyFont="1" applyBorder="1" applyAlignment="1">
      <alignment horizontal="right" vertical="center"/>
    </xf>
    <xf numFmtId="39" fontId="68" fillId="0" borderId="55" xfId="0" applyNumberFormat="1" applyFont="1" applyBorder="1" applyAlignment="1">
      <alignment vertical="center"/>
    </xf>
    <xf numFmtId="39" fontId="68" fillId="0" borderId="55" xfId="0" applyNumberFormat="1" applyFont="1" applyBorder="1" applyAlignment="1">
      <alignment horizontal="right" vertical="center"/>
    </xf>
    <xf numFmtId="169" fontId="69" fillId="0" borderId="74" xfId="2" applyNumberFormat="1" applyFont="1" applyBorder="1" applyAlignment="1">
      <alignment horizontal="right" vertical="center"/>
    </xf>
    <xf numFmtId="4" fontId="68" fillId="8" borderId="53" xfId="2" applyNumberFormat="1" applyFont="1" applyFill="1" applyBorder="1" applyAlignment="1">
      <alignment vertical="center"/>
    </xf>
    <xf numFmtId="4" fontId="69" fillId="4" borderId="51" xfId="0" applyNumberFormat="1" applyFont="1" applyFill="1" applyBorder="1" applyAlignment="1">
      <alignment vertical="center"/>
    </xf>
    <xf numFmtId="4" fontId="69" fillId="4" borderId="5" xfId="0" applyNumberFormat="1" applyFont="1" applyFill="1" applyBorder="1" applyAlignment="1">
      <alignment vertical="center"/>
    </xf>
    <xf numFmtId="43" fontId="68" fillId="0" borderId="1" xfId="0" applyNumberFormat="1" applyFont="1" applyBorder="1" applyAlignment="1">
      <alignment horizontal="left" vertical="center"/>
    </xf>
    <xf numFmtId="43" fontId="69" fillId="0" borderId="5" xfId="0" applyNumberFormat="1" applyFont="1" applyBorder="1" applyAlignment="1">
      <alignment horizontal="left" vertical="center"/>
    </xf>
    <xf numFmtId="43" fontId="69" fillId="0" borderId="52" xfId="0" applyNumberFormat="1" applyFont="1" applyBorder="1" applyAlignment="1">
      <alignment horizontal="left" vertical="center"/>
    </xf>
    <xf numFmtId="166" fontId="69" fillId="0" borderId="52" xfId="2" quotePrefix="1" applyNumberFormat="1" applyFont="1" applyBorder="1" applyAlignment="1">
      <alignment horizontal="right" vertical="center"/>
    </xf>
    <xf numFmtId="43" fontId="69" fillId="0" borderId="51" xfId="0" applyNumberFormat="1" applyFont="1" applyBorder="1" applyAlignment="1">
      <alignment horizontal="left" vertical="center"/>
    </xf>
    <xf numFmtId="166" fontId="69" fillId="0" borderId="51" xfId="2" quotePrefix="1" applyNumberFormat="1" applyFont="1" applyBorder="1" applyAlignment="1">
      <alignment horizontal="right" vertical="center"/>
    </xf>
    <xf numFmtId="43" fontId="69" fillId="0" borderId="28" xfId="0" applyNumberFormat="1" applyFont="1" applyBorder="1" applyAlignment="1">
      <alignment horizontal="left" vertical="center"/>
    </xf>
    <xf numFmtId="166" fontId="69" fillId="0" borderId="28" xfId="2" quotePrefix="1" applyNumberFormat="1" applyFont="1" applyBorder="1" applyAlignment="1">
      <alignment horizontal="right" vertical="center"/>
    </xf>
    <xf numFmtId="43" fontId="69" fillId="0" borderId="58" xfId="0" applyNumberFormat="1" applyFont="1" applyBorder="1" applyAlignment="1">
      <alignment horizontal="left" vertical="center"/>
    </xf>
    <xf numFmtId="166" fontId="69" fillId="0" borderId="58" xfId="2" quotePrefix="1" applyNumberFormat="1" applyFont="1" applyBorder="1" applyAlignment="1">
      <alignment horizontal="right" vertical="center"/>
    </xf>
    <xf numFmtId="166" fontId="68" fillId="0" borderId="66" xfId="2" applyNumberFormat="1" applyFont="1" applyFill="1" applyBorder="1" applyAlignment="1">
      <alignment horizontal="right" vertical="center"/>
    </xf>
    <xf numFmtId="166" fontId="69" fillId="0" borderId="66" xfId="2" applyNumberFormat="1" applyFont="1" applyFill="1" applyBorder="1" applyAlignment="1">
      <alignment horizontal="right" vertical="center"/>
    </xf>
    <xf numFmtId="166" fontId="0" fillId="0" borderId="7" xfId="2" applyNumberFormat="1" applyFont="1" applyFill="1" applyBorder="1" applyAlignment="1" applyProtection="1">
      <alignment horizontal="left" vertical="center"/>
    </xf>
    <xf numFmtId="166" fontId="0" fillId="0" borderId="0" xfId="2" applyNumberFormat="1" applyFont="1" applyBorder="1" applyAlignment="1">
      <alignment horizontal="right" vertical="center"/>
    </xf>
    <xf numFmtId="166" fontId="68" fillId="0" borderId="0" xfId="2" applyNumberFormat="1" applyFont="1" applyAlignment="1">
      <alignment horizontal="center"/>
    </xf>
    <xf numFmtId="0" fontId="68" fillId="0" borderId="0" xfId="0" applyFont="1" applyAlignment="1">
      <alignment horizontal="center" vertical="center"/>
    </xf>
    <xf numFmtId="0" fontId="68" fillId="0" borderId="0" xfId="0" applyFont="1" applyAlignment="1">
      <alignment vertical="center"/>
    </xf>
    <xf numFmtId="0" fontId="68" fillId="0" borderId="0" xfId="0" applyFont="1" applyAlignment="1">
      <alignment horizontal="center"/>
    </xf>
    <xf numFmtId="2" fontId="82" fillId="0" borderId="7" xfId="0" applyNumberFormat="1" applyFont="1" applyBorder="1" applyAlignment="1">
      <alignment horizontal="right" vertical="center"/>
    </xf>
    <xf numFmtId="2" fontId="83" fillId="0" borderId="7" xfId="17" applyNumberFormat="1" applyFont="1" applyFill="1" applyBorder="1" applyAlignment="1">
      <alignment horizontal="right" vertical="center" wrapText="1"/>
    </xf>
    <xf numFmtId="2" fontId="82" fillId="0" borderId="13" xfId="0" applyNumberFormat="1" applyFont="1" applyBorder="1" applyAlignment="1">
      <alignment horizontal="right" vertical="center"/>
    </xf>
    <xf numFmtId="2" fontId="83" fillId="0" borderId="13" xfId="17" applyNumberFormat="1" applyFont="1" applyFill="1" applyBorder="1" applyAlignment="1">
      <alignment horizontal="right" vertical="center" wrapText="1"/>
    </xf>
    <xf numFmtId="2" fontId="82" fillId="0" borderId="13" xfId="17" applyNumberFormat="1" applyFont="1" applyFill="1" applyBorder="1" applyAlignment="1">
      <alignment horizontal="right" vertical="center" wrapText="1"/>
    </xf>
    <xf numFmtId="166" fontId="68" fillId="11" borderId="53" xfId="2" applyNumberFormat="1" applyFont="1" applyFill="1" applyBorder="1" applyAlignment="1">
      <alignment vertical="center"/>
    </xf>
    <xf numFmtId="39" fontId="68" fillId="0" borderId="73" xfId="0" applyNumberFormat="1" applyFont="1" applyFill="1" applyBorder="1" applyAlignment="1">
      <alignment horizontal="right" vertical="center"/>
    </xf>
    <xf numFmtId="39" fontId="68" fillId="0" borderId="53" xfId="0" applyNumberFormat="1" applyFont="1" applyFill="1" applyBorder="1" applyAlignment="1">
      <alignment horizontal="right" vertical="center"/>
    </xf>
    <xf numFmtId="4" fontId="102" fillId="0" borderId="56" xfId="0" applyNumberFormat="1" applyFont="1" applyFill="1" applyBorder="1" applyAlignment="1">
      <alignment horizontal="right" vertical="center"/>
    </xf>
    <xf numFmtId="4" fontId="76" fillId="0" borderId="57" xfId="2" applyNumberFormat="1" applyFont="1" applyFill="1" applyBorder="1"/>
    <xf numFmtId="169" fontId="68" fillId="10" borderId="57" xfId="0" applyNumberFormat="1" applyFont="1" applyFill="1" applyBorder="1" applyAlignment="1">
      <alignment horizontal="right" vertical="center"/>
    </xf>
    <xf numFmtId="4" fontId="102" fillId="8" borderId="53" xfId="0" applyNumberFormat="1" applyFont="1" applyFill="1" applyBorder="1" applyAlignment="1">
      <alignment horizontal="right" vertical="center"/>
    </xf>
    <xf numFmtId="4" fontId="76" fillId="8" borderId="53" xfId="2" applyNumberFormat="1" applyFont="1" applyFill="1" applyBorder="1"/>
    <xf numFmtId="0" fontId="83" fillId="0" borderId="0" xfId="0" applyFont="1" applyFill="1"/>
    <xf numFmtId="49" fontId="89" fillId="0" borderId="1" xfId="0" applyNumberFormat="1" applyFont="1" applyFill="1" applyBorder="1" applyAlignment="1">
      <alignment horizontal="center" vertical="center"/>
    </xf>
    <xf numFmtId="43" fontId="102" fillId="0" borderId="57" xfId="0" applyNumberFormat="1" applyFont="1" applyFill="1" applyBorder="1" applyAlignment="1">
      <alignment horizontal="right" vertical="center"/>
    </xf>
    <xf numFmtId="0" fontId="78" fillId="0" borderId="28" xfId="0" applyFont="1" applyFill="1" applyBorder="1"/>
    <xf numFmtId="43" fontId="72" fillId="0" borderId="74" xfId="0" applyNumberFormat="1" applyFont="1" applyFill="1" applyBorder="1" applyAlignment="1">
      <alignment horizontal="right" vertical="center" indent="1"/>
    </xf>
    <xf numFmtId="4" fontId="72" fillId="0" borderId="74" xfId="0" applyNumberFormat="1" applyFont="1" applyBorder="1" applyAlignment="1">
      <alignment horizontal="right" vertical="center"/>
    </xf>
    <xf numFmtId="43" fontId="72" fillId="0" borderId="74" xfId="0" applyNumberFormat="1" applyFont="1" applyFill="1" applyBorder="1" applyAlignment="1">
      <alignment horizontal="left" vertical="center" indent="1"/>
    </xf>
    <xf numFmtId="4" fontId="72" fillId="10" borderId="74" xfId="0" applyNumberFormat="1" applyFont="1" applyFill="1" applyBorder="1" applyAlignment="1">
      <alignment vertical="center"/>
    </xf>
    <xf numFmtId="166" fontId="72" fillId="0" borderId="74" xfId="18" applyNumberFormat="1" applyFont="1" applyBorder="1" applyAlignment="1">
      <alignment vertical="center"/>
    </xf>
    <xf numFmtId="166" fontId="72" fillId="0" borderId="74" xfId="18" applyNumberFormat="1" applyFont="1" applyBorder="1" applyAlignment="1">
      <alignment horizontal="right" vertical="center"/>
    </xf>
    <xf numFmtId="166" fontId="68" fillId="0" borderId="40" xfId="2" applyNumberFormat="1" applyFont="1" applyBorder="1" applyAlignment="1">
      <alignment horizontal="center" vertical="center" wrapText="1"/>
    </xf>
    <xf numFmtId="4" fontId="68" fillId="0" borderId="40" xfId="2" applyNumberFormat="1" applyFont="1" applyBorder="1" applyAlignment="1">
      <alignment horizontal="center" vertical="center" wrapText="1"/>
    </xf>
    <xf numFmtId="166" fontId="73" fillId="0" borderId="40" xfId="2" applyNumberFormat="1" applyFont="1" applyFill="1" applyBorder="1" applyAlignment="1">
      <alignment horizontal="center" vertical="center" wrapText="1"/>
    </xf>
    <xf numFmtId="4" fontId="73" fillId="0" borderId="2" xfId="2" applyNumberFormat="1" applyFont="1" applyFill="1" applyBorder="1" applyAlignment="1">
      <alignment horizontal="center" vertical="center" wrapText="1"/>
    </xf>
    <xf numFmtId="166" fontId="0" fillId="0" borderId="1" xfId="11" applyNumberFormat="1" applyFont="1" applyFill="1" applyBorder="1" applyAlignment="1">
      <alignment vertical="center"/>
    </xf>
    <xf numFmtId="4" fontId="68" fillId="4" borderId="5" xfId="2" applyNumberFormat="1" applyFont="1" applyFill="1" applyBorder="1" applyAlignment="1">
      <alignment horizontal="right" vertical="center"/>
    </xf>
    <xf numFmtId="166" fontId="76" fillId="4" borderId="5" xfId="2" applyNumberFormat="1" applyFont="1" applyFill="1" applyBorder="1" applyAlignment="1">
      <alignment horizontal="right" vertical="center"/>
    </xf>
    <xf numFmtId="169" fontId="76" fillId="4" borderId="5" xfId="2" applyNumberFormat="1" applyFont="1" applyFill="1" applyBorder="1" applyAlignment="1">
      <alignment horizontal="right" vertical="center"/>
    </xf>
    <xf numFmtId="4" fontId="70" fillId="4" borderId="5" xfId="0" applyNumberFormat="1" applyFont="1" applyFill="1" applyBorder="1" applyAlignment="1">
      <alignment vertical="center"/>
    </xf>
    <xf numFmtId="2" fontId="70" fillId="4" borderId="5" xfId="0" applyNumberFormat="1" applyFont="1" applyFill="1" applyBorder="1" applyAlignment="1">
      <alignment vertical="center"/>
    </xf>
    <xf numFmtId="166" fontId="76" fillId="4" borderId="53" xfId="2" applyNumberFormat="1" applyFont="1" applyFill="1" applyBorder="1" applyAlignment="1">
      <alignment horizontal="right" vertical="center"/>
    </xf>
    <xf numFmtId="169" fontId="76" fillId="4" borderId="53" xfId="2" applyNumberFormat="1" applyFont="1" applyFill="1" applyBorder="1" applyAlignment="1">
      <alignment horizontal="right" vertical="center"/>
    </xf>
    <xf numFmtId="2" fontId="76" fillId="4" borderId="53" xfId="0" applyNumberFormat="1" applyFont="1" applyFill="1" applyBorder="1" applyAlignment="1">
      <alignment vertical="center"/>
    </xf>
    <xf numFmtId="166" fontId="131" fillId="5" borderId="14" xfId="2" applyNumberFormat="1" applyFont="1" applyFill="1" applyBorder="1" applyAlignment="1">
      <alignment vertical="center"/>
    </xf>
    <xf numFmtId="4" fontId="131" fillId="9" borderId="14" xfId="0" applyNumberFormat="1" applyFont="1" applyFill="1" applyBorder="1" applyAlignment="1">
      <alignment horizontal="right" vertical="center" indent="1"/>
    </xf>
    <xf numFmtId="4" fontId="68" fillId="5" borderId="14" xfId="0" applyNumberFormat="1" applyFont="1" applyFill="1" applyBorder="1" applyAlignment="1">
      <alignment horizontal="right" vertical="center"/>
    </xf>
    <xf numFmtId="4" fontId="76" fillId="0" borderId="53" xfId="0" applyNumberFormat="1" applyFont="1" applyFill="1" applyBorder="1" applyAlignment="1">
      <alignment horizontal="right" vertical="center" indent="1"/>
    </xf>
    <xf numFmtId="166" fontId="131" fillId="0" borderId="1" xfId="2" applyNumberFormat="1" applyFont="1" applyFill="1" applyBorder="1" applyAlignment="1">
      <alignment vertical="center"/>
    </xf>
    <xf numFmtId="4" fontId="131" fillId="0" borderId="1" xfId="0" applyNumberFormat="1" applyFont="1" applyFill="1" applyBorder="1" applyAlignment="1">
      <alignment horizontal="right" vertical="center" indent="1"/>
    </xf>
    <xf numFmtId="166" fontId="68" fillId="0" borderId="1" xfId="18" applyNumberFormat="1" applyFont="1" applyFill="1" applyBorder="1" applyAlignment="1">
      <alignment vertical="center"/>
    </xf>
    <xf numFmtId="166" fontId="82" fillId="0" borderId="1" xfId="18" applyNumberFormat="1" applyFont="1" applyFill="1" applyBorder="1" applyAlignment="1">
      <alignment vertical="center"/>
    </xf>
    <xf numFmtId="165" fontId="104" fillId="0" borderId="0" xfId="221" quotePrefix="1" applyNumberFormat="1" applyFont="1" applyBorder="1" applyAlignment="1">
      <alignment horizontal="left" vertical="center"/>
    </xf>
    <xf numFmtId="4" fontId="0" fillId="0" borderId="74" xfId="2" applyNumberFormat="1" applyFont="1" applyFill="1" applyBorder="1"/>
    <xf numFmtId="39" fontId="72" fillId="0" borderId="74" xfId="0" applyNumberFormat="1" applyFont="1" applyBorder="1" applyAlignment="1">
      <alignment vertical="top"/>
    </xf>
    <xf numFmtId="165" fontId="35" fillId="0" borderId="0" xfId="0" applyNumberFormat="1" applyFont="1" applyAlignment="1">
      <alignment vertical="center"/>
    </xf>
    <xf numFmtId="4" fontId="76" fillId="0" borderId="66" xfId="2" applyNumberFormat="1" applyFont="1" applyBorder="1" applyAlignment="1">
      <alignment horizontal="right" vertical="center"/>
    </xf>
    <xf numFmtId="4" fontId="76" fillId="0" borderId="14" xfId="2" applyNumberFormat="1" applyFont="1" applyBorder="1" applyAlignment="1">
      <alignment horizontal="right" vertical="center"/>
    </xf>
    <xf numFmtId="4" fontId="72" fillId="0" borderId="14" xfId="2" applyNumberFormat="1" applyFont="1" applyBorder="1" applyAlignment="1">
      <alignment horizontal="right" vertical="center"/>
    </xf>
    <xf numFmtId="4" fontId="72" fillId="0" borderId="1" xfId="2" applyNumberFormat="1" applyFont="1" applyBorder="1" applyAlignment="1">
      <alignment horizontal="right" vertical="center"/>
    </xf>
    <xf numFmtId="4" fontId="76" fillId="0" borderId="1" xfId="2" applyNumberFormat="1" applyFont="1" applyBorder="1" applyAlignment="1">
      <alignment horizontal="right" vertical="center"/>
    </xf>
    <xf numFmtId="0" fontId="68" fillId="0" borderId="8" xfId="0" applyFont="1" applyBorder="1" applyAlignment="1">
      <alignment horizontal="left" vertical="center" wrapText="1"/>
    </xf>
    <xf numFmtId="39" fontId="72" fillId="0" borderId="1" xfId="0" applyNumberFormat="1" applyFont="1" applyBorder="1" applyAlignment="1">
      <alignment horizontal="right" vertical="top"/>
    </xf>
    <xf numFmtId="39" fontId="72" fillId="0" borderId="53" xfId="0" applyNumberFormat="1" applyFont="1" applyBorder="1" applyAlignment="1">
      <alignment horizontal="right" vertical="top"/>
    </xf>
    <xf numFmtId="43" fontId="69" fillId="0" borderId="53" xfId="1" applyFont="1" applyBorder="1" applyAlignment="1">
      <alignment horizontal="left" vertical="center" indent="1"/>
    </xf>
    <xf numFmtId="169" fontId="69" fillId="0" borderId="53" xfId="0" applyNumberFormat="1" applyFont="1" applyFill="1" applyBorder="1" applyAlignment="1">
      <alignment horizontal="right" vertical="center" wrapText="1"/>
    </xf>
    <xf numFmtId="0" fontId="68" fillId="0" borderId="12" xfId="0" applyFont="1" applyFill="1" applyBorder="1" applyAlignment="1">
      <alignment horizontal="left" vertical="center" wrapText="1"/>
    </xf>
    <xf numFmtId="166" fontId="69" fillId="0" borderId="54" xfId="2" applyNumberFormat="1" applyFont="1" applyBorder="1" applyAlignment="1">
      <alignment horizontal="right" vertical="center"/>
    </xf>
    <xf numFmtId="4" fontId="69" fillId="0" borderId="1" xfId="0" applyNumberFormat="1" applyFont="1" applyBorder="1" applyAlignment="1">
      <alignment horizontal="right" vertical="center" indent="1"/>
    </xf>
    <xf numFmtId="169" fontId="69" fillId="0" borderId="1" xfId="0" applyNumberFormat="1" applyFont="1" applyFill="1" applyBorder="1" applyAlignment="1">
      <alignment horizontal="right" vertical="center" wrapText="1"/>
    </xf>
    <xf numFmtId="166" fontId="70" fillId="0" borderId="57" xfId="2" applyNumberFormat="1" applyFont="1" applyBorder="1" applyAlignment="1">
      <alignment horizontal="right" vertical="center"/>
    </xf>
    <xf numFmtId="4" fontId="69" fillId="0" borderId="14" xfId="0" applyNumberFormat="1" applyFont="1" applyBorder="1" applyAlignment="1">
      <alignment horizontal="right" vertical="center" indent="1"/>
    </xf>
    <xf numFmtId="4" fontId="68" fillId="0" borderId="133" xfId="0" applyNumberFormat="1" applyFont="1" applyBorder="1" applyAlignment="1">
      <alignment horizontal="right" vertical="center" indent="1"/>
    </xf>
    <xf numFmtId="4" fontId="68" fillId="0" borderId="7" xfId="0" applyNumberFormat="1" applyFont="1" applyBorder="1" applyAlignment="1">
      <alignment horizontal="right" vertical="center" indent="1"/>
    </xf>
    <xf numFmtId="0" fontId="68" fillId="0" borderId="56" xfId="0" applyFont="1" applyFill="1" applyBorder="1" applyAlignment="1">
      <alignment horizontal="left" vertical="center" wrapText="1"/>
    </xf>
    <xf numFmtId="43" fontId="68" fillId="0" borderId="57" xfId="1" applyFont="1" applyFill="1" applyBorder="1" applyAlignment="1">
      <alignment horizontal="left" vertical="center" indent="1"/>
    </xf>
    <xf numFmtId="43" fontId="102" fillId="0" borderId="57" xfId="1" applyFont="1" applyFill="1" applyBorder="1" applyAlignment="1">
      <alignment horizontal="right" vertical="center"/>
    </xf>
    <xf numFmtId="43" fontId="68" fillId="0" borderId="57" xfId="1" applyFont="1" applyFill="1" applyBorder="1" applyAlignment="1">
      <alignment horizontal="right" vertical="center"/>
    </xf>
    <xf numFmtId="4" fontId="76" fillId="0" borderId="57" xfId="2" applyNumberFormat="1" applyFont="1" applyFill="1" applyBorder="1" applyAlignment="1">
      <alignment vertical="center"/>
    </xf>
    <xf numFmtId="165" fontId="69" fillId="0" borderId="14" xfId="599" applyFont="1" applyBorder="1" applyAlignment="1">
      <alignment vertical="center"/>
    </xf>
    <xf numFmtId="39" fontId="72" fillId="0" borderId="14" xfId="0" applyNumberFormat="1" applyFont="1" applyBorder="1" applyAlignment="1">
      <alignment horizontal="right" vertical="top"/>
    </xf>
    <xf numFmtId="4" fontId="72" fillId="4" borderId="1" xfId="0" applyNumberFormat="1" applyFont="1" applyFill="1" applyBorder="1" applyAlignment="1">
      <alignment vertical="center"/>
    </xf>
    <xf numFmtId="166" fontId="69" fillId="0" borderId="50" xfId="0" applyNumberFormat="1" applyFont="1" applyBorder="1" applyAlignment="1">
      <alignment horizontal="right"/>
    </xf>
    <xf numFmtId="43" fontId="69" fillId="0" borderId="53" xfId="1" applyFont="1" applyBorder="1" applyAlignment="1">
      <alignment horizontal="right" vertical="center"/>
    </xf>
    <xf numFmtId="165" fontId="68" fillId="0" borderId="53" xfId="599" applyFont="1" applyBorder="1" applyAlignment="1">
      <alignment vertical="center"/>
    </xf>
    <xf numFmtId="43" fontId="72" fillId="0" borderId="74" xfId="1" applyFont="1" applyBorder="1" applyAlignment="1">
      <alignment horizontal="right" vertical="center"/>
    </xf>
    <xf numFmtId="43" fontId="72" fillId="0" borderId="74" xfId="1" applyFont="1" applyBorder="1" applyAlignment="1">
      <alignment vertical="center"/>
    </xf>
    <xf numFmtId="166" fontId="69" fillId="0" borderId="74" xfId="0" applyNumberFormat="1" applyFont="1" applyBorder="1" applyAlignment="1">
      <alignment horizontal="right"/>
    </xf>
    <xf numFmtId="4" fontId="72" fillId="4" borderId="74" xfId="0" applyNumberFormat="1" applyFont="1" applyFill="1" applyBorder="1" applyAlignment="1">
      <alignment vertical="center"/>
    </xf>
    <xf numFmtId="166" fontId="70" fillId="0" borderId="74" xfId="2" applyNumberFormat="1" applyFont="1" applyBorder="1" applyAlignment="1">
      <alignment horizontal="right" vertical="center"/>
    </xf>
    <xf numFmtId="43" fontId="69" fillId="0" borderId="57" xfId="0" applyNumberFormat="1" applyFont="1" applyBorder="1" applyAlignment="1">
      <alignment horizontal="right" vertical="center"/>
    </xf>
    <xf numFmtId="4" fontId="68" fillId="0" borderId="1" xfId="2" applyNumberFormat="1" applyFont="1" applyBorder="1" applyAlignment="1">
      <alignment horizontal="right" vertical="center" indent="1"/>
    </xf>
    <xf numFmtId="43" fontId="69" fillId="0" borderId="53" xfId="0" applyNumberFormat="1" applyFont="1" applyBorder="1" applyAlignment="1">
      <alignment horizontal="right" vertical="center"/>
    </xf>
    <xf numFmtId="4" fontId="68" fillId="0" borderId="14" xfId="2" applyNumberFormat="1" applyFont="1" applyBorder="1" applyAlignment="1">
      <alignment horizontal="right" vertical="center" indent="1"/>
    </xf>
    <xf numFmtId="4" fontId="68" fillId="0" borderId="68" xfId="2" applyNumberFormat="1" applyFont="1" applyBorder="1" applyAlignment="1">
      <alignment horizontal="right" vertical="center"/>
    </xf>
    <xf numFmtId="43" fontId="69" fillId="0" borderId="68" xfId="0" applyNumberFormat="1" applyFont="1" applyBorder="1" applyAlignment="1">
      <alignment horizontal="right" vertical="center"/>
    </xf>
    <xf numFmtId="4" fontId="72" fillId="0" borderId="68" xfId="2" applyNumberFormat="1" applyFont="1" applyFill="1" applyBorder="1" applyAlignment="1">
      <alignment horizontal="right" vertical="center"/>
    </xf>
    <xf numFmtId="4" fontId="72" fillId="0" borderId="68" xfId="2" applyNumberFormat="1" applyFont="1" applyBorder="1" applyAlignment="1">
      <alignment vertical="center"/>
    </xf>
    <xf numFmtId="166" fontId="70" fillId="0" borderId="68" xfId="2" applyNumberFormat="1" applyFont="1" applyBorder="1" applyAlignment="1">
      <alignment vertical="center"/>
    </xf>
    <xf numFmtId="4" fontId="69" fillId="0" borderId="53" xfId="2" applyNumberFormat="1" applyFont="1" applyFill="1" applyBorder="1" applyAlignment="1">
      <alignment vertical="center"/>
    </xf>
    <xf numFmtId="166" fontId="9" fillId="0" borderId="27" xfId="2" applyNumberFormat="1" applyFont="1" applyBorder="1" applyAlignment="1">
      <alignment vertical="center"/>
    </xf>
    <xf numFmtId="43" fontId="131" fillId="0" borderId="5" xfId="0" applyNumberFormat="1" applyFont="1" applyBorder="1" applyAlignment="1">
      <alignment horizontal="left" vertical="center"/>
    </xf>
    <xf numFmtId="4" fontId="131" fillId="0" borderId="53" xfId="0" applyNumberFormat="1" applyFont="1" applyBorder="1" applyAlignment="1">
      <alignment vertical="center"/>
    </xf>
    <xf numFmtId="0" fontId="130" fillId="0" borderId="8" xfId="5" applyFont="1" applyBorder="1" applyAlignment="1">
      <alignment vertical="center" wrapText="1"/>
    </xf>
    <xf numFmtId="166" fontId="130" fillId="0" borderId="1" xfId="2" applyNumberFormat="1" applyFont="1" applyBorder="1" applyAlignment="1">
      <alignment horizontal="left" vertical="center"/>
    </xf>
    <xf numFmtId="166" fontId="69" fillId="0" borderId="1" xfId="2" applyNumberFormat="1" applyFont="1" applyBorder="1" applyAlignment="1">
      <alignment horizontal="left" vertical="center"/>
    </xf>
    <xf numFmtId="166" fontId="101" fillId="0" borderId="51" xfId="2" applyNumberFormat="1" applyFont="1" applyFill="1" applyBorder="1" applyAlignment="1">
      <alignment vertical="center"/>
    </xf>
    <xf numFmtId="0" fontId="107" fillId="0" borderId="51" xfId="0" applyFont="1" applyBorder="1"/>
    <xf numFmtId="166" fontId="69" fillId="0" borderId="53" xfId="2" applyNumberFormat="1" applyFont="1" applyBorder="1" applyAlignment="1">
      <alignment horizontal="left" vertical="center"/>
    </xf>
    <xf numFmtId="166" fontId="101" fillId="0" borderId="53" xfId="2" applyNumberFormat="1" applyFont="1" applyFill="1" applyBorder="1" applyAlignment="1">
      <alignment vertical="center"/>
    </xf>
    <xf numFmtId="166" fontId="101" fillId="0" borderId="7" xfId="2" applyNumberFormat="1" applyFont="1" applyFill="1" applyBorder="1" applyAlignment="1">
      <alignment vertical="center"/>
    </xf>
    <xf numFmtId="0" fontId="107" fillId="0" borderId="7" xfId="0" applyFont="1" applyBorder="1"/>
    <xf numFmtId="0" fontId="97" fillId="0" borderId="1" xfId="0" applyFont="1" applyBorder="1" applyAlignment="1">
      <alignment horizontal="left" vertical="center" wrapText="1"/>
    </xf>
    <xf numFmtId="4" fontId="100" fillId="0" borderId="53" xfId="0" applyNumberFormat="1" applyFont="1" applyFill="1" applyBorder="1" applyAlignment="1">
      <alignment horizontal="right" vertical="center"/>
    </xf>
    <xf numFmtId="0" fontId="131" fillId="0" borderId="5" xfId="0" applyFont="1" applyBorder="1" applyAlignment="1">
      <alignment horizontal="left" vertical="top" wrapText="1"/>
    </xf>
    <xf numFmtId="49" fontId="130" fillId="0" borderId="27" xfId="13" applyNumberFormat="1" applyFont="1" applyBorder="1" applyAlignment="1">
      <alignment horizontal="left" vertical="center" wrapText="1"/>
    </xf>
    <xf numFmtId="166" fontId="130" fillId="0" borderId="27" xfId="2" applyNumberFormat="1" applyFont="1" applyBorder="1" applyAlignment="1">
      <alignment vertical="center"/>
    </xf>
    <xf numFmtId="0" fontId="46" fillId="0" borderId="52" xfId="0" applyFont="1" applyFill="1" applyBorder="1"/>
    <xf numFmtId="0" fontId="46" fillId="0" borderId="53" xfId="0" applyFont="1" applyFill="1" applyBorder="1"/>
    <xf numFmtId="0" fontId="9" fillId="0" borderId="27" xfId="0" applyFont="1" applyFill="1" applyBorder="1"/>
    <xf numFmtId="166" fontId="27" fillId="0" borderId="1" xfId="2" applyNumberFormat="1" applyFont="1" applyBorder="1" applyAlignment="1">
      <alignment vertical="center"/>
    </xf>
    <xf numFmtId="168" fontId="130" fillId="4" borderId="7" xfId="0" applyNumberFormat="1" applyFont="1" applyFill="1" applyBorder="1" applyAlignment="1">
      <alignment horizontal="left" vertical="center" wrapText="1"/>
    </xf>
    <xf numFmtId="166" fontId="130" fillId="4" borderId="7" xfId="2" applyNumberFormat="1" applyFont="1" applyFill="1" applyBorder="1" applyAlignment="1">
      <alignment vertical="center"/>
    </xf>
    <xf numFmtId="4" fontId="131" fillId="0" borderId="1" xfId="0" applyNumberFormat="1" applyFont="1" applyBorder="1" applyAlignment="1">
      <alignment horizontal="right" vertical="center"/>
    </xf>
    <xf numFmtId="0" fontId="130" fillId="0" borderId="75" xfId="0" applyFont="1" applyFill="1" applyBorder="1" applyAlignment="1">
      <alignment horizontal="left" vertical="center" wrapText="1"/>
    </xf>
    <xf numFmtId="4" fontId="130" fillId="0" borderId="53" xfId="0" applyNumberFormat="1" applyFont="1" applyFill="1" applyBorder="1" applyAlignment="1">
      <alignment horizontal="right" vertical="center"/>
    </xf>
    <xf numFmtId="0" fontId="131" fillId="0" borderId="13" xfId="0" applyFont="1" applyBorder="1" applyAlignment="1">
      <alignment wrapText="1"/>
    </xf>
    <xf numFmtId="20" fontId="130" fillId="0" borderId="13" xfId="0" applyNumberFormat="1" applyFont="1" applyBorder="1" applyAlignment="1">
      <alignment horizontal="left" vertical="center" wrapText="1"/>
    </xf>
    <xf numFmtId="166" fontId="130" fillId="0" borderId="7" xfId="2" applyNumberFormat="1" applyFont="1" applyFill="1" applyBorder="1" applyAlignment="1">
      <alignment vertical="center" wrapText="1"/>
    </xf>
    <xf numFmtId="4" fontId="130" fillId="0" borderId="68" xfId="0" applyNumberFormat="1" applyFont="1" applyFill="1" applyBorder="1" applyAlignment="1">
      <alignment horizontal="right" vertical="center"/>
    </xf>
    <xf numFmtId="4" fontId="69" fillId="0" borderId="68" xfId="0" applyNumberFormat="1" applyFont="1" applyFill="1" applyBorder="1" applyAlignment="1">
      <alignment horizontal="right" vertical="center"/>
    </xf>
    <xf numFmtId="166" fontId="0" fillId="0" borderId="68" xfId="2" applyNumberFormat="1" applyFont="1" applyBorder="1" applyAlignment="1">
      <alignment vertical="center"/>
    </xf>
    <xf numFmtId="166" fontId="9" fillId="0" borderId="68" xfId="2" applyNumberFormat="1" applyFont="1" applyBorder="1" applyAlignment="1">
      <alignment vertical="center"/>
    </xf>
    <xf numFmtId="0" fontId="46" fillId="0" borderId="68" xfId="0" applyFont="1" applyBorder="1"/>
    <xf numFmtId="4" fontId="130" fillId="0" borderId="74" xfId="0" applyNumberFormat="1" applyFont="1" applyFill="1" applyBorder="1" applyAlignment="1">
      <alignment horizontal="right" vertical="center"/>
    </xf>
    <xf numFmtId="166" fontId="131" fillId="0" borderId="28" xfId="2" applyNumberFormat="1" applyFont="1" applyFill="1" applyBorder="1" applyAlignment="1">
      <alignment vertical="center"/>
    </xf>
    <xf numFmtId="0" fontId="131" fillId="0" borderId="53" xfId="0" applyFont="1" applyFill="1" applyBorder="1" applyAlignment="1">
      <alignment wrapText="1"/>
    </xf>
    <xf numFmtId="0" fontId="131" fillId="0" borderId="12" xfId="0" applyFont="1" applyFill="1" applyBorder="1" applyAlignment="1">
      <alignment wrapText="1"/>
    </xf>
    <xf numFmtId="0" fontId="131" fillId="0" borderId="7" xfId="0" applyFont="1" applyFill="1" applyBorder="1" applyAlignment="1">
      <alignment wrapText="1"/>
    </xf>
    <xf numFmtId="0" fontId="131" fillId="0" borderId="53" xfId="0" applyFont="1" applyBorder="1" applyAlignment="1">
      <alignment wrapText="1"/>
    </xf>
    <xf numFmtId="0" fontId="131" fillId="0" borderId="5" xfId="0" applyFont="1" applyBorder="1" applyAlignment="1">
      <alignment wrapText="1"/>
    </xf>
    <xf numFmtId="4" fontId="72" fillId="0" borderId="14" xfId="0" applyNumberFormat="1" applyFont="1" applyBorder="1" applyAlignment="1">
      <alignment vertical="center"/>
    </xf>
    <xf numFmtId="166" fontId="9" fillId="0" borderId="14" xfId="2" applyNumberFormat="1" applyFont="1" applyBorder="1" applyAlignment="1">
      <alignment vertical="center"/>
    </xf>
    <xf numFmtId="0" fontId="131" fillId="0" borderId="7" xfId="0" applyFont="1" applyBorder="1" applyAlignment="1">
      <alignment wrapText="1"/>
    </xf>
    <xf numFmtId="166" fontId="130" fillId="0" borderId="53" xfId="2" applyNumberFormat="1" applyFont="1" applyBorder="1" applyAlignment="1">
      <alignment horizontal="right" vertical="center"/>
    </xf>
    <xf numFmtId="39" fontId="69" fillId="0" borderId="53" xfId="0" applyNumberFormat="1" applyFont="1" applyBorder="1" applyAlignment="1">
      <alignment vertical="top"/>
    </xf>
    <xf numFmtId="0" fontId="131" fillId="0" borderId="0" xfId="0" applyFont="1" applyAlignment="1">
      <alignment wrapText="1"/>
    </xf>
    <xf numFmtId="0" fontId="130" fillId="0" borderId="0" xfId="0" applyFont="1" applyAlignment="1">
      <alignment wrapText="1"/>
    </xf>
    <xf numFmtId="166" fontId="130" fillId="0" borderId="7" xfId="2" applyNumberFormat="1" applyFont="1" applyBorder="1" applyAlignment="1"/>
    <xf numFmtId="0" fontId="97" fillId="0" borderId="7" xfId="0" applyFont="1" applyBorder="1" applyAlignment="1">
      <alignment wrapText="1"/>
    </xf>
    <xf numFmtId="166" fontId="97" fillId="0" borderId="7" xfId="2" applyNumberFormat="1" applyFont="1" applyBorder="1" applyAlignment="1"/>
    <xf numFmtId="0" fontId="130" fillId="0" borderId="7" xfId="0" applyFont="1" applyBorder="1" applyAlignment="1">
      <alignment wrapText="1"/>
    </xf>
    <xf numFmtId="166" fontId="0" fillId="0" borderId="0" xfId="2" applyNumberFormat="1" applyFont="1" applyBorder="1" applyAlignment="1">
      <alignment horizontal="left" vertical="center"/>
    </xf>
    <xf numFmtId="166" fontId="97" fillId="0" borderId="0" xfId="2" applyNumberFormat="1" applyFont="1" applyBorder="1" applyAlignment="1">
      <alignment horizontal="left" vertical="center"/>
    </xf>
    <xf numFmtId="0" fontId="117" fillId="0" borderId="0" xfId="221" applyFont="1" applyBorder="1" applyAlignment="1"/>
    <xf numFmtId="0" fontId="119" fillId="0" borderId="0" xfId="221" applyFont="1" applyBorder="1" applyAlignment="1"/>
    <xf numFmtId="0" fontId="116" fillId="0" borderId="65" xfId="221" applyBorder="1">
      <alignment vertical="center"/>
    </xf>
    <xf numFmtId="0" fontId="116" fillId="0" borderId="0" xfId="221" applyBorder="1">
      <alignment vertical="center"/>
    </xf>
    <xf numFmtId="0" fontId="117" fillId="0" borderId="65" xfId="221" applyFont="1" applyBorder="1" applyAlignment="1">
      <alignment horizontal="right" vertical="center" indent="1"/>
    </xf>
    <xf numFmtId="0" fontId="117" fillId="0" borderId="0" xfId="221" applyFont="1" applyBorder="1" applyAlignment="1">
      <alignment horizontal="left"/>
    </xf>
    <xf numFmtId="0" fontId="117" fillId="0" borderId="95" xfId="221" applyFont="1" applyBorder="1" applyAlignment="1">
      <alignment horizontal="left"/>
    </xf>
    <xf numFmtId="0" fontId="116" fillId="0" borderId="95" xfId="221" applyBorder="1">
      <alignment vertical="center"/>
    </xf>
    <xf numFmtId="0" fontId="117" fillId="0" borderId="95" xfId="221" applyFont="1" applyBorder="1" applyAlignment="1">
      <alignment horizontal="center"/>
    </xf>
    <xf numFmtId="166" fontId="117" fillId="0" borderId="75" xfId="222" applyNumberFormat="1" applyFont="1" applyBorder="1" applyAlignment="1" applyProtection="1"/>
    <xf numFmtId="0" fontId="116" fillId="0" borderId="96" xfId="221" applyBorder="1">
      <alignment vertical="center"/>
    </xf>
    <xf numFmtId="0" fontId="121" fillId="0" borderId="138" xfId="221" quotePrefix="1" applyFont="1" applyBorder="1" applyAlignment="1">
      <alignment horizontal="center" vertical="center"/>
    </xf>
    <xf numFmtId="0" fontId="121" fillId="0" borderId="139" xfId="221" quotePrefix="1" applyFont="1" applyBorder="1" applyAlignment="1">
      <alignment horizontal="center" vertical="center"/>
    </xf>
    <xf numFmtId="0" fontId="39" fillId="0" borderId="60" xfId="0" applyFont="1" applyBorder="1" applyAlignment="1">
      <alignment horizontal="center" vertical="center"/>
    </xf>
    <xf numFmtId="166" fontId="104" fillId="0" borderId="71" xfId="222" applyNumberFormat="1" applyFont="1" applyBorder="1" applyAlignment="1" applyProtection="1"/>
    <xf numFmtId="166" fontId="104" fillId="0" borderId="71" xfId="222" applyNumberFormat="1" applyFont="1" applyBorder="1" applyAlignment="1" applyProtection="1">
      <alignment vertical="center"/>
    </xf>
    <xf numFmtId="0" fontId="104" fillId="0" borderId="64" xfId="221" applyFont="1" applyBorder="1" applyAlignment="1">
      <alignment horizontal="center" vertical="center"/>
    </xf>
    <xf numFmtId="166" fontId="104" fillId="0" borderId="140" xfId="222" applyNumberFormat="1" applyFont="1" applyBorder="1" applyAlignment="1" applyProtection="1">
      <alignment vertical="center"/>
    </xf>
    <xf numFmtId="0" fontId="104" fillId="0" borderId="141" xfId="221" applyFont="1" applyBorder="1" applyAlignment="1">
      <alignment horizontal="center" vertical="center"/>
    </xf>
    <xf numFmtId="166" fontId="104" fillId="0" borderId="142" xfId="222" applyNumberFormat="1" applyFont="1" applyBorder="1" applyAlignment="1" applyProtection="1"/>
    <xf numFmtId="0" fontId="104" fillId="0" borderId="82" xfId="221" applyFont="1" applyBorder="1">
      <alignment vertical="center"/>
    </xf>
    <xf numFmtId="0" fontId="104" fillId="0" borderId="75" xfId="221" applyFont="1" applyBorder="1" applyAlignment="1">
      <alignment horizontal="left" vertical="center" wrapText="1"/>
    </xf>
    <xf numFmtId="0" fontId="117" fillId="0" borderId="75" xfId="221" applyFont="1" applyBorder="1" applyAlignment="1">
      <alignment horizontal="left" vertical="center" wrapText="1"/>
    </xf>
    <xf numFmtId="0" fontId="39" fillId="0" borderId="102" xfId="0" applyFont="1" applyBorder="1" applyAlignment="1">
      <alignment horizontal="center" vertical="center"/>
    </xf>
    <xf numFmtId="0" fontId="0" fillId="0" borderId="102" xfId="0" applyBorder="1"/>
    <xf numFmtId="0" fontId="40" fillId="0" borderId="7" xfId="0" applyFont="1" applyBorder="1" applyAlignment="1">
      <alignment vertical="center"/>
    </xf>
    <xf numFmtId="166" fontId="53" fillId="0" borderId="0" xfId="2" applyNumberFormat="1" applyFont="1" applyBorder="1" applyAlignment="1">
      <alignment horizontal="center"/>
    </xf>
    <xf numFmtId="0" fontId="9" fillId="0" borderId="0" xfId="0" applyFont="1" applyAlignment="1">
      <alignment wrapText="1"/>
    </xf>
    <xf numFmtId="39" fontId="69" fillId="0" borderId="7" xfId="0" applyNumberFormat="1" applyFont="1" applyBorder="1" applyAlignment="1">
      <alignment horizontal="right" vertical="top" wrapText="1"/>
    </xf>
    <xf numFmtId="4" fontId="69" fillId="0" borderId="5" xfId="0" applyNumberFormat="1" applyFont="1" applyFill="1" applyBorder="1" applyAlignment="1">
      <alignment horizontal="right" vertical="center" wrapText="1"/>
    </xf>
    <xf numFmtId="0" fontId="9" fillId="0" borderId="28" xfId="0" applyFont="1" applyBorder="1" applyAlignment="1">
      <alignment wrapText="1"/>
    </xf>
    <xf numFmtId="0" fontId="70" fillId="0" borderId="19" xfId="0" quotePrefix="1" applyFont="1" applyBorder="1" applyAlignment="1">
      <alignment horizontal="center" vertical="center"/>
    </xf>
    <xf numFmtId="49" fontId="76" fillId="5" borderId="18" xfId="0" applyNumberFormat="1" applyFont="1" applyFill="1" applyBorder="1" applyAlignment="1">
      <alignment horizontal="center" vertical="center"/>
    </xf>
    <xf numFmtId="49" fontId="76" fillId="0" borderId="55" xfId="0" applyNumberFormat="1" applyFont="1" applyBorder="1" applyAlignment="1">
      <alignment horizontal="center" vertical="center"/>
    </xf>
    <xf numFmtId="49" fontId="70" fillId="0" borderId="8" xfId="0" applyNumberFormat="1" applyFont="1" applyBorder="1" applyAlignment="1">
      <alignment horizontal="center" vertical="center"/>
    </xf>
    <xf numFmtId="49" fontId="70" fillId="0" borderId="13" xfId="0" applyNumberFormat="1" applyFont="1" applyBorder="1" applyAlignment="1">
      <alignment horizontal="center" vertical="center"/>
    </xf>
    <xf numFmtId="49" fontId="70" fillId="0" borderId="18" xfId="0" applyNumberFormat="1" applyFont="1" applyBorder="1" applyAlignment="1">
      <alignment horizontal="center" vertical="center"/>
    </xf>
    <xf numFmtId="49" fontId="72" fillId="0" borderId="8" xfId="0" applyNumberFormat="1" applyFont="1" applyBorder="1" applyAlignment="1">
      <alignment horizontal="center" vertical="center"/>
    </xf>
    <xf numFmtId="49" fontId="76" fillId="0" borderId="18" xfId="0" applyNumberFormat="1" applyFont="1" applyBorder="1" applyAlignment="1">
      <alignment horizontal="center" vertical="center"/>
    </xf>
    <xf numFmtId="49" fontId="76" fillId="5" borderId="13" xfId="0" applyNumberFormat="1" applyFont="1" applyFill="1" applyBorder="1" applyAlignment="1">
      <alignment horizontal="center" vertical="center"/>
    </xf>
    <xf numFmtId="49" fontId="76" fillId="2" borderId="55" xfId="0" applyNumberFormat="1" applyFont="1" applyFill="1" applyBorder="1" applyAlignment="1">
      <alignment horizontal="center" vertical="center"/>
    </xf>
    <xf numFmtId="49" fontId="76" fillId="0" borderId="13" xfId="0" applyNumberFormat="1" applyFont="1" applyBorder="1" applyAlignment="1">
      <alignment horizontal="center" vertical="center"/>
    </xf>
    <xf numFmtId="49" fontId="76" fillId="0" borderId="55" xfId="0" applyNumberFormat="1" applyFont="1" applyFill="1" applyBorder="1" applyAlignment="1">
      <alignment horizontal="center" vertical="center"/>
    </xf>
    <xf numFmtId="49" fontId="76" fillId="0" borderId="8" xfId="0" applyNumberFormat="1" applyFont="1" applyFill="1" applyBorder="1" applyAlignment="1">
      <alignment horizontal="center" vertical="center"/>
    </xf>
    <xf numFmtId="49" fontId="94" fillId="7" borderId="55" xfId="0" applyNumberFormat="1" applyFont="1" applyFill="1" applyBorder="1" applyAlignment="1">
      <alignment horizontal="center" vertical="center"/>
    </xf>
    <xf numFmtId="49" fontId="94" fillId="0" borderId="55" xfId="0" applyNumberFormat="1" applyFont="1" applyFill="1" applyBorder="1" applyAlignment="1">
      <alignment horizontal="center" vertical="center"/>
    </xf>
    <xf numFmtId="49" fontId="94" fillId="0" borderId="55" xfId="0" applyNumberFormat="1" applyFont="1" applyBorder="1" applyAlignment="1">
      <alignment horizontal="center" vertical="center"/>
    </xf>
    <xf numFmtId="49" fontId="94" fillId="0" borderId="8" xfId="0" applyNumberFormat="1" applyFont="1" applyBorder="1" applyAlignment="1">
      <alignment horizontal="center" vertical="center"/>
    </xf>
    <xf numFmtId="49" fontId="76" fillId="7" borderId="124" xfId="0" applyNumberFormat="1" applyFont="1" applyFill="1" applyBorder="1" applyAlignment="1">
      <alignment horizontal="center" vertical="center"/>
    </xf>
    <xf numFmtId="49" fontId="76" fillId="7" borderId="55" xfId="0" applyNumberFormat="1" applyFont="1" applyFill="1" applyBorder="1" applyAlignment="1">
      <alignment horizontal="center" vertical="center"/>
    </xf>
    <xf numFmtId="49" fontId="76" fillId="8" borderId="55" xfId="0" applyNumberFormat="1" applyFont="1" applyFill="1" applyBorder="1" applyAlignment="1">
      <alignment horizontal="center" vertical="center"/>
    </xf>
    <xf numFmtId="49" fontId="137" fillId="0" borderId="8" xfId="0" applyNumberFormat="1" applyFont="1" applyFill="1" applyBorder="1" applyAlignment="1">
      <alignment horizontal="center" vertical="center"/>
    </xf>
    <xf numFmtId="49" fontId="76" fillId="0" borderId="8" xfId="0" applyNumberFormat="1" applyFont="1" applyBorder="1" applyAlignment="1">
      <alignment horizontal="center" vertical="center" wrapText="1"/>
    </xf>
    <xf numFmtId="49" fontId="76" fillId="7" borderId="11" xfId="0" applyNumberFormat="1" applyFont="1" applyFill="1" applyBorder="1" applyAlignment="1">
      <alignment horizontal="center" vertical="center"/>
    </xf>
    <xf numFmtId="49" fontId="70" fillId="0" borderId="55" xfId="0" applyNumberFormat="1" applyFont="1" applyBorder="1" applyAlignment="1">
      <alignment horizontal="center" vertical="center"/>
    </xf>
    <xf numFmtId="49" fontId="76" fillId="0" borderId="144" xfId="0" applyNumberFormat="1" applyFont="1" applyBorder="1" applyAlignment="1">
      <alignment horizontal="center" vertical="center"/>
    </xf>
    <xf numFmtId="49" fontId="94" fillId="0" borderId="18" xfId="0" applyNumberFormat="1" applyFont="1" applyBorder="1" applyAlignment="1">
      <alignment horizontal="center" vertical="center"/>
    </xf>
    <xf numFmtId="49" fontId="94" fillId="0" borderId="13" xfId="0" applyNumberFormat="1" applyFont="1" applyBorder="1" applyAlignment="1">
      <alignment horizontal="center" vertical="center"/>
    </xf>
    <xf numFmtId="49" fontId="76" fillId="9" borderId="8" xfId="0" applyNumberFormat="1" applyFont="1" applyFill="1" applyBorder="1" applyAlignment="1">
      <alignment horizontal="center" vertical="center"/>
    </xf>
    <xf numFmtId="49" fontId="70" fillId="9" borderId="8" xfId="0" applyNumberFormat="1" applyFont="1" applyFill="1" applyBorder="1" applyAlignment="1">
      <alignment horizontal="center" vertical="center"/>
    </xf>
    <xf numFmtId="0" fontId="70" fillId="0" borderId="19" xfId="0" applyFont="1" applyBorder="1"/>
    <xf numFmtId="43" fontId="102" fillId="0" borderId="28" xfId="0" applyNumberFormat="1" applyFont="1" applyFill="1" applyBorder="1" applyAlignment="1">
      <alignment horizontal="left" vertical="center" indent="1"/>
    </xf>
    <xf numFmtId="43" fontId="102" fillId="0" borderId="28" xfId="1" applyFont="1" applyBorder="1" applyAlignment="1">
      <alignment horizontal="left" vertical="center" indent="1"/>
    </xf>
    <xf numFmtId="0" fontId="70" fillId="0" borderId="54" xfId="0" applyFont="1" applyBorder="1"/>
    <xf numFmtId="0" fontId="9" fillId="0" borderId="52" xfId="0" applyFont="1" applyBorder="1" applyAlignment="1"/>
    <xf numFmtId="0" fontId="9" fillId="0" borderId="51" xfId="0" applyFont="1" applyBorder="1" applyAlignment="1"/>
    <xf numFmtId="0" fontId="9" fillId="0" borderId="46" xfId="0" applyFont="1" applyBorder="1"/>
    <xf numFmtId="0" fontId="0" fillId="0" borderId="1" xfId="0" applyFont="1" applyBorder="1" applyAlignment="1">
      <alignment horizontal="left" vertical="top" wrapText="1"/>
    </xf>
    <xf numFmtId="166" fontId="70" fillId="0" borderId="1" xfId="2" applyNumberFormat="1" applyFont="1" applyBorder="1"/>
    <xf numFmtId="166" fontId="68" fillId="0" borderId="2" xfId="2" applyNumberFormat="1" applyFont="1" applyBorder="1" applyAlignment="1">
      <alignment horizontal="center" vertical="center" wrapText="1"/>
    </xf>
    <xf numFmtId="166" fontId="76" fillId="0" borderId="2" xfId="2" applyNumberFormat="1" applyFont="1" applyBorder="1" applyAlignment="1">
      <alignment horizontal="center" vertical="center" wrapText="1"/>
    </xf>
    <xf numFmtId="166" fontId="76" fillId="9" borderId="14" xfId="18" applyNumberFormat="1" applyFont="1" applyFill="1" applyBorder="1" applyAlignment="1">
      <alignment horizontal="right" vertical="center"/>
    </xf>
    <xf numFmtId="166" fontId="76" fillId="0" borderId="7" xfId="18" applyNumberFormat="1" applyFont="1" applyBorder="1" applyAlignment="1">
      <alignment horizontal="right" vertical="center"/>
    </xf>
    <xf numFmtId="166" fontId="69" fillId="0" borderId="7" xfId="18" applyNumberFormat="1" applyFont="1" applyBorder="1" applyAlignment="1">
      <alignment vertical="center"/>
    </xf>
    <xf numFmtId="166" fontId="0" fillId="0" borderId="7" xfId="18" applyNumberFormat="1" applyFont="1" applyBorder="1" applyAlignment="1">
      <alignment vertical="center"/>
    </xf>
    <xf numFmtId="166" fontId="0" fillId="0" borderId="14" xfId="18" applyNumberFormat="1" applyFont="1" applyBorder="1" applyAlignment="1">
      <alignment vertical="center"/>
    </xf>
    <xf numFmtId="166" fontId="76" fillId="0" borderId="14" xfId="2" applyNumberFormat="1" applyFont="1" applyBorder="1" applyAlignment="1">
      <alignment horizontal="right" vertical="center"/>
    </xf>
    <xf numFmtId="166" fontId="76" fillId="0" borderId="14" xfId="18" applyNumberFormat="1" applyFont="1" applyBorder="1" applyAlignment="1">
      <alignment vertical="center"/>
    </xf>
    <xf numFmtId="166" fontId="69" fillId="0" borderId="14" xfId="18" applyNumberFormat="1" applyFont="1" applyBorder="1" applyAlignment="1">
      <alignment vertical="center"/>
    </xf>
    <xf numFmtId="166" fontId="72" fillId="0" borderId="14" xfId="2" applyNumberFormat="1" applyFont="1" applyBorder="1" applyAlignment="1">
      <alignment horizontal="right"/>
    </xf>
    <xf numFmtId="166" fontId="70" fillId="0" borderId="14" xfId="2" applyNumberFormat="1" applyFont="1" applyBorder="1" applyAlignment="1">
      <alignment horizontal="right"/>
    </xf>
    <xf numFmtId="43" fontId="68" fillId="0" borderId="5" xfId="0" applyNumberFormat="1" applyFont="1" applyFill="1" applyBorder="1" applyAlignment="1">
      <alignment vertical="center"/>
    </xf>
    <xf numFmtId="43" fontId="69" fillId="0" borderId="5" xfId="0" applyNumberFormat="1" applyFont="1" applyFill="1" applyBorder="1" applyAlignment="1">
      <alignment horizontal="right" vertical="center" indent="1"/>
    </xf>
    <xf numFmtId="166" fontId="69" fillId="0" borderId="7" xfId="18" applyNumberFormat="1" applyFont="1" applyBorder="1" applyAlignment="1">
      <alignment horizontal="right" vertical="center"/>
    </xf>
    <xf numFmtId="166" fontId="72" fillId="0" borderId="7" xfId="18" applyNumberFormat="1" applyFont="1" applyBorder="1" applyAlignment="1">
      <alignment vertical="center"/>
    </xf>
    <xf numFmtId="39" fontId="83" fillId="0" borderId="1" xfId="0" applyNumberFormat="1" applyFont="1" applyBorder="1" applyAlignment="1">
      <alignment horizontal="right" vertical="top"/>
    </xf>
    <xf numFmtId="166" fontId="76" fillId="0" borderId="14" xfId="2" applyNumberFormat="1" applyFont="1" applyFill="1" applyBorder="1" applyAlignment="1">
      <alignment horizontal="right" vertical="center"/>
    </xf>
    <xf numFmtId="166" fontId="76" fillId="0" borderId="14" xfId="18" applyNumberFormat="1" applyFont="1" applyFill="1" applyBorder="1" applyAlignment="1">
      <alignment vertical="center"/>
    </xf>
    <xf numFmtId="0" fontId="68" fillId="0" borderId="53" xfId="5" applyFont="1" applyBorder="1" applyAlignment="1">
      <alignment vertical="center" wrapText="1"/>
    </xf>
    <xf numFmtId="0" fontId="68" fillId="0" borderId="1" xfId="5" applyFont="1" applyBorder="1" applyAlignment="1">
      <alignment vertical="center" wrapText="1"/>
    </xf>
    <xf numFmtId="0" fontId="69" fillId="0" borderId="7" xfId="13" applyFont="1" applyBorder="1" applyAlignment="1">
      <alignment horizontal="left" vertical="center" wrapText="1"/>
    </xf>
    <xf numFmtId="165" fontId="69" fillId="0" borderId="7" xfId="0" applyNumberFormat="1" applyFont="1" applyFill="1" applyBorder="1" applyAlignment="1">
      <alignment vertical="center"/>
    </xf>
    <xf numFmtId="165" fontId="68" fillId="0" borderId="7" xfId="0" applyNumberFormat="1" applyFont="1" applyFill="1" applyBorder="1" applyAlignment="1">
      <alignment vertical="center"/>
    </xf>
    <xf numFmtId="49" fontId="68" fillId="0" borderId="7" xfId="5" applyNumberFormat="1" applyFont="1" applyBorder="1" applyAlignment="1">
      <alignment horizontal="left" vertical="center" wrapText="1"/>
    </xf>
    <xf numFmtId="0" fontId="69" fillId="0" borderId="7" xfId="15" applyFont="1" applyFill="1" applyBorder="1" applyAlignment="1">
      <alignment vertical="center" wrapText="1"/>
    </xf>
    <xf numFmtId="49" fontId="68" fillId="0" borderId="68" xfId="5" applyNumberFormat="1" applyFont="1" applyBorder="1" applyAlignment="1">
      <alignment horizontal="left" vertical="center" wrapText="1"/>
    </xf>
    <xf numFmtId="49" fontId="69" fillId="0" borderId="5" xfId="13" applyNumberFormat="1" applyFont="1" applyBorder="1" applyAlignment="1">
      <alignment horizontal="left" vertical="center" wrapText="1"/>
    </xf>
    <xf numFmtId="166" fontId="69" fillId="0" borderId="5" xfId="14" applyNumberFormat="1" applyFont="1" applyBorder="1" applyAlignment="1">
      <alignment horizontal="right" vertical="center"/>
    </xf>
    <xf numFmtId="0" fontId="68" fillId="0" borderId="7" xfId="13" applyFont="1" applyBorder="1" applyAlignment="1">
      <alignment horizontal="left" vertical="center" wrapText="1"/>
    </xf>
    <xf numFmtId="49" fontId="68" fillId="0" borderId="5" xfId="13" applyNumberFormat="1" applyFont="1" applyBorder="1" applyAlignment="1">
      <alignment horizontal="left" vertical="center" wrapText="1"/>
    </xf>
    <xf numFmtId="41" fontId="0" fillId="0" borderId="1" xfId="14" applyFont="1" applyBorder="1" applyAlignment="1">
      <alignment horizontal="right" vertical="center"/>
    </xf>
    <xf numFmtId="49" fontId="69" fillId="0" borderId="1" xfId="13" applyNumberFormat="1" applyFont="1" applyBorder="1" applyAlignment="1">
      <alignment horizontal="left" vertical="center" wrapText="1"/>
    </xf>
    <xf numFmtId="0" fontId="69" fillId="0" borderId="14" xfId="13" applyFont="1" applyBorder="1" applyAlignment="1">
      <alignment vertical="center" wrapText="1"/>
    </xf>
    <xf numFmtId="0" fontId="69" fillId="0" borderId="1" xfId="12" applyFont="1" applyBorder="1" applyAlignment="1">
      <alignment horizontal="left" vertical="top" wrapText="1"/>
    </xf>
    <xf numFmtId="43" fontId="84" fillId="0" borderId="14" xfId="1" applyFont="1" applyBorder="1" applyAlignment="1">
      <alignment horizontal="right" vertical="center" indent="1"/>
    </xf>
    <xf numFmtId="165" fontId="68" fillId="0" borderId="53" xfId="1" applyNumberFormat="1" applyFont="1" applyBorder="1" applyAlignment="1">
      <alignment horizontal="right" vertical="center" indent="1"/>
    </xf>
    <xf numFmtId="39" fontId="68" fillId="0" borderId="7" xfId="12" applyNumberFormat="1" applyFont="1" applyBorder="1" applyAlignment="1">
      <alignment horizontal="right" vertical="center"/>
    </xf>
    <xf numFmtId="4" fontId="69" fillId="0" borderId="57" xfId="0" applyNumberFormat="1" applyFont="1" applyFill="1" applyBorder="1" applyAlignment="1">
      <alignment vertical="center"/>
    </xf>
    <xf numFmtId="39" fontId="0" fillId="0" borderId="7" xfId="12" applyNumberFormat="1" applyFont="1" applyBorder="1" applyAlignment="1">
      <alignment horizontal="right" vertical="top"/>
    </xf>
    <xf numFmtId="39" fontId="0" fillId="0" borderId="1" xfId="12" applyNumberFormat="1" applyFont="1" applyBorder="1" applyAlignment="1">
      <alignment horizontal="right" vertical="top"/>
    </xf>
    <xf numFmtId="43" fontId="68" fillId="0" borderId="14" xfId="1" applyFont="1" applyBorder="1" applyAlignment="1">
      <alignment horizontal="right" vertical="center" wrapText="1"/>
    </xf>
    <xf numFmtId="43" fontId="68" fillId="0" borderId="53" xfId="1" applyFont="1" applyFill="1" applyBorder="1" applyAlignment="1">
      <alignment horizontal="right" vertical="center" indent="1"/>
    </xf>
    <xf numFmtId="43" fontId="68" fillId="0" borderId="1" xfId="1" applyFont="1" applyFill="1" applyBorder="1" applyAlignment="1">
      <alignment horizontal="right" vertical="center" indent="1"/>
    </xf>
    <xf numFmtId="166" fontId="68" fillId="7" borderId="53" xfId="2" applyNumberFormat="1" applyFont="1" applyFill="1" applyBorder="1" applyAlignment="1">
      <alignment horizontal="right" vertical="center"/>
    </xf>
    <xf numFmtId="4" fontId="76" fillId="7" borderId="53" xfId="2" applyNumberFormat="1" applyFont="1" applyFill="1" applyBorder="1" applyAlignment="1">
      <alignment vertical="center"/>
    </xf>
    <xf numFmtId="4" fontId="76" fillId="0" borderId="57" xfId="2" applyNumberFormat="1" applyFont="1" applyBorder="1" applyAlignment="1">
      <alignment vertical="center"/>
    </xf>
    <xf numFmtId="0" fontId="69" fillId="0" borderId="1" xfId="0" applyFont="1" applyBorder="1" applyAlignment="1">
      <alignment wrapText="1"/>
    </xf>
    <xf numFmtId="166" fontId="68" fillId="0" borderId="53" xfId="2" applyNumberFormat="1" applyFont="1" applyBorder="1" applyAlignment="1">
      <alignment wrapText="1"/>
    </xf>
    <xf numFmtId="0" fontId="69" fillId="0" borderId="5" xfId="0" applyFont="1" applyBorder="1" applyAlignment="1">
      <alignment wrapText="1"/>
    </xf>
    <xf numFmtId="0" fontId="68" fillId="0" borderId="68" xfId="0" applyFont="1" applyBorder="1" applyAlignment="1">
      <alignment wrapText="1"/>
    </xf>
    <xf numFmtId="0" fontId="68" fillId="0" borderId="7" xfId="7" applyFont="1" applyBorder="1" applyAlignment="1">
      <alignment vertical="center" wrapText="1"/>
    </xf>
    <xf numFmtId="165" fontId="76" fillId="0" borderId="7" xfId="2" applyNumberFormat="1" applyFont="1" applyBorder="1" applyAlignment="1">
      <alignment vertical="center"/>
    </xf>
    <xf numFmtId="4" fontId="0" fillId="0" borderId="1" xfId="2" applyNumberFormat="1" applyFont="1" applyFill="1" applyBorder="1" applyAlignment="1"/>
    <xf numFmtId="4" fontId="76" fillId="0" borderId="14" xfId="2" applyNumberFormat="1" applyFont="1" applyBorder="1" applyAlignment="1">
      <alignment vertical="center"/>
    </xf>
    <xf numFmtId="166" fontId="69" fillId="4" borderId="14" xfId="0" applyNumberFormat="1" applyFont="1" applyFill="1" applyBorder="1" applyAlignment="1">
      <alignment horizontal="right" vertical="center"/>
    </xf>
    <xf numFmtId="0" fontId="69" fillId="10" borderId="7" xfId="0" applyFont="1" applyFill="1" applyBorder="1" applyAlignment="1">
      <alignment vertical="center" wrapText="1"/>
    </xf>
    <xf numFmtId="0" fontId="0" fillId="10" borderId="7" xfId="0" applyFont="1" applyFill="1" applyBorder="1" applyAlignment="1">
      <alignment vertical="center" wrapText="1"/>
    </xf>
    <xf numFmtId="166" fontId="0" fillId="0" borderId="7" xfId="0" applyNumberFormat="1" applyFont="1" applyBorder="1" applyAlignment="1">
      <alignment horizontal="right" vertical="center"/>
    </xf>
    <xf numFmtId="43" fontId="0" fillId="0" borderId="1" xfId="2" applyNumberFormat="1" applyFont="1" applyBorder="1" applyAlignment="1">
      <alignment horizontal="right"/>
    </xf>
    <xf numFmtId="0" fontId="69" fillId="10" borderId="5" xfId="19" applyFont="1" applyFill="1" applyBorder="1" applyAlignment="1">
      <alignment vertical="center" wrapText="1"/>
    </xf>
    <xf numFmtId="0" fontId="89" fillId="10" borderId="7" xfId="0" applyFont="1" applyFill="1" applyBorder="1" applyAlignment="1">
      <alignment horizontal="left" vertical="center" wrapText="1"/>
    </xf>
    <xf numFmtId="166" fontId="68" fillId="0" borderId="1" xfId="0" applyNumberFormat="1" applyFont="1" applyBorder="1" applyAlignment="1">
      <alignment horizontal="right" vertical="center" wrapText="1"/>
    </xf>
    <xf numFmtId="41" fontId="0" fillId="0" borderId="7" xfId="0" applyNumberFormat="1" applyFont="1" applyBorder="1" applyAlignment="1">
      <alignment horizontal="right" vertical="center" wrapText="1"/>
    </xf>
    <xf numFmtId="166" fontId="89" fillId="0" borderId="7" xfId="0" applyNumberFormat="1" applyFont="1" applyBorder="1" applyAlignment="1">
      <alignment horizontal="right" vertical="center"/>
    </xf>
    <xf numFmtId="43" fontId="69" fillId="0" borderId="7" xfId="1" applyFont="1" applyFill="1" applyBorder="1" applyAlignment="1">
      <alignment horizontal="left" vertical="top" wrapText="1"/>
    </xf>
    <xf numFmtId="43" fontId="69" fillId="0" borderId="7" xfId="1" applyFont="1" applyFill="1" applyBorder="1" applyAlignment="1">
      <alignment horizontal="left" wrapText="1"/>
    </xf>
    <xf numFmtId="4" fontId="94" fillId="0" borderId="5" xfId="2" applyNumberFormat="1" applyFont="1" applyBorder="1" applyAlignment="1">
      <alignment vertical="center"/>
    </xf>
    <xf numFmtId="166" fontId="138" fillId="0" borderId="1" xfId="2" applyNumberFormat="1" applyFont="1" applyFill="1" applyBorder="1" applyAlignment="1">
      <alignment horizontal="right" vertical="center"/>
    </xf>
    <xf numFmtId="166" fontId="137" fillId="0" borderId="1" xfId="2" applyNumberFormat="1" applyFont="1" applyFill="1" applyBorder="1" applyAlignment="1">
      <alignment vertical="center"/>
    </xf>
    <xf numFmtId="0" fontId="95" fillId="0" borderId="7" xfId="0" applyFont="1" applyBorder="1" applyAlignment="1">
      <alignment horizontal="left" vertical="top" wrapText="1"/>
    </xf>
    <xf numFmtId="0" fontId="68" fillId="0" borderId="1" xfId="0" applyFont="1" applyBorder="1" applyAlignment="1">
      <alignment vertical="top" wrapText="1"/>
    </xf>
    <xf numFmtId="0" fontId="69" fillId="0" borderId="14" xfId="0" applyFont="1" applyBorder="1" applyAlignment="1">
      <alignment horizontal="left" vertical="top" wrapText="1"/>
    </xf>
    <xf numFmtId="39" fontId="70" fillId="0" borderId="5" xfId="0" applyNumberFormat="1" applyFont="1" applyBorder="1" applyAlignment="1">
      <alignment vertical="top"/>
    </xf>
    <xf numFmtId="166" fontId="72" fillId="0" borderId="7" xfId="2" applyNumberFormat="1" applyFont="1" applyBorder="1" applyAlignment="1">
      <alignment vertical="center" wrapText="1"/>
    </xf>
    <xf numFmtId="0" fontId="0" fillId="0" borderId="7" xfId="0" applyFont="1" applyBorder="1" applyAlignment="1">
      <alignment horizontal="left" vertical="top" wrapText="1"/>
    </xf>
    <xf numFmtId="0" fontId="0" fillId="0" borderId="14" xfId="0" applyFont="1" applyBorder="1" applyAlignment="1">
      <alignment horizontal="left" vertical="top" wrapText="1"/>
    </xf>
    <xf numFmtId="0" fontId="89" fillId="0" borderId="1" xfId="0" applyFont="1" applyBorder="1" applyAlignment="1">
      <alignment vertical="top" wrapText="1"/>
    </xf>
    <xf numFmtId="166" fontId="76" fillId="7" borderId="9" xfId="2" applyNumberFormat="1" applyFont="1" applyFill="1" applyBorder="1" applyAlignment="1">
      <alignment horizontal="right" vertical="center"/>
    </xf>
    <xf numFmtId="166" fontId="76" fillId="7" borderId="9" xfId="228" applyNumberFormat="1" applyFont="1" applyFill="1" applyBorder="1" applyAlignment="1">
      <alignment vertical="center"/>
    </xf>
    <xf numFmtId="39" fontId="68" fillId="0" borderId="1" xfId="0" applyNumberFormat="1" applyFont="1" applyFill="1" applyBorder="1" applyAlignment="1">
      <alignment horizontal="right" vertical="top"/>
    </xf>
    <xf numFmtId="166" fontId="76" fillId="0" borderId="1" xfId="228" applyNumberFormat="1" applyFont="1" applyFill="1" applyBorder="1" applyAlignment="1">
      <alignment vertical="center"/>
    </xf>
    <xf numFmtId="0" fontId="69" fillId="0" borderId="14" xfId="5" applyFont="1" applyBorder="1" applyAlignment="1">
      <alignment vertical="center" wrapText="1"/>
    </xf>
    <xf numFmtId="0" fontId="68" fillId="0" borderId="14" xfId="5" applyFont="1" applyBorder="1" applyAlignment="1">
      <alignment vertical="center" wrapText="1"/>
    </xf>
    <xf numFmtId="41" fontId="69" fillId="0" borderId="14" xfId="2" applyFont="1" applyBorder="1" applyAlignment="1">
      <alignment horizontal="right" vertical="center" indent="1"/>
    </xf>
    <xf numFmtId="166" fontId="76" fillId="0" borderId="5" xfId="2" applyNumberFormat="1" applyFont="1" applyFill="1" applyBorder="1" applyAlignment="1">
      <alignment horizontal="center" vertical="center"/>
    </xf>
    <xf numFmtId="166" fontId="76" fillId="0" borderId="5" xfId="2" applyNumberFormat="1" applyFont="1" applyBorder="1" applyAlignment="1">
      <alignment horizontal="center" vertical="center"/>
    </xf>
    <xf numFmtId="166" fontId="68" fillId="0" borderId="1" xfId="2" applyNumberFormat="1" applyFont="1" applyBorder="1" applyAlignment="1">
      <alignment horizontal="right" vertical="center" indent="1"/>
    </xf>
    <xf numFmtId="39" fontId="68" fillId="0" borderId="57" xfId="0" applyNumberFormat="1" applyFont="1" applyFill="1" applyBorder="1" applyAlignment="1">
      <alignment horizontal="right" vertical="top"/>
    </xf>
    <xf numFmtId="2" fontId="127" fillId="0" borderId="7" xfId="17" applyNumberFormat="1" applyFont="1" applyFill="1" applyBorder="1" applyAlignment="1">
      <alignment horizontal="right" vertical="center" wrapText="1"/>
    </xf>
    <xf numFmtId="0" fontId="68" fillId="0" borderId="1" xfId="0" applyFont="1" applyFill="1" applyBorder="1" applyAlignment="1">
      <alignment wrapText="1"/>
    </xf>
    <xf numFmtId="4" fontId="68" fillId="0" borderId="1" xfId="0" applyNumberFormat="1" applyFont="1" applyFill="1" applyBorder="1" applyAlignment="1">
      <alignment horizontal="right"/>
    </xf>
    <xf numFmtId="0" fontId="68" fillId="0" borderId="7" xfId="0" applyFont="1" applyFill="1" applyBorder="1" applyAlignment="1">
      <alignment vertical="center" wrapText="1"/>
    </xf>
    <xf numFmtId="166" fontId="69" fillId="0" borderId="7" xfId="2" applyNumberFormat="1" applyFont="1" applyFill="1" applyBorder="1" applyAlignment="1">
      <alignment horizontal="right" vertical="center" wrapText="1"/>
    </xf>
    <xf numFmtId="41" fontId="69" fillId="0" borderId="7" xfId="2" applyFont="1" applyFill="1" applyBorder="1" applyAlignment="1">
      <alignment horizontal="right" vertical="center" wrapText="1"/>
    </xf>
    <xf numFmtId="0" fontId="0" fillId="0" borderId="7" xfId="0" applyFont="1" applyFill="1" applyBorder="1" applyAlignment="1">
      <alignment vertical="center" wrapText="1"/>
    </xf>
    <xf numFmtId="4" fontId="70" fillId="0" borderId="1" xfId="2" applyNumberFormat="1" applyFont="1" applyBorder="1" applyAlignment="1">
      <alignment vertical="center"/>
    </xf>
    <xf numFmtId="166" fontId="68" fillId="0" borderId="7" xfId="2" applyNumberFormat="1" applyFont="1" applyFill="1" applyBorder="1" applyAlignment="1">
      <alignment horizontal="right" vertical="center" wrapText="1"/>
    </xf>
    <xf numFmtId="166" fontId="0" fillId="0" borderId="7" xfId="2" applyNumberFormat="1" applyFont="1" applyFill="1" applyBorder="1" applyAlignment="1">
      <alignment horizontal="right" vertical="center" wrapText="1"/>
    </xf>
    <xf numFmtId="41" fontId="0" fillId="0" borderId="7" xfId="2" applyFont="1" applyFill="1" applyBorder="1" applyAlignment="1">
      <alignment horizontal="right" vertical="center" wrapText="1"/>
    </xf>
    <xf numFmtId="20" fontId="69" fillId="0" borderId="7" xfId="0" applyNumberFormat="1" applyFont="1" applyBorder="1" applyAlignment="1">
      <alignment horizontal="left" vertical="center" wrapText="1"/>
    </xf>
    <xf numFmtId="43" fontId="72" fillId="0" borderId="14" xfId="1" applyFont="1" applyBorder="1" applyAlignment="1">
      <alignment horizontal="left" vertical="center" indent="1"/>
    </xf>
    <xf numFmtId="43" fontId="68" fillId="0" borderId="14" xfId="1" applyFont="1" applyBorder="1" applyAlignment="1">
      <alignment horizontal="left" vertical="center" indent="1"/>
    </xf>
    <xf numFmtId="166" fontId="94" fillId="0" borderId="14" xfId="2" applyNumberFormat="1" applyFont="1" applyBorder="1" applyAlignment="1">
      <alignment vertical="center"/>
    </xf>
    <xf numFmtId="4" fontId="69" fillId="0" borderId="7" xfId="1" applyNumberFormat="1" applyFont="1" applyBorder="1" applyAlignment="1">
      <alignment vertical="center"/>
    </xf>
    <xf numFmtId="169" fontId="69" fillId="0" borderId="7" xfId="0" applyNumberFormat="1" applyFont="1" applyFill="1" applyBorder="1" applyAlignment="1">
      <alignment horizontal="left" vertical="center" wrapText="1" indent="1"/>
    </xf>
    <xf numFmtId="169" fontId="69" fillId="0" borderId="14" xfId="0" applyNumberFormat="1" applyFont="1" applyFill="1" applyBorder="1" applyAlignment="1">
      <alignment horizontal="left" vertical="center" wrapText="1" indent="2"/>
    </xf>
    <xf numFmtId="0" fontId="0" fillId="0" borderId="14" xfId="0" applyFont="1" applyFill="1" applyBorder="1" applyAlignment="1">
      <alignment wrapText="1"/>
    </xf>
    <xf numFmtId="43" fontId="69" fillId="10" borderId="7" xfId="0" applyNumberFormat="1" applyFont="1" applyFill="1" applyBorder="1" applyAlignment="1"/>
    <xf numFmtId="166" fontId="69" fillId="10" borderId="14" xfId="0" applyNumberFormat="1" applyFont="1" applyFill="1" applyBorder="1" applyAlignment="1"/>
    <xf numFmtId="4" fontId="72" fillId="0" borderId="7" xfId="2" applyNumberFormat="1" applyFont="1" applyBorder="1" applyAlignment="1">
      <alignment horizontal="right" vertical="center"/>
    </xf>
    <xf numFmtId="166" fontId="69" fillId="10" borderId="7" xfId="0" applyNumberFormat="1" applyFont="1" applyFill="1" applyBorder="1" applyAlignment="1">
      <alignment horizontal="right"/>
    </xf>
    <xf numFmtId="166" fontId="69" fillId="10" borderId="7" xfId="0" applyNumberFormat="1" applyFont="1" applyFill="1" applyBorder="1" applyAlignment="1">
      <alignment vertical="center"/>
    </xf>
    <xf numFmtId="165" fontId="68" fillId="0" borderId="7" xfId="0" applyNumberFormat="1" applyFont="1" applyFill="1" applyBorder="1"/>
    <xf numFmtId="166" fontId="69" fillId="0" borderId="14" xfId="0" applyNumberFormat="1" applyFont="1" applyBorder="1" applyAlignment="1"/>
    <xf numFmtId="166" fontId="69" fillId="10" borderId="14" xfId="0" applyNumberFormat="1" applyFont="1" applyFill="1" applyBorder="1" applyAlignment="1">
      <alignment vertical="center"/>
    </xf>
    <xf numFmtId="166" fontId="76" fillId="0" borderId="5" xfId="2" applyNumberFormat="1" applyFont="1" applyBorder="1" applyAlignment="1">
      <alignment horizontal="right" vertical="center"/>
    </xf>
    <xf numFmtId="166" fontId="69" fillId="0" borderId="5" xfId="2" quotePrefix="1" applyNumberFormat="1" applyFont="1" applyBorder="1" applyAlignment="1">
      <alignment vertical="center"/>
    </xf>
    <xf numFmtId="166" fontId="69" fillId="0" borderId="7" xfId="2" quotePrefix="1" applyNumberFormat="1" applyFont="1" applyBorder="1" applyAlignment="1">
      <alignment vertical="center"/>
    </xf>
    <xf numFmtId="166" fontId="68" fillId="0" borderId="7" xfId="2" quotePrefix="1" applyNumberFormat="1" applyFont="1" applyBorder="1" applyAlignment="1">
      <alignment vertical="center"/>
    </xf>
    <xf numFmtId="166" fontId="76" fillId="0" borderId="7" xfId="2" quotePrefix="1" applyNumberFormat="1" applyFont="1" applyBorder="1" applyAlignment="1">
      <alignment horizontal="right" vertical="center"/>
    </xf>
    <xf numFmtId="166" fontId="69" fillId="0" borderId="14" xfId="11" applyNumberFormat="1" applyFont="1" applyBorder="1" applyAlignment="1">
      <alignment vertical="center"/>
    </xf>
    <xf numFmtId="39" fontId="76" fillId="0" borderId="53" xfId="0" applyNumberFormat="1" applyFont="1" applyFill="1" applyBorder="1" applyAlignment="1">
      <alignment horizontal="right" vertical="center"/>
    </xf>
    <xf numFmtId="39" fontId="76" fillId="0" borderId="5" xfId="0" applyNumberFormat="1" applyFont="1" applyFill="1" applyBorder="1" applyAlignment="1">
      <alignment horizontal="right" vertical="center"/>
    </xf>
    <xf numFmtId="39" fontId="76" fillId="0" borderId="1" xfId="2" applyNumberFormat="1" applyFont="1" applyBorder="1" applyAlignment="1">
      <alignment vertical="center"/>
    </xf>
    <xf numFmtId="0" fontId="68" fillId="0" borderId="1" xfId="0" applyFont="1" applyBorder="1" applyAlignment="1">
      <alignment horizontal="left" wrapText="1"/>
    </xf>
    <xf numFmtId="4" fontId="70" fillId="0" borderId="5" xfId="2" applyNumberFormat="1" applyFont="1" applyBorder="1" applyAlignment="1">
      <alignment vertical="center"/>
    </xf>
    <xf numFmtId="43" fontId="69" fillId="0" borderId="1" xfId="1" applyFont="1" applyBorder="1" applyAlignment="1">
      <alignment horizontal="right"/>
    </xf>
    <xf numFmtId="4" fontId="70" fillId="0" borderId="57" xfId="2" applyNumberFormat="1" applyFont="1" applyBorder="1" applyAlignment="1">
      <alignment vertical="center"/>
    </xf>
    <xf numFmtId="0" fontId="0" fillId="0" borderId="57" xfId="0" applyFont="1" applyBorder="1" applyAlignment="1">
      <alignment wrapText="1"/>
    </xf>
    <xf numFmtId="0" fontId="87" fillId="0" borderId="53" xfId="0" applyFont="1" applyFill="1" applyBorder="1" applyAlignment="1">
      <alignment horizontal="left" vertical="center" wrapText="1"/>
    </xf>
    <xf numFmtId="4" fontId="28" fillId="0" borderId="53" xfId="2" applyNumberFormat="1" applyFont="1" applyBorder="1" applyAlignment="1">
      <alignment vertical="center"/>
    </xf>
    <xf numFmtId="49" fontId="28" fillId="0" borderId="53" xfId="0" applyNumberFormat="1" applyFont="1" applyBorder="1" applyAlignment="1">
      <alignment horizontal="center" vertical="center"/>
    </xf>
    <xf numFmtId="166" fontId="26" fillId="0" borderId="0" xfId="2" applyNumberFormat="1" applyFont="1" applyBorder="1" applyAlignment="1">
      <alignment horizontal="center"/>
    </xf>
    <xf numFmtId="0" fontId="0" fillId="0" borderId="0" xfId="0" applyFont="1" applyBorder="1" applyAlignment="1">
      <alignment vertical="center"/>
    </xf>
    <xf numFmtId="0" fontId="76" fillId="0" borderId="0" xfId="0" applyFont="1" applyBorder="1" applyAlignment="1">
      <alignment vertical="center"/>
    </xf>
    <xf numFmtId="0" fontId="26" fillId="0" borderId="0" xfId="0" applyFont="1" applyBorder="1" applyAlignment="1"/>
    <xf numFmtId="0" fontId="76" fillId="0" borderId="0" xfId="0" applyFont="1" applyBorder="1" applyAlignment="1">
      <alignment horizontal="center" vertical="center"/>
    </xf>
    <xf numFmtId="166" fontId="53" fillId="0" borderId="0" xfId="2" applyNumberFormat="1" applyFont="1" applyBorder="1" applyAlignment="1"/>
    <xf numFmtId="166" fontId="0" fillId="0" borderId="0" xfId="2" applyNumberFormat="1" applyFont="1" applyBorder="1" applyAlignment="1">
      <alignment horizontal="right"/>
    </xf>
    <xf numFmtId="0" fontId="26" fillId="0" borderId="0" xfId="0" applyFont="1" applyBorder="1"/>
    <xf numFmtId="0" fontId="9" fillId="0" borderId="0" xfId="0" applyFont="1" applyBorder="1"/>
    <xf numFmtId="0" fontId="70" fillId="0" borderId="0" xfId="0" applyFont="1" applyBorder="1" applyAlignment="1">
      <alignment horizontal="center"/>
    </xf>
    <xf numFmtId="0" fontId="0" fillId="0" borderId="0" xfId="0" applyFont="1" applyBorder="1" applyAlignment="1">
      <alignment horizontal="center" wrapText="1"/>
    </xf>
    <xf numFmtId="0" fontId="9" fillId="0" borderId="0" xfId="0" applyFont="1" applyBorder="1" applyAlignment="1">
      <alignment horizontal="center"/>
    </xf>
    <xf numFmtId="0" fontId="70" fillId="0" borderId="0" xfId="0" applyFont="1" applyBorder="1" applyAlignment="1">
      <alignment horizontal="left"/>
    </xf>
    <xf numFmtId="0" fontId="9" fillId="0" borderId="0" xfId="0" applyFont="1" applyBorder="1" applyAlignment="1">
      <alignment horizontal="left"/>
    </xf>
    <xf numFmtId="0" fontId="70" fillId="0" borderId="0" xfId="0" applyFont="1" applyBorder="1" applyAlignment="1">
      <alignment horizontal="left" vertical="top"/>
    </xf>
    <xf numFmtId="41" fontId="0" fillId="0" borderId="0" xfId="2" applyFont="1" applyBorder="1" applyAlignment="1">
      <alignment horizontal="right" vertical="top"/>
    </xf>
    <xf numFmtId="0" fontId="28" fillId="0" borderId="0" xfId="0" applyFont="1" applyBorder="1" applyAlignment="1">
      <alignment horizontal="right" vertical="center"/>
    </xf>
    <xf numFmtId="0" fontId="70" fillId="0" borderId="0" xfId="0" applyFont="1" applyBorder="1" applyAlignment="1">
      <alignment horizontal="left" vertical="center"/>
    </xf>
    <xf numFmtId="0" fontId="70" fillId="0" borderId="0" xfId="0" applyFont="1" applyBorder="1" applyAlignment="1">
      <alignment horizontal="right" vertical="center"/>
    </xf>
    <xf numFmtId="166" fontId="70" fillId="0" borderId="51" xfId="2" applyNumberFormat="1" applyFont="1" applyBorder="1"/>
    <xf numFmtId="166" fontId="68" fillId="0" borderId="1" xfId="2" applyNumberFormat="1" applyFont="1" applyBorder="1" applyAlignment="1">
      <alignment horizontal="center"/>
    </xf>
    <xf numFmtId="43" fontId="68" fillId="0" borderId="9" xfId="0" applyNumberFormat="1" applyFont="1" applyBorder="1" applyAlignment="1">
      <alignment horizontal="center" vertical="center"/>
    </xf>
    <xf numFmtId="0" fontId="68" fillId="0" borderId="9" xfId="0" applyFont="1" applyBorder="1" applyAlignment="1">
      <alignment horizontal="center" vertical="center" wrapText="1"/>
    </xf>
    <xf numFmtId="0" fontId="0" fillId="0" borderId="14" xfId="0" applyBorder="1"/>
    <xf numFmtId="0" fontId="40" fillId="0" borderId="14" xfId="0" applyFont="1" applyBorder="1" applyAlignment="1">
      <alignment horizontal="left" vertical="center" indent="1"/>
    </xf>
    <xf numFmtId="166" fontId="68" fillId="0" borderId="8" xfId="2" applyNumberFormat="1" applyFont="1" applyBorder="1"/>
    <xf numFmtId="0" fontId="40" fillId="0" borderId="1" xfId="0" applyFont="1" applyBorder="1" applyAlignment="1">
      <alignment horizontal="left" vertical="center" indent="1"/>
    </xf>
    <xf numFmtId="43" fontId="40" fillId="0" borderId="14" xfId="2" applyNumberFormat="1" applyFont="1" applyBorder="1"/>
    <xf numFmtId="0" fontId="0" fillId="0" borderId="17" xfId="0" applyBorder="1"/>
    <xf numFmtId="0" fontId="40" fillId="0" borderId="17" xfId="0" applyFont="1" applyBorder="1" applyAlignment="1">
      <alignment horizontal="center" vertical="center"/>
    </xf>
    <xf numFmtId="166" fontId="76" fillId="0" borderId="14" xfId="18" applyNumberFormat="1" applyFont="1" applyFill="1" applyBorder="1" applyAlignment="1">
      <alignment horizontal="center" vertical="center"/>
    </xf>
    <xf numFmtId="166" fontId="76" fillId="0" borderId="14" xfId="18" applyNumberFormat="1" applyFont="1" applyFill="1" applyBorder="1" applyAlignment="1">
      <alignment horizontal="right"/>
    </xf>
    <xf numFmtId="166" fontId="70" fillId="0" borderId="7" xfId="18" applyNumberFormat="1" applyFont="1" applyFill="1" applyBorder="1" applyAlignment="1">
      <alignment horizontal="right"/>
    </xf>
    <xf numFmtId="165" fontId="0" fillId="0" borderId="7" xfId="0" applyNumberFormat="1" applyBorder="1" applyAlignment="1">
      <alignment horizontal="right"/>
    </xf>
    <xf numFmtId="166" fontId="70" fillId="0" borderId="14" xfId="18" applyNumberFormat="1" applyFont="1" applyFill="1" applyBorder="1" applyAlignment="1">
      <alignment horizontal="right"/>
    </xf>
    <xf numFmtId="165" fontId="68" fillId="0" borderId="51" xfId="0" applyNumberFormat="1" applyFont="1" applyBorder="1" applyAlignment="1">
      <alignment horizontal="right"/>
    </xf>
    <xf numFmtId="166" fontId="76" fillId="0" borderId="17" xfId="18" applyNumberFormat="1" applyFont="1" applyFill="1" applyBorder="1" applyAlignment="1">
      <alignment horizontal="right"/>
    </xf>
    <xf numFmtId="165" fontId="68" fillId="0" borderId="17" xfId="0" applyNumberFormat="1" applyFont="1" applyBorder="1" applyAlignment="1">
      <alignment horizontal="right"/>
    </xf>
    <xf numFmtId="0" fontId="68" fillId="0" borderId="111" xfId="0" applyFont="1" applyFill="1" applyBorder="1" applyAlignment="1">
      <alignment horizontal="right"/>
    </xf>
    <xf numFmtId="165" fontId="0" fillId="0" borderId="7" xfId="0" applyNumberFormat="1" applyBorder="1"/>
    <xf numFmtId="165" fontId="68" fillId="0" borderId="14" xfId="0" applyNumberFormat="1" applyFont="1" applyBorder="1" applyAlignment="1">
      <alignment horizontal="right"/>
    </xf>
    <xf numFmtId="165" fontId="68" fillId="0" borderId="111" xfId="0" applyNumberFormat="1" applyFont="1" applyBorder="1"/>
    <xf numFmtId="165" fontId="68" fillId="0" borderId="7" xfId="2" applyNumberFormat="1" applyFont="1" applyBorder="1"/>
    <xf numFmtId="0" fontId="0" fillId="0" borderId="115" xfId="0" applyBorder="1"/>
    <xf numFmtId="0" fontId="0" fillId="0" borderId="90" xfId="0" applyBorder="1"/>
    <xf numFmtId="0" fontId="0" fillId="0" borderId="7" xfId="0" quotePrefix="1" applyBorder="1"/>
    <xf numFmtId="0" fontId="68" fillId="0" borderId="20" xfId="0" applyFont="1" applyBorder="1" applyAlignment="1">
      <alignment horizontal="center"/>
    </xf>
    <xf numFmtId="166" fontId="68" fillId="0" borderId="20" xfId="2" applyNumberFormat="1" applyFont="1" applyBorder="1"/>
    <xf numFmtId="0" fontId="68" fillId="0" borderId="20" xfId="0" applyFont="1" applyBorder="1"/>
    <xf numFmtId="4" fontId="68" fillId="0" borderId="20" xfId="0" applyNumberFormat="1" applyFont="1" applyBorder="1" applyAlignment="1">
      <alignment horizontal="right" vertical="center"/>
    </xf>
    <xf numFmtId="0" fontId="73" fillId="9" borderId="4" xfId="0" applyFont="1" applyFill="1" applyBorder="1" applyAlignment="1">
      <alignment horizontal="center" vertical="center"/>
    </xf>
    <xf numFmtId="0" fontId="11" fillId="9" borderId="53" xfId="0" applyFont="1" applyFill="1" applyBorder="1" applyAlignment="1">
      <alignment vertical="top" wrapText="1"/>
    </xf>
    <xf numFmtId="39" fontId="11" fillId="9" borderId="53" xfId="0" applyNumberFormat="1" applyFont="1" applyFill="1" applyBorder="1" applyAlignment="1">
      <alignment horizontal="right" vertical="center"/>
    </xf>
    <xf numFmtId="4" fontId="73" fillId="9" borderId="53" xfId="0" applyNumberFormat="1" applyFont="1" applyFill="1" applyBorder="1" applyAlignment="1">
      <alignment horizontal="center" vertical="center"/>
    </xf>
    <xf numFmtId="0" fontId="73" fillId="9" borderId="97" xfId="0" applyFont="1" applyFill="1" applyBorder="1"/>
    <xf numFmtId="0" fontId="76" fillId="9" borderId="0" xfId="0" applyFont="1" applyFill="1"/>
    <xf numFmtId="41" fontId="76" fillId="9" borderId="0" xfId="11" applyFont="1" applyFill="1"/>
    <xf numFmtId="0" fontId="73" fillId="9" borderId="5" xfId="0" applyFont="1" applyFill="1" applyBorder="1" applyAlignment="1">
      <alignment horizontal="center" vertical="center"/>
    </xf>
    <xf numFmtId="0" fontId="11" fillId="9" borderId="53" xfId="0" applyFont="1" applyFill="1" applyBorder="1" applyAlignment="1">
      <alignment horizontal="left" vertical="center" wrapText="1"/>
    </xf>
    <xf numFmtId="39" fontId="73" fillId="9" borderId="53" xfId="0" applyNumberFormat="1" applyFont="1" applyFill="1" applyBorder="1" applyAlignment="1">
      <alignment horizontal="right" vertical="center"/>
    </xf>
    <xf numFmtId="0" fontId="73" fillId="9" borderId="24" xfId="0" applyFont="1" applyFill="1" applyBorder="1"/>
    <xf numFmtId="49" fontId="68" fillId="9" borderId="1" xfId="0" applyNumberFormat="1" applyFont="1" applyFill="1" applyBorder="1" applyAlignment="1">
      <alignment horizontal="center" vertical="center"/>
    </xf>
    <xf numFmtId="0" fontId="69" fillId="9" borderId="7" xfId="0" applyFont="1" applyFill="1" applyBorder="1" applyAlignment="1">
      <alignment vertical="center" wrapText="1"/>
    </xf>
    <xf numFmtId="166" fontId="69" fillId="9" borderId="7" xfId="0" applyNumberFormat="1" applyFont="1" applyFill="1" applyBorder="1" applyAlignment="1">
      <alignment horizontal="right" vertical="center"/>
    </xf>
    <xf numFmtId="169" fontId="69" fillId="9" borderId="7" xfId="0" applyNumberFormat="1" applyFont="1" applyFill="1" applyBorder="1" applyAlignment="1">
      <alignment vertical="center"/>
    </xf>
    <xf numFmtId="4" fontId="72" fillId="9" borderId="14" xfId="2" applyNumberFormat="1" applyFont="1" applyFill="1" applyBorder="1" applyAlignment="1">
      <alignment vertical="center"/>
    </xf>
    <xf numFmtId="0" fontId="115" fillId="9" borderId="28" xfId="0" applyFont="1" applyFill="1" applyBorder="1"/>
    <xf numFmtId="0" fontId="98" fillId="9" borderId="0" xfId="0" applyFont="1" applyFill="1"/>
    <xf numFmtId="41" fontId="98" fillId="9" borderId="0" xfId="2" applyFont="1" applyFill="1"/>
    <xf numFmtId="0" fontId="0" fillId="9" borderId="0" xfId="0" applyFont="1" applyFill="1"/>
    <xf numFmtId="49" fontId="68" fillId="9" borderId="7" xfId="0" applyNumberFormat="1" applyFont="1" applyFill="1" applyBorder="1" applyAlignment="1">
      <alignment horizontal="center" vertical="center"/>
    </xf>
    <xf numFmtId="0" fontId="69" fillId="9" borderId="28" xfId="5" applyFont="1" applyFill="1" applyBorder="1" applyAlignment="1">
      <alignment vertical="center" wrapText="1"/>
    </xf>
    <xf numFmtId="169" fontId="69" fillId="9" borderId="7" xfId="105" applyNumberFormat="1" applyFont="1" applyFill="1" applyBorder="1" applyAlignment="1">
      <alignment vertical="center"/>
    </xf>
    <xf numFmtId="4" fontId="69" fillId="9" borderId="5" xfId="0" applyNumberFormat="1" applyFont="1" applyFill="1" applyBorder="1" applyAlignment="1">
      <alignment horizontal="right" vertical="center"/>
    </xf>
    <xf numFmtId="166" fontId="69" fillId="9" borderId="28" xfId="2" applyNumberFormat="1" applyFont="1" applyFill="1" applyBorder="1" applyAlignment="1">
      <alignment vertical="center"/>
    </xf>
    <xf numFmtId="41" fontId="0" fillId="9" borderId="0" xfId="2" applyFont="1" applyFill="1"/>
    <xf numFmtId="0" fontId="83" fillId="9" borderId="0" xfId="0" applyFont="1" applyFill="1"/>
    <xf numFmtId="49" fontId="89" fillId="9" borderId="1" xfId="0" applyNumberFormat="1" applyFont="1" applyFill="1" applyBorder="1" applyAlignment="1">
      <alignment horizontal="center" vertical="center"/>
    </xf>
    <xf numFmtId="0" fontId="69" fillId="9" borderId="7" xfId="0" applyFont="1" applyFill="1" applyBorder="1" applyAlignment="1">
      <alignment horizontal="left" vertical="center" wrapText="1"/>
    </xf>
    <xf numFmtId="43" fontId="69" fillId="9" borderId="7" xfId="0" applyNumberFormat="1" applyFont="1" applyFill="1" applyBorder="1" applyAlignment="1">
      <alignment horizontal="right" vertical="center"/>
    </xf>
    <xf numFmtId="43" fontId="69" fillId="9" borderId="7" xfId="0" applyNumberFormat="1" applyFont="1" applyFill="1" applyBorder="1" applyAlignment="1">
      <alignment vertical="center"/>
    </xf>
    <xf numFmtId="166" fontId="69" fillId="9" borderId="28" xfId="2" applyNumberFormat="1" applyFont="1" applyFill="1" applyBorder="1" applyAlignment="1">
      <alignment horizontal="right" vertical="center"/>
    </xf>
    <xf numFmtId="0" fontId="78" fillId="9" borderId="28" xfId="0" applyFont="1" applyFill="1" applyBorder="1"/>
    <xf numFmtId="0" fontId="55" fillId="9" borderId="0" xfId="0" applyFont="1" applyFill="1"/>
    <xf numFmtId="41" fontId="55" fillId="9" borderId="0" xfId="2" applyFont="1" applyFill="1"/>
    <xf numFmtId="0" fontId="99" fillId="9" borderId="0" xfId="0" applyFont="1" applyFill="1"/>
    <xf numFmtId="49" fontId="70" fillId="9" borderId="1" xfId="0" applyNumberFormat="1" applyFont="1" applyFill="1" applyBorder="1" applyAlignment="1">
      <alignment horizontal="center" vertical="center"/>
    </xf>
    <xf numFmtId="4" fontId="69" fillId="9" borderId="28" xfId="0" applyNumberFormat="1" applyFont="1" applyFill="1" applyBorder="1" applyAlignment="1">
      <alignment vertical="center"/>
    </xf>
    <xf numFmtId="4" fontId="69" fillId="9" borderId="28" xfId="0" applyNumberFormat="1" applyFont="1" applyFill="1" applyBorder="1" applyAlignment="1">
      <alignment horizontal="right" vertical="center"/>
    </xf>
    <xf numFmtId="0" fontId="99" fillId="9" borderId="28" xfId="0" applyFont="1" applyFill="1" applyBorder="1"/>
    <xf numFmtId="0" fontId="91" fillId="9" borderId="0" xfId="0" applyFont="1" applyFill="1"/>
    <xf numFmtId="49" fontId="89" fillId="9" borderId="7" xfId="0" applyNumberFormat="1" applyFont="1" applyFill="1" applyBorder="1" applyAlignment="1">
      <alignment horizontal="center" vertical="center"/>
    </xf>
    <xf numFmtId="0" fontId="69" fillId="9" borderId="0" xfId="0" applyFont="1" applyFill="1" applyAlignment="1">
      <alignment wrapText="1"/>
    </xf>
    <xf numFmtId="4" fontId="69" fillId="9" borderId="7" xfId="2" applyNumberFormat="1" applyFont="1" applyFill="1" applyBorder="1" applyAlignment="1">
      <alignment vertical="center"/>
    </xf>
    <xf numFmtId="0" fontId="101" fillId="9" borderId="0" xfId="0" applyFont="1" applyFill="1"/>
    <xf numFmtId="41" fontId="101" fillId="9" borderId="0" xfId="2" applyFont="1" applyFill="1"/>
    <xf numFmtId="168" fontId="69" fillId="9" borderId="7" xfId="0" applyNumberFormat="1" applyFont="1" applyFill="1" applyBorder="1" applyAlignment="1">
      <alignment horizontal="left" vertical="center" wrapText="1"/>
    </xf>
    <xf numFmtId="39" fontId="69" fillId="9" borderId="7" xfId="0" applyNumberFormat="1" applyFont="1" applyFill="1" applyBorder="1" applyAlignment="1">
      <alignment vertical="center"/>
    </xf>
    <xf numFmtId="166" fontId="0" fillId="9" borderId="27" xfId="2" applyNumberFormat="1" applyFont="1" applyFill="1" applyBorder="1" applyAlignment="1">
      <alignment vertical="center"/>
    </xf>
    <xf numFmtId="4" fontId="69" fillId="9" borderId="5" xfId="0" applyNumberFormat="1" applyFont="1" applyFill="1" applyBorder="1" applyAlignment="1">
      <alignment vertical="center"/>
    </xf>
    <xf numFmtId="39" fontId="69" fillId="9" borderId="7" xfId="0" applyNumberFormat="1" applyFont="1" applyFill="1" applyBorder="1" applyAlignment="1">
      <alignment horizontal="right" vertical="center"/>
    </xf>
    <xf numFmtId="0" fontId="120" fillId="0" borderId="134" xfId="221" applyFont="1" applyBorder="1" applyAlignment="1">
      <alignment horizontal="center" vertical="center"/>
    </xf>
    <xf numFmtId="0" fontId="120" fillId="0" borderId="136" xfId="221" applyFont="1" applyBorder="1" applyAlignment="1">
      <alignment horizontal="center" vertical="center"/>
    </xf>
    <xf numFmtId="0" fontId="120" fillId="0" borderId="9" xfId="221" applyFont="1" applyBorder="1" applyAlignment="1">
      <alignment horizontal="center" vertical="center"/>
    </xf>
    <xf numFmtId="0" fontId="120" fillId="0" borderId="40" xfId="221" applyFont="1" applyBorder="1" applyAlignment="1">
      <alignment horizontal="center" vertical="center"/>
    </xf>
    <xf numFmtId="166" fontId="120" fillId="0" borderId="31" xfId="222" applyNumberFormat="1" applyFont="1" applyBorder="1" applyAlignment="1" applyProtection="1">
      <alignment horizontal="center" vertical="center"/>
    </xf>
    <xf numFmtId="0" fontId="120" fillId="0" borderId="135" xfId="221" applyFont="1" applyBorder="1" applyAlignment="1">
      <alignment horizontal="center" vertical="center"/>
    </xf>
    <xf numFmtId="0" fontId="120" fillId="0" borderId="137" xfId="221" applyFont="1" applyBorder="1" applyAlignment="1">
      <alignment horizontal="center" vertical="center"/>
    </xf>
    <xf numFmtId="166" fontId="120" fillId="0" borderId="9" xfId="222" applyNumberFormat="1" applyFont="1" applyBorder="1" applyAlignment="1" applyProtection="1">
      <alignment horizontal="center" vertical="center" wrapText="1"/>
    </xf>
    <xf numFmtId="166" fontId="120" fillId="0" borderId="40" xfId="222" applyNumberFormat="1" applyFont="1" applyBorder="1" applyAlignment="1" applyProtection="1">
      <alignment horizontal="center" vertical="center" wrapText="1"/>
    </xf>
    <xf numFmtId="166" fontId="120" fillId="0" borderId="2" xfId="222" applyNumberFormat="1" applyFont="1" applyBorder="1" applyAlignment="1" applyProtection="1">
      <alignment horizontal="center" vertical="center" wrapText="1"/>
    </xf>
    <xf numFmtId="166" fontId="120" fillId="0" borderId="1" xfId="222" applyNumberFormat="1" applyFont="1" applyBorder="1" applyAlignment="1" applyProtection="1">
      <alignment horizontal="center" vertical="center" wrapText="1"/>
    </xf>
    <xf numFmtId="0" fontId="119" fillId="0" borderId="65" xfId="221" applyFont="1" applyBorder="1" applyAlignment="1">
      <alignment horizontal="left" vertical="top"/>
    </xf>
    <xf numFmtId="0" fontId="119" fillId="0" borderId="0" xfId="221" applyFont="1" applyBorder="1" applyAlignment="1">
      <alignment horizontal="left" vertical="top"/>
    </xf>
    <xf numFmtId="0" fontId="118" fillId="0" borderId="95" xfId="221" applyFont="1" applyBorder="1" applyAlignment="1">
      <alignment horizontal="right"/>
    </xf>
    <xf numFmtId="0" fontId="118" fillId="0" borderId="65" xfId="221" applyFont="1" applyBorder="1" applyAlignment="1">
      <alignment horizontal="center" vertical="center" wrapText="1"/>
    </xf>
    <xf numFmtId="0" fontId="118" fillId="0" borderId="0" xfId="221" applyFont="1" applyBorder="1" applyAlignment="1">
      <alignment horizontal="center" vertical="center" wrapText="1"/>
    </xf>
    <xf numFmtId="0" fontId="118" fillId="0" borderId="95" xfId="221" applyFont="1" applyBorder="1" applyAlignment="1">
      <alignment horizontal="center" vertical="center" wrapText="1"/>
    </xf>
    <xf numFmtId="0" fontId="104" fillId="0" borderId="65" xfId="221" applyFont="1" applyBorder="1" applyAlignment="1">
      <alignment horizontal="left" vertical="top"/>
    </xf>
    <xf numFmtId="0" fontId="104" fillId="0" borderId="0" xfId="221" applyFont="1" applyBorder="1" applyAlignment="1">
      <alignment horizontal="left" vertical="top"/>
    </xf>
    <xf numFmtId="0" fontId="104" fillId="0" borderId="95" xfId="221" applyFont="1" applyBorder="1" applyAlignment="1">
      <alignment horizontal="left" vertical="top"/>
    </xf>
    <xf numFmtId="0" fontId="11" fillId="0" borderId="0" xfId="0" applyFont="1" applyAlignment="1">
      <alignment horizontal="center" vertical="center"/>
    </xf>
    <xf numFmtId="166" fontId="14" fillId="0" borderId="0" xfId="2" applyNumberFormat="1" applyFont="1" applyAlignment="1">
      <alignment horizontal="center" vertical="center"/>
    </xf>
    <xf numFmtId="166" fontId="34" fillId="0" borderId="2" xfId="2" applyNumberFormat="1" applyFont="1" applyBorder="1" applyAlignment="1">
      <alignment horizontal="center" vertical="center" wrapText="1"/>
    </xf>
    <xf numFmtId="166" fontId="34" fillId="0" borderId="45" xfId="2" applyNumberFormat="1" applyFont="1" applyBorder="1" applyAlignment="1">
      <alignment horizontal="center" vertical="center" wrapText="1"/>
    </xf>
    <xf numFmtId="0" fontId="20" fillId="0" borderId="0" xfId="0" applyFont="1" applyAlignment="1">
      <alignment horizontal="center" vertical="center"/>
    </xf>
    <xf numFmtId="0" fontId="51" fillId="0" borderId="0" xfId="0" applyFont="1" applyAlignment="1">
      <alignment horizontal="center" vertical="top"/>
    </xf>
    <xf numFmtId="0" fontId="33" fillId="0" borderId="0" xfId="0" applyFont="1" applyAlignment="1">
      <alignment horizontal="left" vertical="top"/>
    </xf>
    <xf numFmtId="0" fontId="39" fillId="0" borderId="0" xfId="0" applyFont="1" applyAlignment="1">
      <alignment horizontal="left" vertical="top"/>
    </xf>
    <xf numFmtId="0" fontId="15" fillId="0" borderId="0" xfId="0" applyFont="1" applyAlignment="1">
      <alignment horizontal="left" vertical="top"/>
    </xf>
    <xf numFmtId="0" fontId="34" fillId="0" borderId="20" xfId="0" applyFont="1" applyBorder="1" applyAlignment="1">
      <alignment horizontal="center" vertical="center"/>
    </xf>
    <xf numFmtId="0" fontId="34" fillId="0" borderId="9" xfId="0" applyFont="1" applyBorder="1" applyAlignment="1">
      <alignment horizontal="center" vertical="center"/>
    </xf>
    <xf numFmtId="0" fontId="34" fillId="0" borderId="40" xfId="0" applyFont="1" applyBorder="1" applyAlignment="1">
      <alignment horizontal="center" vertical="center"/>
    </xf>
    <xf numFmtId="166" fontId="34" fillId="0" borderId="87" xfId="2" applyNumberFormat="1" applyFont="1" applyBorder="1" applyAlignment="1">
      <alignment horizontal="center"/>
    </xf>
    <xf numFmtId="166" fontId="34" fillId="0" borderId="89" xfId="2" applyNumberFormat="1" applyFont="1" applyBorder="1" applyAlignment="1">
      <alignment horizontal="center"/>
    </xf>
    <xf numFmtId="166" fontId="34" fillId="0" borderId="88" xfId="2" applyNumberFormat="1" applyFont="1" applyBorder="1" applyAlignment="1">
      <alignment horizontal="center"/>
    </xf>
    <xf numFmtId="0" fontId="40" fillId="0" borderId="20" xfId="0" applyFont="1" applyBorder="1" applyAlignment="1">
      <alignment horizontal="center" vertical="center"/>
    </xf>
    <xf numFmtId="0" fontId="40" fillId="0" borderId="9" xfId="0" applyFont="1" applyBorder="1" applyAlignment="1">
      <alignment horizontal="center" vertical="center"/>
    </xf>
    <xf numFmtId="0" fontId="40" fillId="0" borderId="40" xfId="0" applyFont="1" applyBorder="1" applyAlignment="1">
      <alignment horizontal="center" vertical="center"/>
    </xf>
    <xf numFmtId="0" fontId="11" fillId="0" borderId="11" xfId="0" applyFont="1" applyBorder="1" applyAlignment="1">
      <alignment horizontal="center" vertical="center"/>
    </xf>
    <xf numFmtId="0" fontId="34" fillId="0" borderId="3" xfId="0" applyFont="1" applyBorder="1" applyAlignment="1">
      <alignment horizontal="center" vertical="center"/>
    </xf>
    <xf numFmtId="166" fontId="11" fillId="0" borderId="11" xfId="2" applyNumberFormat="1" applyFont="1" applyBorder="1" applyAlignment="1">
      <alignment horizontal="center" vertical="center" wrapText="1"/>
    </xf>
    <xf numFmtId="166" fontId="34" fillId="0" borderId="90" xfId="2" applyNumberFormat="1" applyFont="1" applyBorder="1" applyAlignment="1">
      <alignment horizontal="center" vertical="center" wrapText="1"/>
    </xf>
    <xf numFmtId="166" fontId="34" fillId="0" borderId="3" xfId="2" applyNumberFormat="1" applyFont="1" applyBorder="1" applyAlignment="1">
      <alignment horizontal="center" vertical="center" wrapText="1"/>
    </xf>
    <xf numFmtId="166" fontId="40" fillId="0" borderId="87" xfId="2" applyNumberFormat="1" applyFont="1" applyBorder="1" applyAlignment="1">
      <alignment horizontal="center"/>
    </xf>
    <xf numFmtId="166" fontId="40" fillId="0" borderId="88" xfId="2" applyNumberFormat="1" applyFont="1" applyBorder="1" applyAlignment="1">
      <alignment horizontal="center"/>
    </xf>
    <xf numFmtId="0" fontId="76" fillId="0" borderId="143" xfId="0" applyFont="1" applyBorder="1" applyAlignment="1">
      <alignment horizontal="center" vertical="center"/>
    </xf>
    <xf numFmtId="0" fontId="76" fillId="0" borderId="18" xfId="0" applyFont="1" applyBorder="1" applyAlignment="1">
      <alignment horizontal="center" vertical="center"/>
    </xf>
    <xf numFmtId="0" fontId="68" fillId="0" borderId="111" xfId="0" applyFont="1" applyBorder="1" applyAlignment="1">
      <alignment horizontal="center" vertical="center"/>
    </xf>
    <xf numFmtId="0" fontId="68" fillId="0" borderId="14" xfId="0" applyFont="1" applyBorder="1" applyAlignment="1">
      <alignment horizontal="center" vertical="center"/>
    </xf>
    <xf numFmtId="166" fontId="76" fillId="0" borderId="2" xfId="2" applyNumberFormat="1" applyFont="1" applyBorder="1" applyAlignment="1">
      <alignment horizontal="center" vertical="center"/>
    </xf>
    <xf numFmtId="0" fontId="26" fillId="0" borderId="145" xfId="0" applyFont="1" applyBorder="1" applyAlignment="1">
      <alignment horizontal="center" vertical="center"/>
    </xf>
    <xf numFmtId="0" fontId="26" fillId="0" borderId="52" xfId="0" applyFont="1" applyBorder="1" applyAlignment="1">
      <alignment horizontal="center" vertical="center"/>
    </xf>
    <xf numFmtId="0" fontId="26" fillId="0" borderId="0" xfId="0" applyFont="1" applyBorder="1" applyAlignment="1">
      <alignment horizontal="center" vertical="center"/>
    </xf>
    <xf numFmtId="0" fontId="26" fillId="0" borderId="0" xfId="0" applyFont="1" applyBorder="1" applyAlignment="1">
      <alignment horizontal="center"/>
    </xf>
    <xf numFmtId="0" fontId="9" fillId="0" borderId="0" xfId="0" applyFont="1" applyBorder="1" applyAlignment="1">
      <alignment horizontal="left"/>
    </xf>
    <xf numFmtId="0" fontId="9" fillId="0" borderId="0" xfId="0" applyFont="1" applyBorder="1" applyAlignment="1">
      <alignment horizontal="left" vertical="top"/>
    </xf>
    <xf numFmtId="0" fontId="73" fillId="0" borderId="0" xfId="0" applyFont="1" applyBorder="1" applyAlignment="1">
      <alignment horizontal="center" vertical="center"/>
    </xf>
    <xf numFmtId="0" fontId="70" fillId="0" borderId="0" xfId="0" applyFont="1" applyBorder="1"/>
    <xf numFmtId="166" fontId="26" fillId="0" borderId="0" xfId="2" applyNumberFormat="1" applyFont="1" applyBorder="1" applyAlignment="1">
      <alignment horizontal="center"/>
    </xf>
    <xf numFmtId="166" fontId="80" fillId="0" borderId="0" xfId="2" applyNumberFormat="1" applyFont="1" applyBorder="1" applyAlignment="1">
      <alignment horizontal="center"/>
    </xf>
    <xf numFmtId="166" fontId="110" fillId="0" borderId="0" xfId="2" applyNumberFormat="1" applyFont="1" applyBorder="1" applyAlignment="1">
      <alignment horizontal="center" vertical="center"/>
    </xf>
    <xf numFmtId="0" fontId="110" fillId="0" borderId="0" xfId="0" applyFont="1" applyBorder="1" applyAlignment="1">
      <alignment horizontal="center"/>
    </xf>
    <xf numFmtId="166" fontId="76" fillId="0" borderId="0" xfId="2" applyNumberFormat="1" applyFont="1" applyBorder="1" applyAlignment="1">
      <alignment horizontal="center"/>
    </xf>
    <xf numFmtId="166" fontId="14" fillId="0" borderId="0" xfId="2" applyNumberFormat="1" applyFont="1" applyBorder="1" applyAlignment="1">
      <alignment horizontal="center"/>
    </xf>
    <xf numFmtId="0" fontId="68" fillId="0" borderId="8" xfId="0" applyFont="1" applyBorder="1" applyAlignment="1">
      <alignment horizontal="left" vertical="center" wrapText="1"/>
    </xf>
    <xf numFmtId="0" fontId="68" fillId="0" borderId="0" xfId="0" applyFont="1" applyBorder="1" applyAlignment="1">
      <alignment horizontal="left" vertical="center" wrapText="1"/>
    </xf>
    <xf numFmtId="0" fontId="70" fillId="0" borderId="0" xfId="0" applyFont="1"/>
    <xf numFmtId="165" fontId="70" fillId="0" borderId="0" xfId="0" applyNumberFormat="1" applyFont="1"/>
    <xf numFmtId="168" fontId="68" fillId="4" borderId="8" xfId="0" applyNumberFormat="1" applyFont="1" applyFill="1" applyBorder="1" applyAlignment="1">
      <alignment horizontal="center" vertical="center" wrapText="1"/>
    </xf>
    <xf numFmtId="168" fontId="68" fillId="4" borderId="0" xfId="0" applyNumberFormat="1" applyFont="1" applyFill="1" applyBorder="1" applyAlignment="1">
      <alignment horizontal="center" vertical="center" wrapText="1"/>
    </xf>
    <xf numFmtId="0" fontId="68" fillId="0" borderId="8" xfId="0" applyFont="1" applyBorder="1" applyAlignment="1">
      <alignment horizontal="left" wrapText="1"/>
    </xf>
    <xf numFmtId="0" fontId="68" fillId="0" borderId="0" xfId="0" applyFont="1" applyBorder="1" applyAlignment="1">
      <alignment horizontal="left" wrapText="1"/>
    </xf>
    <xf numFmtId="166" fontId="26" fillId="0" borderId="0" xfId="2" applyNumberFormat="1" applyFont="1" applyAlignment="1">
      <alignment horizontal="center"/>
    </xf>
    <xf numFmtId="0" fontId="26" fillId="0" borderId="0" xfId="0" applyFont="1" applyAlignment="1">
      <alignment horizontal="center"/>
    </xf>
    <xf numFmtId="0" fontId="110" fillId="0" borderId="0" xfId="0" applyFont="1" applyAlignment="1">
      <alignment horizontal="center"/>
    </xf>
    <xf numFmtId="166" fontId="76" fillId="0" borderId="0" xfId="2" applyNumberFormat="1" applyFont="1" applyAlignment="1">
      <alignment horizontal="center"/>
    </xf>
    <xf numFmtId="0" fontId="73" fillId="0" borderId="0" xfId="0" applyFont="1" applyAlignment="1">
      <alignment horizontal="center" vertical="center"/>
    </xf>
    <xf numFmtId="166" fontId="68" fillId="0" borderId="112" xfId="2" applyNumberFormat="1" applyFont="1" applyBorder="1" applyAlignment="1">
      <alignment horizontal="center" vertical="center" wrapText="1"/>
    </xf>
    <xf numFmtId="166" fontId="68" fillId="0" borderId="21" xfId="2" applyNumberFormat="1" applyFont="1" applyBorder="1" applyAlignment="1">
      <alignment horizontal="center" vertical="center" wrapText="1"/>
    </xf>
    <xf numFmtId="166" fontId="68" fillId="0" borderId="32" xfId="2" applyNumberFormat="1" applyFont="1" applyBorder="1" applyAlignment="1">
      <alignment horizontal="center" vertical="center" wrapText="1"/>
    </xf>
    <xf numFmtId="166" fontId="80" fillId="0" borderId="0" xfId="2" applyNumberFormat="1" applyFont="1" applyAlignment="1">
      <alignment horizontal="center"/>
    </xf>
    <xf numFmtId="166" fontId="68" fillId="0" borderId="109" xfId="2" applyNumberFormat="1" applyFont="1" applyBorder="1" applyAlignment="1">
      <alignment horizontal="center" vertical="center"/>
    </xf>
    <xf numFmtId="166" fontId="68" fillId="0" borderId="110" xfId="2" applyNumberFormat="1" applyFont="1" applyBorder="1" applyAlignment="1">
      <alignment horizontal="center" vertical="center"/>
    </xf>
    <xf numFmtId="166" fontId="68" fillId="0" borderId="26" xfId="2" applyNumberFormat="1" applyFont="1" applyBorder="1" applyAlignment="1">
      <alignment horizontal="center" vertical="center"/>
    </xf>
    <xf numFmtId="0" fontId="26" fillId="0" borderId="0" xfId="0" applyFont="1" applyAlignment="1">
      <alignment horizontal="center" vertical="center"/>
    </xf>
    <xf numFmtId="0" fontId="9" fillId="0" borderId="0" xfId="0" applyFont="1" applyAlignment="1">
      <alignment horizontal="left"/>
    </xf>
    <xf numFmtId="0" fontId="9" fillId="0" borderId="0" xfId="0" applyFont="1" applyAlignment="1">
      <alignment horizontal="left" vertical="top"/>
    </xf>
    <xf numFmtId="0" fontId="26" fillId="0" borderId="111" xfId="0" applyFont="1" applyBorder="1" applyAlignment="1">
      <alignment horizontal="center" vertical="center"/>
    </xf>
    <xf numFmtId="0" fontId="26" fillId="0" borderId="7" xfId="0" applyFont="1" applyBorder="1" applyAlignment="1">
      <alignment horizontal="center" vertical="center"/>
    </xf>
    <xf numFmtId="166" fontId="76" fillId="0" borderId="109" xfId="2" applyNumberFormat="1" applyFont="1" applyBorder="1" applyAlignment="1">
      <alignment horizontal="center" vertical="center"/>
    </xf>
    <xf numFmtId="166" fontId="76" fillId="0" borderId="110" xfId="2" applyNumberFormat="1" applyFont="1" applyBorder="1" applyAlignment="1">
      <alignment horizontal="center" vertical="center"/>
    </xf>
    <xf numFmtId="166" fontId="76" fillId="0" borderId="26" xfId="2" applyNumberFormat="1" applyFont="1" applyBorder="1" applyAlignment="1">
      <alignment horizontal="center" vertical="center"/>
    </xf>
    <xf numFmtId="166" fontId="76" fillId="0" borderId="112" xfId="2" applyNumberFormat="1" applyFont="1" applyBorder="1" applyAlignment="1">
      <alignment horizontal="center" vertical="center" wrapText="1"/>
    </xf>
    <xf numFmtId="166" fontId="76" fillId="0" borderId="21" xfId="2" applyNumberFormat="1" applyFont="1" applyBorder="1" applyAlignment="1">
      <alignment horizontal="center" vertical="center" wrapText="1"/>
    </xf>
    <xf numFmtId="166" fontId="76" fillId="0" borderId="32" xfId="2" applyNumberFormat="1" applyFont="1" applyBorder="1" applyAlignment="1">
      <alignment horizontal="center" vertical="center" wrapText="1"/>
    </xf>
    <xf numFmtId="166" fontId="68" fillId="0" borderId="2" xfId="2" applyNumberFormat="1" applyFont="1" applyBorder="1" applyAlignment="1">
      <alignment horizontal="center" vertical="center"/>
    </xf>
    <xf numFmtId="0" fontId="76" fillId="0" borderId="111" xfId="0" applyFont="1" applyBorder="1" applyAlignment="1">
      <alignment horizontal="center" vertical="center"/>
    </xf>
    <xf numFmtId="0" fontId="76" fillId="0" borderId="7" xfId="0" applyFont="1" applyBorder="1" applyAlignment="1">
      <alignment horizontal="center" vertical="center"/>
    </xf>
    <xf numFmtId="0" fontId="76" fillId="0" borderId="14" xfId="0" applyFont="1" applyBorder="1" applyAlignment="1">
      <alignment horizontal="center" vertical="center"/>
    </xf>
    <xf numFmtId="0" fontId="68" fillId="0" borderId="111" xfId="0" applyFont="1" applyBorder="1" applyAlignment="1">
      <alignment horizontal="center" vertical="center" wrapText="1"/>
    </xf>
    <xf numFmtId="0" fontId="68" fillId="0" borderId="7" xfId="0" applyFont="1" applyBorder="1" applyAlignment="1">
      <alignment horizontal="center" vertical="center" wrapText="1"/>
    </xf>
    <xf numFmtId="0" fontId="68" fillId="0" borderId="14" xfId="0" applyFont="1" applyBorder="1" applyAlignment="1">
      <alignment horizontal="center" vertical="center" wrapText="1"/>
    </xf>
    <xf numFmtId="0" fontId="0" fillId="0" borderId="0" xfId="0" applyFont="1" applyBorder="1" applyAlignment="1">
      <alignment horizontal="left" vertical="top"/>
    </xf>
    <xf numFmtId="0" fontId="71" fillId="0" borderId="0" xfId="0" applyFont="1" applyAlignment="1">
      <alignment horizontal="center" vertical="top"/>
    </xf>
    <xf numFmtId="0" fontId="111" fillId="0" borderId="0" xfId="0" applyFont="1" applyAlignment="1">
      <alignment horizontal="center" vertical="center"/>
    </xf>
    <xf numFmtId="0" fontId="111" fillId="0" borderId="0" xfId="0" applyFont="1" applyAlignment="1">
      <alignment horizontal="center"/>
    </xf>
    <xf numFmtId="0" fontId="49" fillId="0" borderId="0" xfId="0" applyFont="1" applyAlignment="1">
      <alignment horizontal="center"/>
    </xf>
    <xf numFmtId="0" fontId="110" fillId="0" borderId="0" xfId="0" applyFont="1" applyAlignment="1">
      <alignment horizontal="left"/>
    </xf>
    <xf numFmtId="0" fontId="112" fillId="0" borderId="0" xfId="0" applyFont="1" applyAlignment="1">
      <alignment horizontal="left" vertical="top"/>
    </xf>
    <xf numFmtId="0" fontId="68" fillId="0" borderId="7" xfId="0" applyFont="1" applyBorder="1" applyAlignment="1">
      <alignment horizontal="center" vertical="center"/>
    </xf>
    <xf numFmtId="0" fontId="112" fillId="0" borderId="111" xfId="0" applyFont="1" applyBorder="1" applyAlignment="1">
      <alignment horizontal="center" vertical="center"/>
    </xf>
    <xf numFmtId="0" fontId="112" fillId="0" borderId="7" xfId="0" applyFont="1" applyBorder="1" applyAlignment="1">
      <alignment horizontal="center" vertical="center"/>
    </xf>
    <xf numFmtId="0" fontId="112" fillId="0" borderId="52" xfId="0" applyFont="1" applyBorder="1" applyAlignment="1">
      <alignment horizontal="center" vertical="center"/>
    </xf>
    <xf numFmtId="166" fontId="73" fillId="0" borderId="109" xfId="2" applyNumberFormat="1" applyFont="1" applyBorder="1" applyAlignment="1">
      <alignment horizontal="center" vertical="center"/>
    </xf>
    <xf numFmtId="166" fontId="73" fillId="0" borderId="110" xfId="2" applyNumberFormat="1" applyFont="1" applyBorder="1" applyAlignment="1">
      <alignment horizontal="center" vertical="center"/>
    </xf>
    <xf numFmtId="166" fontId="73" fillId="0" borderId="26" xfId="2" applyNumberFormat="1" applyFont="1" applyBorder="1" applyAlignment="1">
      <alignment horizontal="center" vertical="center"/>
    </xf>
    <xf numFmtId="0" fontId="44" fillId="0" borderId="0" xfId="0" applyFont="1" applyAlignment="1">
      <alignment horizontal="right"/>
    </xf>
    <xf numFmtId="0" fontId="49" fillId="0" borderId="0" xfId="0" applyFont="1" applyAlignment="1">
      <alignment horizontal="center" vertical="center"/>
    </xf>
    <xf numFmtId="0" fontId="41" fillId="0" borderId="0" xfId="0" applyFont="1" applyAlignment="1">
      <alignment horizontal="left"/>
    </xf>
    <xf numFmtId="166" fontId="53" fillId="0" borderId="0" xfId="2" applyNumberFormat="1" applyFont="1" applyBorder="1" applyAlignment="1">
      <alignment horizontal="center" vertical="center"/>
    </xf>
    <xf numFmtId="0" fontId="80" fillId="0" borderId="0" xfId="0" applyFont="1" applyBorder="1" applyAlignment="1">
      <alignment horizontal="center"/>
    </xf>
    <xf numFmtId="0" fontId="31" fillId="0" borderId="111" xfId="0" applyFont="1" applyBorder="1" applyAlignment="1">
      <alignment horizontal="center" vertical="center"/>
    </xf>
    <xf numFmtId="0" fontId="31" fillId="0" borderId="7" xfId="0" applyFont="1" applyBorder="1" applyAlignment="1">
      <alignment horizontal="center" vertical="center"/>
    </xf>
    <xf numFmtId="0" fontId="31" fillId="0" borderId="14" xfId="0" applyFont="1" applyBorder="1" applyAlignment="1">
      <alignment horizontal="center" vertical="center"/>
    </xf>
    <xf numFmtId="166" fontId="11" fillId="0" borderId="109" xfId="2" applyNumberFormat="1" applyFont="1" applyBorder="1" applyAlignment="1">
      <alignment horizontal="center" vertical="center"/>
    </xf>
    <xf numFmtId="166" fontId="11" fillId="0" borderId="110" xfId="2" applyNumberFormat="1" applyFont="1" applyBorder="1" applyAlignment="1">
      <alignment horizontal="center" vertical="center"/>
    </xf>
    <xf numFmtId="166" fontId="11" fillId="0" borderId="26" xfId="2" applyNumberFormat="1" applyFont="1" applyBorder="1" applyAlignment="1">
      <alignment horizontal="center" vertical="center"/>
    </xf>
    <xf numFmtId="0" fontId="38" fillId="0" borderId="111" xfId="0" applyFont="1" applyBorder="1" applyAlignment="1">
      <alignment horizontal="center" vertical="center"/>
    </xf>
    <xf numFmtId="0" fontId="38" fillId="0" borderId="7" xfId="0" applyFont="1" applyBorder="1" applyAlignment="1">
      <alignment horizontal="center" vertical="center"/>
    </xf>
    <xf numFmtId="0" fontId="38" fillId="0" borderId="52" xfId="0" applyFont="1" applyBorder="1" applyAlignment="1">
      <alignment horizontal="center" vertical="center"/>
    </xf>
    <xf numFmtId="166" fontId="11" fillId="0" borderId="112" xfId="2" applyNumberFormat="1" applyFont="1" applyBorder="1" applyAlignment="1">
      <alignment horizontal="center" vertical="center" wrapText="1"/>
    </xf>
    <xf numFmtId="166" fontId="11" fillId="0" borderId="21" xfId="2" applyNumberFormat="1" applyFont="1" applyBorder="1" applyAlignment="1">
      <alignment horizontal="center" vertical="center" wrapText="1"/>
    </xf>
    <xf numFmtId="166" fontId="11" fillId="0" borderId="32" xfId="2" applyNumberFormat="1" applyFont="1" applyBorder="1" applyAlignment="1">
      <alignment horizontal="center" vertical="center" wrapText="1"/>
    </xf>
    <xf numFmtId="0" fontId="131" fillId="0" borderId="111" xfId="0" applyFont="1" applyBorder="1" applyAlignment="1">
      <alignment horizontal="center" vertical="center" wrapText="1"/>
    </xf>
    <xf numFmtId="0" fontId="131" fillId="0" borderId="7" xfId="0" applyFont="1" applyBorder="1" applyAlignment="1">
      <alignment horizontal="center" vertical="center" wrapText="1"/>
    </xf>
    <xf numFmtId="0" fontId="131" fillId="0" borderId="14" xfId="0" applyFont="1" applyBorder="1" applyAlignment="1">
      <alignment horizontal="center" vertical="center" wrapText="1"/>
    </xf>
    <xf numFmtId="166" fontId="131" fillId="0" borderId="109" xfId="2" applyNumberFormat="1" applyFont="1" applyBorder="1" applyAlignment="1">
      <alignment horizontal="center" vertical="center"/>
    </xf>
    <xf numFmtId="166" fontId="131" fillId="0" borderId="26" xfId="2" applyNumberFormat="1" applyFont="1" applyBorder="1" applyAlignment="1">
      <alignment horizontal="center" vertical="center"/>
    </xf>
    <xf numFmtId="166" fontId="131" fillId="0" borderId="112" xfId="2" applyNumberFormat="1" applyFont="1" applyBorder="1" applyAlignment="1">
      <alignment horizontal="center" vertical="center" wrapText="1"/>
    </xf>
    <xf numFmtId="166" fontId="131" fillId="0" borderId="32" xfId="2" applyNumberFormat="1" applyFont="1" applyBorder="1" applyAlignment="1">
      <alignment horizontal="center" vertical="center" wrapText="1"/>
    </xf>
    <xf numFmtId="0" fontId="73" fillId="0" borderId="34" xfId="0" applyFont="1" applyBorder="1" applyAlignment="1">
      <alignment horizontal="center" vertical="center"/>
    </xf>
    <xf numFmtId="0" fontId="73" fillId="0" borderId="14" xfId="0" applyFont="1" applyBorder="1" applyAlignment="1">
      <alignment horizontal="center" vertical="center"/>
    </xf>
    <xf numFmtId="0" fontId="73" fillId="0" borderId="34" xfId="0" applyFont="1" applyBorder="1" applyAlignment="1">
      <alignment horizontal="center" vertical="center" wrapText="1"/>
    </xf>
    <xf numFmtId="0" fontId="73" fillId="0" borderId="14" xfId="0" applyFont="1" applyBorder="1" applyAlignment="1">
      <alignment horizontal="center" vertical="center" wrapText="1"/>
    </xf>
    <xf numFmtId="166" fontId="73" fillId="0" borderId="115" xfId="11" applyNumberFormat="1" applyFont="1" applyBorder="1" applyAlignment="1">
      <alignment horizontal="center" vertical="center"/>
    </xf>
    <xf numFmtId="0" fontId="25" fillId="0" borderId="0" xfId="0" applyFont="1" applyAlignment="1">
      <alignment horizontal="center" vertical="center"/>
    </xf>
    <xf numFmtId="0" fontId="25" fillId="0" borderId="0" xfId="0" applyFont="1" applyAlignment="1">
      <alignment horizontal="center" vertical="center" wrapText="1"/>
    </xf>
    <xf numFmtId="0" fontId="25" fillId="0" borderId="0" xfId="0" applyFont="1" applyAlignment="1">
      <alignment horizontal="center"/>
    </xf>
    <xf numFmtId="0" fontId="71" fillId="0" borderId="0" xfId="0" applyFont="1" applyAlignment="1">
      <alignment horizontal="left"/>
    </xf>
    <xf numFmtId="0" fontId="71" fillId="0" borderId="0" xfId="0" applyFont="1" applyAlignment="1">
      <alignment horizontal="left" vertical="center"/>
    </xf>
    <xf numFmtId="166" fontId="53" fillId="0" borderId="0" xfId="18" applyNumberFormat="1" applyFont="1" applyBorder="1" applyAlignment="1">
      <alignment horizontal="center" vertical="center"/>
    </xf>
    <xf numFmtId="0" fontId="53" fillId="0" borderId="0" xfId="0" applyFont="1" applyAlignment="1">
      <alignment horizontal="center" vertical="center"/>
    </xf>
    <xf numFmtId="166" fontId="26" fillId="0" borderId="0" xfId="18" applyNumberFormat="1" applyFont="1" applyAlignment="1">
      <alignment horizontal="center" vertical="center"/>
    </xf>
    <xf numFmtId="0" fontId="73" fillId="0" borderId="114" xfId="0" applyFont="1" applyBorder="1" applyAlignment="1">
      <alignment horizontal="center" vertical="center"/>
    </xf>
    <xf numFmtId="0" fontId="73" fillId="0" borderId="25" xfId="0" applyFont="1" applyBorder="1" applyAlignment="1">
      <alignment horizontal="center" vertical="center"/>
    </xf>
    <xf numFmtId="0" fontId="11" fillId="0" borderId="0" xfId="0" applyFont="1" applyBorder="1" applyAlignment="1">
      <alignment horizontal="center" vertical="center"/>
    </xf>
    <xf numFmtId="166" fontId="14" fillId="0" borderId="0" xfId="18" applyNumberFormat="1" applyFont="1" applyBorder="1" applyAlignment="1">
      <alignment horizontal="center" vertical="center"/>
    </xf>
    <xf numFmtId="0" fontId="112" fillId="0" borderId="87" xfId="0" applyFont="1" applyBorder="1" applyAlignment="1">
      <alignment horizontal="center" vertical="center"/>
    </xf>
    <xf numFmtId="0" fontId="112" fillId="0" borderId="88" xfId="0" applyFont="1" applyBorder="1" applyAlignment="1">
      <alignment horizontal="center" vertical="center"/>
    </xf>
    <xf numFmtId="166" fontId="73" fillId="0" borderId="87" xfId="11" applyNumberFormat="1" applyFont="1" applyBorder="1" applyAlignment="1">
      <alignment horizontal="center" vertical="center"/>
    </xf>
    <xf numFmtId="166" fontId="73" fillId="0" borderId="89" xfId="11" applyNumberFormat="1" applyFont="1" applyBorder="1" applyAlignment="1">
      <alignment horizontal="center" vertical="center"/>
    </xf>
    <xf numFmtId="166" fontId="73" fillId="0" borderId="88" xfId="11" applyNumberFormat="1" applyFont="1" applyBorder="1" applyAlignment="1">
      <alignment horizontal="center" vertical="center"/>
    </xf>
    <xf numFmtId="0" fontId="74" fillId="0" borderId="0" xfId="0" applyFont="1" applyBorder="1" applyAlignment="1">
      <alignment horizontal="left" vertical="top"/>
    </xf>
    <xf numFmtId="0" fontId="53" fillId="0" borderId="0" xfId="0" applyFont="1" applyAlignment="1">
      <alignment horizontal="center"/>
    </xf>
    <xf numFmtId="166" fontId="26" fillId="0" borderId="0" xfId="18" applyNumberFormat="1" applyFont="1" applyAlignment="1">
      <alignment horizontal="center"/>
    </xf>
    <xf numFmtId="166" fontId="14" fillId="0" borderId="0" xfId="18" applyNumberFormat="1" applyFont="1" applyBorder="1" applyAlignment="1">
      <alignment horizontal="center"/>
    </xf>
    <xf numFmtId="0" fontId="0" fillId="0" borderId="11" xfId="0" applyBorder="1" applyAlignment="1">
      <alignment horizontal="center"/>
    </xf>
    <xf numFmtId="0" fontId="0" fillId="0" borderId="3" xfId="0" applyBorder="1" applyAlignment="1">
      <alignment horizontal="center"/>
    </xf>
    <xf numFmtId="0" fontId="68" fillId="0" borderId="11" xfId="0" applyFont="1" applyBorder="1" applyAlignment="1">
      <alignment horizontal="center"/>
    </xf>
    <xf numFmtId="0" fontId="68" fillId="0" borderId="3" xfId="0" applyFont="1" applyBorder="1" applyAlignment="1">
      <alignment horizontal="center"/>
    </xf>
    <xf numFmtId="0" fontId="35" fillId="0" borderId="0" xfId="0" applyFont="1" applyAlignment="1">
      <alignment horizontal="left" vertical="center"/>
    </xf>
    <xf numFmtId="0" fontId="35" fillId="0" borderId="0" xfId="0" applyFont="1" applyAlignment="1">
      <alignment vertical="center" wrapText="1"/>
    </xf>
    <xf numFmtId="0" fontId="40" fillId="0" borderId="106" xfId="0" applyFont="1" applyBorder="1" applyAlignment="1">
      <alignment horizontal="center" vertical="center"/>
    </xf>
    <xf numFmtId="0" fontId="40" fillId="0" borderId="107" xfId="0" applyFont="1" applyBorder="1" applyAlignment="1">
      <alignment horizontal="center" vertical="center"/>
    </xf>
    <xf numFmtId="0" fontId="40" fillId="0" borderId="108" xfId="0" applyFont="1" applyBorder="1" applyAlignment="1">
      <alignment horizontal="center" vertical="center"/>
    </xf>
    <xf numFmtId="166" fontId="38" fillId="0" borderId="9" xfId="2" applyNumberFormat="1" applyFont="1" applyBorder="1" applyAlignment="1">
      <alignment horizontal="center" vertical="center" wrapText="1"/>
    </xf>
    <xf numFmtId="166" fontId="38" fillId="0" borderId="40" xfId="2" applyNumberFormat="1" applyFont="1" applyBorder="1" applyAlignment="1">
      <alignment horizontal="center" vertical="center" wrapText="1"/>
    </xf>
    <xf numFmtId="166" fontId="38" fillId="0" borderId="2" xfId="2" applyNumberFormat="1" applyFont="1" applyBorder="1" applyAlignment="1">
      <alignment horizontal="center" vertical="center" wrapText="1"/>
    </xf>
    <xf numFmtId="166" fontId="38" fillId="0" borderId="45" xfId="2" applyNumberFormat="1" applyFont="1" applyBorder="1" applyAlignment="1">
      <alignment horizontal="center" vertical="center" wrapText="1"/>
    </xf>
    <xf numFmtId="0" fontId="38" fillId="0" borderId="104" xfId="0" applyFont="1" applyBorder="1" applyAlignment="1">
      <alignment horizontal="center" vertical="center"/>
    </xf>
    <xf numFmtId="0" fontId="38" fillId="0" borderId="10" xfId="0" applyFont="1" applyBorder="1" applyAlignment="1">
      <alignment horizontal="center" vertical="center"/>
    </xf>
    <xf numFmtId="0" fontId="38" fillId="0" borderId="105" xfId="0" applyFont="1" applyBorder="1" applyAlignment="1">
      <alignment horizontal="center" vertical="center"/>
    </xf>
    <xf numFmtId="166" fontId="38" fillId="0" borderId="20" xfId="2" applyNumberFormat="1" applyFont="1" applyBorder="1" applyAlignment="1">
      <alignment horizontal="center"/>
    </xf>
    <xf numFmtId="0" fontId="38" fillId="0" borderId="11" xfId="0" applyFont="1" applyBorder="1" applyAlignment="1">
      <alignment horizontal="center" vertical="center"/>
    </xf>
    <xf numFmtId="0" fontId="38" fillId="0" borderId="90" xfId="0" applyFont="1" applyBorder="1" applyAlignment="1">
      <alignment horizontal="center" vertical="center"/>
    </xf>
    <xf numFmtId="0" fontId="38" fillId="0" borderId="3" xfId="0" applyFont="1" applyBorder="1" applyAlignment="1">
      <alignment horizontal="center" vertical="center"/>
    </xf>
    <xf numFmtId="0" fontId="12" fillId="0" borderId="0" xfId="0" quotePrefix="1" applyFont="1"/>
    <xf numFmtId="0" fontId="35" fillId="0" borderId="0" xfId="0" applyFont="1"/>
    <xf numFmtId="0" fontId="12" fillId="0" borderId="0" xfId="0" quotePrefix="1" applyFont="1" applyAlignment="1">
      <alignment horizontal="left" vertical="center"/>
    </xf>
    <xf numFmtId="0" fontId="37" fillId="0" borderId="0" xfId="0" applyFont="1" applyAlignment="1">
      <alignment horizontal="left" vertical="center"/>
    </xf>
    <xf numFmtId="0" fontId="13" fillId="0" borderId="0" xfId="0" applyFont="1" applyAlignment="1">
      <alignment horizontal="right" vertical="center"/>
    </xf>
    <xf numFmtId="0" fontId="13" fillId="0" borderId="0" xfId="0" applyFont="1" applyAlignment="1">
      <alignment horizontal="center" vertical="center" wrapText="1"/>
    </xf>
    <xf numFmtId="0" fontId="33" fillId="0" borderId="0" xfId="0" applyFont="1" applyAlignment="1">
      <alignment horizontal="center" vertical="top"/>
    </xf>
    <xf numFmtId="0" fontId="10" fillId="0" borderId="0" xfId="0" quotePrefix="1" applyFont="1" applyAlignment="1">
      <alignment horizontal="left" vertical="center"/>
    </xf>
    <xf numFmtId="0" fontId="33" fillId="0" borderId="0" xfId="0" applyFont="1" applyAlignment="1">
      <alignment horizontal="left" vertical="center"/>
    </xf>
    <xf numFmtId="166" fontId="38" fillId="0" borderId="87" xfId="2" applyNumberFormat="1" applyFont="1" applyBorder="1" applyAlignment="1">
      <alignment horizontal="center"/>
    </xf>
    <xf numFmtId="166" fontId="38" fillId="0" borderId="88" xfId="2" applyNumberFormat="1" applyFont="1" applyBorder="1" applyAlignment="1">
      <alignment horizontal="center"/>
    </xf>
    <xf numFmtId="166" fontId="38" fillId="0" borderId="11" xfId="2" applyNumberFormat="1" applyFont="1" applyBorder="1" applyAlignment="1">
      <alignment horizontal="center" vertical="center" wrapText="1"/>
    </xf>
    <xf numFmtId="166" fontId="38" fillId="0" borderId="90" xfId="2" applyNumberFormat="1" applyFont="1" applyBorder="1" applyAlignment="1">
      <alignment horizontal="center" vertical="center" wrapText="1"/>
    </xf>
    <xf numFmtId="166" fontId="38" fillId="0" borderId="3" xfId="2" applyNumberFormat="1" applyFont="1" applyBorder="1" applyAlignment="1">
      <alignment horizontal="center" vertical="center" wrapText="1"/>
    </xf>
    <xf numFmtId="0" fontId="10" fillId="0" borderId="0" xfId="0" quotePrefix="1" applyFont="1"/>
    <xf numFmtId="0" fontId="33" fillId="0" borderId="0" xfId="0" applyFont="1"/>
    <xf numFmtId="166" fontId="38" fillId="0" borderId="89" xfId="2" applyNumberFormat="1" applyFont="1" applyBorder="1" applyAlignment="1">
      <alignment horizontal="center"/>
    </xf>
    <xf numFmtId="0" fontId="20" fillId="0" borderId="0" xfId="0" applyFont="1" applyAlignment="1">
      <alignment horizontal="center" vertical="center" wrapText="1"/>
    </xf>
    <xf numFmtId="0" fontId="43" fillId="0" borderId="0" xfId="0" applyFont="1" applyAlignment="1">
      <alignment horizontal="center" vertical="center" wrapText="1"/>
    </xf>
    <xf numFmtId="0" fontId="38" fillId="0" borderId="14" xfId="0" applyFont="1" applyBorder="1" applyAlignment="1">
      <alignment horizontal="center" vertical="center"/>
    </xf>
    <xf numFmtId="0" fontId="38" fillId="0" borderId="111" xfId="0" applyFont="1" applyBorder="1" applyAlignment="1">
      <alignment horizontal="center" vertical="center" wrapText="1"/>
    </xf>
    <xf numFmtId="0" fontId="38" fillId="0" borderId="7" xfId="0" applyFont="1" applyBorder="1" applyAlignment="1">
      <alignment horizontal="center" vertical="center" wrapText="1"/>
    </xf>
    <xf numFmtId="0" fontId="38" fillId="0" borderId="14" xfId="0" applyFont="1" applyBorder="1" applyAlignment="1">
      <alignment horizontal="center" vertical="center" wrapText="1"/>
    </xf>
    <xf numFmtId="0" fontId="34" fillId="0" borderId="11" xfId="0" applyFont="1" applyBorder="1" applyAlignment="1">
      <alignment horizontal="center" vertical="center"/>
    </xf>
    <xf numFmtId="0" fontId="34" fillId="0" borderId="90" xfId="0" applyFont="1" applyBorder="1" applyAlignment="1">
      <alignment horizontal="center" vertical="center"/>
    </xf>
    <xf numFmtId="0" fontId="38" fillId="0" borderId="9" xfId="0" applyFont="1" applyBorder="1" applyAlignment="1">
      <alignment horizontal="center" vertical="center"/>
    </xf>
    <xf numFmtId="0" fontId="0" fillId="0" borderId="17" xfId="0" quotePrefix="1" applyBorder="1" applyAlignment="1">
      <alignment horizontal="center" vertical="center"/>
    </xf>
    <xf numFmtId="0" fontId="0" fillId="0" borderId="17" xfId="0" applyBorder="1" applyAlignment="1">
      <alignment horizontal="center" vertical="center"/>
    </xf>
    <xf numFmtId="0" fontId="40" fillId="0" borderId="0" xfId="0" applyFont="1" applyBorder="1" applyAlignment="1">
      <alignment horizontal="left" vertical="center"/>
    </xf>
    <xf numFmtId="0" fontId="33" fillId="0" borderId="0" xfId="0" applyFont="1" applyBorder="1" applyAlignment="1">
      <alignment horizontal="left" vertical="center"/>
    </xf>
    <xf numFmtId="0" fontId="41" fillId="0" borderId="0" xfId="0" applyFont="1" applyAlignment="1">
      <alignment horizontal="center" vertical="top"/>
    </xf>
    <xf numFmtId="0" fontId="38" fillId="0" borderId="0" xfId="0" applyFont="1" applyAlignment="1">
      <alignment horizontal="center" vertical="center" wrapText="1"/>
    </xf>
    <xf numFmtId="0" fontId="41" fillId="0" borderId="0" xfId="0" applyFont="1" applyAlignment="1">
      <alignment horizontal="center"/>
    </xf>
    <xf numFmtId="0" fontId="48" fillId="0" borderId="0" xfId="0" applyFont="1" applyBorder="1" applyAlignment="1">
      <alignment horizontal="left" vertical="top"/>
    </xf>
    <xf numFmtId="0" fontId="38" fillId="0" borderId="29" xfId="0" applyFont="1" applyBorder="1" applyAlignment="1">
      <alignment horizontal="center" vertical="center"/>
    </xf>
    <xf numFmtId="166" fontId="64" fillId="0" borderId="2" xfId="2" applyNumberFormat="1" applyFont="1" applyBorder="1" applyAlignment="1">
      <alignment horizontal="center" vertical="center"/>
    </xf>
    <xf numFmtId="166" fontId="64" fillId="0" borderId="11" xfId="2" applyNumberFormat="1" applyFont="1" applyBorder="1" applyAlignment="1">
      <alignment horizontal="center" vertical="center"/>
    </xf>
    <xf numFmtId="166" fontId="64" fillId="0" borderId="90" xfId="2" applyNumberFormat="1" applyFont="1" applyBorder="1" applyAlignment="1">
      <alignment horizontal="center" vertical="center"/>
    </xf>
    <xf numFmtId="166" fontId="64" fillId="0" borderId="3" xfId="2" applyNumberFormat="1" applyFont="1" applyBorder="1" applyAlignment="1">
      <alignment horizontal="center" vertical="center"/>
    </xf>
    <xf numFmtId="166" fontId="64" fillId="0" borderId="11" xfId="2" applyNumberFormat="1" applyFont="1" applyBorder="1" applyAlignment="1">
      <alignment horizontal="center" vertical="center" wrapText="1"/>
    </xf>
    <xf numFmtId="166" fontId="64" fillId="0" borderId="3" xfId="2" applyNumberFormat="1" applyFont="1" applyBorder="1" applyAlignment="1">
      <alignment horizontal="center" vertical="center" wrapText="1"/>
    </xf>
    <xf numFmtId="166" fontId="64" fillId="0" borderId="90" xfId="2" applyNumberFormat="1" applyFont="1" applyBorder="1" applyAlignment="1">
      <alignment horizontal="center" vertical="center" wrapText="1"/>
    </xf>
    <xf numFmtId="166" fontId="64" fillId="0" borderId="9" xfId="2" applyNumberFormat="1" applyFont="1" applyBorder="1" applyAlignment="1">
      <alignment horizontal="center" vertical="center" wrapText="1"/>
    </xf>
    <xf numFmtId="0" fontId="57" fillId="0" borderId="0" xfId="0" applyFont="1" applyAlignment="1">
      <alignment horizontal="center" vertical="center" wrapText="1"/>
    </xf>
    <xf numFmtId="0" fontId="35" fillId="0" borderId="0" xfId="0" applyFont="1" applyAlignment="1">
      <alignment horizontal="left"/>
    </xf>
    <xf numFmtId="0" fontId="35" fillId="0" borderId="0" xfId="0" applyFont="1" applyAlignment="1">
      <alignment horizontal="center"/>
    </xf>
    <xf numFmtId="0" fontId="38" fillId="0" borderId="34" xfId="0" applyFont="1" applyBorder="1" applyAlignment="1">
      <alignment horizontal="center" vertical="center"/>
    </xf>
    <xf numFmtId="0" fontId="38" fillId="0" borderId="114" xfId="0" applyFont="1" applyBorder="1" applyAlignment="1">
      <alignment horizontal="center" vertical="center"/>
    </xf>
    <xf numFmtId="0" fontId="38" fillId="0" borderId="24" xfId="0" applyFont="1" applyBorder="1" applyAlignment="1">
      <alignment horizontal="center" vertical="center"/>
    </xf>
    <xf numFmtId="0" fontId="38" fillId="0" borderId="25" xfId="0" applyFont="1" applyBorder="1" applyAlignment="1">
      <alignment horizontal="center" vertical="center"/>
    </xf>
    <xf numFmtId="0" fontId="38" fillId="0" borderId="0" xfId="0" applyFont="1" applyAlignment="1">
      <alignment horizontal="center" vertical="center"/>
    </xf>
    <xf numFmtId="0" fontId="33" fillId="0" borderId="0" xfId="0" applyFont="1" applyAlignment="1">
      <alignment horizontal="left"/>
    </xf>
    <xf numFmtId="0" fontId="38" fillId="0" borderId="0" xfId="0" applyFont="1" applyAlignment="1">
      <alignment horizontal="left" vertical="center" indent="1"/>
    </xf>
    <xf numFmtId="0" fontId="33" fillId="0" borderId="0" xfId="0" applyFont="1" applyAlignment="1">
      <alignment vertical="center" wrapText="1"/>
    </xf>
    <xf numFmtId="0" fontId="12" fillId="0" borderId="16" xfId="0" quotePrefix="1" applyFont="1" applyBorder="1" applyAlignment="1">
      <alignment horizontal="center" vertical="center"/>
    </xf>
    <xf numFmtId="0" fontId="35" fillId="0" borderId="17" xfId="0" applyFont="1" applyBorder="1" applyAlignment="1">
      <alignment horizontal="center" vertical="center"/>
    </xf>
    <xf numFmtId="0" fontId="38" fillId="0" borderId="0" xfId="0" applyFont="1" applyAlignment="1">
      <alignment vertical="center"/>
    </xf>
    <xf numFmtId="0" fontId="34" fillId="0" borderId="115" xfId="0" applyFont="1" applyBorder="1" applyAlignment="1">
      <alignment horizontal="center" vertical="center"/>
    </xf>
    <xf numFmtId="0" fontId="33" fillId="0" borderId="113" xfId="0" applyFont="1" applyBorder="1" applyAlignment="1">
      <alignment horizontal="center" vertical="center"/>
    </xf>
    <xf numFmtId="0" fontId="33" fillId="0" borderId="34" xfId="0" applyFont="1" applyBorder="1" applyAlignment="1">
      <alignment horizontal="center" vertical="center"/>
    </xf>
    <xf numFmtId="0" fontId="33" fillId="0" borderId="6" xfId="0" applyFont="1" applyBorder="1" applyAlignment="1">
      <alignment horizontal="center" vertical="center"/>
    </xf>
    <xf numFmtId="0" fontId="33" fillId="0" borderId="7" xfId="0" applyFont="1" applyBorder="1" applyAlignment="1">
      <alignment horizontal="center" vertical="center"/>
    </xf>
    <xf numFmtId="0" fontId="33" fillId="0" borderId="15" xfId="0" applyFont="1" applyBorder="1" applyAlignment="1">
      <alignment horizontal="center" vertical="center"/>
    </xf>
    <xf numFmtId="0" fontId="33" fillId="0" borderId="14" xfId="0" applyFont="1" applyBorder="1" applyAlignment="1">
      <alignment horizontal="center" vertical="center"/>
    </xf>
    <xf numFmtId="0" fontId="11" fillId="0" borderId="11" xfId="0" quotePrefix="1" applyFont="1" applyBorder="1" applyAlignment="1">
      <alignment horizontal="center" vertical="center"/>
    </xf>
    <xf numFmtId="0" fontId="34" fillId="0" borderId="0" xfId="0" applyFont="1" applyAlignment="1">
      <alignment vertical="center"/>
    </xf>
    <xf numFmtId="0" fontId="33" fillId="0" borderId="0" xfId="0" applyFont="1" applyBorder="1" applyAlignment="1">
      <alignment horizontal="left" vertical="top"/>
    </xf>
    <xf numFmtId="166" fontId="34" fillId="0" borderId="115" xfId="2" applyNumberFormat="1" applyFont="1" applyBorder="1" applyAlignment="1">
      <alignment horizontal="center" vertical="center"/>
    </xf>
    <xf numFmtId="166" fontId="34" fillId="0" borderId="87" xfId="2" applyNumberFormat="1" applyFont="1" applyBorder="1" applyAlignment="1">
      <alignment horizontal="center" vertical="center"/>
    </xf>
    <xf numFmtId="166" fontId="34" fillId="0" borderId="89" xfId="2" applyNumberFormat="1" applyFont="1" applyBorder="1" applyAlignment="1">
      <alignment horizontal="center" vertical="center"/>
    </xf>
    <xf numFmtId="166" fontId="34" fillId="0" borderId="88" xfId="2" applyNumberFormat="1" applyFont="1" applyBorder="1" applyAlignment="1">
      <alignment horizontal="center" vertical="center"/>
    </xf>
    <xf numFmtId="166" fontId="34" fillId="0" borderId="116" xfId="2" applyNumberFormat="1" applyFont="1" applyBorder="1" applyAlignment="1">
      <alignment horizontal="center" vertical="center"/>
    </xf>
    <xf numFmtId="0" fontId="33" fillId="0" borderId="0" xfId="0" applyFont="1" applyAlignment="1">
      <alignment horizontal="center"/>
    </xf>
    <xf numFmtId="0" fontId="65" fillId="0" borderId="0" xfId="0" applyFont="1" applyAlignment="1">
      <alignment horizontal="center" vertical="center" wrapText="1"/>
    </xf>
  </cellXfs>
  <cellStyles count="839">
    <cellStyle name="Comma" xfId="1" builtinId="3"/>
    <cellStyle name="Comma [0]" xfId="2" builtinId="6"/>
    <cellStyle name="Comma [0] 10" xfId="105"/>
    <cellStyle name="Comma [0] 10 2" xfId="244"/>
    <cellStyle name="Comma [0] 10 3" xfId="364"/>
    <cellStyle name="Comma [0] 10 4" xfId="485"/>
    <cellStyle name="Comma [0] 10 5" xfId="607"/>
    <cellStyle name="Comma [0] 10 6" xfId="726"/>
    <cellStyle name="Comma [0] 11" xfId="109"/>
    <cellStyle name="Comma [0] 11 2" xfId="247"/>
    <cellStyle name="Comma [0] 11 3" xfId="367"/>
    <cellStyle name="Comma [0] 11 4" xfId="488"/>
    <cellStyle name="Comma [0] 11 5" xfId="610"/>
    <cellStyle name="Comma [0] 11 6" xfId="729"/>
    <cellStyle name="Comma [0] 12" xfId="215"/>
    <cellStyle name="Comma [0] 12 2" xfId="351"/>
    <cellStyle name="Comma [0] 12 3" xfId="471"/>
    <cellStyle name="Comma [0] 12 4" xfId="592"/>
    <cellStyle name="Comma [0] 12 5" xfId="714"/>
    <cellStyle name="Comma [0] 12 6" xfId="833"/>
    <cellStyle name="Comma [0] 13" xfId="220"/>
    <cellStyle name="Comma [0] 13 2" xfId="353"/>
    <cellStyle name="Comma [0] 13 3" xfId="472"/>
    <cellStyle name="Comma [0] 13 4" xfId="593"/>
    <cellStyle name="Comma [0] 13 5" xfId="715"/>
    <cellStyle name="Comma [0] 13 6" xfId="834"/>
    <cellStyle name="Comma [0] 14" xfId="222"/>
    <cellStyle name="Comma [0] 14 2" xfId="355"/>
    <cellStyle name="Comma [0] 15" xfId="228"/>
    <cellStyle name="Comma [0] 2" xfId="11"/>
    <cellStyle name="Comma [0] 2 2" xfId="16"/>
    <cellStyle name="Comma [0] 2 2 2" xfId="235"/>
    <cellStyle name="Comma [0] 2 3" xfId="106"/>
    <cellStyle name="Comma [0] 2 3 2" xfId="245"/>
    <cellStyle name="Comma [0] 2 3 3" xfId="365"/>
    <cellStyle name="Comma [0] 2 3 4" xfId="486"/>
    <cellStyle name="Comma [0] 2 3 5" xfId="608"/>
    <cellStyle name="Comma [0] 2 3 6" xfId="727"/>
    <cellStyle name="Comma [0] 2 4" xfId="111"/>
    <cellStyle name="Comma [0] 2 4 2" xfId="249"/>
    <cellStyle name="Comma [0] 2 4 3" xfId="369"/>
    <cellStyle name="Comma [0] 2 4 4" xfId="490"/>
    <cellStyle name="Comma [0] 2 4 5" xfId="612"/>
    <cellStyle name="Comma [0] 2 4 6" xfId="731"/>
    <cellStyle name="Comma [0] 3" xfId="3"/>
    <cellStyle name="Comma [0] 3 2" xfId="229"/>
    <cellStyle name="Comma [0] 4" xfId="18"/>
    <cellStyle name="Comma [0] 4 2" xfId="237"/>
    <cellStyle name="Comma [0] 5" xfId="21"/>
    <cellStyle name="Comma [0] 5 2" xfId="239"/>
    <cellStyle name="Comma [0] 5 3" xfId="359"/>
    <cellStyle name="Comma [0] 5 4" xfId="478"/>
    <cellStyle name="Comma [0] 5 5" xfId="602"/>
    <cellStyle name="Comma [0] 5 6" xfId="720"/>
    <cellStyle name="Comma [0] 6" xfId="14"/>
    <cellStyle name="Comma [0] 6 2" xfId="233"/>
    <cellStyle name="Comma [0] 6 3" xfId="357"/>
    <cellStyle name="Comma [0] 6 4" xfId="475"/>
    <cellStyle name="Comma [0] 6 5" xfId="600"/>
    <cellStyle name="Comma [0] 6 6" xfId="717"/>
    <cellStyle name="Comma [0] 7" xfId="63"/>
    <cellStyle name="Comma [0] 7 2" xfId="240"/>
    <cellStyle name="Comma [0] 7 3" xfId="360"/>
    <cellStyle name="Comma [0] 7 4" xfId="480"/>
    <cellStyle name="Comma [0] 7 5" xfId="603"/>
    <cellStyle name="Comma [0] 7 6" xfId="722"/>
    <cellStyle name="Comma [0] 8" xfId="68"/>
    <cellStyle name="Comma [0] 8 2" xfId="241"/>
    <cellStyle name="Comma [0] 8 3" xfId="361"/>
    <cellStyle name="Comma [0] 8 4" xfId="481"/>
    <cellStyle name="Comma [0] 8 5" xfId="604"/>
    <cellStyle name="Comma [0] 8 6" xfId="723"/>
    <cellStyle name="Comma [0] 9" xfId="101"/>
    <cellStyle name="Comma [0] 9 2" xfId="242"/>
    <cellStyle name="Comma [0] 9 3" xfId="362"/>
    <cellStyle name="Comma [0] 9 4" xfId="483"/>
    <cellStyle name="Comma [0] 9 5" xfId="605"/>
    <cellStyle name="Comma [0] 9 6" xfId="724"/>
    <cellStyle name="Comma 10" xfId="27"/>
    <cellStyle name="Comma 100" xfId="129"/>
    <cellStyle name="Comma 100 2" xfId="266"/>
    <cellStyle name="Comma 100 3" xfId="386"/>
    <cellStyle name="Comma 100 4" xfId="507"/>
    <cellStyle name="Comma 100 5" xfId="629"/>
    <cellStyle name="Comma 100 6" xfId="748"/>
    <cellStyle name="Comma 101" xfId="132"/>
    <cellStyle name="Comma 101 2" xfId="269"/>
    <cellStyle name="Comma 101 3" xfId="389"/>
    <cellStyle name="Comma 101 4" xfId="510"/>
    <cellStyle name="Comma 101 5" xfId="632"/>
    <cellStyle name="Comma 101 6" xfId="751"/>
    <cellStyle name="Comma 102" xfId="134"/>
    <cellStyle name="Comma 102 2" xfId="271"/>
    <cellStyle name="Comma 102 3" xfId="391"/>
    <cellStyle name="Comma 102 4" xfId="512"/>
    <cellStyle name="Comma 102 5" xfId="634"/>
    <cellStyle name="Comma 102 6" xfId="753"/>
    <cellStyle name="Comma 103" xfId="136"/>
    <cellStyle name="Comma 103 2" xfId="273"/>
    <cellStyle name="Comma 103 3" xfId="393"/>
    <cellStyle name="Comma 103 4" xfId="514"/>
    <cellStyle name="Comma 103 5" xfId="636"/>
    <cellStyle name="Comma 103 6" xfId="755"/>
    <cellStyle name="Comma 104" xfId="133"/>
    <cellStyle name="Comma 104 2" xfId="270"/>
    <cellStyle name="Comma 104 3" xfId="390"/>
    <cellStyle name="Comma 104 4" xfId="511"/>
    <cellStyle name="Comma 104 5" xfId="633"/>
    <cellStyle name="Comma 104 6" xfId="752"/>
    <cellStyle name="Comma 105" xfId="131"/>
    <cellStyle name="Comma 105 2" xfId="268"/>
    <cellStyle name="Comma 105 3" xfId="388"/>
    <cellStyle name="Comma 105 4" xfId="509"/>
    <cellStyle name="Comma 105 5" xfId="631"/>
    <cellStyle name="Comma 105 6" xfId="750"/>
    <cellStyle name="Comma 106" xfId="138"/>
    <cellStyle name="Comma 106 2" xfId="275"/>
    <cellStyle name="Comma 106 3" xfId="395"/>
    <cellStyle name="Comma 106 4" xfId="516"/>
    <cellStyle name="Comma 106 5" xfId="638"/>
    <cellStyle name="Comma 106 6" xfId="757"/>
    <cellStyle name="Comma 107" xfId="135"/>
    <cellStyle name="Comma 107 2" xfId="272"/>
    <cellStyle name="Comma 107 3" xfId="392"/>
    <cellStyle name="Comma 107 4" xfId="513"/>
    <cellStyle name="Comma 107 5" xfId="635"/>
    <cellStyle name="Comma 107 6" xfId="754"/>
    <cellStyle name="Comma 108" xfId="139"/>
    <cellStyle name="Comma 108 2" xfId="276"/>
    <cellStyle name="Comma 108 3" xfId="396"/>
    <cellStyle name="Comma 108 4" xfId="517"/>
    <cellStyle name="Comma 108 5" xfId="639"/>
    <cellStyle name="Comma 108 6" xfId="758"/>
    <cellStyle name="Comma 109" xfId="140"/>
    <cellStyle name="Comma 109 2" xfId="277"/>
    <cellStyle name="Comma 109 3" xfId="397"/>
    <cellStyle name="Comma 109 4" xfId="518"/>
    <cellStyle name="Comma 109 5" xfId="640"/>
    <cellStyle name="Comma 109 6" xfId="759"/>
    <cellStyle name="Comma 11" xfId="28"/>
    <cellStyle name="Comma 110" xfId="141"/>
    <cellStyle name="Comma 110 2" xfId="278"/>
    <cellStyle name="Comma 110 3" xfId="398"/>
    <cellStyle name="Comma 110 4" xfId="519"/>
    <cellStyle name="Comma 110 5" xfId="641"/>
    <cellStyle name="Comma 110 6" xfId="760"/>
    <cellStyle name="Comma 111" xfId="142"/>
    <cellStyle name="Comma 111 2" xfId="279"/>
    <cellStyle name="Comma 111 3" xfId="399"/>
    <cellStyle name="Comma 111 4" xfId="520"/>
    <cellStyle name="Comma 111 5" xfId="642"/>
    <cellStyle name="Comma 111 6" xfId="761"/>
    <cellStyle name="Comma 112" xfId="143"/>
    <cellStyle name="Comma 112 2" xfId="280"/>
    <cellStyle name="Comma 112 3" xfId="400"/>
    <cellStyle name="Comma 112 4" xfId="521"/>
    <cellStyle name="Comma 112 5" xfId="643"/>
    <cellStyle name="Comma 112 6" xfId="762"/>
    <cellStyle name="Comma 113" xfId="137"/>
    <cellStyle name="Comma 113 2" xfId="274"/>
    <cellStyle name="Comma 113 3" xfId="394"/>
    <cellStyle name="Comma 113 4" xfId="515"/>
    <cellStyle name="Comma 113 5" xfId="637"/>
    <cellStyle name="Comma 113 6" xfId="756"/>
    <cellStyle name="Comma 114" xfId="144"/>
    <cellStyle name="Comma 114 2" xfId="281"/>
    <cellStyle name="Comma 114 3" xfId="401"/>
    <cellStyle name="Comma 114 4" xfId="522"/>
    <cellStyle name="Comma 114 5" xfId="644"/>
    <cellStyle name="Comma 114 6" xfId="763"/>
    <cellStyle name="Comma 115" xfId="145"/>
    <cellStyle name="Comma 115 2" xfId="282"/>
    <cellStyle name="Comma 115 3" xfId="402"/>
    <cellStyle name="Comma 115 4" xfId="523"/>
    <cellStyle name="Comma 115 5" xfId="645"/>
    <cellStyle name="Comma 115 6" xfId="764"/>
    <cellStyle name="Comma 116" xfId="146"/>
    <cellStyle name="Comma 116 2" xfId="283"/>
    <cellStyle name="Comma 116 3" xfId="403"/>
    <cellStyle name="Comma 116 4" xfId="524"/>
    <cellStyle name="Comma 116 5" xfId="646"/>
    <cellStyle name="Comma 116 6" xfId="765"/>
    <cellStyle name="Comma 117" xfId="147"/>
    <cellStyle name="Comma 117 2" xfId="284"/>
    <cellStyle name="Comma 117 3" xfId="404"/>
    <cellStyle name="Comma 117 4" xfId="525"/>
    <cellStyle name="Comma 117 5" xfId="647"/>
    <cellStyle name="Comma 117 6" xfId="766"/>
    <cellStyle name="Comma 118" xfId="148"/>
    <cellStyle name="Comma 118 2" xfId="285"/>
    <cellStyle name="Comma 118 3" xfId="405"/>
    <cellStyle name="Comma 118 4" xfId="526"/>
    <cellStyle name="Comma 118 5" xfId="648"/>
    <cellStyle name="Comma 118 6" xfId="767"/>
    <cellStyle name="Comma 119" xfId="149"/>
    <cellStyle name="Comma 119 2" xfId="286"/>
    <cellStyle name="Comma 119 3" xfId="406"/>
    <cellStyle name="Comma 119 4" xfId="527"/>
    <cellStyle name="Comma 119 5" xfId="649"/>
    <cellStyle name="Comma 119 6" xfId="768"/>
    <cellStyle name="Comma 12" xfId="29"/>
    <cellStyle name="Comma 120" xfId="150"/>
    <cellStyle name="Comma 120 2" xfId="287"/>
    <cellStyle name="Comma 120 3" xfId="407"/>
    <cellStyle name="Comma 120 4" xfId="528"/>
    <cellStyle name="Comma 120 5" xfId="650"/>
    <cellStyle name="Comma 120 6" xfId="769"/>
    <cellStyle name="Comma 121" xfId="151"/>
    <cellStyle name="Comma 121 2" xfId="288"/>
    <cellStyle name="Comma 121 3" xfId="408"/>
    <cellStyle name="Comma 121 4" xfId="529"/>
    <cellStyle name="Comma 121 5" xfId="651"/>
    <cellStyle name="Comma 121 6" xfId="770"/>
    <cellStyle name="Comma 122" xfId="152"/>
    <cellStyle name="Comma 122 2" xfId="289"/>
    <cellStyle name="Comma 122 3" xfId="409"/>
    <cellStyle name="Comma 122 4" xfId="530"/>
    <cellStyle name="Comma 122 5" xfId="652"/>
    <cellStyle name="Comma 122 6" xfId="771"/>
    <cellStyle name="Comma 123" xfId="153"/>
    <cellStyle name="Comma 123 2" xfId="290"/>
    <cellStyle name="Comma 123 3" xfId="410"/>
    <cellStyle name="Comma 123 4" xfId="531"/>
    <cellStyle name="Comma 123 5" xfId="653"/>
    <cellStyle name="Comma 123 6" xfId="772"/>
    <cellStyle name="Comma 124" xfId="154"/>
    <cellStyle name="Comma 124 2" xfId="291"/>
    <cellStyle name="Comma 124 3" xfId="411"/>
    <cellStyle name="Comma 124 4" xfId="532"/>
    <cellStyle name="Comma 124 5" xfId="654"/>
    <cellStyle name="Comma 124 6" xfId="773"/>
    <cellStyle name="Comma 125" xfId="155"/>
    <cellStyle name="Comma 125 2" xfId="292"/>
    <cellStyle name="Comma 125 3" xfId="412"/>
    <cellStyle name="Comma 125 4" xfId="533"/>
    <cellStyle name="Comma 125 5" xfId="655"/>
    <cellStyle name="Comma 125 6" xfId="774"/>
    <cellStyle name="Comma 126" xfId="156"/>
    <cellStyle name="Comma 126 2" xfId="293"/>
    <cellStyle name="Comma 126 3" xfId="413"/>
    <cellStyle name="Comma 126 4" xfId="534"/>
    <cellStyle name="Comma 126 5" xfId="656"/>
    <cellStyle name="Comma 126 6" xfId="775"/>
    <cellStyle name="Comma 127" xfId="157"/>
    <cellStyle name="Comma 127 2" xfId="294"/>
    <cellStyle name="Comma 127 3" xfId="414"/>
    <cellStyle name="Comma 127 4" xfId="535"/>
    <cellStyle name="Comma 127 5" xfId="657"/>
    <cellStyle name="Comma 127 6" xfId="776"/>
    <cellStyle name="Comma 128" xfId="158"/>
    <cellStyle name="Comma 128 2" xfId="295"/>
    <cellStyle name="Comma 128 3" xfId="415"/>
    <cellStyle name="Comma 128 4" xfId="536"/>
    <cellStyle name="Comma 128 5" xfId="658"/>
    <cellStyle name="Comma 128 6" xfId="777"/>
    <cellStyle name="Comma 129" xfId="159"/>
    <cellStyle name="Comma 129 2" xfId="296"/>
    <cellStyle name="Comma 129 3" xfId="416"/>
    <cellStyle name="Comma 129 4" xfId="537"/>
    <cellStyle name="Comma 129 5" xfId="659"/>
    <cellStyle name="Comma 129 6" xfId="778"/>
    <cellStyle name="Comma 13" xfId="30"/>
    <cellStyle name="Comma 130" xfId="160"/>
    <cellStyle name="Comma 130 2" xfId="297"/>
    <cellStyle name="Comma 130 3" xfId="417"/>
    <cellStyle name="Comma 130 4" xfId="538"/>
    <cellStyle name="Comma 130 5" xfId="660"/>
    <cellStyle name="Comma 130 6" xfId="779"/>
    <cellStyle name="Comma 131" xfId="161"/>
    <cellStyle name="Comma 131 2" xfId="298"/>
    <cellStyle name="Comma 131 3" xfId="418"/>
    <cellStyle name="Comma 131 4" xfId="539"/>
    <cellStyle name="Comma 131 5" xfId="661"/>
    <cellStyle name="Comma 131 6" xfId="780"/>
    <cellStyle name="Comma 132" xfId="162"/>
    <cellStyle name="Comma 132 2" xfId="299"/>
    <cellStyle name="Comma 132 3" xfId="419"/>
    <cellStyle name="Comma 132 4" xfId="540"/>
    <cellStyle name="Comma 132 5" xfId="662"/>
    <cellStyle name="Comma 132 6" xfId="781"/>
    <cellStyle name="Comma 133" xfId="163"/>
    <cellStyle name="Comma 133 2" xfId="300"/>
    <cellStyle name="Comma 133 3" xfId="420"/>
    <cellStyle name="Comma 133 4" xfId="541"/>
    <cellStyle name="Comma 133 5" xfId="663"/>
    <cellStyle name="Comma 133 6" xfId="782"/>
    <cellStyle name="Comma 134" xfId="164"/>
    <cellStyle name="Comma 134 2" xfId="301"/>
    <cellStyle name="Comma 134 3" xfId="421"/>
    <cellStyle name="Comma 134 4" xfId="542"/>
    <cellStyle name="Comma 134 5" xfId="664"/>
    <cellStyle name="Comma 134 6" xfId="783"/>
    <cellStyle name="Comma 135" xfId="165"/>
    <cellStyle name="Comma 135 2" xfId="302"/>
    <cellStyle name="Comma 135 3" xfId="422"/>
    <cellStyle name="Comma 135 4" xfId="543"/>
    <cellStyle name="Comma 135 5" xfId="665"/>
    <cellStyle name="Comma 135 6" xfId="784"/>
    <cellStyle name="Comma 136" xfId="166"/>
    <cellStyle name="Comma 136 2" xfId="303"/>
    <cellStyle name="Comma 136 3" xfId="423"/>
    <cellStyle name="Comma 136 4" xfId="544"/>
    <cellStyle name="Comma 136 5" xfId="666"/>
    <cellStyle name="Comma 136 6" xfId="785"/>
    <cellStyle name="Comma 137" xfId="167"/>
    <cellStyle name="Comma 137 2" xfId="304"/>
    <cellStyle name="Comma 137 3" xfId="424"/>
    <cellStyle name="Comma 137 4" xfId="545"/>
    <cellStyle name="Comma 137 5" xfId="667"/>
    <cellStyle name="Comma 137 6" xfId="786"/>
    <cellStyle name="Comma 138" xfId="168"/>
    <cellStyle name="Comma 138 2" xfId="305"/>
    <cellStyle name="Comma 138 3" xfId="425"/>
    <cellStyle name="Comma 138 4" xfId="546"/>
    <cellStyle name="Comma 138 5" xfId="668"/>
    <cellStyle name="Comma 138 6" xfId="787"/>
    <cellStyle name="Comma 139" xfId="169"/>
    <cellStyle name="Comma 139 2" xfId="306"/>
    <cellStyle name="Comma 139 3" xfId="426"/>
    <cellStyle name="Comma 139 4" xfId="547"/>
    <cellStyle name="Comma 139 5" xfId="669"/>
    <cellStyle name="Comma 139 6" xfId="788"/>
    <cellStyle name="Comma 14" xfId="31"/>
    <cellStyle name="Comma 140" xfId="170"/>
    <cellStyle name="Comma 140 2" xfId="307"/>
    <cellStyle name="Comma 140 3" xfId="427"/>
    <cellStyle name="Comma 140 4" xfId="548"/>
    <cellStyle name="Comma 140 5" xfId="670"/>
    <cellStyle name="Comma 140 6" xfId="789"/>
    <cellStyle name="Comma 141" xfId="171"/>
    <cellStyle name="Comma 141 2" xfId="308"/>
    <cellStyle name="Comma 141 3" xfId="428"/>
    <cellStyle name="Comma 141 4" xfId="549"/>
    <cellStyle name="Comma 141 5" xfId="671"/>
    <cellStyle name="Comma 141 6" xfId="790"/>
    <cellStyle name="Comma 142" xfId="172"/>
    <cellStyle name="Comma 142 2" xfId="309"/>
    <cellStyle name="Comma 142 3" xfId="429"/>
    <cellStyle name="Comma 142 4" xfId="550"/>
    <cellStyle name="Comma 142 5" xfId="672"/>
    <cellStyle name="Comma 142 6" xfId="791"/>
    <cellStyle name="Comma 143" xfId="173"/>
    <cellStyle name="Comma 143 2" xfId="310"/>
    <cellStyle name="Comma 143 3" xfId="430"/>
    <cellStyle name="Comma 143 4" xfId="551"/>
    <cellStyle name="Comma 143 5" xfId="673"/>
    <cellStyle name="Comma 143 6" xfId="792"/>
    <cellStyle name="Comma 144" xfId="174"/>
    <cellStyle name="Comma 144 2" xfId="311"/>
    <cellStyle name="Comma 144 3" xfId="431"/>
    <cellStyle name="Comma 144 4" xfId="552"/>
    <cellStyle name="Comma 144 5" xfId="674"/>
    <cellStyle name="Comma 144 6" xfId="793"/>
    <cellStyle name="Comma 145" xfId="175"/>
    <cellStyle name="Comma 145 2" xfId="312"/>
    <cellStyle name="Comma 145 3" xfId="432"/>
    <cellStyle name="Comma 145 4" xfId="553"/>
    <cellStyle name="Comma 145 5" xfId="675"/>
    <cellStyle name="Comma 145 6" xfId="794"/>
    <cellStyle name="Comma 146" xfId="176"/>
    <cellStyle name="Comma 146 2" xfId="313"/>
    <cellStyle name="Comma 146 3" xfId="433"/>
    <cellStyle name="Comma 146 4" xfId="554"/>
    <cellStyle name="Comma 146 5" xfId="676"/>
    <cellStyle name="Comma 146 6" xfId="795"/>
    <cellStyle name="Comma 147" xfId="177"/>
    <cellStyle name="Comma 147 2" xfId="314"/>
    <cellStyle name="Comma 147 3" xfId="434"/>
    <cellStyle name="Comma 147 4" xfId="555"/>
    <cellStyle name="Comma 147 5" xfId="677"/>
    <cellStyle name="Comma 147 6" xfId="796"/>
    <cellStyle name="Comma 148" xfId="178"/>
    <cellStyle name="Comma 148 2" xfId="315"/>
    <cellStyle name="Comma 148 3" xfId="435"/>
    <cellStyle name="Comma 148 4" xfId="556"/>
    <cellStyle name="Comma 148 5" xfId="678"/>
    <cellStyle name="Comma 148 6" xfId="797"/>
    <cellStyle name="Comma 149" xfId="179"/>
    <cellStyle name="Comma 149 2" xfId="316"/>
    <cellStyle name="Comma 149 3" xfId="436"/>
    <cellStyle name="Comma 149 4" xfId="557"/>
    <cellStyle name="Comma 149 5" xfId="679"/>
    <cellStyle name="Comma 149 6" xfId="798"/>
    <cellStyle name="Comma 15" xfId="32"/>
    <cellStyle name="Comma 150" xfId="180"/>
    <cellStyle name="Comma 150 2" xfId="317"/>
    <cellStyle name="Comma 150 3" xfId="437"/>
    <cellStyle name="Comma 150 4" xfId="558"/>
    <cellStyle name="Comma 150 5" xfId="680"/>
    <cellStyle name="Comma 150 6" xfId="799"/>
    <cellStyle name="Comma 151" xfId="181"/>
    <cellStyle name="Comma 151 2" xfId="318"/>
    <cellStyle name="Comma 151 3" xfId="438"/>
    <cellStyle name="Comma 151 4" xfId="559"/>
    <cellStyle name="Comma 151 5" xfId="681"/>
    <cellStyle name="Comma 151 6" xfId="800"/>
    <cellStyle name="Comma 152" xfId="183"/>
    <cellStyle name="Comma 152 2" xfId="320"/>
    <cellStyle name="Comma 152 3" xfId="440"/>
    <cellStyle name="Comma 152 4" xfId="561"/>
    <cellStyle name="Comma 152 5" xfId="683"/>
    <cellStyle name="Comma 152 6" xfId="802"/>
    <cellStyle name="Comma 153" xfId="182"/>
    <cellStyle name="Comma 153 2" xfId="319"/>
    <cellStyle name="Comma 153 3" xfId="439"/>
    <cellStyle name="Comma 153 4" xfId="560"/>
    <cellStyle name="Comma 153 5" xfId="682"/>
    <cellStyle name="Comma 153 6" xfId="801"/>
    <cellStyle name="Comma 154" xfId="184"/>
    <cellStyle name="Comma 154 2" xfId="321"/>
    <cellStyle name="Comma 154 3" xfId="441"/>
    <cellStyle name="Comma 154 4" xfId="562"/>
    <cellStyle name="Comma 154 5" xfId="684"/>
    <cellStyle name="Comma 154 6" xfId="803"/>
    <cellStyle name="Comma 155" xfId="185"/>
    <cellStyle name="Comma 155 2" xfId="322"/>
    <cellStyle name="Comma 155 3" xfId="442"/>
    <cellStyle name="Comma 155 4" xfId="563"/>
    <cellStyle name="Comma 155 5" xfId="685"/>
    <cellStyle name="Comma 155 6" xfId="804"/>
    <cellStyle name="Comma 156" xfId="186"/>
    <cellStyle name="Comma 156 2" xfId="323"/>
    <cellStyle name="Comma 156 3" xfId="443"/>
    <cellStyle name="Comma 156 4" xfId="564"/>
    <cellStyle name="Comma 156 5" xfId="686"/>
    <cellStyle name="Comma 156 6" xfId="805"/>
    <cellStyle name="Comma 157" xfId="187"/>
    <cellStyle name="Comma 157 2" xfId="324"/>
    <cellStyle name="Comma 157 3" xfId="444"/>
    <cellStyle name="Comma 157 4" xfId="565"/>
    <cellStyle name="Comma 157 5" xfId="687"/>
    <cellStyle name="Comma 157 6" xfId="806"/>
    <cellStyle name="Comma 158" xfId="188"/>
    <cellStyle name="Comma 158 2" xfId="325"/>
    <cellStyle name="Comma 158 3" xfId="445"/>
    <cellStyle name="Comma 158 4" xfId="566"/>
    <cellStyle name="Comma 158 5" xfId="688"/>
    <cellStyle name="Comma 158 6" xfId="807"/>
    <cellStyle name="Comma 159" xfId="189"/>
    <cellStyle name="Comma 159 2" xfId="326"/>
    <cellStyle name="Comma 159 3" xfId="446"/>
    <cellStyle name="Comma 159 4" xfId="567"/>
    <cellStyle name="Comma 159 5" xfId="689"/>
    <cellStyle name="Comma 159 6" xfId="808"/>
    <cellStyle name="Comma 16" xfId="33"/>
    <cellStyle name="Comma 160" xfId="190"/>
    <cellStyle name="Comma 160 2" xfId="327"/>
    <cellStyle name="Comma 160 3" xfId="447"/>
    <cellStyle name="Comma 160 4" xfId="568"/>
    <cellStyle name="Comma 160 5" xfId="690"/>
    <cellStyle name="Comma 160 6" xfId="809"/>
    <cellStyle name="Comma 161" xfId="191"/>
    <cellStyle name="Comma 161 2" xfId="328"/>
    <cellStyle name="Comma 161 3" xfId="448"/>
    <cellStyle name="Comma 161 4" xfId="569"/>
    <cellStyle name="Comma 161 5" xfId="691"/>
    <cellStyle name="Comma 161 6" xfId="810"/>
    <cellStyle name="Comma 162" xfId="192"/>
    <cellStyle name="Comma 162 2" xfId="329"/>
    <cellStyle name="Comma 162 3" xfId="449"/>
    <cellStyle name="Comma 162 4" xfId="570"/>
    <cellStyle name="Comma 162 5" xfId="692"/>
    <cellStyle name="Comma 162 6" xfId="811"/>
    <cellStyle name="Comma 163" xfId="193"/>
    <cellStyle name="Comma 163 2" xfId="330"/>
    <cellStyle name="Comma 163 3" xfId="450"/>
    <cellStyle name="Comma 163 4" xfId="571"/>
    <cellStyle name="Comma 163 5" xfId="693"/>
    <cellStyle name="Comma 163 6" xfId="812"/>
    <cellStyle name="Comma 164" xfId="194"/>
    <cellStyle name="Comma 164 2" xfId="331"/>
    <cellStyle name="Comma 164 3" xfId="451"/>
    <cellStyle name="Comma 164 4" xfId="572"/>
    <cellStyle name="Comma 164 5" xfId="694"/>
    <cellStyle name="Comma 164 6" xfId="813"/>
    <cellStyle name="Comma 165" xfId="195"/>
    <cellStyle name="Comma 165 2" xfId="332"/>
    <cellStyle name="Comma 165 3" xfId="452"/>
    <cellStyle name="Comma 165 4" xfId="573"/>
    <cellStyle name="Comma 165 5" xfId="695"/>
    <cellStyle name="Comma 165 6" xfId="814"/>
    <cellStyle name="Comma 166" xfId="196"/>
    <cellStyle name="Comma 166 2" xfId="333"/>
    <cellStyle name="Comma 166 3" xfId="453"/>
    <cellStyle name="Comma 166 4" xfId="574"/>
    <cellStyle name="Comma 166 5" xfId="696"/>
    <cellStyle name="Comma 166 6" xfId="815"/>
    <cellStyle name="Comma 167" xfId="197"/>
    <cellStyle name="Comma 167 2" xfId="334"/>
    <cellStyle name="Comma 167 3" xfId="454"/>
    <cellStyle name="Comma 167 4" xfId="575"/>
    <cellStyle name="Comma 167 5" xfId="697"/>
    <cellStyle name="Comma 167 6" xfId="816"/>
    <cellStyle name="Comma 168" xfId="198"/>
    <cellStyle name="Comma 168 2" xfId="335"/>
    <cellStyle name="Comma 168 3" xfId="455"/>
    <cellStyle name="Comma 168 4" xfId="576"/>
    <cellStyle name="Comma 168 5" xfId="698"/>
    <cellStyle name="Comma 168 6" xfId="817"/>
    <cellStyle name="Comma 169" xfId="199"/>
    <cellStyle name="Comma 169 2" xfId="336"/>
    <cellStyle name="Comma 169 3" xfId="456"/>
    <cellStyle name="Comma 169 4" xfId="577"/>
    <cellStyle name="Comma 169 5" xfId="699"/>
    <cellStyle name="Comma 169 6" xfId="818"/>
    <cellStyle name="Comma 17" xfId="34"/>
    <cellStyle name="Comma 170" xfId="200"/>
    <cellStyle name="Comma 170 2" xfId="337"/>
    <cellStyle name="Comma 170 3" xfId="457"/>
    <cellStyle name="Comma 170 4" xfId="578"/>
    <cellStyle name="Comma 170 5" xfId="700"/>
    <cellStyle name="Comma 170 6" xfId="819"/>
    <cellStyle name="Comma 171" xfId="201"/>
    <cellStyle name="Comma 171 2" xfId="338"/>
    <cellStyle name="Comma 171 3" xfId="458"/>
    <cellStyle name="Comma 171 4" xfId="579"/>
    <cellStyle name="Comma 171 5" xfId="701"/>
    <cellStyle name="Comma 171 6" xfId="820"/>
    <cellStyle name="Comma 172" xfId="202"/>
    <cellStyle name="Comma 172 2" xfId="339"/>
    <cellStyle name="Comma 172 3" xfId="459"/>
    <cellStyle name="Comma 172 4" xfId="580"/>
    <cellStyle name="Comma 172 5" xfId="702"/>
    <cellStyle name="Comma 172 6" xfId="821"/>
    <cellStyle name="Comma 173" xfId="204"/>
    <cellStyle name="Comma 173 2" xfId="341"/>
    <cellStyle name="Comma 173 3" xfId="461"/>
    <cellStyle name="Comma 173 4" xfId="582"/>
    <cellStyle name="Comma 173 5" xfId="704"/>
    <cellStyle name="Comma 173 6" xfId="823"/>
    <cellStyle name="Comma 174" xfId="203"/>
    <cellStyle name="Comma 174 2" xfId="340"/>
    <cellStyle name="Comma 174 3" xfId="460"/>
    <cellStyle name="Comma 174 4" xfId="581"/>
    <cellStyle name="Comma 174 5" xfId="703"/>
    <cellStyle name="Comma 174 6" xfId="822"/>
    <cellStyle name="Comma 175" xfId="205"/>
    <cellStyle name="Comma 175 2" xfId="342"/>
    <cellStyle name="Comma 175 3" xfId="462"/>
    <cellStyle name="Comma 175 4" xfId="583"/>
    <cellStyle name="Comma 175 5" xfId="705"/>
    <cellStyle name="Comma 175 6" xfId="824"/>
    <cellStyle name="Comma 176" xfId="206"/>
    <cellStyle name="Comma 176 2" xfId="343"/>
    <cellStyle name="Comma 176 3" xfId="463"/>
    <cellStyle name="Comma 176 4" xfId="584"/>
    <cellStyle name="Comma 176 5" xfId="706"/>
    <cellStyle name="Comma 176 6" xfId="825"/>
    <cellStyle name="Comma 177" xfId="208"/>
    <cellStyle name="Comma 177 2" xfId="345"/>
    <cellStyle name="Comma 177 3" xfId="465"/>
    <cellStyle name="Comma 177 4" xfId="586"/>
    <cellStyle name="Comma 177 5" xfId="708"/>
    <cellStyle name="Comma 177 6" xfId="827"/>
    <cellStyle name="Comma 178" xfId="210"/>
    <cellStyle name="Comma 178 2" xfId="347"/>
    <cellStyle name="Comma 178 3" xfId="467"/>
    <cellStyle name="Comma 178 4" xfId="588"/>
    <cellStyle name="Comma 178 5" xfId="710"/>
    <cellStyle name="Comma 178 6" xfId="829"/>
    <cellStyle name="Comma 179" xfId="209"/>
    <cellStyle name="Comma 179 2" xfId="346"/>
    <cellStyle name="Comma 179 3" xfId="466"/>
    <cellStyle name="Comma 179 4" xfId="587"/>
    <cellStyle name="Comma 179 5" xfId="709"/>
    <cellStyle name="Comma 179 6" xfId="828"/>
    <cellStyle name="Comma 18" xfId="35"/>
    <cellStyle name="Comma 180" xfId="207"/>
    <cellStyle name="Comma 180 2" xfId="344"/>
    <cellStyle name="Comma 180 3" xfId="464"/>
    <cellStyle name="Comma 180 4" xfId="585"/>
    <cellStyle name="Comma 180 5" xfId="707"/>
    <cellStyle name="Comma 180 6" xfId="826"/>
    <cellStyle name="Comma 181" xfId="211"/>
    <cellStyle name="Comma 181 2" xfId="348"/>
    <cellStyle name="Comma 181 3" xfId="468"/>
    <cellStyle name="Comma 181 4" xfId="589"/>
    <cellStyle name="Comma 181 5" xfId="711"/>
    <cellStyle name="Comma 181 6" xfId="830"/>
    <cellStyle name="Comma 182" xfId="212"/>
    <cellStyle name="Comma 182 2" xfId="349"/>
    <cellStyle name="Comma 182 3" xfId="469"/>
    <cellStyle name="Comma 182 4" xfId="590"/>
    <cellStyle name="Comma 182 5" xfId="712"/>
    <cellStyle name="Comma 182 6" xfId="831"/>
    <cellStyle name="Comma 183" xfId="213"/>
    <cellStyle name="Comma 183 2" xfId="350"/>
    <cellStyle name="Comma 183 3" xfId="470"/>
    <cellStyle name="Comma 183 4" xfId="591"/>
    <cellStyle name="Comma 183 5" xfId="713"/>
    <cellStyle name="Comma 183 6" xfId="832"/>
    <cellStyle name="Comma 184" xfId="214"/>
    <cellStyle name="Comma 185" xfId="216"/>
    <cellStyle name="Comma 186" xfId="217"/>
    <cellStyle name="Comma 187" xfId="219"/>
    <cellStyle name="Comma 188" xfId="223"/>
    <cellStyle name="Comma 189" xfId="224"/>
    <cellStyle name="Comma 19" xfId="36"/>
    <cellStyle name="Comma 190" xfId="225"/>
    <cellStyle name="Comma 191" xfId="227"/>
    <cellStyle name="Comma 192" xfId="232"/>
    <cellStyle name="Comma 193" xfId="226"/>
    <cellStyle name="Comma 194" xfId="356"/>
    <cellStyle name="Comma 195" xfId="473"/>
    <cellStyle name="Comma 196" xfId="474"/>
    <cellStyle name="Comma 197" xfId="477"/>
    <cellStyle name="Comma 198" xfId="594"/>
    <cellStyle name="Comma 199" xfId="482"/>
    <cellStyle name="Comma 2" xfId="4"/>
    <cellStyle name="Comma 2 2" xfId="112"/>
    <cellStyle name="Comma 2 2 2" xfId="250"/>
    <cellStyle name="Comma 2 2 3" xfId="370"/>
    <cellStyle name="Comma 2 2 4" xfId="491"/>
    <cellStyle name="Comma 2 2 5" xfId="613"/>
    <cellStyle name="Comma 2 2 6" xfId="732"/>
    <cellStyle name="Comma 2 3" xfId="230"/>
    <cellStyle name="Comma 20" xfId="37"/>
    <cellStyle name="Comma 200" xfId="595"/>
    <cellStyle name="Comma 201" xfId="479"/>
    <cellStyle name="Comma 202" xfId="596"/>
    <cellStyle name="Comma 203" xfId="597"/>
    <cellStyle name="Comma 204" xfId="598"/>
    <cellStyle name="Comma 205" xfId="599"/>
    <cellStyle name="Comma 206" xfId="716"/>
    <cellStyle name="Comma 207" xfId="719"/>
    <cellStyle name="Comma 208" xfId="721"/>
    <cellStyle name="Comma 209" xfId="836"/>
    <cellStyle name="Comma 21" xfId="38"/>
    <cellStyle name="Comma 210" xfId="835"/>
    <cellStyle name="Comma 211" xfId="837"/>
    <cellStyle name="Comma 22" xfId="39"/>
    <cellStyle name="Comma 23" xfId="40"/>
    <cellStyle name="Comma 24" xfId="41"/>
    <cellStyle name="Comma 25" xfId="42"/>
    <cellStyle name="Comma 26" xfId="43"/>
    <cellStyle name="Comma 27" xfId="44"/>
    <cellStyle name="Comma 28" xfId="45"/>
    <cellStyle name="Comma 29" xfId="46"/>
    <cellStyle name="Comma 3" xfId="17"/>
    <cellStyle name="Comma 3 2" xfId="236"/>
    <cellStyle name="Comma 30" xfId="47"/>
    <cellStyle name="Comma 31" xfId="48"/>
    <cellStyle name="Comma 32" xfId="49"/>
    <cellStyle name="Comma 33" xfId="50"/>
    <cellStyle name="Comma 34" xfId="51"/>
    <cellStyle name="Comma 35" xfId="52"/>
    <cellStyle name="Comma 36" xfId="53"/>
    <cellStyle name="Comma 37" xfId="54"/>
    <cellStyle name="Comma 38" xfId="55"/>
    <cellStyle name="Comma 39" xfId="56"/>
    <cellStyle name="Comma 4" xfId="20"/>
    <cellStyle name="Comma 40" xfId="57"/>
    <cellStyle name="Comma 41" xfId="58"/>
    <cellStyle name="Comma 42" xfId="59"/>
    <cellStyle name="Comma 43" xfId="60"/>
    <cellStyle name="Comma 44" xfId="61"/>
    <cellStyle name="Comma 45" xfId="62"/>
    <cellStyle name="Comma 46" xfId="64"/>
    <cellStyle name="Comma 47" xfId="65"/>
    <cellStyle name="Comma 48" xfId="66"/>
    <cellStyle name="Comma 49" xfId="67"/>
    <cellStyle name="Comma 5" xfId="22"/>
    <cellStyle name="Comma 50" xfId="69"/>
    <cellStyle name="Comma 51" xfId="70"/>
    <cellStyle name="Comma 52" xfId="71"/>
    <cellStyle name="Comma 53" xfId="72"/>
    <cellStyle name="Comma 54" xfId="73"/>
    <cellStyle name="Comma 55" xfId="74"/>
    <cellStyle name="Comma 56" xfId="75"/>
    <cellStyle name="Comma 57" xfId="76"/>
    <cellStyle name="Comma 58" xfId="77"/>
    <cellStyle name="Comma 59" xfId="78"/>
    <cellStyle name="Comma 6" xfId="23"/>
    <cellStyle name="Comma 60" xfId="79"/>
    <cellStyle name="Comma 61" xfId="80"/>
    <cellStyle name="Comma 62" xfId="81"/>
    <cellStyle name="Comma 63" xfId="82"/>
    <cellStyle name="Comma 64" xfId="83"/>
    <cellStyle name="Comma 65" xfId="84"/>
    <cellStyle name="Comma 66" xfId="85"/>
    <cellStyle name="Comma 67" xfId="86"/>
    <cellStyle name="Comma 68" xfId="87"/>
    <cellStyle name="Comma 69" xfId="88"/>
    <cellStyle name="Comma 7" xfId="24"/>
    <cellStyle name="Comma 70" xfId="89"/>
    <cellStyle name="Comma 71" xfId="90"/>
    <cellStyle name="Comma 72" xfId="91"/>
    <cellStyle name="Comma 73" xfId="92"/>
    <cellStyle name="Comma 74" xfId="93"/>
    <cellStyle name="Comma 75" xfId="94"/>
    <cellStyle name="Comma 76" xfId="95"/>
    <cellStyle name="Comma 77" xfId="96"/>
    <cellStyle name="Comma 78" xfId="97"/>
    <cellStyle name="Comma 79" xfId="98"/>
    <cellStyle name="Comma 8" xfId="25"/>
    <cellStyle name="Comma 80" xfId="99"/>
    <cellStyle name="Comma 81" xfId="100"/>
    <cellStyle name="Comma 82" xfId="102"/>
    <cellStyle name="Comma 83" xfId="103"/>
    <cellStyle name="Comma 84" xfId="110"/>
    <cellStyle name="Comma 84 2" xfId="248"/>
    <cellStyle name="Comma 84 3" xfId="368"/>
    <cellStyle name="Comma 84 4" xfId="489"/>
    <cellStyle name="Comma 84 5" xfId="611"/>
    <cellStyle name="Comma 84 6" xfId="730"/>
    <cellStyle name="Comma 85" xfId="115"/>
    <cellStyle name="Comma 85 2" xfId="252"/>
    <cellStyle name="Comma 85 3" xfId="372"/>
    <cellStyle name="Comma 85 4" xfId="493"/>
    <cellStyle name="Comma 85 5" xfId="615"/>
    <cellStyle name="Comma 85 6" xfId="734"/>
    <cellStyle name="Comma 86" xfId="117"/>
    <cellStyle name="Comma 86 2" xfId="254"/>
    <cellStyle name="Comma 86 3" xfId="374"/>
    <cellStyle name="Comma 86 4" xfId="495"/>
    <cellStyle name="Comma 86 5" xfId="617"/>
    <cellStyle name="Comma 86 6" xfId="736"/>
    <cellStyle name="Comma 87" xfId="121"/>
    <cellStyle name="Comma 87 2" xfId="258"/>
    <cellStyle name="Comma 87 3" xfId="378"/>
    <cellStyle name="Comma 87 4" xfId="499"/>
    <cellStyle name="Comma 87 5" xfId="621"/>
    <cellStyle name="Comma 87 6" xfId="740"/>
    <cellStyle name="Comma 88" xfId="116"/>
    <cellStyle name="Comma 88 2" xfId="253"/>
    <cellStyle name="Comma 88 3" xfId="373"/>
    <cellStyle name="Comma 88 4" xfId="494"/>
    <cellStyle name="Comma 88 5" xfId="616"/>
    <cellStyle name="Comma 88 6" xfId="735"/>
    <cellStyle name="Comma 89" xfId="120"/>
    <cellStyle name="Comma 89 2" xfId="257"/>
    <cellStyle name="Comma 89 3" xfId="377"/>
    <cellStyle name="Comma 89 4" xfId="498"/>
    <cellStyle name="Comma 89 5" xfId="620"/>
    <cellStyle name="Comma 89 6" xfId="739"/>
    <cellStyle name="Comma 9" xfId="26"/>
    <cellStyle name="Comma 90" xfId="122"/>
    <cellStyle name="Comma 90 2" xfId="259"/>
    <cellStyle name="Comma 90 3" xfId="379"/>
    <cellStyle name="Comma 90 4" xfId="500"/>
    <cellStyle name="Comma 90 5" xfId="622"/>
    <cellStyle name="Comma 90 6" xfId="741"/>
    <cellStyle name="Comma 91" xfId="118"/>
    <cellStyle name="Comma 91 2" xfId="255"/>
    <cellStyle name="Comma 91 3" xfId="375"/>
    <cellStyle name="Comma 91 4" xfId="496"/>
    <cellStyle name="Comma 91 5" xfId="618"/>
    <cellStyle name="Comma 91 6" xfId="737"/>
    <cellStyle name="Comma 92" xfId="119"/>
    <cellStyle name="Comma 92 2" xfId="256"/>
    <cellStyle name="Comma 92 3" xfId="376"/>
    <cellStyle name="Comma 92 4" xfId="497"/>
    <cellStyle name="Comma 92 5" xfId="619"/>
    <cellStyle name="Comma 92 6" xfId="738"/>
    <cellStyle name="Comma 93" xfId="123"/>
    <cellStyle name="Comma 93 2" xfId="260"/>
    <cellStyle name="Comma 93 3" xfId="380"/>
    <cellStyle name="Comma 93 4" xfId="501"/>
    <cellStyle name="Comma 93 5" xfId="623"/>
    <cellStyle name="Comma 93 6" xfId="742"/>
    <cellStyle name="Comma 94" xfId="126"/>
    <cellStyle name="Comma 94 2" xfId="263"/>
    <cellStyle name="Comma 94 3" xfId="383"/>
    <cellStyle name="Comma 94 4" xfId="504"/>
    <cellStyle name="Comma 94 5" xfId="626"/>
    <cellStyle name="Comma 94 6" xfId="745"/>
    <cellStyle name="Comma 95" xfId="124"/>
    <cellStyle name="Comma 95 2" xfId="261"/>
    <cellStyle name="Comma 95 3" xfId="381"/>
    <cellStyle name="Comma 95 4" xfId="502"/>
    <cellStyle name="Comma 95 5" xfId="624"/>
    <cellStyle name="Comma 95 6" xfId="743"/>
    <cellStyle name="Comma 96" xfId="125"/>
    <cellStyle name="Comma 96 2" xfId="262"/>
    <cellStyle name="Comma 96 3" xfId="382"/>
    <cellStyle name="Comma 96 4" xfId="503"/>
    <cellStyle name="Comma 96 5" xfId="625"/>
    <cellStyle name="Comma 96 6" xfId="744"/>
    <cellStyle name="Comma 97" xfId="127"/>
    <cellStyle name="Comma 97 2" xfId="264"/>
    <cellStyle name="Comma 97 3" xfId="384"/>
    <cellStyle name="Comma 97 4" xfId="505"/>
    <cellStyle name="Comma 97 5" xfId="627"/>
    <cellStyle name="Comma 97 6" xfId="746"/>
    <cellStyle name="Comma 98" xfId="128"/>
    <cellStyle name="Comma 98 2" xfId="265"/>
    <cellStyle name="Comma 98 3" xfId="385"/>
    <cellStyle name="Comma 98 4" xfId="506"/>
    <cellStyle name="Comma 98 5" xfId="628"/>
    <cellStyle name="Comma 98 6" xfId="747"/>
    <cellStyle name="Comma 99" xfId="130"/>
    <cellStyle name="Comma 99 2" xfId="267"/>
    <cellStyle name="Comma 99 3" xfId="387"/>
    <cellStyle name="Comma 99 4" xfId="508"/>
    <cellStyle name="Comma 99 5" xfId="630"/>
    <cellStyle name="Comma 99 6" xfId="749"/>
    <cellStyle name="Currency [0] 2" xfId="113"/>
    <cellStyle name="Normal" xfId="0" builtinId="0"/>
    <cellStyle name="Normal 10" xfId="221"/>
    <cellStyle name="Normal 10 2" xfId="354"/>
    <cellStyle name="Normal 2" xfId="5"/>
    <cellStyle name="Normal 2 2" xfId="12"/>
    <cellStyle name="Normal 2 3" xfId="13"/>
    <cellStyle name="Normal 3" xfId="6"/>
    <cellStyle name="Normal 3 2" xfId="114"/>
    <cellStyle name="Normal 3 2 2" xfId="251"/>
    <cellStyle name="Normal 3 2 3" xfId="371"/>
    <cellStyle name="Normal 3 2 4" xfId="492"/>
    <cellStyle name="Normal 3 2 5" xfId="614"/>
    <cellStyle name="Normal 3 2 6" xfId="733"/>
    <cellStyle name="Normal 4" xfId="15"/>
    <cellStyle name="Normal 4 2" xfId="234"/>
    <cellStyle name="Normal 4 3" xfId="358"/>
    <cellStyle name="Normal 4 4" xfId="476"/>
    <cellStyle name="Normal 4 5" xfId="601"/>
    <cellStyle name="Normal 4 6" xfId="718"/>
    <cellStyle name="Normal 5" xfId="7"/>
    <cellStyle name="Normal 6" xfId="19"/>
    <cellStyle name="Normal 6 2" xfId="238"/>
    <cellStyle name="Normal 7" xfId="104"/>
    <cellStyle name="Normal 7 2" xfId="243"/>
    <cellStyle name="Normal 7 3" xfId="363"/>
    <cellStyle name="Normal 7 4" xfId="484"/>
    <cellStyle name="Normal 7 5" xfId="606"/>
    <cellStyle name="Normal 7 6" xfId="725"/>
    <cellStyle name="Normal 8" xfId="108"/>
    <cellStyle name="Normal 8 2" xfId="246"/>
    <cellStyle name="Normal 8 3" xfId="366"/>
    <cellStyle name="Normal 8 4" xfId="487"/>
    <cellStyle name="Normal 8 5" xfId="609"/>
    <cellStyle name="Normal 8 6" xfId="728"/>
    <cellStyle name="Normal 9" xfId="218"/>
    <cellStyle name="Normal 9 2" xfId="352"/>
    <cellStyle name="Percent" xfId="838" builtinId="5"/>
    <cellStyle name="Percent 2" xfId="8"/>
    <cellStyle name="Percent 2 2" xfId="107"/>
    <cellStyle name="Percent 2 3" xfId="231"/>
    <cellStyle name="S17" xfId="9"/>
    <cellStyle name="S6"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465667</xdr:colOff>
      <xdr:row>0</xdr:row>
      <xdr:rowOff>112737</xdr:rowOff>
    </xdr:from>
    <xdr:to>
      <xdr:col>5</xdr:col>
      <xdr:colOff>1121834</xdr:colOff>
      <xdr:row>1</xdr:row>
      <xdr:rowOff>0</xdr:rowOff>
    </xdr:to>
    <xdr:sp macro="" textlink="">
      <xdr:nvSpPr>
        <xdr:cNvPr id="4" name=" "/>
        <xdr:cNvSpPr txBox="1"/>
      </xdr:nvSpPr>
      <xdr:spPr>
        <a:xfrm>
          <a:off x="4529667" y="112737"/>
          <a:ext cx="3111500" cy="606930"/>
        </a:xfrm>
        <a:prstGeom prst="rect">
          <a:avLst/>
        </a:prstGeom>
        <a:solidFill>
          <a:srgbClr val="FFFFFF"/>
        </a:solid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lIns="90000" tIns="46800" rIns="90000" bIns="46800" anchor="t"/>
        <a:lstStyle/>
        <a:p>
          <a:pPr algn="l"/>
          <a:r>
            <a:rPr lang="en-US" altLang="zh-CN" sz="1100" b="1">
              <a:solidFill>
                <a:srgbClr val="000000"/>
              </a:solidFill>
              <a:latin typeface="Arial" panose="00000000000000000000" charset="0"/>
              <a:ea typeface="Arial" panose="00000000000000000000" charset="0"/>
            </a:rPr>
            <a:t>LAMPIRAN SURAT </a:t>
          </a:r>
        </a:p>
        <a:p>
          <a:pPr algn="l"/>
          <a:r>
            <a:rPr lang="en-US" altLang="zh-CN" sz="1100" b="1">
              <a:solidFill>
                <a:srgbClr val="000000"/>
              </a:solidFill>
              <a:latin typeface="Arial" panose="00000000000000000000" charset="0"/>
              <a:ea typeface="Arial" panose="00000000000000000000" charset="0"/>
            </a:rPr>
            <a:t>NOMOR     : 906/         / BPKAD-PB/IV/2019</a:t>
          </a:r>
        </a:p>
        <a:p>
          <a:pPr algn="l"/>
          <a:r>
            <a:rPr lang="en-US" altLang="zh-CN" sz="1100" b="1">
              <a:solidFill>
                <a:srgbClr val="000000"/>
              </a:solidFill>
              <a:latin typeface="Arial" panose="00000000000000000000" charset="0"/>
              <a:ea typeface="Arial" panose="00000000000000000000" charset="0"/>
            </a:rPr>
            <a:t>TANGGAL :       April 2019  </a:t>
          </a:r>
        </a:p>
        <a:p>
          <a:pPr algn="l"/>
          <a:r>
            <a:rPr lang="en-US" altLang="zh-CN" sz="1100" b="1">
              <a:solidFill>
                <a:srgbClr val="000000"/>
              </a:solidFill>
              <a:latin typeface="Arial" panose="00000000000000000000" charset="0"/>
              <a:ea typeface="Arial" panose="00000000000000000000" charset="0"/>
            </a:rPr>
            <a:t>                    </a:t>
          </a:r>
        </a:p>
        <a:p>
          <a:pPr algn="l"/>
          <a:endParaRPr/>
        </a:p>
        <a:p>
          <a:pPr algn="l"/>
          <a:endParaRPr/>
        </a:p>
        <a:p>
          <a:pPr algn="l"/>
          <a:endParaRPr/>
        </a:p>
      </xdr:txBody>
    </xdr:sp>
    <xdr:clientData/>
  </xdr:twoCellAnchor>
  <xdr:twoCellAnchor>
    <xdr:from>
      <xdr:col>3</xdr:col>
      <xdr:colOff>423334</xdr:colOff>
      <xdr:row>34</xdr:row>
      <xdr:rowOff>116417</xdr:rowOff>
    </xdr:from>
    <xdr:to>
      <xdr:col>5</xdr:col>
      <xdr:colOff>1026582</xdr:colOff>
      <xdr:row>44</xdr:row>
      <xdr:rowOff>63500</xdr:rowOff>
    </xdr:to>
    <xdr:sp macro="" textlink="">
      <xdr:nvSpPr>
        <xdr:cNvPr id="5" name=" "/>
        <xdr:cNvSpPr txBox="1"/>
      </xdr:nvSpPr>
      <xdr:spPr>
        <a:xfrm>
          <a:off x="4402667" y="7747000"/>
          <a:ext cx="3058582" cy="1852083"/>
        </a:xfrm>
        <a:prstGeom prst="rect">
          <a:avLst/>
        </a:prstGeom>
        <a:solidFill>
          <a:srgbClr val="FFFFFF"/>
        </a:solid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lIns="90000" tIns="46800" rIns="90000" bIns="46800" anchor="ctr"/>
        <a:lstStyle/>
        <a:p>
          <a:pPr algn="ctr"/>
          <a:r>
            <a:rPr lang="id-ID" sz="1200" b="1" i="0" u="none" strike="noStrike">
              <a:solidFill>
                <a:srgbClr val="000000"/>
              </a:solidFill>
              <a:effectLst/>
              <a:latin typeface="+mn-lt"/>
              <a:cs typeface="Arial" panose="020B0604020202020204" pitchFamily="34" charset="0"/>
            </a:rPr>
            <a:t>    </a:t>
          </a:r>
          <a:r>
            <a:rPr lang="id-ID" sz="1200" b="1" i="0" u="none" strike="noStrike">
              <a:solidFill>
                <a:schemeClr val="dk1"/>
              </a:solidFill>
              <a:effectLst/>
              <a:latin typeface="+mn-lt"/>
              <a:ea typeface="+mn-ea"/>
              <a:cs typeface="Arial" panose="020B0604020202020204" pitchFamily="34" charset="0"/>
            </a:rPr>
            <a:t>Manokwari,            April  2019</a:t>
          </a:r>
          <a:r>
            <a:rPr lang="id-ID" sz="1200">
              <a:latin typeface="+mn-lt"/>
              <a:cs typeface="Arial" panose="020B0604020202020204" pitchFamily="34" charset="0"/>
            </a:rPr>
            <a:t> </a:t>
          </a:r>
        </a:p>
        <a:p>
          <a:pPr algn="ctr"/>
          <a:r>
            <a:rPr lang="id-ID" sz="1200" b="1" i="0" u="none" strike="noStrike">
              <a:solidFill>
                <a:schemeClr val="dk1"/>
              </a:solidFill>
              <a:effectLst/>
              <a:latin typeface="+mn-lt"/>
              <a:ea typeface="+mn-ea"/>
              <a:cs typeface="Arial" panose="020B0604020202020204" pitchFamily="34" charset="0"/>
            </a:rPr>
            <a:t>  KEPALA BADAN PENGELOLA KEUANGAN </a:t>
          </a:r>
          <a:r>
            <a:rPr lang="id-ID" sz="1200">
              <a:latin typeface="+mn-lt"/>
              <a:cs typeface="Arial" panose="020B0604020202020204" pitchFamily="34" charset="0"/>
            </a:rPr>
            <a:t> </a:t>
          </a:r>
          <a:endParaRPr sz="1200">
            <a:latin typeface="+mn-lt"/>
            <a:cs typeface="Arial" panose="020B0604020202020204" pitchFamily="34" charset="0"/>
          </a:endParaRPr>
        </a:p>
        <a:p>
          <a:pPr algn="ctr"/>
          <a:endParaRPr sz="1200">
            <a:latin typeface="+mn-lt"/>
            <a:cs typeface="Arial" panose="020B0604020202020204" pitchFamily="34" charset="0"/>
          </a:endParaRPr>
        </a:p>
        <a:p>
          <a:pPr algn="ctr"/>
          <a:endParaRPr sz="1200">
            <a:latin typeface="+mn-lt"/>
            <a:cs typeface="Arial" panose="020B0604020202020204" pitchFamily="34" charset="0"/>
          </a:endParaRPr>
        </a:p>
        <a:p>
          <a:pPr algn="ctr"/>
          <a:endParaRPr sz="1200">
            <a:latin typeface="+mn-lt"/>
            <a:cs typeface="Arial" panose="020B0604020202020204" pitchFamily="34" charset="0"/>
          </a:endParaRPr>
        </a:p>
        <a:p>
          <a:pPr algn="ctr"/>
          <a:r>
            <a:rPr lang="id-ID" sz="1200" b="1" i="0" u="none" strike="noStrike">
              <a:solidFill>
                <a:schemeClr val="dk1"/>
              </a:solidFill>
              <a:effectLst/>
              <a:latin typeface="+mn-lt"/>
              <a:ea typeface="+mn-ea"/>
              <a:cs typeface="Arial" panose="020B0604020202020204" pitchFamily="34" charset="0"/>
            </a:rPr>
            <a:t> ABIA ULLU, S.Sos </a:t>
          </a:r>
          <a:r>
            <a:rPr lang="id-ID" sz="1200">
              <a:latin typeface="+mn-lt"/>
              <a:cs typeface="Arial" panose="020B0604020202020204" pitchFamily="34" charset="0"/>
            </a:rPr>
            <a:t> </a:t>
          </a:r>
        </a:p>
        <a:p>
          <a:pPr algn="ctr"/>
          <a:r>
            <a:rPr lang="id-ID" sz="1200" b="1" i="0" u="none" strike="noStrike">
              <a:solidFill>
                <a:schemeClr val="dk1"/>
              </a:solidFill>
              <a:effectLst/>
              <a:latin typeface="+mn-lt"/>
              <a:ea typeface="+mn-ea"/>
              <a:cs typeface="Arial" panose="020B0604020202020204" pitchFamily="34" charset="0"/>
            </a:rPr>
            <a:t>PEMBINA UTAMA MUDA</a:t>
          </a:r>
          <a:r>
            <a:rPr lang="id-ID" sz="1200">
              <a:latin typeface="+mn-lt"/>
              <a:cs typeface="Arial" panose="020B0604020202020204" pitchFamily="34" charset="0"/>
            </a:rPr>
            <a:t> </a:t>
          </a:r>
          <a:r>
            <a:rPr lang="id-ID" sz="1200" b="1" i="0" u="none" strike="noStrike">
              <a:solidFill>
                <a:schemeClr val="dk1"/>
              </a:solidFill>
              <a:effectLst/>
              <a:latin typeface="+mn-lt"/>
              <a:ea typeface="+mn-ea"/>
              <a:cs typeface="Arial" panose="020B0604020202020204" pitchFamily="34" charset="0"/>
            </a:rPr>
            <a:t> </a:t>
          </a:r>
        </a:p>
        <a:p>
          <a:pPr algn="ctr"/>
          <a:r>
            <a:rPr lang="id-ID" sz="1200" b="1" i="0" u="none" strike="noStrike">
              <a:solidFill>
                <a:schemeClr val="dk1"/>
              </a:solidFill>
              <a:effectLst/>
              <a:latin typeface="+mn-lt"/>
              <a:ea typeface="+mn-ea"/>
              <a:cs typeface="Arial" panose="020B0604020202020204" pitchFamily="34" charset="0"/>
            </a:rPr>
            <a:t>NIP. 19600209 198803 1 011 </a:t>
          </a:r>
          <a:r>
            <a:rPr lang="id-ID" sz="1200">
              <a:latin typeface="+mn-lt"/>
              <a:cs typeface="Arial" panose="020B0604020202020204" pitchFamily="34" charset="0"/>
            </a:rPr>
            <a:t> </a:t>
          </a:r>
          <a:endParaRPr sz="1200">
            <a:latin typeface="+mn-lt"/>
            <a:cs typeface="Arial" panose="020B0604020202020204" pitchFamily="34" charset="0"/>
          </a:endParaRPr>
        </a:p>
      </xdr:txBody>
    </xdr:sp>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55"/>
  <sheetViews>
    <sheetView topLeftCell="A12" zoomScale="90" workbookViewId="0">
      <selection activeCell="C34" sqref="C34"/>
    </sheetView>
  </sheetViews>
  <sheetFormatPr defaultColWidth="9" defaultRowHeight="15" x14ac:dyDescent="0.25"/>
  <cols>
    <col min="1" max="1" width="5.5703125" style="2955" customWidth="1"/>
    <col min="2" max="2" width="32" style="2956" customWidth="1"/>
    <col min="3" max="3" width="22.42578125" style="2957" customWidth="1"/>
    <col min="4" max="4" width="21.42578125" style="2957" customWidth="1"/>
    <col min="5" max="5" width="15.42578125" style="2957" customWidth="1"/>
    <col min="6" max="6" width="20.5703125" style="2956" customWidth="1"/>
    <col min="7" max="7" width="1.140625" style="2956" customWidth="1"/>
    <col min="8" max="8" width="9.140625" style="2956" customWidth="1"/>
    <col min="9" max="9" width="24.42578125" style="2956" customWidth="1"/>
    <col min="10" max="254" width="9.140625" style="2956" customWidth="1"/>
    <col min="255" max="16384" width="9" style="2956"/>
  </cols>
  <sheetData>
    <row r="1" spans="1:9" ht="56.25" customHeight="1" x14ac:dyDescent="0.25"/>
    <row r="2" spans="1:9" ht="12.75" customHeight="1" x14ac:dyDescent="0.2">
      <c r="A2" s="2958"/>
      <c r="B2" s="2959"/>
      <c r="C2" s="2960"/>
      <c r="D2" s="2960"/>
      <c r="E2" s="2960"/>
      <c r="F2" s="2961"/>
    </row>
    <row r="3" spans="1:9" s="2962" customFormat="1" ht="17.25" customHeight="1" x14ac:dyDescent="0.25">
      <c r="A3" s="5681" t="s">
        <v>2407</v>
      </c>
      <c r="B3" s="5682"/>
      <c r="C3" s="5682"/>
      <c r="D3" s="5682"/>
      <c r="E3" s="5682"/>
      <c r="F3" s="5683"/>
    </row>
    <row r="4" spans="1:9" s="2962" customFormat="1" ht="16.5" customHeight="1" x14ac:dyDescent="0.25">
      <c r="A4" s="5681" t="s">
        <v>2408</v>
      </c>
      <c r="B4" s="5682"/>
      <c r="C4" s="5682"/>
      <c r="D4" s="5682"/>
      <c r="E4" s="5682"/>
      <c r="F4" s="5683"/>
    </row>
    <row r="5" spans="1:9" s="2962" customFormat="1" ht="16.5" customHeight="1" x14ac:dyDescent="0.25">
      <c r="A5" s="5681" t="s">
        <v>2415</v>
      </c>
      <c r="B5" s="5682"/>
      <c r="C5" s="5682"/>
      <c r="D5" s="5682"/>
      <c r="E5" s="5682"/>
      <c r="F5" s="5683"/>
    </row>
    <row r="6" spans="1:9" ht="14.25" customHeight="1" x14ac:dyDescent="0.25">
      <c r="A6" s="5684" t="s">
        <v>2416</v>
      </c>
      <c r="B6" s="5685"/>
      <c r="C6" s="5685"/>
      <c r="D6" s="5685"/>
      <c r="E6" s="5685"/>
      <c r="F6" s="5686"/>
    </row>
    <row r="7" spans="1:9" x14ac:dyDescent="0.25">
      <c r="A7" s="5678" t="s">
        <v>2417</v>
      </c>
      <c r="B7" s="5679"/>
      <c r="C7" s="5679"/>
      <c r="D7" s="5679"/>
      <c r="E7" s="5679"/>
      <c r="F7" s="5680" t="s">
        <v>2409</v>
      </c>
    </row>
    <row r="8" spans="1:9" ht="15.75" customHeight="1" x14ac:dyDescent="0.25">
      <c r="A8" s="2963" t="s">
        <v>28</v>
      </c>
      <c r="B8" s="2964"/>
      <c r="C8" s="2964"/>
      <c r="D8" s="2964"/>
      <c r="E8" s="2964"/>
      <c r="F8" s="5680"/>
    </row>
    <row r="9" spans="1:9" ht="5.25" customHeight="1" thickBot="1" x14ac:dyDescent="0.25">
      <c r="A9" s="2965"/>
      <c r="B9" s="2966"/>
      <c r="C9" s="2967"/>
      <c r="D9" s="2967"/>
      <c r="E9" s="2967"/>
      <c r="F9" s="2968"/>
    </row>
    <row r="10" spans="1:9" ht="28.5" customHeight="1" thickBot="1" x14ac:dyDescent="0.3">
      <c r="A10" s="5667" t="s">
        <v>1</v>
      </c>
      <c r="B10" s="5669" t="s">
        <v>2</v>
      </c>
      <c r="C10" s="5671" t="s">
        <v>3</v>
      </c>
      <c r="D10" s="5671"/>
      <c r="E10" s="5671"/>
      <c r="F10" s="5672" t="s">
        <v>4</v>
      </c>
      <c r="G10" s="5364"/>
    </row>
    <row r="11" spans="1:9" ht="27.75" customHeight="1" thickBot="1" x14ac:dyDescent="0.3">
      <c r="A11" s="5667"/>
      <c r="B11" s="5669"/>
      <c r="C11" s="5674" t="s">
        <v>5</v>
      </c>
      <c r="D11" s="5674" t="s">
        <v>6</v>
      </c>
      <c r="E11" s="5676" t="s">
        <v>7</v>
      </c>
      <c r="F11" s="5672"/>
      <c r="G11" s="5364"/>
    </row>
    <row r="12" spans="1:9" s="2969" customFormat="1" ht="34.5" customHeight="1" thickBot="1" x14ac:dyDescent="0.25">
      <c r="A12" s="5668"/>
      <c r="B12" s="5670"/>
      <c r="C12" s="5675"/>
      <c r="D12" s="5675"/>
      <c r="E12" s="5677"/>
      <c r="F12" s="5673"/>
      <c r="G12" s="5365"/>
    </row>
    <row r="13" spans="1:9" ht="20.100000000000001" customHeight="1" thickTop="1" thickBot="1" x14ac:dyDescent="0.3">
      <c r="A13" s="5375" t="s">
        <v>8</v>
      </c>
      <c r="B13" s="2970" t="s">
        <v>9</v>
      </c>
      <c r="C13" s="2971" t="s">
        <v>10</v>
      </c>
      <c r="D13" s="2971" t="s">
        <v>11</v>
      </c>
      <c r="E13" s="2972" t="s">
        <v>2410</v>
      </c>
      <c r="F13" s="5376" t="s">
        <v>13</v>
      </c>
    </row>
    <row r="14" spans="1:9" ht="4.5" customHeight="1" thickTop="1" x14ac:dyDescent="0.2">
      <c r="A14" s="2973"/>
      <c r="B14" s="2974"/>
      <c r="C14" s="2975"/>
      <c r="D14" s="2975"/>
      <c r="E14" s="2975"/>
      <c r="F14" s="2976"/>
    </row>
    <row r="15" spans="1:9" ht="17.100000000000001" customHeight="1" x14ac:dyDescent="0.2">
      <c r="A15" s="5377" t="s">
        <v>14</v>
      </c>
      <c r="B15" s="227" t="s">
        <v>15</v>
      </c>
      <c r="C15" s="234">
        <v>216804373020</v>
      </c>
      <c r="D15" s="234">
        <v>216804373020</v>
      </c>
      <c r="E15" s="2999">
        <v>100</v>
      </c>
      <c r="F15" s="5378"/>
      <c r="I15" s="3728"/>
    </row>
    <row r="16" spans="1:9" ht="17.100000000000001" customHeight="1" x14ac:dyDescent="0.2">
      <c r="A16" s="5387" t="s">
        <v>16</v>
      </c>
      <c r="B16" s="227" t="s">
        <v>17</v>
      </c>
      <c r="C16" s="234">
        <f>SUM(C17:C29)</f>
        <v>1926421190520</v>
      </c>
      <c r="D16" s="234">
        <f>SUM(D17:D29)</f>
        <v>1926421190520</v>
      </c>
      <c r="E16" s="2999">
        <v>100</v>
      </c>
      <c r="F16" s="5378"/>
    </row>
    <row r="17" spans="1:9" ht="17.100000000000001" customHeight="1" x14ac:dyDescent="0.2">
      <c r="A17" s="5387"/>
      <c r="B17" s="194" t="s">
        <v>40</v>
      </c>
      <c r="C17" s="236">
        <v>174750518000</v>
      </c>
      <c r="D17" s="236">
        <v>174750518000</v>
      </c>
      <c r="E17" s="3000">
        <v>100</v>
      </c>
      <c r="F17" s="5378"/>
    </row>
    <row r="18" spans="1:9" ht="17.100000000000001" customHeight="1" x14ac:dyDescent="0.2">
      <c r="A18" s="5387"/>
      <c r="B18" s="194" t="s">
        <v>41</v>
      </c>
      <c r="C18" s="236">
        <v>171334691000</v>
      </c>
      <c r="D18" s="236">
        <v>171334691000</v>
      </c>
      <c r="E18" s="3000">
        <v>100</v>
      </c>
      <c r="F18" s="5378"/>
    </row>
    <row r="19" spans="1:9" ht="17.100000000000001" customHeight="1" x14ac:dyDescent="0.2">
      <c r="A19" s="5387"/>
      <c r="B19" s="194" t="s">
        <v>424</v>
      </c>
      <c r="C19" s="236">
        <v>165387155000</v>
      </c>
      <c r="D19" s="236">
        <v>165387155000</v>
      </c>
      <c r="E19" s="3000">
        <v>100</v>
      </c>
      <c r="F19" s="5378"/>
    </row>
    <row r="20" spans="1:9" ht="17.100000000000001" customHeight="1" x14ac:dyDescent="0.2">
      <c r="A20" s="5387"/>
      <c r="B20" s="194" t="s">
        <v>425</v>
      </c>
      <c r="C20" s="236">
        <v>159498383000</v>
      </c>
      <c r="D20" s="236">
        <v>159498383000</v>
      </c>
      <c r="E20" s="3000">
        <v>100</v>
      </c>
      <c r="F20" s="5378"/>
    </row>
    <row r="21" spans="1:9" ht="17.100000000000001" customHeight="1" x14ac:dyDescent="0.2">
      <c r="A21" s="5387"/>
      <c r="B21" s="194" t="s">
        <v>426</v>
      </c>
      <c r="C21" s="236">
        <v>158622035000</v>
      </c>
      <c r="D21" s="236">
        <v>158622035000</v>
      </c>
      <c r="E21" s="3000">
        <v>100</v>
      </c>
      <c r="F21" s="5379"/>
    </row>
    <row r="22" spans="1:9" ht="17.100000000000001" customHeight="1" x14ac:dyDescent="0.2">
      <c r="A22" s="5387"/>
      <c r="B22" s="194" t="s">
        <v>42</v>
      </c>
      <c r="C22" s="236">
        <v>151090858000</v>
      </c>
      <c r="D22" s="236">
        <v>151090858000</v>
      </c>
      <c r="E22" s="3000">
        <v>100</v>
      </c>
      <c r="F22" s="5379"/>
    </row>
    <row r="23" spans="1:9" ht="17.100000000000001" customHeight="1" x14ac:dyDescent="0.2">
      <c r="A23" s="5387"/>
      <c r="B23" s="194" t="s">
        <v>43</v>
      </c>
      <c r="C23" s="236">
        <v>148459001000</v>
      </c>
      <c r="D23" s="236">
        <v>148459001000</v>
      </c>
      <c r="E23" s="3000">
        <v>100</v>
      </c>
      <c r="F23" s="5379"/>
    </row>
    <row r="24" spans="1:9" ht="17.100000000000001" customHeight="1" x14ac:dyDescent="0.25">
      <c r="A24" s="5388"/>
      <c r="B24" s="161" t="s">
        <v>427</v>
      </c>
      <c r="C24" s="694">
        <v>141822234000</v>
      </c>
      <c r="D24" s="694">
        <v>141822234000</v>
      </c>
      <c r="E24" s="3000">
        <v>100</v>
      </c>
      <c r="F24" s="5379"/>
    </row>
    <row r="25" spans="1:9" ht="17.100000000000001" customHeight="1" x14ac:dyDescent="0.25">
      <c r="A25" s="5388"/>
      <c r="B25" s="161" t="s">
        <v>428</v>
      </c>
      <c r="C25" s="694">
        <v>139409886520</v>
      </c>
      <c r="D25" s="694">
        <v>139409886520</v>
      </c>
      <c r="E25" s="3000">
        <v>100</v>
      </c>
      <c r="F25" s="5379"/>
    </row>
    <row r="26" spans="1:9" ht="17.100000000000001" customHeight="1" x14ac:dyDescent="0.25">
      <c r="A26" s="5388"/>
      <c r="B26" s="161" t="s">
        <v>429</v>
      </c>
      <c r="C26" s="694">
        <v>135982127000</v>
      </c>
      <c r="D26" s="694">
        <v>135982127000</v>
      </c>
      <c r="E26" s="3000">
        <v>100</v>
      </c>
      <c r="F26" s="5379"/>
      <c r="I26" s="3727"/>
    </row>
    <row r="27" spans="1:9" ht="17.100000000000001" customHeight="1" x14ac:dyDescent="0.25">
      <c r="A27" s="5388"/>
      <c r="B27" s="161" t="s">
        <v>430</v>
      </c>
      <c r="C27" s="694">
        <v>133767520000</v>
      </c>
      <c r="D27" s="694">
        <v>133767520000</v>
      </c>
      <c r="E27" s="3000">
        <v>100</v>
      </c>
      <c r="F27" s="5379"/>
    </row>
    <row r="28" spans="1:9" ht="17.100000000000001" customHeight="1" x14ac:dyDescent="0.25">
      <c r="A28" s="5388"/>
      <c r="B28" s="161" t="s">
        <v>431</v>
      </c>
      <c r="C28" s="694">
        <v>123371722000</v>
      </c>
      <c r="D28" s="694">
        <v>123371722000</v>
      </c>
      <c r="E28" s="3000">
        <v>100</v>
      </c>
      <c r="F28" s="5379"/>
      <c r="I28" s="3727"/>
    </row>
    <row r="29" spans="1:9" ht="17.100000000000001" customHeight="1" x14ac:dyDescent="0.25">
      <c r="A29" s="5388"/>
      <c r="B29" s="161" t="s">
        <v>432</v>
      </c>
      <c r="C29" s="694">
        <v>122925060000</v>
      </c>
      <c r="D29" s="694">
        <v>122925060000</v>
      </c>
      <c r="E29" s="3000">
        <v>100</v>
      </c>
      <c r="F29" s="5379"/>
      <c r="I29" s="3727"/>
    </row>
    <row r="30" spans="1:9" ht="17.100000000000001" customHeight="1" x14ac:dyDescent="0.2">
      <c r="A30" s="5387">
        <v>3</v>
      </c>
      <c r="B30" s="227" t="s">
        <v>433</v>
      </c>
      <c r="C30" s="239">
        <v>240893747800</v>
      </c>
      <c r="D30" s="239">
        <v>240893747800</v>
      </c>
      <c r="E30" s="2999">
        <v>100</v>
      </c>
      <c r="F30" s="5379"/>
      <c r="I30" s="3727"/>
    </row>
    <row r="31" spans="1:9" ht="17.100000000000001" customHeight="1" x14ac:dyDescent="0.2">
      <c r="A31" s="5387">
        <v>4</v>
      </c>
      <c r="B31" s="5389" t="s">
        <v>7259</v>
      </c>
      <c r="C31" s="239">
        <v>24818166660</v>
      </c>
      <c r="D31" s="239">
        <v>24818166660</v>
      </c>
      <c r="E31" s="2999">
        <v>100</v>
      </c>
      <c r="F31" s="5379"/>
      <c r="I31" s="3727"/>
    </row>
    <row r="32" spans="1:9" ht="9" customHeight="1" thickBot="1" x14ac:dyDescent="0.25">
      <c r="A32" s="5380"/>
      <c r="B32" s="2977"/>
      <c r="C32" s="2978"/>
      <c r="D32" s="2978"/>
      <c r="E32" s="2978"/>
      <c r="F32" s="5381"/>
      <c r="I32" s="3728"/>
    </row>
    <row r="33" spans="1:7" ht="20.100000000000001" customHeight="1" thickTop="1" thickBot="1" x14ac:dyDescent="0.25">
      <c r="A33" s="5382"/>
      <c r="B33" s="2979" t="s">
        <v>2411</v>
      </c>
      <c r="C33" s="240">
        <f>SUM(C15+C16+C30+C31)</f>
        <v>2408937478000</v>
      </c>
      <c r="D33" s="240">
        <f>SUM(D15+D16+D30+D31)</f>
        <v>2408937478000</v>
      </c>
      <c r="E33" s="3001">
        <v>100</v>
      </c>
      <c r="F33" s="5383"/>
    </row>
    <row r="34" spans="1:7" ht="15" customHeight="1" thickTop="1" x14ac:dyDescent="0.2">
      <c r="A34" s="2980"/>
      <c r="B34" s="2981"/>
      <c r="C34" s="2982"/>
      <c r="D34" s="2982"/>
      <c r="E34" s="2982"/>
      <c r="F34" s="2983"/>
    </row>
    <row r="35" spans="1:7" ht="15" customHeight="1" x14ac:dyDescent="0.2">
      <c r="A35" s="5366"/>
      <c r="B35" s="5367"/>
      <c r="C35" s="5367"/>
      <c r="D35" s="5367"/>
      <c r="E35" s="5367"/>
      <c r="F35" s="2987"/>
    </row>
    <row r="36" spans="1:7" ht="15" customHeight="1" x14ac:dyDescent="0.25">
      <c r="A36" s="5366"/>
      <c r="B36" s="5367"/>
      <c r="C36" s="5367"/>
      <c r="D36" s="5367"/>
      <c r="E36" s="5367"/>
      <c r="F36" s="2989"/>
    </row>
    <row r="37" spans="1:7" ht="15" customHeight="1" x14ac:dyDescent="0.25">
      <c r="A37" s="5366"/>
      <c r="B37" s="5367"/>
      <c r="C37" s="5367"/>
      <c r="D37" s="5367"/>
      <c r="E37" s="5367"/>
      <c r="F37" s="2989"/>
    </row>
    <row r="38" spans="1:7" ht="15" customHeight="1" x14ac:dyDescent="0.25">
      <c r="A38" s="5366"/>
      <c r="B38" s="5367"/>
      <c r="C38" s="5367"/>
      <c r="D38" s="5367"/>
      <c r="E38" s="5367"/>
      <c r="F38" s="2989"/>
    </row>
    <row r="39" spans="1:7" ht="15" customHeight="1" x14ac:dyDescent="0.25">
      <c r="A39" s="5366"/>
      <c r="B39" s="5367"/>
      <c r="C39" s="5367"/>
      <c r="D39" s="5367"/>
      <c r="E39" s="5367"/>
      <c r="F39" s="2991"/>
    </row>
    <row r="40" spans="1:7" ht="15" customHeight="1" x14ac:dyDescent="0.25">
      <c r="A40" s="5366"/>
      <c r="B40" s="5367"/>
      <c r="C40" s="5367"/>
      <c r="D40" s="5367"/>
      <c r="E40" s="5367"/>
      <c r="F40" s="2991"/>
    </row>
    <row r="41" spans="1:7" ht="15" customHeight="1" x14ac:dyDescent="0.25">
      <c r="A41" s="5366"/>
      <c r="B41" s="5367"/>
      <c r="C41" s="5367"/>
      <c r="D41" s="5367"/>
      <c r="E41" s="5367"/>
      <c r="F41" s="2991"/>
    </row>
    <row r="42" spans="1:7" ht="15" customHeight="1" x14ac:dyDescent="0.25">
      <c r="A42" s="5366"/>
      <c r="B42" s="5367"/>
      <c r="C42" s="5367"/>
      <c r="D42" s="5367"/>
      <c r="E42" s="5367"/>
      <c r="F42" s="2995"/>
      <c r="G42" s="2996"/>
    </row>
    <row r="43" spans="1:7" ht="15" customHeight="1" x14ac:dyDescent="0.25">
      <c r="A43" s="5366"/>
      <c r="B43" s="5367"/>
      <c r="C43" s="5367"/>
      <c r="D43" s="5367"/>
      <c r="E43" s="5367"/>
      <c r="F43" s="2997"/>
      <c r="G43" s="2996"/>
    </row>
    <row r="44" spans="1:7" ht="15" customHeight="1" x14ac:dyDescent="0.25">
      <c r="A44" s="5366"/>
      <c r="B44" s="5367"/>
      <c r="C44" s="5367"/>
      <c r="D44" s="5367"/>
      <c r="E44" s="5367"/>
      <c r="F44" s="2998"/>
      <c r="G44" s="2996"/>
    </row>
    <row r="45" spans="1:7" ht="15" customHeight="1" x14ac:dyDescent="0.25">
      <c r="A45" s="5368"/>
      <c r="B45" s="5369"/>
      <c r="C45" s="5369"/>
      <c r="D45" s="5369"/>
      <c r="E45" s="5369"/>
      <c r="F45" s="5370"/>
    </row>
    <row r="46" spans="1:7" ht="20.100000000000001" customHeight="1" x14ac:dyDescent="0.25">
      <c r="A46" s="2984" t="s">
        <v>19</v>
      </c>
      <c r="B46" s="2985"/>
      <c r="C46" s="5262"/>
      <c r="D46" s="2986"/>
      <c r="E46" s="2986"/>
      <c r="F46" s="5370"/>
    </row>
    <row r="47" spans="1:7" ht="20.100000000000001" customHeight="1" x14ac:dyDescent="0.25">
      <c r="A47" s="2988" t="s">
        <v>2412</v>
      </c>
      <c r="B47" s="2986"/>
      <c r="C47" s="5262"/>
      <c r="D47" s="2986"/>
      <c r="E47" s="2986"/>
      <c r="F47" s="5370"/>
    </row>
    <row r="48" spans="1:7" ht="20.100000000000001" customHeight="1" x14ac:dyDescent="0.25">
      <c r="A48" s="2965" t="s">
        <v>383</v>
      </c>
      <c r="B48" s="2986"/>
      <c r="C48" s="2986"/>
      <c r="D48" s="2986"/>
      <c r="E48" s="2986"/>
      <c r="F48" s="5370"/>
    </row>
    <row r="49" spans="1:6" ht="20.100000000000001" customHeight="1" x14ac:dyDescent="0.25">
      <c r="A49" s="2988" t="s">
        <v>384</v>
      </c>
      <c r="B49" s="2986"/>
      <c r="C49" s="2990"/>
      <c r="D49" s="2990"/>
      <c r="E49" s="2990"/>
      <c r="F49" s="5370"/>
    </row>
    <row r="50" spans="1:6" ht="17.25" customHeight="1" x14ac:dyDescent="0.25">
      <c r="A50" s="2965" t="s">
        <v>20</v>
      </c>
      <c r="B50" s="2990"/>
      <c r="C50" s="2990"/>
      <c r="D50" s="2990"/>
      <c r="E50" s="2990"/>
      <c r="F50" s="5371"/>
    </row>
    <row r="51" spans="1:6" ht="18" customHeight="1" x14ac:dyDescent="0.25">
      <c r="A51" s="2965" t="s">
        <v>21</v>
      </c>
      <c r="B51" s="2990"/>
      <c r="C51" s="2990"/>
      <c r="D51" s="2990"/>
      <c r="E51" s="2990"/>
      <c r="F51" s="5372"/>
    </row>
    <row r="52" spans="1:6" ht="20.100000000000001" customHeight="1" x14ac:dyDescent="0.25">
      <c r="A52" s="2992" t="s">
        <v>385</v>
      </c>
      <c r="B52" s="2990"/>
      <c r="C52" s="2993"/>
      <c r="D52" s="2993"/>
      <c r="E52" s="2993"/>
      <c r="F52" s="5371"/>
    </row>
    <row r="53" spans="1:6" x14ac:dyDescent="0.25">
      <c r="A53" s="2992" t="s">
        <v>2413</v>
      </c>
      <c r="B53" s="2993"/>
      <c r="C53" s="2994"/>
      <c r="D53" s="2994"/>
      <c r="E53" s="2994"/>
      <c r="F53" s="5371"/>
    </row>
    <row r="54" spans="1:6" x14ac:dyDescent="0.25">
      <c r="A54" s="2992" t="s">
        <v>2414</v>
      </c>
      <c r="B54" s="2994"/>
      <c r="C54" s="2994"/>
      <c r="D54" s="2994"/>
      <c r="E54" s="2994"/>
      <c r="F54" s="5371"/>
    </row>
    <row r="55" spans="1:6" x14ac:dyDescent="0.25">
      <c r="A55" s="5384" t="s">
        <v>25</v>
      </c>
      <c r="B55" s="5385"/>
      <c r="C55" s="5386"/>
      <c r="D55" s="5373"/>
      <c r="E55" s="5373"/>
      <c r="F55" s="5374"/>
    </row>
  </sheetData>
  <mergeCells count="13">
    <mergeCell ref="A7:E7"/>
    <mergeCell ref="F7:F8"/>
    <mergeCell ref="A3:F3"/>
    <mergeCell ref="A4:F4"/>
    <mergeCell ref="A5:F5"/>
    <mergeCell ref="A6:F6"/>
    <mergeCell ref="A10:A12"/>
    <mergeCell ref="B10:B12"/>
    <mergeCell ref="C10:E10"/>
    <mergeCell ref="F10:F12"/>
    <mergeCell ref="C11:C12"/>
    <mergeCell ref="D11:D12"/>
    <mergeCell ref="E11:E12"/>
  </mergeCells>
  <printOptions horizontalCentered="1"/>
  <pageMargins left="0.7" right="0.7" top="0.75" bottom="0.75" header="0.3" footer="0.3"/>
  <pageSetup paperSize="258"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0000"/>
  </sheetPr>
  <dimension ref="A1:X50"/>
  <sheetViews>
    <sheetView view="pageBreakPreview" topLeftCell="B13" zoomScale="80" zoomScaleNormal="80" workbookViewId="0">
      <selection activeCell="B28" sqref="A28:XFD28"/>
    </sheetView>
  </sheetViews>
  <sheetFormatPr defaultColWidth="8.85546875" defaultRowHeight="20.100000000000001" customHeight="1" x14ac:dyDescent="0.25"/>
  <cols>
    <col min="1" max="1" width="5.42578125" hidden="1" customWidth="1"/>
    <col min="2" max="2" width="6.28515625" style="103" customWidth="1"/>
    <col min="3" max="3" width="37.7109375" customWidth="1"/>
    <col min="4" max="4" width="21.85546875" style="104" customWidth="1"/>
    <col min="5" max="5" width="15.85546875" style="104" customWidth="1"/>
    <col min="6" max="6" width="15" style="104" customWidth="1"/>
    <col min="7" max="7" width="15.42578125" style="104" customWidth="1"/>
    <col min="8" max="8" width="15.140625" style="104" customWidth="1"/>
    <col min="9" max="9" width="16.85546875" style="104" customWidth="1"/>
    <col min="10" max="10" width="18" style="104" customWidth="1"/>
    <col min="11" max="11" width="16.5703125" style="104" customWidth="1"/>
    <col min="12" max="12" width="12.85546875" customWidth="1"/>
    <col min="15" max="15" width="0.140625" customWidth="1"/>
    <col min="16" max="16" width="8.85546875" hidden="1" customWidth="1"/>
    <col min="17" max="17" width="21.140625" customWidth="1"/>
    <col min="18" max="18" width="18.28515625" customWidth="1"/>
    <col min="19" max="19" width="21.140625" customWidth="1"/>
    <col min="21" max="21" width="20.42578125" customWidth="1"/>
    <col min="22" max="22" width="18.7109375" customWidth="1"/>
    <col min="23" max="23" width="24.42578125" customWidth="1"/>
    <col min="24" max="24" width="21.85546875" customWidth="1"/>
  </cols>
  <sheetData>
    <row r="1" spans="2:19" ht="23.25" customHeight="1" x14ac:dyDescent="0.25">
      <c r="B1" s="5691" t="s">
        <v>382</v>
      </c>
      <c r="C1" s="5691"/>
      <c r="D1" s="5691"/>
      <c r="E1" s="5691"/>
      <c r="F1" s="5691"/>
      <c r="G1" s="5691"/>
      <c r="H1" s="5691"/>
      <c r="I1" s="5691"/>
      <c r="J1" s="5691"/>
      <c r="K1" s="5691"/>
      <c r="L1" s="5691"/>
    </row>
    <row r="2" spans="2:19" ht="20.100000000000001" customHeight="1" x14ac:dyDescent="0.25">
      <c r="B2" s="5692" t="s">
        <v>1026</v>
      </c>
      <c r="C2" s="5692"/>
      <c r="D2" s="5692"/>
      <c r="E2" s="5692"/>
      <c r="F2" s="5692"/>
      <c r="G2" s="5692"/>
      <c r="H2" s="5692"/>
      <c r="I2" s="5692"/>
      <c r="J2" s="5692"/>
      <c r="K2" s="5692"/>
      <c r="L2" s="5692"/>
    </row>
    <row r="3" spans="2:19" ht="20.100000000000001" customHeight="1" x14ac:dyDescent="0.25">
      <c r="B3" s="5692" t="s">
        <v>2418</v>
      </c>
      <c r="C3" s="5692"/>
      <c r="D3" s="5692"/>
      <c r="E3" s="5692"/>
      <c r="F3" s="5692"/>
      <c r="G3" s="5692"/>
      <c r="H3" s="5692"/>
      <c r="I3" s="5692"/>
      <c r="J3" s="5692"/>
      <c r="K3" s="5692"/>
      <c r="L3" s="5692"/>
    </row>
    <row r="4" spans="2:19" ht="12.75" customHeight="1" x14ac:dyDescent="0.25"/>
    <row r="5" spans="2:19" ht="15" x14ac:dyDescent="0.25">
      <c r="B5" s="5694" t="s">
        <v>29</v>
      </c>
      <c r="C5" s="5694"/>
      <c r="D5" s="5694"/>
      <c r="E5" s="5694"/>
      <c r="F5" s="5694"/>
      <c r="G5" s="5694"/>
      <c r="H5" s="5694"/>
      <c r="I5" s="5694"/>
      <c r="J5" s="5694"/>
      <c r="K5" s="5694"/>
      <c r="L5" s="5694"/>
    </row>
    <row r="6" spans="2:19" ht="20.25" x14ac:dyDescent="0.3">
      <c r="B6" s="5695" t="s">
        <v>2419</v>
      </c>
      <c r="C6" s="5694"/>
      <c r="D6" s="5694"/>
      <c r="E6" s="5694"/>
      <c r="F6" s="5694"/>
      <c r="G6" s="108"/>
      <c r="H6" s="108"/>
      <c r="I6" s="108"/>
      <c r="J6" s="108"/>
      <c r="K6" s="108"/>
      <c r="L6" s="277" t="s">
        <v>27</v>
      </c>
    </row>
    <row r="7" spans="2:19" ht="15" x14ac:dyDescent="0.25">
      <c r="B7" s="5693" t="s">
        <v>28</v>
      </c>
      <c r="C7" s="5693"/>
      <c r="D7" s="5693"/>
      <c r="E7" s="5693"/>
      <c r="F7" s="5693"/>
      <c r="G7" s="5693"/>
      <c r="H7" s="5693"/>
      <c r="I7" s="5693"/>
      <c r="J7" s="5693"/>
      <c r="K7" s="5693"/>
      <c r="L7" s="5693"/>
    </row>
    <row r="8" spans="2:19" s="2921" customFormat="1" ht="11.25" customHeight="1" thickBot="1" x14ac:dyDescent="0.3">
      <c r="B8" s="2920"/>
      <c r="C8" s="2920"/>
      <c r="D8" s="2920"/>
      <c r="E8" s="2920"/>
      <c r="F8" s="2920"/>
      <c r="G8" s="2920"/>
      <c r="H8" s="2920"/>
      <c r="I8" s="2920"/>
      <c r="J8" s="2920"/>
      <c r="K8" s="2920"/>
      <c r="L8" s="2920"/>
    </row>
    <row r="9" spans="2:19" ht="16.5" thickTop="1" thickBot="1" x14ac:dyDescent="0.3">
      <c r="B9" s="5702" t="s">
        <v>1</v>
      </c>
      <c r="C9" s="5702" t="s">
        <v>2</v>
      </c>
      <c r="D9" s="5710" t="s">
        <v>3</v>
      </c>
      <c r="E9" s="5711"/>
      <c r="F9" s="5699" t="s">
        <v>30</v>
      </c>
      <c r="G9" s="5700"/>
      <c r="H9" s="5701"/>
      <c r="I9" s="5699" t="s">
        <v>31</v>
      </c>
      <c r="J9" s="5700"/>
      <c r="K9" s="5701"/>
      <c r="L9" s="5696" t="s">
        <v>423</v>
      </c>
      <c r="M9" s="303"/>
    </row>
    <row r="10" spans="2:19" ht="21.75" customHeight="1" x14ac:dyDescent="0.25">
      <c r="B10" s="5703"/>
      <c r="C10" s="5703"/>
      <c r="D10" s="5705" t="s">
        <v>2420</v>
      </c>
      <c r="E10" s="5706"/>
      <c r="F10" s="5707" t="s">
        <v>2421</v>
      </c>
      <c r="G10" s="5708"/>
      <c r="H10" s="5709"/>
      <c r="I10" s="5707" t="s">
        <v>2422</v>
      </c>
      <c r="J10" s="5708"/>
      <c r="K10" s="5709"/>
      <c r="L10" s="5697"/>
      <c r="M10" s="303"/>
    </row>
    <row r="11" spans="2:19" s="1" customFormat="1" ht="63" customHeight="1" x14ac:dyDescent="0.2">
      <c r="B11" s="5703"/>
      <c r="C11" s="5703"/>
      <c r="D11" s="5689" t="s">
        <v>5</v>
      </c>
      <c r="E11" s="5689" t="s">
        <v>32</v>
      </c>
      <c r="F11" s="5689" t="s">
        <v>33</v>
      </c>
      <c r="G11" s="5689" t="s">
        <v>34</v>
      </c>
      <c r="H11" s="5689" t="s">
        <v>7</v>
      </c>
      <c r="I11" s="5689" t="s">
        <v>33</v>
      </c>
      <c r="J11" s="5689" t="s">
        <v>34</v>
      </c>
      <c r="K11" s="5689" t="s">
        <v>7</v>
      </c>
      <c r="L11" s="5697"/>
      <c r="M11" s="3"/>
    </row>
    <row r="12" spans="2:19" s="1" customFormat="1" ht="9.75" customHeight="1" x14ac:dyDescent="0.2">
      <c r="B12" s="5704"/>
      <c r="C12" s="5704"/>
      <c r="D12" s="5690"/>
      <c r="E12" s="5690"/>
      <c r="F12" s="5690"/>
      <c r="G12" s="5690"/>
      <c r="H12" s="5690"/>
      <c r="I12" s="5690"/>
      <c r="J12" s="5690"/>
      <c r="K12" s="5690"/>
      <c r="L12" s="5698"/>
      <c r="M12" s="3"/>
    </row>
    <row r="13" spans="2:19" ht="20.100000000000001" customHeight="1" x14ac:dyDescent="0.25">
      <c r="B13" s="284" t="s">
        <v>8</v>
      </c>
      <c r="C13" s="243" t="s">
        <v>9</v>
      </c>
      <c r="D13" s="247" t="s">
        <v>10</v>
      </c>
      <c r="E13" s="247" t="s">
        <v>11</v>
      </c>
      <c r="F13" s="247" t="s">
        <v>12</v>
      </c>
      <c r="G13" s="247" t="s">
        <v>13</v>
      </c>
      <c r="H13" s="247" t="s">
        <v>35</v>
      </c>
      <c r="I13" s="247" t="s">
        <v>36</v>
      </c>
      <c r="J13" s="247" t="s">
        <v>37</v>
      </c>
      <c r="K13" s="247" t="s">
        <v>38</v>
      </c>
      <c r="L13" s="259" t="s">
        <v>39</v>
      </c>
      <c r="Q13" s="267"/>
      <c r="R13" s="267"/>
      <c r="S13" s="267"/>
    </row>
    <row r="14" spans="2:19" ht="4.5" customHeight="1" x14ac:dyDescent="0.25">
      <c r="B14" s="285"/>
      <c r="C14" s="191"/>
      <c r="D14" s="192"/>
      <c r="E14" s="192"/>
      <c r="F14" s="192"/>
      <c r="G14" s="192"/>
      <c r="H14" s="192"/>
      <c r="I14" s="192"/>
      <c r="J14" s="192"/>
      <c r="K14" s="192"/>
      <c r="L14" s="293"/>
      <c r="Q14" s="267"/>
      <c r="R14" s="267"/>
      <c r="S14" s="267"/>
    </row>
    <row r="15" spans="2:19" ht="17.100000000000001" customHeight="1" x14ac:dyDescent="0.25">
      <c r="B15" s="5059" t="s">
        <v>196</v>
      </c>
      <c r="C15" s="227" t="s">
        <v>15</v>
      </c>
      <c r="D15" s="5062">
        <f>225651734640+25072414960</f>
        <v>250724149600</v>
      </c>
      <c r="E15" s="5062">
        <f>SUM(D15/2507241496000*100)</f>
        <v>10</v>
      </c>
      <c r="F15" s="234"/>
      <c r="G15" s="235"/>
      <c r="H15" s="297"/>
      <c r="I15" s="235"/>
      <c r="J15" s="235"/>
      <c r="K15" s="297"/>
      <c r="L15" s="195"/>
      <c r="Q15" s="267"/>
      <c r="R15" s="267"/>
      <c r="S15" s="267"/>
    </row>
    <row r="16" spans="2:19" ht="17.100000000000001" customHeight="1" x14ac:dyDescent="0.25">
      <c r="B16" s="5059" t="s">
        <v>7109</v>
      </c>
      <c r="C16" s="229" t="s">
        <v>17</v>
      </c>
      <c r="D16" s="5062">
        <f>SUM(D17:D29)</f>
        <v>1980975030140</v>
      </c>
      <c r="E16" s="5062">
        <f>SUM(D16/2507241496000*100)</f>
        <v>79.010140558873388</v>
      </c>
      <c r="F16" s="234"/>
      <c r="G16" s="235"/>
      <c r="H16" s="297"/>
      <c r="I16" s="235"/>
      <c r="J16" s="235"/>
      <c r="K16" s="297"/>
      <c r="L16" s="195"/>
      <c r="Q16" s="267">
        <f>0.3*F16</f>
        <v>0</v>
      </c>
      <c r="R16" s="267">
        <f>0.45*F16</f>
        <v>0</v>
      </c>
      <c r="S16" s="267">
        <f>0.25*F16</f>
        <v>0</v>
      </c>
    </row>
    <row r="17" spans="2:24" ht="17.100000000000001" customHeight="1" x14ac:dyDescent="0.25">
      <c r="B17" s="286"/>
      <c r="C17" s="4616" t="s">
        <v>40</v>
      </c>
      <c r="D17" s="5063">
        <v>183431447000</v>
      </c>
      <c r="E17" s="5068">
        <f>SUM(D17/2507241496000*100)</f>
        <v>7.3160661744248667</v>
      </c>
      <c r="F17" s="236"/>
      <c r="G17" s="496">
        <f t="shared" ref="G17:G29" si="0">SUM(F17*30%)</f>
        <v>0</v>
      </c>
      <c r="H17" s="736"/>
      <c r="I17" s="195"/>
      <c r="J17" s="496">
        <f>SUM(I17*45%)</f>
        <v>0</v>
      </c>
      <c r="K17" s="736"/>
      <c r="L17" s="195"/>
      <c r="Q17" s="267">
        <f>0.3*F17</f>
        <v>0</v>
      </c>
      <c r="R17" s="267">
        <f>0.45*F17</f>
        <v>0</v>
      </c>
      <c r="S17" s="267">
        <f>0.25*F17</f>
        <v>0</v>
      </c>
      <c r="U17" s="607">
        <v>52425155400</v>
      </c>
      <c r="V17" s="607">
        <v>78637733100</v>
      </c>
      <c r="W17" s="604">
        <f>SUM(U17:V17)</f>
        <v>131062888500</v>
      </c>
      <c r="X17" s="604">
        <f>SUM(W17*70%)</f>
        <v>91744021950</v>
      </c>
    </row>
    <row r="18" spans="2:24" ht="17.100000000000001" customHeight="1" x14ac:dyDescent="0.25">
      <c r="B18" s="286"/>
      <c r="C18" s="4616" t="s">
        <v>41</v>
      </c>
      <c r="D18" s="5063">
        <v>178986879000</v>
      </c>
      <c r="E18" s="5068">
        <f>SUM(D18/2507241496000*100)</f>
        <v>7.1387969322281837</v>
      </c>
      <c r="F18" s="236"/>
      <c r="G18" s="496">
        <f t="shared" si="0"/>
        <v>0</v>
      </c>
      <c r="H18" s="736"/>
      <c r="I18" s="195"/>
      <c r="J18" s="496">
        <f>SUM(I18*45%)</f>
        <v>0</v>
      </c>
      <c r="K18" s="736"/>
      <c r="L18" s="195"/>
      <c r="Q18" s="267">
        <f t="shared" ref="Q18:Q30" si="1">0.3*F18</f>
        <v>0</v>
      </c>
      <c r="R18" s="267">
        <f t="shared" ref="R18:R30" si="2">0.45*F18</f>
        <v>0</v>
      </c>
      <c r="S18" s="267">
        <f t="shared" ref="S18:S30" si="3">0.25*F18</f>
        <v>0</v>
      </c>
    </row>
    <row r="19" spans="2:24" ht="17.100000000000001" customHeight="1" x14ac:dyDescent="0.25">
      <c r="B19" s="286"/>
      <c r="C19" s="4616" t="s">
        <v>424</v>
      </c>
      <c r="D19" s="5063">
        <v>165355445000</v>
      </c>
      <c r="E19" s="5068">
        <f t="shared" ref="E19:E29" si="4">SUM(D19/2507241496000*100)</f>
        <v>6.5951144021748442</v>
      </c>
      <c r="F19" s="236"/>
      <c r="G19" s="496">
        <f t="shared" si="0"/>
        <v>0</v>
      </c>
      <c r="H19" s="736"/>
      <c r="I19" s="195"/>
      <c r="J19" s="496">
        <f>SUM(I19*45%)</f>
        <v>0</v>
      </c>
      <c r="K19" s="736"/>
      <c r="L19" s="195"/>
      <c r="Q19" s="267">
        <f t="shared" si="1"/>
        <v>0</v>
      </c>
      <c r="R19" s="267">
        <f t="shared" si="2"/>
        <v>0</v>
      </c>
      <c r="S19" s="267">
        <f t="shared" si="3"/>
        <v>0</v>
      </c>
    </row>
    <row r="20" spans="2:24" ht="17.100000000000001" customHeight="1" x14ac:dyDescent="0.25">
      <c r="B20" s="287"/>
      <c r="C20" s="4617" t="s">
        <v>6962</v>
      </c>
      <c r="D20" s="5064">
        <v>164852857000</v>
      </c>
      <c r="E20" s="5068">
        <f t="shared" si="4"/>
        <v>6.5750689458116724</v>
      </c>
      <c r="F20" s="237"/>
      <c r="G20" s="496">
        <f t="shared" si="0"/>
        <v>0</v>
      </c>
      <c r="H20" s="736"/>
      <c r="I20" s="195"/>
      <c r="J20" s="496">
        <f t="shared" ref="J20:J25" si="5">SUM(I20*45%)</f>
        <v>0</v>
      </c>
      <c r="K20" s="736"/>
      <c r="L20" s="195"/>
      <c r="Q20" s="267">
        <f t="shared" si="1"/>
        <v>0</v>
      </c>
      <c r="R20" s="267">
        <f t="shared" si="2"/>
        <v>0</v>
      </c>
      <c r="S20" s="267">
        <f t="shared" si="3"/>
        <v>0</v>
      </c>
    </row>
    <row r="21" spans="2:24" ht="17.100000000000001" customHeight="1" x14ac:dyDescent="0.25">
      <c r="B21" s="286"/>
      <c r="C21" s="4618" t="s">
        <v>6963</v>
      </c>
      <c r="D21" s="5064">
        <v>164029053000</v>
      </c>
      <c r="E21" s="5068">
        <f t="shared" si="4"/>
        <v>6.5422119593062131</v>
      </c>
      <c r="F21" s="237"/>
      <c r="G21" s="496">
        <f t="shared" si="0"/>
        <v>0</v>
      </c>
      <c r="H21" s="736"/>
      <c r="I21" s="195"/>
      <c r="J21" s="496">
        <f t="shared" si="5"/>
        <v>0</v>
      </c>
      <c r="K21" s="736"/>
      <c r="L21" s="195"/>
      <c r="Q21" s="267">
        <f t="shared" si="1"/>
        <v>0</v>
      </c>
      <c r="R21" s="267">
        <f t="shared" si="2"/>
        <v>0</v>
      </c>
      <c r="S21" s="267">
        <f t="shared" si="3"/>
        <v>0</v>
      </c>
    </row>
    <row r="22" spans="2:24" ht="16.5" customHeight="1" x14ac:dyDescent="0.25">
      <c r="B22" s="286"/>
      <c r="C22" s="4618" t="s">
        <v>42</v>
      </c>
      <c r="D22" s="5064">
        <v>153448669000</v>
      </c>
      <c r="E22" s="5068">
        <f t="shared" si="4"/>
        <v>6.1202189436003174</v>
      </c>
      <c r="F22" s="237"/>
      <c r="G22" s="496">
        <f t="shared" si="0"/>
        <v>0</v>
      </c>
      <c r="H22" s="736"/>
      <c r="I22" s="195"/>
      <c r="J22" s="496">
        <f t="shared" si="5"/>
        <v>0</v>
      </c>
      <c r="K22" s="736"/>
      <c r="L22" s="195"/>
      <c r="Q22" s="267">
        <f t="shared" si="1"/>
        <v>0</v>
      </c>
      <c r="R22" s="267">
        <f t="shared" si="2"/>
        <v>0</v>
      </c>
      <c r="S22" s="267">
        <f t="shared" si="3"/>
        <v>0</v>
      </c>
    </row>
    <row r="23" spans="2:24" ht="17.100000000000001" customHeight="1" x14ac:dyDescent="0.25">
      <c r="B23" s="286"/>
      <c r="C23" s="4618" t="s">
        <v>43</v>
      </c>
      <c r="D23" s="5064">
        <v>147784925000</v>
      </c>
      <c r="E23" s="5068">
        <f t="shared" si="4"/>
        <v>5.8943235119462143</v>
      </c>
      <c r="F23" s="237"/>
      <c r="G23" s="496">
        <f t="shared" si="0"/>
        <v>0</v>
      </c>
      <c r="H23" s="736"/>
      <c r="I23" s="195"/>
      <c r="J23" s="496">
        <f t="shared" si="5"/>
        <v>0</v>
      </c>
      <c r="K23" s="736"/>
      <c r="L23" s="195"/>
      <c r="Q23" s="267">
        <f t="shared" si="1"/>
        <v>0</v>
      </c>
      <c r="R23" s="267">
        <f t="shared" si="2"/>
        <v>0</v>
      </c>
      <c r="S23" s="267">
        <f t="shared" si="3"/>
        <v>0</v>
      </c>
    </row>
    <row r="24" spans="2:24" ht="17.100000000000001" customHeight="1" x14ac:dyDescent="0.25">
      <c r="B24" s="288"/>
      <c r="C24" s="4107" t="s">
        <v>427</v>
      </c>
      <c r="D24" s="5061">
        <v>146478382000</v>
      </c>
      <c r="E24" s="5068">
        <f t="shared" si="4"/>
        <v>5.8422127359366263</v>
      </c>
      <c r="F24" s="238"/>
      <c r="G24" s="496">
        <f t="shared" si="0"/>
        <v>0</v>
      </c>
      <c r="H24" s="736"/>
      <c r="I24" s="195"/>
      <c r="J24" s="496">
        <f t="shared" si="5"/>
        <v>0</v>
      </c>
      <c r="K24" s="736"/>
      <c r="L24" s="195"/>
      <c r="M24" s="291"/>
      <c r="N24" s="215"/>
      <c r="Q24" s="267">
        <f t="shared" si="1"/>
        <v>0</v>
      </c>
      <c r="R24" s="267">
        <f t="shared" si="2"/>
        <v>0</v>
      </c>
      <c r="S24" s="267">
        <f t="shared" si="3"/>
        <v>0</v>
      </c>
    </row>
    <row r="25" spans="2:24" ht="17.100000000000001" customHeight="1" x14ac:dyDescent="0.25">
      <c r="B25" s="288"/>
      <c r="C25" s="4107" t="s">
        <v>7094</v>
      </c>
      <c r="D25" s="5061">
        <v>144432461000</v>
      </c>
      <c r="E25" s="5068">
        <f t="shared" si="4"/>
        <v>5.7606122597454013</v>
      </c>
      <c r="F25" s="238"/>
      <c r="G25" s="496">
        <f t="shared" si="0"/>
        <v>0</v>
      </c>
      <c r="H25" s="736"/>
      <c r="I25" s="195"/>
      <c r="J25" s="496">
        <f t="shared" si="5"/>
        <v>0</v>
      </c>
      <c r="K25" s="736"/>
      <c r="L25" s="195"/>
      <c r="M25" s="291"/>
      <c r="N25" s="215"/>
      <c r="Q25" s="267">
        <f t="shared" si="1"/>
        <v>0</v>
      </c>
      <c r="R25" s="267">
        <f t="shared" si="2"/>
        <v>0</v>
      </c>
      <c r="S25" s="267">
        <f>0.25*F25</f>
        <v>0</v>
      </c>
    </row>
    <row r="26" spans="2:24" ht="17.100000000000001" customHeight="1" x14ac:dyDescent="0.25">
      <c r="B26" s="288"/>
      <c r="C26" s="4107" t="s">
        <v>6965</v>
      </c>
      <c r="D26" s="5061">
        <v>138203382000</v>
      </c>
      <c r="E26" s="5068">
        <f t="shared" si="4"/>
        <v>5.5121687408447393</v>
      </c>
      <c r="F26" s="238"/>
      <c r="G26" s="496">
        <f t="shared" si="0"/>
        <v>0</v>
      </c>
      <c r="H26" s="736"/>
      <c r="I26" s="195"/>
      <c r="J26" s="496">
        <f>SUM(I26*45%)</f>
        <v>0</v>
      </c>
      <c r="K26" s="736"/>
      <c r="L26" s="195"/>
      <c r="M26" s="291"/>
      <c r="N26" s="215"/>
      <c r="Q26" s="267">
        <f t="shared" si="1"/>
        <v>0</v>
      </c>
      <c r="R26" s="267">
        <f t="shared" si="2"/>
        <v>0</v>
      </c>
      <c r="S26" s="267">
        <f t="shared" si="3"/>
        <v>0</v>
      </c>
    </row>
    <row r="27" spans="2:24" ht="17.100000000000001" customHeight="1" x14ac:dyDescent="0.25">
      <c r="B27" s="289"/>
      <c r="C27" s="677" t="s">
        <v>6966</v>
      </c>
      <c r="D27" s="5061">
        <v>137286690000</v>
      </c>
      <c r="E27" s="5068">
        <f t="shared" si="4"/>
        <v>5.475606965624344</v>
      </c>
      <c r="F27" s="238"/>
      <c r="G27" s="496">
        <f t="shared" si="0"/>
        <v>0</v>
      </c>
      <c r="H27" s="736"/>
      <c r="I27" s="195"/>
      <c r="J27" s="496">
        <f>SUM(I27*45%)</f>
        <v>0</v>
      </c>
      <c r="K27" s="736"/>
      <c r="L27" s="195"/>
      <c r="M27" s="291"/>
      <c r="N27" s="215"/>
      <c r="Q27" s="267">
        <f t="shared" si="1"/>
        <v>0</v>
      </c>
      <c r="R27" s="267">
        <f t="shared" si="2"/>
        <v>0</v>
      </c>
      <c r="S27" s="267">
        <f t="shared" si="3"/>
        <v>0</v>
      </c>
    </row>
    <row r="28" spans="2:24" ht="17.100000000000001" customHeight="1" x14ac:dyDescent="0.25">
      <c r="B28" s="289"/>
      <c r="C28" s="677" t="s">
        <v>431</v>
      </c>
      <c r="D28" s="5061">
        <v>128915048140</v>
      </c>
      <c r="E28" s="5068">
        <f t="shared" si="4"/>
        <v>5.1417084610983164</v>
      </c>
      <c r="F28" s="238"/>
      <c r="G28" s="496">
        <f t="shared" si="0"/>
        <v>0</v>
      </c>
      <c r="H28" s="736"/>
      <c r="I28" s="195"/>
      <c r="J28" s="496">
        <f>SUM(I28*45%)</f>
        <v>0</v>
      </c>
      <c r="K28" s="736"/>
      <c r="L28" s="195"/>
      <c r="M28" s="291"/>
      <c r="N28" s="215"/>
      <c r="Q28" s="267">
        <f t="shared" si="1"/>
        <v>0</v>
      </c>
      <c r="R28" s="267">
        <f t="shared" si="2"/>
        <v>0</v>
      </c>
      <c r="S28" s="267">
        <f t="shared" si="3"/>
        <v>0</v>
      </c>
    </row>
    <row r="29" spans="2:24" ht="17.100000000000001" customHeight="1" x14ac:dyDescent="0.25">
      <c r="B29" s="289"/>
      <c r="C29" s="677" t="s">
        <v>432</v>
      </c>
      <c r="D29" s="5061">
        <v>127769792000</v>
      </c>
      <c r="E29" s="5068">
        <f t="shared" si="4"/>
        <v>5.0960305261316554</v>
      </c>
      <c r="F29" s="238"/>
      <c r="G29" s="496">
        <f t="shared" si="0"/>
        <v>0</v>
      </c>
      <c r="H29" s="736"/>
      <c r="I29" s="87"/>
      <c r="J29" s="496">
        <f>SUM(I29*45%)</f>
        <v>0</v>
      </c>
      <c r="K29" s="736"/>
      <c r="L29" s="87"/>
      <c r="M29" s="292"/>
      <c r="N29" s="216"/>
      <c r="Q29" s="267">
        <f t="shared" si="1"/>
        <v>0</v>
      </c>
      <c r="R29" s="267">
        <f t="shared" si="2"/>
        <v>0</v>
      </c>
      <c r="S29" s="267">
        <f t="shared" si="3"/>
        <v>0</v>
      </c>
    </row>
    <row r="30" spans="2:24" ht="17.100000000000001" customHeight="1" x14ac:dyDescent="0.25">
      <c r="B30" s="5025" t="s">
        <v>7110</v>
      </c>
      <c r="C30" s="227" t="s">
        <v>433</v>
      </c>
      <c r="D30" s="5065">
        <v>250724149600</v>
      </c>
      <c r="E30" s="5062">
        <f>SUM(D30/2507241496000*100)</f>
        <v>10</v>
      </c>
      <c r="F30" s="239"/>
      <c r="G30" s="235"/>
      <c r="H30" s="297"/>
      <c r="I30" s="89"/>
      <c r="J30" s="235"/>
      <c r="K30" s="297"/>
      <c r="L30" s="87"/>
      <c r="Q30" s="267">
        <f t="shared" si="1"/>
        <v>0</v>
      </c>
      <c r="R30" s="267">
        <f t="shared" si="2"/>
        <v>0</v>
      </c>
      <c r="S30" s="267">
        <f t="shared" si="3"/>
        <v>0</v>
      </c>
    </row>
    <row r="31" spans="2:24" ht="17.100000000000001" customHeight="1" thickBot="1" x14ac:dyDescent="0.3">
      <c r="B31" s="5060" t="s">
        <v>7111</v>
      </c>
      <c r="C31" s="309" t="s">
        <v>434</v>
      </c>
      <c r="D31" s="5066">
        <v>24818166660</v>
      </c>
      <c r="E31" s="5062">
        <f>SUM(D31/2507241496000*100)</f>
        <v>0.98985944112660773</v>
      </c>
      <c r="F31" s="310"/>
      <c r="G31" s="235"/>
      <c r="H31" s="297"/>
      <c r="I31" s="1223"/>
      <c r="J31" s="235"/>
      <c r="K31" s="1224"/>
      <c r="L31" s="93"/>
      <c r="Q31" s="267"/>
      <c r="R31" s="267"/>
      <c r="S31" s="267"/>
    </row>
    <row r="32" spans="2:24" ht="17.100000000000001" customHeight="1" thickTop="1" thickBot="1" x14ac:dyDescent="0.3">
      <c r="B32" s="290"/>
      <c r="C32" s="199" t="s">
        <v>18</v>
      </c>
      <c r="D32" s="5067">
        <f>SUM(D15+D16+D30+D31)</f>
        <v>2507241496000</v>
      </c>
      <c r="E32" s="240">
        <f>SUM(E15+E16+E30+E31)</f>
        <v>100</v>
      </c>
      <c r="F32" s="240">
        <f>SUM(F15+F16+F30+F31)</f>
        <v>0</v>
      </c>
      <c r="G32" s="241">
        <f>SUM(G15+G16+G30+G31)</f>
        <v>0</v>
      </c>
      <c r="H32" s="298"/>
      <c r="I32" s="241"/>
      <c r="J32" s="241">
        <f>SUM(J15+J16+J30)</f>
        <v>0</v>
      </c>
      <c r="K32" s="298"/>
      <c r="L32" s="200"/>
      <c r="Q32" s="267"/>
      <c r="R32" s="267"/>
      <c r="S32" s="267"/>
    </row>
    <row r="33" spans="2:19" ht="12.75" customHeight="1" thickTop="1" x14ac:dyDescent="0.25">
      <c r="B33" s="294"/>
      <c r="C33" s="295"/>
      <c r="D33" s="296"/>
      <c r="E33" s="296"/>
      <c r="F33" s="296"/>
      <c r="G33" s="296"/>
      <c r="H33" s="296"/>
      <c r="I33" s="296"/>
      <c r="J33" s="296"/>
      <c r="K33" s="296"/>
      <c r="L33" s="296"/>
      <c r="Q33" s="267"/>
      <c r="R33" s="267"/>
      <c r="S33" s="267"/>
    </row>
    <row r="34" spans="2:19" ht="15.75" customHeight="1" x14ac:dyDescent="0.25">
      <c r="B34" s="273"/>
      <c r="C34" s="273"/>
      <c r="D34" s="1128"/>
      <c r="E34" s="225"/>
      <c r="F34" s="225"/>
      <c r="G34" s="225"/>
      <c r="H34" s="283"/>
      <c r="I34" s="5687" t="s">
        <v>7106</v>
      </c>
      <c r="J34" s="5687"/>
      <c r="K34" s="5687"/>
      <c r="L34" s="225"/>
    </row>
    <row r="35" spans="2:19" ht="21.75" customHeight="1" x14ac:dyDescent="0.25">
      <c r="B35" s="231"/>
      <c r="C35" s="231"/>
      <c r="D35" s="5265"/>
      <c r="E35" s="59"/>
      <c r="F35" s="59"/>
      <c r="G35" s="59"/>
      <c r="H35" s="283"/>
      <c r="I35" s="5688" t="s">
        <v>2069</v>
      </c>
      <c r="J35" s="5688"/>
      <c r="K35" s="5688"/>
      <c r="L35" s="59"/>
      <c r="M35" s="219"/>
    </row>
    <row r="36" spans="2:19" ht="14.1" customHeight="1" x14ac:dyDescent="0.25">
      <c r="B36" s="231"/>
      <c r="C36" s="233"/>
      <c r="D36" s="742"/>
      <c r="E36" s="226"/>
      <c r="F36" s="226"/>
      <c r="G36" s="226"/>
      <c r="H36" s="283"/>
      <c r="I36" s="5688" t="s">
        <v>2067</v>
      </c>
      <c r="J36" s="5688"/>
      <c r="K36" s="5688"/>
      <c r="M36" s="219"/>
      <c r="Q36" s="234">
        <v>216804373020</v>
      </c>
    </row>
    <row r="37" spans="2:19" ht="14.1" customHeight="1" x14ac:dyDescent="0.25">
      <c r="B37" s="231"/>
      <c r="C37" s="233"/>
      <c r="D37" s="226"/>
      <c r="E37" s="226"/>
      <c r="F37" s="226"/>
      <c r="G37" s="226"/>
      <c r="H37" s="283"/>
      <c r="I37" s="590"/>
      <c r="J37" s="590"/>
      <c r="M37" s="219"/>
      <c r="Q37" s="239">
        <v>240893747800</v>
      </c>
    </row>
    <row r="38" spans="2:19" ht="14.1" customHeight="1" x14ac:dyDescent="0.25">
      <c r="B38" s="231"/>
      <c r="C38" s="233"/>
      <c r="D38" s="228"/>
      <c r="E38" s="228"/>
      <c r="F38" s="228"/>
      <c r="G38" s="228"/>
      <c r="H38" s="283"/>
      <c r="I38" s="590"/>
      <c r="J38" s="590"/>
      <c r="M38" s="219"/>
      <c r="Q38" s="604">
        <f>SUM(Q36:Q37)</f>
        <v>457698120820</v>
      </c>
    </row>
    <row r="39" spans="2:19" ht="14.1" customHeight="1" x14ac:dyDescent="0.25">
      <c r="B39" s="231"/>
      <c r="C39" s="231"/>
      <c r="D39" s="59"/>
      <c r="E39" s="59"/>
      <c r="F39" s="59"/>
      <c r="G39" s="59"/>
      <c r="H39" s="283"/>
      <c r="I39" s="596"/>
      <c r="J39" s="596"/>
      <c r="M39" s="219"/>
    </row>
    <row r="40" spans="2:19" ht="14.1" customHeight="1" x14ac:dyDescent="0.25">
      <c r="B40" s="231"/>
      <c r="C40" s="233"/>
      <c r="D40" s="228"/>
      <c r="E40" s="228"/>
      <c r="F40" s="228"/>
      <c r="G40" s="228"/>
      <c r="H40" s="283"/>
      <c r="I40" s="226"/>
      <c r="J40" s="5390" t="s">
        <v>2070</v>
      </c>
      <c r="K40" s="600"/>
      <c r="M40" s="219"/>
    </row>
    <row r="41" spans="2:19" ht="14.25" customHeight="1" x14ac:dyDescent="0.25">
      <c r="B41" s="231"/>
      <c r="C41" s="231"/>
      <c r="D41" s="59"/>
      <c r="E41" s="59"/>
      <c r="F41" s="59"/>
      <c r="G41" s="59"/>
      <c r="H41" s="283"/>
      <c r="I41" s="226"/>
      <c r="J41" s="601" t="s">
        <v>2071</v>
      </c>
      <c r="K41" s="601"/>
      <c r="M41" s="219"/>
    </row>
    <row r="42" spans="2:19" ht="18" customHeight="1" x14ac:dyDescent="0.25">
      <c r="B42" s="231"/>
      <c r="C42" s="308"/>
      <c r="H42" s="283"/>
      <c r="J42" s="599" t="s">
        <v>2072</v>
      </c>
      <c r="K42" s="210"/>
    </row>
    <row r="43" spans="2:19" ht="20.100000000000001" customHeight="1" x14ac:dyDescent="0.25">
      <c r="B43" s="209"/>
      <c r="C43" s="210"/>
      <c r="D43" s="210"/>
      <c r="E43" s="210"/>
      <c r="F43" s="210"/>
      <c r="G43" s="210"/>
      <c r="H43" s="283"/>
      <c r="I43" s="283"/>
      <c r="J43" s="210"/>
      <c r="K43" s="210"/>
      <c r="L43" s="210"/>
    </row>
    <row r="44" spans="2:19" ht="20.100000000000001" customHeight="1" x14ac:dyDescent="0.25">
      <c r="B44" s="209"/>
      <c r="C44" s="210"/>
      <c r="D44" s="210"/>
      <c r="E44" s="210"/>
      <c r="F44" s="210"/>
      <c r="G44" s="210"/>
      <c r="H44" s="283"/>
      <c r="I44" s="210"/>
      <c r="J44" s="210"/>
      <c r="K44" s="210"/>
      <c r="L44" s="210"/>
    </row>
    <row r="45" spans="2:19" ht="20.100000000000001" customHeight="1" x14ac:dyDescent="0.25">
      <c r="B45" s="209"/>
      <c r="C45" s="210"/>
      <c r="D45" s="210"/>
      <c r="E45" s="210"/>
      <c r="F45" s="210"/>
      <c r="G45" s="210"/>
      <c r="H45" s="283"/>
      <c r="I45" s="210"/>
      <c r="J45" s="210"/>
      <c r="K45" s="210"/>
      <c r="L45" s="210"/>
    </row>
    <row r="46" spans="2:19" ht="20.100000000000001" customHeight="1" x14ac:dyDescent="0.25">
      <c r="B46" s="209"/>
      <c r="C46" s="210"/>
      <c r="D46" s="210"/>
      <c r="E46" s="210"/>
      <c r="F46" s="210"/>
      <c r="G46" s="210"/>
      <c r="H46" s="283"/>
      <c r="I46" s="210"/>
      <c r="J46" s="210"/>
      <c r="K46" s="210"/>
      <c r="L46" s="210"/>
    </row>
    <row r="47" spans="2:19" ht="20.100000000000001" customHeight="1" x14ac:dyDescent="0.25">
      <c r="B47" s="209"/>
      <c r="C47" s="210"/>
      <c r="D47" s="234">
        <v>216804373020</v>
      </c>
      <c r="E47" s="210"/>
      <c r="F47" s="210"/>
      <c r="G47" s="210"/>
      <c r="H47" s="283"/>
      <c r="I47" s="210"/>
      <c r="J47" s="210"/>
      <c r="K47" s="210"/>
    </row>
    <row r="48" spans="2:19" ht="20.100000000000001" customHeight="1" x14ac:dyDescent="0.25">
      <c r="D48" s="239">
        <v>240893747800</v>
      </c>
      <c r="H48" s="283"/>
      <c r="L48" s="211"/>
    </row>
    <row r="49" spans="3:11" ht="20.100000000000001" customHeight="1" x14ac:dyDescent="0.25">
      <c r="C49" s="211"/>
      <c r="D49" s="310">
        <v>24818166660</v>
      </c>
      <c r="E49" s="211"/>
      <c r="F49" s="211"/>
      <c r="G49" s="211"/>
      <c r="H49" s="283"/>
      <c r="I49" s="211"/>
      <c r="J49" s="211"/>
      <c r="K49" s="211"/>
    </row>
    <row r="50" spans="3:11" ht="20.100000000000001" customHeight="1" x14ac:dyDescent="0.25">
      <c r="D50" s="104">
        <f>SUM(D47:D49)</f>
        <v>482516287480</v>
      </c>
      <c r="H50" s="283"/>
    </row>
  </sheetData>
  <mergeCells count="26">
    <mergeCell ref="L9:L12"/>
    <mergeCell ref="H11:H12"/>
    <mergeCell ref="I9:K9"/>
    <mergeCell ref="B9:B12"/>
    <mergeCell ref="C9:C12"/>
    <mergeCell ref="F9:H9"/>
    <mergeCell ref="D10:E10"/>
    <mergeCell ref="F10:H10"/>
    <mergeCell ref="I10:K10"/>
    <mergeCell ref="D11:D12"/>
    <mergeCell ref="E11:E12"/>
    <mergeCell ref="F11:F12"/>
    <mergeCell ref="G11:G12"/>
    <mergeCell ref="D9:E9"/>
    <mergeCell ref="B1:L1"/>
    <mergeCell ref="B2:L2"/>
    <mergeCell ref="B7:L7"/>
    <mergeCell ref="B5:L5"/>
    <mergeCell ref="B3:L3"/>
    <mergeCell ref="B6:F6"/>
    <mergeCell ref="I34:K34"/>
    <mergeCell ref="I35:K35"/>
    <mergeCell ref="I36:K36"/>
    <mergeCell ref="I11:I12"/>
    <mergeCell ref="J11:J12"/>
    <mergeCell ref="K11:K12"/>
  </mergeCells>
  <printOptions horizontalCentered="1"/>
  <pageMargins left="0.7" right="0.7" top="0.75" bottom="0.75" header="0.3" footer="0.3"/>
  <pageSetup paperSize="258" scale="70" orientation="landscape" horizontalDpi="1200" verticalDpi="12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N4479"/>
  <sheetViews>
    <sheetView view="pageBreakPreview" topLeftCell="B126" zoomScaleNormal="90" zoomScaleSheetLayoutView="100" workbookViewId="0">
      <selection activeCell="B9" sqref="B9:G4178"/>
    </sheetView>
  </sheetViews>
  <sheetFormatPr defaultColWidth="8.85546875" defaultRowHeight="15" x14ac:dyDescent="0.25"/>
  <cols>
    <col min="1" max="1" width="3.28515625" style="352" hidden="1" customWidth="1"/>
    <col min="2" max="2" width="4.7109375" style="3005" customWidth="1"/>
    <col min="3" max="3" width="45.42578125" style="4172" customWidth="1"/>
    <col min="4" max="4" width="23.28515625" style="1313" customWidth="1"/>
    <col min="5" max="5" width="23.42578125" style="4084" customWidth="1"/>
    <col min="6" max="6" width="12.85546875" style="5432" customWidth="1"/>
    <col min="7" max="7" width="10.7109375" style="5432" customWidth="1"/>
    <col min="8" max="8" width="11.5703125" style="3005" customWidth="1"/>
    <col min="9" max="9" width="13" style="3024" hidden="1" customWidth="1"/>
    <col min="10" max="10" width="21.85546875" style="522" customWidth="1"/>
    <col min="11" max="11" width="20.5703125" style="522" customWidth="1"/>
    <col min="12" max="12" width="20.42578125" style="3024" customWidth="1"/>
    <col min="13" max="16384" width="8.85546875" style="3024"/>
  </cols>
  <sheetData>
    <row r="1" spans="1:11" s="221" customFormat="1" ht="18.75" customHeight="1" x14ac:dyDescent="0.25">
      <c r="A1" s="5573"/>
      <c r="B1" s="5719" t="s">
        <v>218</v>
      </c>
      <c r="C1" s="5719"/>
      <c r="D1" s="5719"/>
      <c r="E1" s="5719"/>
      <c r="F1" s="5719"/>
      <c r="G1" s="5719"/>
      <c r="H1" s="5719"/>
      <c r="J1" s="2067"/>
      <c r="K1" s="2067"/>
    </row>
    <row r="2" spans="1:11" ht="16.5" customHeight="1" x14ac:dyDescent="0.25">
      <c r="A2" s="5573"/>
      <c r="B2" s="5720" t="s">
        <v>219</v>
      </c>
      <c r="C2" s="5720"/>
      <c r="D2" s="5720"/>
      <c r="E2" s="5720"/>
      <c r="F2" s="5720"/>
      <c r="G2" s="5720"/>
      <c r="H2" s="5720"/>
    </row>
    <row r="3" spans="1:11" ht="16.5" customHeight="1" x14ac:dyDescent="0.25">
      <c r="A3" s="5720" t="s">
        <v>435</v>
      </c>
      <c r="B3" s="5720"/>
      <c r="C3" s="5720"/>
      <c r="D3" s="5720"/>
      <c r="E3" s="5720"/>
      <c r="F3" s="5720"/>
      <c r="G3" s="5720"/>
      <c r="H3" s="5720"/>
    </row>
    <row r="4" spans="1:11" ht="14.1" customHeight="1" x14ac:dyDescent="0.25">
      <c r="A4" s="5574"/>
      <c r="B4" s="5575"/>
      <c r="C4" s="5576"/>
      <c r="D4" s="4343"/>
      <c r="E4" s="3203"/>
      <c r="F4" s="5575"/>
      <c r="G4" s="5575"/>
      <c r="H4" s="5577"/>
    </row>
    <row r="5" spans="1:11" ht="12.75" customHeight="1" x14ac:dyDescent="0.25">
      <c r="A5" s="5574"/>
      <c r="B5" s="5721" t="s">
        <v>396</v>
      </c>
      <c r="C5" s="5721"/>
      <c r="D5" s="5721"/>
      <c r="E5" s="5721"/>
      <c r="F5" s="5721"/>
      <c r="G5" s="5721"/>
      <c r="H5" s="5721"/>
    </row>
    <row r="6" spans="1:11" ht="13.5" hidden="1" customHeight="1" x14ac:dyDescent="0.25">
      <c r="A6" s="5574"/>
      <c r="B6" s="5722" t="s">
        <v>221</v>
      </c>
      <c r="C6" s="5722"/>
      <c r="D6" s="5722"/>
      <c r="E6" s="3203"/>
      <c r="F6" s="5578"/>
      <c r="G6" s="5578"/>
      <c r="H6" s="5579"/>
    </row>
    <row r="7" spans="1:11" ht="17.25" customHeight="1" x14ac:dyDescent="0.25">
      <c r="A7" s="5574"/>
      <c r="B7" s="5580" t="s">
        <v>1027</v>
      </c>
      <c r="C7" s="344"/>
      <c r="D7" s="5581"/>
      <c r="E7" s="3203"/>
      <c r="F7" s="5578"/>
      <c r="G7" s="5578"/>
      <c r="H7" s="5582" t="s">
        <v>3419</v>
      </c>
    </row>
    <row r="8" spans="1:11" ht="9.75" customHeight="1" thickBot="1" x14ac:dyDescent="0.3">
      <c r="A8" s="5574"/>
      <c r="B8" s="5583"/>
      <c r="C8" s="337"/>
      <c r="D8" s="5572"/>
      <c r="E8" s="3502"/>
      <c r="F8" s="2592"/>
      <c r="G8" s="2592"/>
      <c r="H8" s="5584"/>
    </row>
    <row r="9" spans="1:11" ht="18.75" customHeight="1" thickBot="1" x14ac:dyDescent="0.3">
      <c r="B9" s="5712" t="s">
        <v>1</v>
      </c>
      <c r="C9" s="5714" t="s">
        <v>2</v>
      </c>
      <c r="D9" s="5716" t="s">
        <v>3</v>
      </c>
      <c r="E9" s="5716"/>
      <c r="F9" s="5716"/>
      <c r="G9" s="5716"/>
      <c r="H9" s="5717" t="s">
        <v>423</v>
      </c>
    </row>
    <row r="10" spans="1:11" s="3022" customFormat="1" ht="69.75" customHeight="1" thickBot="1" x14ac:dyDescent="0.3">
      <c r="A10" s="352"/>
      <c r="B10" s="5713"/>
      <c r="C10" s="5715"/>
      <c r="D10" s="5241" t="s">
        <v>33</v>
      </c>
      <c r="E10" s="5433" t="s">
        <v>397</v>
      </c>
      <c r="F10" s="5434" t="s">
        <v>54</v>
      </c>
      <c r="G10" s="5434" t="s">
        <v>106</v>
      </c>
      <c r="H10" s="5718"/>
      <c r="J10" s="2146"/>
      <c r="K10" s="2146"/>
    </row>
    <row r="11" spans="1:11" ht="20.100000000000001" customHeight="1" thickTop="1" thickBot="1" x14ac:dyDescent="0.3">
      <c r="B11" s="5395" t="s">
        <v>8</v>
      </c>
      <c r="C11" s="3851" t="s">
        <v>9</v>
      </c>
      <c r="D11" s="2615" t="s">
        <v>10</v>
      </c>
      <c r="E11" s="331" t="s">
        <v>11</v>
      </c>
      <c r="F11" s="2617" t="s">
        <v>12</v>
      </c>
      <c r="G11" s="2897" t="s">
        <v>13</v>
      </c>
      <c r="H11" s="549" t="s">
        <v>35</v>
      </c>
    </row>
    <row r="12" spans="1:11" s="269" customFormat="1" ht="17.25" customHeight="1" thickTop="1" x14ac:dyDescent="0.25">
      <c r="A12" s="350"/>
      <c r="B12" s="5396" t="s">
        <v>59</v>
      </c>
      <c r="C12" s="3880" t="s">
        <v>109</v>
      </c>
      <c r="D12" s="1495">
        <f>SUM(D13,D39,D47,D57,D64,D69,D73,D83,D91,D101,D111,,D119)</f>
        <v>216804373020</v>
      </c>
      <c r="E12" s="2621">
        <f>SUM(E13,E39,E47,E57,E64,E69,E73,E83,E91,E101,E111,,E119)</f>
        <v>163452753321</v>
      </c>
      <c r="F12" s="5435">
        <f>E12/D12*100</f>
        <v>75.391815692722048</v>
      </c>
      <c r="G12" s="1737">
        <f>SUM(G13+G39+G47+G57+G64+G69+G73+G83+G91+G101+G111+G119)/12</f>
        <v>86.597222222222214</v>
      </c>
      <c r="H12" s="3445"/>
      <c r="J12" s="2069"/>
      <c r="K12" s="2069"/>
    </row>
    <row r="13" spans="1:11" s="2070" customFormat="1" ht="20.25" hidden="1" customHeight="1" x14ac:dyDescent="0.25">
      <c r="B13" s="5397" t="s">
        <v>110</v>
      </c>
      <c r="C13" s="3858" t="s">
        <v>2357</v>
      </c>
      <c r="D13" s="1496">
        <f>SUM(D14+D22+D26+D31)</f>
        <v>77278067450</v>
      </c>
      <c r="E13" s="3480">
        <f>SUM(E14+E22+E26+E31)</f>
        <v>40453511298</v>
      </c>
      <c r="F13" s="2200">
        <f>SUM(E13/D13*100)</f>
        <v>52.347985182437426</v>
      </c>
      <c r="G13" s="2201">
        <f>SUM(G14+G22+G26+G31)/4</f>
        <v>68.75</v>
      </c>
      <c r="H13" s="2071"/>
      <c r="J13" s="2085"/>
      <c r="K13" s="2085"/>
    </row>
    <row r="14" spans="1:11" s="2070" customFormat="1" ht="18.75" hidden="1" customHeight="1" x14ac:dyDescent="0.25">
      <c r="B14" s="2913"/>
      <c r="C14" s="4116" t="s">
        <v>2423</v>
      </c>
      <c r="D14" s="1499">
        <f>SUM(D15:D20)</f>
        <v>6900000000</v>
      </c>
      <c r="E14" s="1539">
        <f>SUM(E15:E20)</f>
        <v>6518832054</v>
      </c>
      <c r="F14" s="5436">
        <f t="shared" ref="F14:F20" si="0">E14/D14*100</f>
        <v>94.475826869565211</v>
      </c>
      <c r="G14" s="2206">
        <v>100</v>
      </c>
      <c r="H14" s="2077"/>
      <c r="J14" s="2085"/>
      <c r="K14" s="2085"/>
    </row>
    <row r="15" spans="1:11" s="1639" customFormat="1" ht="15.75" hidden="1" customHeight="1" x14ac:dyDescent="0.25">
      <c r="A15" s="1637"/>
      <c r="B15" s="5398"/>
      <c r="C15" s="4104" t="s">
        <v>2424</v>
      </c>
      <c r="D15" s="1500">
        <v>3000000000</v>
      </c>
      <c r="E15" s="4058">
        <v>2764328000</v>
      </c>
      <c r="F15" s="1434">
        <f t="shared" si="0"/>
        <v>92.144266666666667</v>
      </c>
      <c r="G15" s="3630">
        <v>100</v>
      </c>
      <c r="H15" s="1638"/>
      <c r="J15" s="2093"/>
      <c r="K15" s="2093"/>
    </row>
    <row r="16" spans="1:11" s="1639" customFormat="1" ht="14.25" hidden="1" customHeight="1" x14ac:dyDescent="0.25">
      <c r="A16" s="1637"/>
      <c r="B16" s="5398"/>
      <c r="C16" s="4104" t="s">
        <v>2425</v>
      </c>
      <c r="D16" s="1500">
        <v>1000000000</v>
      </c>
      <c r="E16" s="5437">
        <v>936600000</v>
      </c>
      <c r="F16" s="1434">
        <f t="shared" si="0"/>
        <v>93.66</v>
      </c>
      <c r="G16" s="3630">
        <v>100</v>
      </c>
      <c r="H16" s="1638"/>
      <c r="J16" s="2093"/>
      <c r="K16" s="2093"/>
    </row>
    <row r="17" spans="1:11" s="1639" customFormat="1" ht="15" hidden="1" customHeight="1" x14ac:dyDescent="0.25">
      <c r="A17" s="1637"/>
      <c r="B17" s="5398"/>
      <c r="C17" s="3892" t="s">
        <v>2426</v>
      </c>
      <c r="D17" s="1500">
        <v>1000000000</v>
      </c>
      <c r="E17" s="4058">
        <v>955300000</v>
      </c>
      <c r="F17" s="1434">
        <f t="shared" si="0"/>
        <v>95.53</v>
      </c>
      <c r="G17" s="3630">
        <v>100</v>
      </c>
      <c r="H17" s="1638"/>
      <c r="J17" s="2093"/>
      <c r="K17" s="2093"/>
    </row>
    <row r="18" spans="1:11" s="1639" customFormat="1" ht="15" hidden="1" customHeight="1" x14ac:dyDescent="0.25">
      <c r="A18" s="1637"/>
      <c r="B18" s="5398"/>
      <c r="C18" s="4104" t="s">
        <v>2427</v>
      </c>
      <c r="D18" s="1500">
        <v>900000000</v>
      </c>
      <c r="E18" s="4058">
        <v>885222054</v>
      </c>
      <c r="F18" s="1434">
        <f t="shared" si="0"/>
        <v>98.358006000000003</v>
      </c>
      <c r="G18" s="3630">
        <v>100</v>
      </c>
      <c r="H18" s="1638"/>
      <c r="J18" s="2093"/>
      <c r="K18" s="2093"/>
    </row>
    <row r="19" spans="1:11" s="1639" customFormat="1" ht="15" hidden="1" customHeight="1" x14ac:dyDescent="0.25">
      <c r="A19" s="1637"/>
      <c r="B19" s="5398"/>
      <c r="C19" s="4104" t="s">
        <v>2428</v>
      </c>
      <c r="D19" s="1500">
        <v>800000000</v>
      </c>
      <c r="E19" s="4058">
        <v>777482000</v>
      </c>
      <c r="F19" s="1434">
        <f t="shared" si="0"/>
        <v>97.185249999999996</v>
      </c>
      <c r="G19" s="3630">
        <v>100</v>
      </c>
      <c r="H19" s="1638"/>
      <c r="J19" s="2093"/>
      <c r="K19" s="2093"/>
    </row>
    <row r="20" spans="1:11" s="1639" customFormat="1" ht="15" hidden="1" customHeight="1" x14ac:dyDescent="0.25">
      <c r="A20" s="1637"/>
      <c r="B20" s="5398"/>
      <c r="C20" s="4104" t="s">
        <v>2429</v>
      </c>
      <c r="D20" s="1500">
        <v>200000000</v>
      </c>
      <c r="E20" s="4058">
        <v>199900000</v>
      </c>
      <c r="F20" s="1434">
        <f t="shared" si="0"/>
        <v>99.95</v>
      </c>
      <c r="G20" s="3630">
        <v>100</v>
      </c>
      <c r="H20" s="1638"/>
      <c r="J20" s="2093"/>
      <c r="K20" s="2093"/>
    </row>
    <row r="21" spans="1:11" s="1639" customFormat="1" ht="12" hidden="1" customHeight="1" x14ac:dyDescent="0.25">
      <c r="A21" s="1637"/>
      <c r="B21" s="5398"/>
      <c r="C21" s="4104"/>
      <c r="D21" s="1500"/>
      <c r="E21" s="4058"/>
      <c r="F21" s="3280"/>
      <c r="G21" s="2415"/>
      <c r="H21" s="1638"/>
      <c r="J21" s="2093"/>
      <c r="K21" s="2093"/>
    </row>
    <row r="22" spans="1:11" s="1639" customFormat="1" ht="14.25" hidden="1" customHeight="1" x14ac:dyDescent="0.25">
      <c r="A22" s="1637"/>
      <c r="B22" s="5398"/>
      <c r="C22" s="4116" t="s">
        <v>2430</v>
      </c>
      <c r="D22" s="1499">
        <f>SUM(D23:D24)</f>
        <v>2306004000</v>
      </c>
      <c r="E22" s="1539">
        <f>SUM(E23:E24)</f>
        <v>1412431860</v>
      </c>
      <c r="F22" s="5436">
        <f>E22/D22*100</f>
        <v>61.250191239911125</v>
      </c>
      <c r="G22" s="2206">
        <f>SUM(G23:G24)/2</f>
        <v>70</v>
      </c>
      <c r="H22" s="1638"/>
      <c r="J22" s="2093"/>
      <c r="K22" s="2093"/>
    </row>
    <row r="23" spans="1:11" s="1639" customFormat="1" ht="13.5" hidden="1" customHeight="1" x14ac:dyDescent="0.25">
      <c r="A23" s="1637"/>
      <c r="B23" s="5398"/>
      <c r="C23" s="4104" t="s">
        <v>2431</v>
      </c>
      <c r="D23" s="1500">
        <v>863704000</v>
      </c>
      <c r="E23" s="5437">
        <v>848792700</v>
      </c>
      <c r="F23" s="1434">
        <f>E23/D23*100</f>
        <v>98.273563628280058</v>
      </c>
      <c r="G23" s="2415">
        <v>100</v>
      </c>
      <c r="H23" s="1638"/>
      <c r="J23" s="2093"/>
      <c r="K23" s="2093"/>
    </row>
    <row r="24" spans="1:11" s="1639" customFormat="1" ht="15.75" hidden="1" customHeight="1" x14ac:dyDescent="0.25">
      <c r="A24" s="1637"/>
      <c r="B24" s="5398"/>
      <c r="C24" s="4104" t="s">
        <v>2432</v>
      </c>
      <c r="D24" s="1500">
        <v>1442300000</v>
      </c>
      <c r="E24" s="3879">
        <v>563639160</v>
      </c>
      <c r="F24" s="1434">
        <f>E24/D24*100</f>
        <v>39.079190182347638</v>
      </c>
      <c r="G24" s="3630">
        <v>40</v>
      </c>
      <c r="H24" s="1638"/>
      <c r="J24" s="2093"/>
      <c r="K24" s="2093"/>
    </row>
    <row r="25" spans="1:11" s="1639" customFormat="1" ht="9.75" hidden="1" customHeight="1" x14ac:dyDescent="0.25">
      <c r="A25" s="1637"/>
      <c r="B25" s="5398"/>
      <c r="C25" s="4104"/>
      <c r="D25" s="1399"/>
      <c r="E25" s="5438"/>
      <c r="F25" s="3280"/>
      <c r="G25" s="2415"/>
      <c r="H25" s="1638"/>
      <c r="J25" s="2093"/>
      <c r="K25" s="2093"/>
    </row>
    <row r="26" spans="1:11" s="2070" customFormat="1" ht="16.5" hidden="1" customHeight="1" x14ac:dyDescent="0.25">
      <c r="B26" s="2913"/>
      <c r="C26" s="4116" t="s">
        <v>2433</v>
      </c>
      <c r="D26" s="1499">
        <f>SUM(D27:D29)</f>
        <v>61557345450</v>
      </c>
      <c r="E26" s="1539">
        <f>SUM(E27:E29)</f>
        <v>29150827750</v>
      </c>
      <c r="F26" s="5436">
        <f>E26/D26*100</f>
        <v>47.355563396861847</v>
      </c>
      <c r="G26" s="2206">
        <f>SUM(G27:G29)/3</f>
        <v>46.666666666666664</v>
      </c>
      <c r="H26" s="2077"/>
      <c r="J26" s="2085"/>
      <c r="K26" s="2085"/>
    </row>
    <row r="27" spans="1:11" s="1639" customFormat="1" ht="25.5" hidden="1" customHeight="1" x14ac:dyDescent="0.25">
      <c r="A27" s="1637"/>
      <c r="B27" s="5398"/>
      <c r="C27" s="4104" t="s">
        <v>2434</v>
      </c>
      <c r="D27" s="1500">
        <v>10574500000</v>
      </c>
      <c r="E27" s="1538">
        <v>10574500000</v>
      </c>
      <c r="F27" s="1434">
        <f>E27/D27*100</f>
        <v>100</v>
      </c>
      <c r="G27" s="2415">
        <v>100</v>
      </c>
      <c r="H27" s="1638"/>
      <c r="J27" s="2093"/>
      <c r="K27" s="2093"/>
    </row>
    <row r="28" spans="1:11" s="1639" customFormat="1" ht="18" hidden="1" customHeight="1" x14ac:dyDescent="0.25">
      <c r="A28" s="1637"/>
      <c r="B28" s="5398"/>
      <c r="C28" s="4104" t="s">
        <v>2435</v>
      </c>
      <c r="D28" s="1500">
        <v>970200000</v>
      </c>
      <c r="E28" s="4058">
        <v>0</v>
      </c>
      <c r="F28" s="1434">
        <f>E28/D28*100</f>
        <v>0</v>
      </c>
      <c r="G28" s="1434">
        <v>0</v>
      </c>
      <c r="H28" s="1638"/>
      <c r="J28" s="2093"/>
      <c r="K28" s="2093"/>
    </row>
    <row r="29" spans="1:11" s="1639" customFormat="1" ht="16.5" hidden="1" customHeight="1" x14ac:dyDescent="0.25">
      <c r="A29" s="1637"/>
      <c r="B29" s="5398"/>
      <c r="C29" s="4104" t="s">
        <v>2436</v>
      </c>
      <c r="D29" s="1500">
        <v>50012645450</v>
      </c>
      <c r="E29" s="5437">
        <v>18576327750</v>
      </c>
      <c r="F29" s="1434">
        <f>E29/D29*100</f>
        <v>37.143261634843192</v>
      </c>
      <c r="G29" s="2415">
        <v>40</v>
      </c>
      <c r="H29" s="1638"/>
      <c r="J29" s="2093"/>
      <c r="K29" s="2093"/>
    </row>
    <row r="30" spans="1:11" s="1639" customFormat="1" ht="11.25" hidden="1" customHeight="1" x14ac:dyDescent="0.25">
      <c r="A30" s="1637"/>
      <c r="B30" s="5398"/>
      <c r="C30" s="4104"/>
      <c r="D30" s="1500"/>
      <c r="E30" s="5438"/>
      <c r="F30" s="3280"/>
      <c r="G30" s="2415"/>
      <c r="H30" s="1638"/>
      <c r="J30" s="2093"/>
      <c r="K30" s="2093"/>
    </row>
    <row r="31" spans="1:11" s="2070" customFormat="1" ht="15.75" hidden="1" customHeight="1" x14ac:dyDescent="0.25">
      <c r="B31" s="2913"/>
      <c r="C31" s="4116" t="s">
        <v>2437</v>
      </c>
      <c r="D31" s="1499">
        <f>SUM(D32:D37)</f>
        <v>6514718000</v>
      </c>
      <c r="E31" s="1539">
        <f>SUM(E32:E37)</f>
        <v>3371419634</v>
      </c>
      <c r="F31" s="5436">
        <f t="shared" ref="F31:F37" si="1">E31/D31*100</f>
        <v>51.750814601645075</v>
      </c>
      <c r="G31" s="2206">
        <f>SUM(G32:G37)/6</f>
        <v>58.333333333333336</v>
      </c>
      <c r="H31" s="2077"/>
      <c r="J31" s="2085"/>
      <c r="K31" s="2085"/>
    </row>
    <row r="32" spans="1:11" s="1639" customFormat="1" ht="14.25" hidden="1" customHeight="1" x14ac:dyDescent="0.25">
      <c r="A32" s="1637"/>
      <c r="B32" s="5398"/>
      <c r="C32" s="4104" t="s">
        <v>2438</v>
      </c>
      <c r="D32" s="1500">
        <v>700000000</v>
      </c>
      <c r="E32" s="5437">
        <v>697317600</v>
      </c>
      <c r="F32" s="1434">
        <f t="shared" si="1"/>
        <v>99.616800000000012</v>
      </c>
      <c r="G32" s="3630">
        <v>100</v>
      </c>
      <c r="H32" s="1638"/>
      <c r="J32" s="2093"/>
      <c r="K32" s="2093"/>
    </row>
    <row r="33" spans="1:11" s="1639" customFormat="1" ht="16.5" hidden="1" customHeight="1" x14ac:dyDescent="0.25">
      <c r="A33" s="1637"/>
      <c r="B33" s="5398"/>
      <c r="C33" s="4104" t="s">
        <v>2439</v>
      </c>
      <c r="D33" s="1500">
        <v>1436300000</v>
      </c>
      <c r="E33" s="4058">
        <v>0</v>
      </c>
      <c r="F33" s="1434">
        <f t="shared" si="1"/>
        <v>0</v>
      </c>
      <c r="G33" s="3630">
        <v>0</v>
      </c>
      <c r="H33" s="1638"/>
      <c r="J33" s="2093"/>
      <c r="K33" s="2093"/>
    </row>
    <row r="34" spans="1:11" s="1639" customFormat="1" ht="26.25" hidden="1" customHeight="1" x14ac:dyDescent="0.25">
      <c r="A34" s="1637"/>
      <c r="B34" s="5398"/>
      <c r="C34" s="4104" t="s">
        <v>2440</v>
      </c>
      <c r="D34" s="1500">
        <v>659925000</v>
      </c>
      <c r="E34" s="3879">
        <v>0</v>
      </c>
      <c r="F34" s="1434">
        <f t="shared" si="1"/>
        <v>0</v>
      </c>
      <c r="G34" s="3630">
        <v>0</v>
      </c>
      <c r="H34" s="1638"/>
      <c r="J34" s="2093"/>
      <c r="K34" s="2093"/>
    </row>
    <row r="35" spans="1:11" s="1639" customFormat="1" ht="18" hidden="1" customHeight="1" x14ac:dyDescent="0.25">
      <c r="A35" s="1637"/>
      <c r="B35" s="5398"/>
      <c r="C35" s="4104" t="s">
        <v>2441</v>
      </c>
      <c r="D35" s="1500">
        <v>804993000</v>
      </c>
      <c r="E35" s="3879">
        <v>803887599</v>
      </c>
      <c r="F35" s="1434">
        <f t="shared" si="1"/>
        <v>99.862681911519729</v>
      </c>
      <c r="G35" s="3630">
        <v>100</v>
      </c>
      <c r="H35" s="1638"/>
      <c r="J35" s="2093"/>
      <c r="K35" s="2093"/>
    </row>
    <row r="36" spans="1:11" s="1639" customFormat="1" ht="14.25" hidden="1" customHeight="1" x14ac:dyDescent="0.25">
      <c r="A36" s="1637"/>
      <c r="B36" s="5398"/>
      <c r="C36" s="4104" t="s">
        <v>2442</v>
      </c>
      <c r="D36" s="1500">
        <v>1952735000</v>
      </c>
      <c r="E36" s="3879">
        <v>911476467</v>
      </c>
      <c r="F36" s="1434">
        <f t="shared" si="1"/>
        <v>46.6769155568984</v>
      </c>
      <c r="G36" s="2415">
        <v>50</v>
      </c>
      <c r="H36" s="1638"/>
      <c r="J36" s="2093"/>
      <c r="K36" s="2093"/>
    </row>
    <row r="37" spans="1:11" s="1639" customFormat="1" ht="18" hidden="1" customHeight="1" x14ac:dyDescent="0.25">
      <c r="A37" s="1637"/>
      <c r="B37" s="5398"/>
      <c r="C37" s="4104" t="s">
        <v>2443</v>
      </c>
      <c r="D37" s="1500">
        <v>960765000</v>
      </c>
      <c r="E37" s="5437">
        <v>958737968</v>
      </c>
      <c r="F37" s="1434">
        <f t="shared" si="1"/>
        <v>99.789018958850491</v>
      </c>
      <c r="G37" s="3630">
        <v>100</v>
      </c>
      <c r="H37" s="1638"/>
      <c r="J37" s="2093"/>
      <c r="K37" s="2093"/>
    </row>
    <row r="38" spans="1:11" ht="12" hidden="1" customHeight="1" x14ac:dyDescent="0.25">
      <c r="B38" s="5398"/>
      <c r="C38" s="3861"/>
      <c r="D38" s="1403"/>
      <c r="E38" s="5439"/>
      <c r="F38" s="3283"/>
      <c r="G38" s="5351"/>
      <c r="H38" s="539"/>
    </row>
    <row r="39" spans="1:11" s="2070" customFormat="1" ht="14.25" hidden="1" customHeight="1" x14ac:dyDescent="0.25">
      <c r="B39" s="5397" t="s">
        <v>111</v>
      </c>
      <c r="C39" s="3858" t="s">
        <v>2356</v>
      </c>
      <c r="D39" s="1502">
        <f>D40+D44</f>
        <v>44610000000</v>
      </c>
      <c r="E39" s="1518">
        <f>E40+E44</f>
        <v>42487703000</v>
      </c>
      <c r="F39" s="2200">
        <f>SUM(E39/D39*100)</f>
        <v>95.242553239184033</v>
      </c>
      <c r="G39" s="3631">
        <f>SUM(G40+G44)/2</f>
        <v>75</v>
      </c>
      <c r="H39" s="2071"/>
      <c r="J39" s="2085"/>
      <c r="K39" s="2085"/>
    </row>
    <row r="40" spans="1:11" s="2070" customFormat="1" ht="30.75" hidden="1" customHeight="1" x14ac:dyDescent="0.25">
      <c r="B40" s="2913"/>
      <c r="C40" s="3871" t="s">
        <v>1810</v>
      </c>
      <c r="D40" s="1497">
        <f>SUM(D41+D42)</f>
        <v>42610000000</v>
      </c>
      <c r="E40" s="3483">
        <f>SUM(E41+E42)</f>
        <v>40487703000</v>
      </c>
      <c r="F40" s="5436">
        <f>E40/D40*100</f>
        <v>95.019251349448481</v>
      </c>
      <c r="G40" s="3632">
        <f>SUM(G41:G42)/2</f>
        <v>50</v>
      </c>
      <c r="H40" s="2073"/>
      <c r="J40" s="2085"/>
      <c r="K40" s="2085"/>
    </row>
    <row r="41" spans="1:11" s="1639" customFormat="1" ht="15.75" hidden="1" customHeight="1" x14ac:dyDescent="0.25">
      <c r="A41" s="1637"/>
      <c r="B41" s="2913"/>
      <c r="C41" s="4104" t="s">
        <v>1339</v>
      </c>
      <c r="D41" s="1504">
        <v>1538000000</v>
      </c>
      <c r="E41" s="4058">
        <v>0</v>
      </c>
      <c r="F41" s="1434">
        <f>E41/D41*100</f>
        <v>0</v>
      </c>
      <c r="G41" s="3630">
        <v>0</v>
      </c>
      <c r="H41" s="1638"/>
      <c r="J41" s="2093"/>
      <c r="K41" s="2093"/>
    </row>
    <row r="42" spans="1:11" s="1639" customFormat="1" ht="15.75" hidden="1" customHeight="1" x14ac:dyDescent="0.25">
      <c r="A42" s="1637"/>
      <c r="B42" s="2913"/>
      <c r="C42" s="4104" t="s">
        <v>1340</v>
      </c>
      <c r="D42" s="1504">
        <v>41072000000</v>
      </c>
      <c r="E42" s="4058">
        <v>40487703000</v>
      </c>
      <c r="F42" s="1434">
        <f>E42/D42*100</f>
        <v>98.577383619010519</v>
      </c>
      <c r="G42" s="3557">
        <v>100</v>
      </c>
      <c r="H42" s="1638"/>
      <c r="J42" s="2093"/>
      <c r="K42" s="2093"/>
    </row>
    <row r="43" spans="1:11" s="1639" customFormat="1" ht="6.75" hidden="1" customHeight="1" x14ac:dyDescent="0.25">
      <c r="A43" s="1637"/>
      <c r="B43" s="2913"/>
      <c r="C43" s="4104"/>
      <c r="D43" s="1399"/>
      <c r="E43" s="5438"/>
      <c r="F43" s="3280"/>
      <c r="G43" s="2415"/>
      <c r="H43" s="1638"/>
      <c r="J43" s="2093"/>
      <c r="K43" s="2093"/>
    </row>
    <row r="44" spans="1:11" s="2070" customFormat="1" ht="16.5" hidden="1" customHeight="1" x14ac:dyDescent="0.25">
      <c r="B44" s="2913"/>
      <c r="C44" s="3859" t="s">
        <v>1341</v>
      </c>
      <c r="D44" s="1506">
        <f>D45</f>
        <v>2000000000</v>
      </c>
      <c r="E44" s="3484">
        <f>E45</f>
        <v>2000000000</v>
      </c>
      <c r="F44" s="1435">
        <f>E44/D44*100</f>
        <v>100</v>
      </c>
      <c r="G44" s="3632">
        <v>100</v>
      </c>
      <c r="H44" s="2077"/>
      <c r="J44" s="2085"/>
      <c r="K44" s="2085"/>
    </row>
    <row r="45" spans="1:11" s="2070" customFormat="1" ht="14.25" hidden="1" customHeight="1" x14ac:dyDescent="0.25">
      <c r="B45" s="2913"/>
      <c r="C45" s="4104" t="s">
        <v>1342</v>
      </c>
      <c r="D45" s="1507">
        <v>2000000000</v>
      </c>
      <c r="E45" s="1126">
        <v>2000000000</v>
      </c>
      <c r="F45" s="1434">
        <f>E45/D45*100</f>
        <v>100</v>
      </c>
      <c r="G45" s="3630">
        <v>100</v>
      </c>
      <c r="H45" s="2077"/>
      <c r="J45" s="2085"/>
      <c r="K45" s="2085"/>
    </row>
    <row r="46" spans="1:11" ht="9.75" hidden="1" customHeight="1" x14ac:dyDescent="0.25">
      <c r="B46" s="2913"/>
      <c r="C46" s="3873"/>
      <c r="D46" s="1403"/>
      <c r="E46" s="5439"/>
      <c r="F46" s="3283"/>
      <c r="G46" s="5351"/>
      <c r="H46" s="539"/>
    </row>
    <row r="47" spans="1:11" s="2070" customFormat="1" ht="17.25" hidden="1" customHeight="1" x14ac:dyDescent="0.25">
      <c r="B47" s="5397" t="s">
        <v>115</v>
      </c>
      <c r="C47" s="3858" t="s">
        <v>2355</v>
      </c>
      <c r="D47" s="1508">
        <f>D49+D51+D54</f>
        <v>1540000000</v>
      </c>
      <c r="E47" s="3485">
        <f>E49+E51+E54</f>
        <v>1484170500</v>
      </c>
      <c r="F47" s="2200">
        <f>SUM(E47/D47*100)</f>
        <v>96.374707792207786</v>
      </c>
      <c r="G47" s="2215">
        <v>100</v>
      </c>
      <c r="H47" s="2071"/>
      <c r="J47" s="2085"/>
      <c r="K47" s="2085"/>
    </row>
    <row r="48" spans="1:11" s="2070" customFormat="1" ht="16.5" hidden="1" customHeight="1" x14ac:dyDescent="0.25">
      <c r="B48" s="2913"/>
      <c r="C48" s="3871" t="s">
        <v>347</v>
      </c>
      <c r="D48" s="1509">
        <f>D49</f>
        <v>20000000</v>
      </c>
      <c r="E48" s="3486">
        <f>E49</f>
        <v>20000000</v>
      </c>
      <c r="F48" s="5436">
        <f>E48/D48*100</f>
        <v>100</v>
      </c>
      <c r="G48" s="3632">
        <v>100</v>
      </c>
      <c r="H48" s="2073"/>
      <c r="J48" s="2085"/>
      <c r="K48" s="2085"/>
    </row>
    <row r="49" spans="1:11" s="1639" customFormat="1" ht="14.25" hidden="1" customHeight="1" x14ac:dyDescent="0.25">
      <c r="A49" s="1637"/>
      <c r="B49" s="5398"/>
      <c r="C49" s="4104" t="s">
        <v>1343</v>
      </c>
      <c r="D49" s="1504">
        <v>20000000</v>
      </c>
      <c r="E49" s="3487">
        <v>20000000</v>
      </c>
      <c r="F49" s="1434">
        <f>E49/D49*100</f>
        <v>100</v>
      </c>
      <c r="G49" s="3630">
        <v>100</v>
      </c>
      <c r="H49" s="1638"/>
      <c r="J49" s="2093"/>
      <c r="K49" s="2093"/>
    </row>
    <row r="50" spans="1:11" s="1639" customFormat="1" ht="12" hidden="1" customHeight="1" x14ac:dyDescent="0.25">
      <c r="A50" s="1637"/>
      <c r="B50" s="5398"/>
      <c r="C50" s="4104"/>
      <c r="D50" s="1399"/>
      <c r="E50" s="5438"/>
      <c r="F50" s="3280"/>
      <c r="G50" s="2415"/>
      <c r="H50" s="1638"/>
      <c r="J50" s="2093"/>
      <c r="K50" s="2093"/>
    </row>
    <row r="51" spans="1:11" s="1639" customFormat="1" ht="25.5" hidden="1" customHeight="1" x14ac:dyDescent="0.25">
      <c r="A51" s="1637"/>
      <c r="B51" s="5398"/>
      <c r="C51" s="3873" t="s">
        <v>1344</v>
      </c>
      <c r="D51" s="5440">
        <f>SUM(D52:D52)</f>
        <v>1120000000</v>
      </c>
      <c r="E51" s="1464">
        <f>SUM(E52:E52)</f>
        <v>1118850000</v>
      </c>
      <c r="F51" s="1435">
        <f>E51/D51*100</f>
        <v>99.897321428571431</v>
      </c>
      <c r="G51" s="5441">
        <v>100</v>
      </c>
      <c r="H51" s="2086"/>
      <c r="J51" s="2093"/>
      <c r="K51" s="2093"/>
    </row>
    <row r="52" spans="1:11" s="1639" customFormat="1" ht="17.25" hidden="1" customHeight="1" x14ac:dyDescent="0.25">
      <c r="A52" s="1637"/>
      <c r="B52" s="5398"/>
      <c r="C52" s="3861" t="s">
        <v>1345</v>
      </c>
      <c r="D52" s="2696">
        <v>1120000000</v>
      </c>
      <c r="E52" s="5442">
        <v>1118850000</v>
      </c>
      <c r="F52" s="1434">
        <f>E52/D52*100</f>
        <v>99.897321428571431</v>
      </c>
      <c r="G52" s="5351">
        <v>100</v>
      </c>
      <c r="H52" s="2086"/>
      <c r="J52" s="2093"/>
      <c r="K52" s="2093"/>
    </row>
    <row r="53" spans="1:11" s="1639" customFormat="1" ht="10.5" hidden="1" customHeight="1" x14ac:dyDescent="0.25">
      <c r="A53" s="1637"/>
      <c r="B53" s="5398"/>
      <c r="C53" s="3861"/>
      <c r="D53" s="5443"/>
      <c r="E53" s="5439"/>
      <c r="F53" s="3280"/>
      <c r="G53" s="5351"/>
      <c r="H53" s="2086"/>
      <c r="J53" s="2093"/>
      <c r="K53" s="2093"/>
    </row>
    <row r="54" spans="1:11" s="1639" customFormat="1" ht="15.75" hidden="1" customHeight="1" x14ac:dyDescent="0.25">
      <c r="A54" s="1637"/>
      <c r="B54" s="5398"/>
      <c r="C54" s="3873" t="s">
        <v>2444</v>
      </c>
      <c r="D54" s="1389">
        <f>D55</f>
        <v>400000000</v>
      </c>
      <c r="E54" s="1414">
        <f>E55</f>
        <v>345320500</v>
      </c>
      <c r="F54" s="1435">
        <f>E54/D54*100</f>
        <v>86.330124999999995</v>
      </c>
      <c r="G54" s="3632">
        <v>100</v>
      </c>
      <c r="H54" s="2086"/>
      <c r="J54" s="2093"/>
      <c r="K54" s="2093"/>
    </row>
    <row r="55" spans="1:11" s="1639" customFormat="1" ht="16.5" hidden="1" customHeight="1" x14ac:dyDescent="0.25">
      <c r="A55" s="1637"/>
      <c r="B55" s="5398"/>
      <c r="C55" s="3861" t="s">
        <v>2445</v>
      </c>
      <c r="D55" s="5443">
        <v>400000000</v>
      </c>
      <c r="E55" s="4058">
        <v>345320500</v>
      </c>
      <c r="F55" s="1434">
        <f>E55/D55*100</f>
        <v>86.330124999999995</v>
      </c>
      <c r="G55" s="3630">
        <v>100</v>
      </c>
      <c r="H55" s="2086"/>
      <c r="J55" s="2093"/>
      <c r="K55" s="2093"/>
    </row>
    <row r="56" spans="1:11" s="1639" customFormat="1" ht="9" hidden="1" customHeight="1" x14ac:dyDescent="0.25">
      <c r="A56" s="1637"/>
      <c r="B56" s="5398"/>
      <c r="C56" s="3861"/>
      <c r="D56" s="5444"/>
      <c r="E56" s="5439"/>
      <c r="F56" s="3283"/>
      <c r="G56" s="5351"/>
      <c r="H56" s="2086"/>
      <c r="J56" s="2093"/>
      <c r="K56" s="2093"/>
    </row>
    <row r="57" spans="1:11" s="2070" customFormat="1" ht="16.5" hidden="1" customHeight="1" x14ac:dyDescent="0.25">
      <c r="A57" s="2087"/>
      <c r="B57" s="5397" t="s">
        <v>116</v>
      </c>
      <c r="C57" s="3858" t="s">
        <v>2354</v>
      </c>
      <c r="D57" s="1502">
        <f>D58+D61</f>
        <v>232000000</v>
      </c>
      <c r="E57" s="1518">
        <f>E58+E61</f>
        <v>45850000</v>
      </c>
      <c r="F57" s="2200">
        <f>SUM(E57/D57*100)</f>
        <v>19.762931034482758</v>
      </c>
      <c r="G57" s="3631">
        <f>SUM(G58+G61)/2</f>
        <v>50</v>
      </c>
      <c r="H57" s="2071"/>
      <c r="J57" s="2085"/>
      <c r="K57" s="2085"/>
    </row>
    <row r="58" spans="1:11" s="2070" customFormat="1" ht="29.25" hidden="1" customHeight="1" x14ac:dyDescent="0.25">
      <c r="B58" s="2913"/>
      <c r="C58" s="3871" t="s">
        <v>1346</v>
      </c>
      <c r="D58" s="1497">
        <f>SUM(D59)</f>
        <v>32000000</v>
      </c>
      <c r="E58" s="3483">
        <f>SUM(E59)</f>
        <v>32000000</v>
      </c>
      <c r="F58" s="1435">
        <f>E58/D58*100</f>
        <v>100</v>
      </c>
      <c r="G58" s="1435">
        <v>100</v>
      </c>
      <c r="H58" s="2073"/>
      <c r="J58" s="2085"/>
      <c r="K58" s="2085"/>
    </row>
    <row r="59" spans="1:11" s="2070" customFormat="1" ht="15.75" hidden="1" customHeight="1" x14ac:dyDescent="0.25">
      <c r="B59" s="2913"/>
      <c r="C59" s="3884" t="s">
        <v>1347</v>
      </c>
      <c r="D59" s="1511">
        <v>32000000</v>
      </c>
      <c r="E59" s="4058">
        <v>32000000</v>
      </c>
      <c r="F59" s="1434">
        <f>E59/D59*100</f>
        <v>100</v>
      </c>
      <c r="G59" s="1434">
        <v>100</v>
      </c>
      <c r="H59" s="2073"/>
      <c r="J59" s="2085"/>
      <c r="K59" s="2085"/>
    </row>
    <row r="60" spans="1:11" s="2070" customFormat="1" ht="10.5" hidden="1" customHeight="1" x14ac:dyDescent="0.25">
      <c r="B60" s="2913"/>
      <c r="C60" s="3871"/>
      <c r="D60" s="1497"/>
      <c r="E60" s="5445"/>
      <c r="F60" s="3280"/>
      <c r="G60" s="2410"/>
      <c r="H60" s="2073"/>
      <c r="J60" s="2085"/>
      <c r="K60" s="2085"/>
    </row>
    <row r="61" spans="1:11" s="2070" customFormat="1" ht="15.75" hidden="1" customHeight="1" x14ac:dyDescent="0.25">
      <c r="B61" s="2913"/>
      <c r="C61" s="3871" t="s">
        <v>1348</v>
      </c>
      <c r="D61" s="1497">
        <f>D62</f>
        <v>200000000</v>
      </c>
      <c r="E61" s="3483">
        <f>E62</f>
        <v>13850000</v>
      </c>
      <c r="F61" s="1435">
        <f>E61/D61*100</f>
        <v>6.9250000000000007</v>
      </c>
      <c r="G61" s="3629">
        <v>0</v>
      </c>
      <c r="H61" s="2073"/>
      <c r="J61" s="2085"/>
      <c r="K61" s="2085"/>
    </row>
    <row r="62" spans="1:11" s="2070" customFormat="1" ht="15" hidden="1" customHeight="1" x14ac:dyDescent="0.25">
      <c r="B62" s="2913"/>
      <c r="C62" s="3884" t="s">
        <v>1349</v>
      </c>
      <c r="D62" s="1511">
        <v>200000000</v>
      </c>
      <c r="E62" s="4058">
        <v>13850000</v>
      </c>
      <c r="F62" s="1434">
        <f>E62/D62*100</f>
        <v>6.9250000000000007</v>
      </c>
      <c r="G62" s="3630">
        <v>0</v>
      </c>
      <c r="H62" s="2073"/>
      <c r="J62" s="2085"/>
      <c r="K62" s="2085"/>
    </row>
    <row r="63" spans="1:11" ht="7.5" hidden="1" customHeight="1" x14ac:dyDescent="0.25">
      <c r="B63" s="2913"/>
      <c r="C63" s="3873"/>
      <c r="D63" s="1403"/>
      <c r="E63" s="5439"/>
      <c r="F63" s="3283"/>
      <c r="G63" s="5351"/>
      <c r="H63" s="539"/>
    </row>
    <row r="64" spans="1:11" s="2070" customFormat="1" ht="16.5" hidden="1" customHeight="1" x14ac:dyDescent="0.25">
      <c r="B64" s="5397" t="s">
        <v>225</v>
      </c>
      <c r="C64" s="3858" t="s">
        <v>2353</v>
      </c>
      <c r="D64" s="1502">
        <f>D65</f>
        <v>1349100000</v>
      </c>
      <c r="E64" s="1518">
        <f>E65</f>
        <v>1324667975</v>
      </c>
      <c r="F64" s="2200">
        <f>SUM(E64/D64*100)</f>
        <v>98.1890130457342</v>
      </c>
      <c r="G64" s="2220">
        <v>100</v>
      </c>
      <c r="H64" s="2071"/>
      <c r="J64" s="2085"/>
      <c r="K64" s="2085"/>
    </row>
    <row r="65" spans="1:11" s="2070" customFormat="1" ht="16.5" hidden="1" customHeight="1" x14ac:dyDescent="0.25">
      <c r="B65" s="2912"/>
      <c r="C65" s="3871" t="s">
        <v>1350</v>
      </c>
      <c r="D65" s="1497">
        <f>SUM(D67+D66)</f>
        <v>1349100000</v>
      </c>
      <c r="E65" s="3483">
        <f>SUM(E67+E66)</f>
        <v>1324667975</v>
      </c>
      <c r="F65" s="1435">
        <f>E65/D65*100</f>
        <v>98.1890130457342</v>
      </c>
      <c r="G65" s="2222">
        <v>100</v>
      </c>
      <c r="H65" s="2073"/>
      <c r="J65" s="2085"/>
      <c r="K65" s="2085"/>
    </row>
    <row r="66" spans="1:11" s="2070" customFormat="1" ht="15.75" hidden="1" customHeight="1" x14ac:dyDescent="0.25">
      <c r="B66" s="2912"/>
      <c r="C66" s="3884" t="s">
        <v>1351</v>
      </c>
      <c r="D66" s="1511">
        <v>407000000</v>
      </c>
      <c r="E66" s="5446">
        <v>396835825</v>
      </c>
      <c r="F66" s="1434">
        <f>E66/D66*100</f>
        <v>97.502659705159701</v>
      </c>
      <c r="G66" s="3630">
        <v>100</v>
      </c>
      <c r="H66" s="2073"/>
      <c r="J66" s="2085"/>
      <c r="K66" s="2085"/>
    </row>
    <row r="67" spans="1:11" s="1639" customFormat="1" ht="27.75" hidden="1" customHeight="1" x14ac:dyDescent="0.25">
      <c r="A67" s="1637"/>
      <c r="B67" s="5399"/>
      <c r="C67" s="4104" t="s">
        <v>1352</v>
      </c>
      <c r="D67" s="1507">
        <v>942100000</v>
      </c>
      <c r="E67" s="5437">
        <v>927832150</v>
      </c>
      <c r="F67" s="1434">
        <f>E67/D67*100</f>
        <v>98.485527014117409</v>
      </c>
      <c r="G67" s="2415">
        <v>100</v>
      </c>
      <c r="H67" s="1638"/>
      <c r="J67" s="2093"/>
      <c r="K67" s="2093"/>
    </row>
    <row r="68" spans="1:11" ht="12" hidden="1" customHeight="1" x14ac:dyDescent="0.25">
      <c r="B68" s="5400"/>
      <c r="C68" s="3861"/>
      <c r="D68" s="1403"/>
      <c r="E68" s="5439"/>
      <c r="F68" s="3283"/>
      <c r="G68" s="5351"/>
      <c r="H68" s="539"/>
    </row>
    <row r="69" spans="1:11" s="2070" customFormat="1" ht="15" hidden="1" customHeight="1" x14ac:dyDescent="0.25">
      <c r="B69" s="5397" t="s">
        <v>226</v>
      </c>
      <c r="C69" s="3858" t="s">
        <v>2352</v>
      </c>
      <c r="D69" s="1502">
        <f>D70</f>
        <v>612676000</v>
      </c>
      <c r="E69" s="1518">
        <f>E70</f>
        <v>598100800</v>
      </c>
      <c r="F69" s="2200">
        <f>SUM(E69/D69*100)</f>
        <v>97.621059091591647</v>
      </c>
      <c r="G69" s="2220">
        <v>100</v>
      </c>
      <c r="H69" s="2071"/>
      <c r="J69" s="2085"/>
      <c r="K69" s="2085"/>
    </row>
    <row r="70" spans="1:11" s="2070" customFormat="1" ht="16.5" hidden="1" customHeight="1" x14ac:dyDescent="0.25">
      <c r="B70" s="2913"/>
      <c r="C70" s="3859" t="s">
        <v>1353</v>
      </c>
      <c r="D70" s="1499">
        <f>SUM(D71:D71)</f>
        <v>612676000</v>
      </c>
      <c r="E70" s="1539">
        <f>SUM(E71:E71)</f>
        <v>598100800</v>
      </c>
      <c r="F70" s="1435">
        <f>E70/D70*100</f>
        <v>97.621059091591647</v>
      </c>
      <c r="G70" s="3629">
        <v>100</v>
      </c>
      <c r="H70" s="2077"/>
      <c r="J70" s="2085"/>
      <c r="K70" s="2085"/>
    </row>
    <row r="71" spans="1:11" s="1639" customFormat="1" ht="15.75" hidden="1" customHeight="1" x14ac:dyDescent="0.25">
      <c r="A71" s="1637"/>
      <c r="B71" s="2913"/>
      <c r="C71" s="4104" t="s">
        <v>1354</v>
      </c>
      <c r="D71" s="1507">
        <v>612676000</v>
      </c>
      <c r="E71" s="5447">
        <v>598100800</v>
      </c>
      <c r="F71" s="1434">
        <f>E71/D71*100</f>
        <v>97.621059091591647</v>
      </c>
      <c r="G71" s="3630">
        <v>100</v>
      </c>
      <c r="H71" s="1638"/>
      <c r="J71" s="2093"/>
      <c r="K71" s="2093"/>
    </row>
    <row r="72" spans="1:11" ht="12" hidden="1" customHeight="1" x14ac:dyDescent="0.25">
      <c r="B72" s="2913"/>
      <c r="C72" s="3885"/>
      <c r="D72" s="1403"/>
      <c r="E72" s="5439"/>
      <c r="F72" s="3283"/>
      <c r="G72" s="5351"/>
      <c r="H72" s="539"/>
    </row>
    <row r="73" spans="1:11" s="2070" customFormat="1" ht="12.75" hidden="1" customHeight="1" x14ac:dyDescent="0.25">
      <c r="B73" s="5397" t="s">
        <v>227</v>
      </c>
      <c r="C73" s="3858" t="s">
        <v>2351</v>
      </c>
      <c r="D73" s="1502">
        <f>D74+D77+D80</f>
        <v>1024000000</v>
      </c>
      <c r="E73" s="1518">
        <f>E74+E77+E80</f>
        <v>943500000</v>
      </c>
      <c r="F73" s="2200">
        <f>SUM(E73/D73*100)</f>
        <v>92.138671875</v>
      </c>
      <c r="G73" s="2220">
        <v>100</v>
      </c>
      <c r="H73" s="2071"/>
      <c r="J73" s="2085"/>
      <c r="K73" s="2085"/>
    </row>
    <row r="74" spans="1:11" s="2070" customFormat="1" ht="19.5" hidden="1" customHeight="1" x14ac:dyDescent="0.25">
      <c r="B74" s="2913"/>
      <c r="C74" s="3881" t="s">
        <v>237</v>
      </c>
      <c r="D74" s="1497">
        <f>D75</f>
        <v>24000000</v>
      </c>
      <c r="E74" s="3483">
        <f>E75</f>
        <v>24000000</v>
      </c>
      <c r="F74" s="1438">
        <f>E74/D74*100</f>
        <v>100</v>
      </c>
      <c r="G74" s="2222">
        <v>100</v>
      </c>
      <c r="H74" s="2073"/>
      <c r="J74" s="2085"/>
      <c r="K74" s="2085"/>
    </row>
    <row r="75" spans="1:11" s="2074" customFormat="1" ht="16.5" hidden="1" customHeight="1" x14ac:dyDescent="0.25">
      <c r="B75" s="5401"/>
      <c r="C75" s="4104" t="s">
        <v>2446</v>
      </c>
      <c r="D75" s="1500">
        <v>24000000</v>
      </c>
      <c r="E75" s="1538">
        <v>24000000</v>
      </c>
      <c r="F75" s="1434">
        <f>E75/D75*100</f>
        <v>100</v>
      </c>
      <c r="G75" s="3025">
        <v>100</v>
      </c>
      <c r="H75" s="2076"/>
      <c r="J75" s="2127"/>
      <c r="K75" s="2127"/>
    </row>
    <row r="76" spans="1:11" s="2070" customFormat="1" ht="6.75" hidden="1" customHeight="1" x14ac:dyDescent="0.25">
      <c r="B76" s="2913"/>
      <c r="C76" s="4116"/>
      <c r="D76" s="1499"/>
      <c r="E76" s="4056"/>
      <c r="F76" s="3629"/>
      <c r="G76" s="2206"/>
      <c r="H76" s="2077"/>
      <c r="J76" s="2085"/>
      <c r="K76" s="2085"/>
    </row>
    <row r="77" spans="1:11" s="2070" customFormat="1" ht="15.75" hidden="1" customHeight="1" x14ac:dyDescent="0.25">
      <c r="B77" s="2913"/>
      <c r="C77" s="3871" t="s">
        <v>2447</v>
      </c>
      <c r="D77" s="1497">
        <f>SUM(D78:D78)</f>
        <v>625000000</v>
      </c>
      <c r="E77" s="3483">
        <f>SUM(E78:E78)</f>
        <v>546500000</v>
      </c>
      <c r="F77" s="1435">
        <f>E77/D77*100</f>
        <v>87.44</v>
      </c>
      <c r="G77" s="3632">
        <v>100</v>
      </c>
      <c r="H77" s="2073"/>
      <c r="J77" s="2085"/>
      <c r="K77" s="2085"/>
    </row>
    <row r="78" spans="1:11" s="1639" customFormat="1" ht="16.5" hidden="1" customHeight="1" x14ac:dyDescent="0.25">
      <c r="A78" s="1637"/>
      <c r="B78" s="2913"/>
      <c r="C78" s="4104" t="s">
        <v>2448</v>
      </c>
      <c r="D78" s="1507">
        <v>625000000</v>
      </c>
      <c r="E78" s="5437">
        <v>546500000</v>
      </c>
      <c r="F78" s="1434">
        <f>E78/D78*100</f>
        <v>87.44</v>
      </c>
      <c r="G78" s="3630">
        <v>100</v>
      </c>
      <c r="H78" s="1638"/>
      <c r="J78" s="2093"/>
      <c r="K78" s="2093"/>
    </row>
    <row r="79" spans="1:11" s="1639" customFormat="1" ht="7.5" hidden="1" customHeight="1" x14ac:dyDescent="0.25">
      <c r="A79" s="1637"/>
      <c r="B79" s="2913"/>
      <c r="C79" s="4104"/>
      <c r="D79" s="1507"/>
      <c r="E79" s="5438"/>
      <c r="F79" s="3280"/>
      <c r="G79" s="2415"/>
      <c r="H79" s="1638"/>
      <c r="J79" s="2093"/>
      <c r="K79" s="2093"/>
    </row>
    <row r="80" spans="1:11" s="2070" customFormat="1" ht="15.75" hidden="1" customHeight="1" x14ac:dyDescent="0.25">
      <c r="B80" s="2913"/>
      <c r="C80" s="3859" t="s">
        <v>2449</v>
      </c>
      <c r="D80" s="1499">
        <f>SUM(D81:D81)</f>
        <v>375000000</v>
      </c>
      <c r="E80" s="1539">
        <f>SUM(E81:E81)</f>
        <v>373000000</v>
      </c>
      <c r="F80" s="1435">
        <f>E80/D80*100</f>
        <v>99.466666666666669</v>
      </c>
      <c r="G80" s="3629">
        <v>100</v>
      </c>
      <c r="H80" s="2077"/>
      <c r="J80" s="2085"/>
      <c r="K80" s="2085"/>
    </row>
    <row r="81" spans="1:11" s="1639" customFormat="1" ht="14.25" hidden="1" customHeight="1" x14ac:dyDescent="0.25">
      <c r="A81" s="1637"/>
      <c r="B81" s="2913"/>
      <c r="C81" s="4104" t="s">
        <v>2450</v>
      </c>
      <c r="D81" s="1507">
        <v>375000000</v>
      </c>
      <c r="E81" s="4058">
        <v>373000000</v>
      </c>
      <c r="F81" s="1434">
        <f>E81/D81*100</f>
        <v>99.466666666666669</v>
      </c>
      <c r="G81" s="3630">
        <v>100</v>
      </c>
      <c r="H81" s="1638"/>
      <c r="J81" s="2093"/>
      <c r="K81" s="2093"/>
    </row>
    <row r="82" spans="1:11" ht="12" hidden="1" customHeight="1" x14ac:dyDescent="0.25">
      <c r="B82" s="2913"/>
      <c r="C82" s="3861"/>
      <c r="D82" s="1512"/>
      <c r="E82" s="5439"/>
      <c r="F82" s="3283"/>
      <c r="G82" s="5351"/>
      <c r="H82" s="539"/>
    </row>
    <row r="83" spans="1:11" s="2070" customFormat="1" ht="15" hidden="1" customHeight="1" x14ac:dyDescent="0.25">
      <c r="B83" s="5397" t="s">
        <v>228</v>
      </c>
      <c r="C83" s="3858" t="s">
        <v>2350</v>
      </c>
      <c r="D83" s="1502">
        <f>D84+D87</f>
        <v>2000000000</v>
      </c>
      <c r="E83" s="1518">
        <f>E84+E87</f>
        <v>1990051000</v>
      </c>
      <c r="F83" s="2200">
        <f>SUM(E83/D83*100)</f>
        <v>99.502549999999999</v>
      </c>
      <c r="G83" s="2220">
        <v>100</v>
      </c>
      <c r="H83" s="2071"/>
      <c r="J83" s="2085"/>
      <c r="K83" s="2085"/>
    </row>
    <row r="84" spans="1:11" s="2070" customFormat="1" ht="17.25" hidden="1" customHeight="1" x14ac:dyDescent="0.25">
      <c r="B84" s="2913"/>
      <c r="C84" s="3871" t="s">
        <v>2451</v>
      </c>
      <c r="D84" s="1497">
        <f>SUM(D85:D85)</f>
        <v>1000000000</v>
      </c>
      <c r="E84" s="3483">
        <f>SUM(E85:E85)</f>
        <v>996684000</v>
      </c>
      <c r="F84" s="1435">
        <f>E84/D84*100</f>
        <v>99.668400000000005</v>
      </c>
      <c r="G84" s="2222">
        <v>100</v>
      </c>
      <c r="H84" s="2073"/>
      <c r="J84" s="2085"/>
      <c r="K84" s="2085"/>
    </row>
    <row r="85" spans="1:11" s="1639" customFormat="1" ht="16.5" hidden="1" customHeight="1" x14ac:dyDescent="0.25">
      <c r="A85" s="1637"/>
      <c r="B85" s="2913"/>
      <c r="C85" s="4104" t="s">
        <v>2452</v>
      </c>
      <c r="D85" s="1507">
        <v>1000000000</v>
      </c>
      <c r="E85" s="5437">
        <v>996684000</v>
      </c>
      <c r="F85" s="1434">
        <f>E85/D85*100</f>
        <v>99.668400000000005</v>
      </c>
      <c r="G85" s="5448">
        <v>100</v>
      </c>
      <c r="H85" s="1638"/>
      <c r="J85" s="2093"/>
      <c r="K85" s="2093"/>
    </row>
    <row r="86" spans="1:11" s="1639" customFormat="1" ht="8.25" hidden="1" customHeight="1" x14ac:dyDescent="0.25">
      <c r="A86" s="1637"/>
      <c r="B86" s="2913"/>
      <c r="C86" s="4104"/>
      <c r="D86" s="1507"/>
      <c r="E86" s="5438"/>
      <c r="F86" s="3280"/>
      <c r="G86" s="2415"/>
      <c r="H86" s="1638"/>
      <c r="J86" s="2093"/>
      <c r="K86" s="2093"/>
    </row>
    <row r="87" spans="1:11" s="2070" customFormat="1" ht="15" hidden="1" customHeight="1" x14ac:dyDescent="0.25">
      <c r="B87" s="2913"/>
      <c r="C87" s="3859" t="s">
        <v>2453</v>
      </c>
      <c r="D87" s="1499">
        <f>SUM(D88+D89)</f>
        <v>1000000000</v>
      </c>
      <c r="E87" s="1539">
        <f>SUM(E88+E89)</f>
        <v>993367000</v>
      </c>
      <c r="F87" s="1435">
        <f>E87/D87*100</f>
        <v>99.336699999999993</v>
      </c>
      <c r="G87" s="2206">
        <v>100</v>
      </c>
      <c r="H87" s="2077"/>
      <c r="J87" s="2085"/>
      <c r="K87" s="2085"/>
    </row>
    <row r="88" spans="1:11" s="1639" customFormat="1" ht="15.75" hidden="1" customHeight="1" x14ac:dyDescent="0.25">
      <c r="A88" s="1637"/>
      <c r="B88" s="2913"/>
      <c r="C88" s="4104" t="s">
        <v>2454</v>
      </c>
      <c r="D88" s="1507">
        <v>664600000</v>
      </c>
      <c r="E88" s="5437">
        <v>657967000</v>
      </c>
      <c r="F88" s="1434">
        <f>E88/D88*100</f>
        <v>99.001956063797763</v>
      </c>
      <c r="G88" s="2415">
        <v>100</v>
      </c>
      <c r="H88" s="1638"/>
      <c r="J88" s="2093"/>
      <c r="K88" s="2093"/>
    </row>
    <row r="89" spans="1:11" s="1639" customFormat="1" ht="15.75" hidden="1" customHeight="1" x14ac:dyDescent="0.25">
      <c r="A89" s="1637"/>
      <c r="B89" s="2913"/>
      <c r="C89" s="4104" t="s">
        <v>2455</v>
      </c>
      <c r="D89" s="1507">
        <v>335400000</v>
      </c>
      <c r="E89" s="5437">
        <v>335400000</v>
      </c>
      <c r="F89" s="1434">
        <f>E89/D89*100</f>
        <v>100</v>
      </c>
      <c r="G89" s="2415">
        <v>100</v>
      </c>
      <c r="H89" s="1638"/>
      <c r="J89" s="2093"/>
      <c r="K89" s="2093"/>
    </row>
    <row r="90" spans="1:11" s="1639" customFormat="1" ht="11.25" hidden="1" customHeight="1" x14ac:dyDescent="0.25">
      <c r="A90" s="1637"/>
      <c r="B90" s="2913"/>
      <c r="C90" s="4104"/>
      <c r="D90" s="1507"/>
      <c r="E90" s="5437"/>
      <c r="F90" s="3280"/>
      <c r="G90" s="2415"/>
      <c r="H90" s="1638"/>
      <c r="J90" s="2093"/>
      <c r="K90" s="2093"/>
    </row>
    <row r="91" spans="1:11" s="2070" customFormat="1" ht="18.75" hidden="1" customHeight="1" x14ac:dyDescent="0.25">
      <c r="B91" s="5397" t="s">
        <v>229</v>
      </c>
      <c r="C91" s="3858" t="s">
        <v>2349</v>
      </c>
      <c r="D91" s="1502">
        <f>D92+D95+D98</f>
        <v>3000000000</v>
      </c>
      <c r="E91" s="1518">
        <f>E92+E95+E98</f>
        <v>2998327208</v>
      </c>
      <c r="F91" s="2200">
        <f>SUM(E91/D91*100)</f>
        <v>99.944240266666668</v>
      </c>
      <c r="G91" s="2220">
        <v>100</v>
      </c>
      <c r="H91" s="2071"/>
      <c r="J91" s="2085"/>
      <c r="K91" s="2085"/>
    </row>
    <row r="92" spans="1:11" s="2070" customFormat="1" ht="16.5" hidden="1" customHeight="1" x14ac:dyDescent="0.25">
      <c r="B92" s="2913"/>
      <c r="C92" s="3871" t="s">
        <v>1355</v>
      </c>
      <c r="D92" s="1497">
        <f>SUM(D93:D93)</f>
        <v>559915000</v>
      </c>
      <c r="E92" s="3483">
        <f>SUM(E93:E93)</f>
        <v>559598900</v>
      </c>
      <c r="F92" s="1435">
        <f>E92/D92*100</f>
        <v>99.943545002366434</v>
      </c>
      <c r="G92" s="3632">
        <v>100</v>
      </c>
      <c r="H92" s="2073"/>
      <c r="J92" s="2085"/>
      <c r="K92" s="2085"/>
    </row>
    <row r="93" spans="1:11" s="1639" customFormat="1" ht="15.75" hidden="1" customHeight="1" x14ac:dyDescent="0.25">
      <c r="A93" s="1637"/>
      <c r="B93" s="2913"/>
      <c r="C93" s="4104" t="s">
        <v>1356</v>
      </c>
      <c r="D93" s="1507">
        <v>559915000</v>
      </c>
      <c r="E93" s="5449">
        <v>559598900</v>
      </c>
      <c r="F93" s="1434">
        <f>E93/D93*100</f>
        <v>99.943545002366434</v>
      </c>
      <c r="G93" s="3630">
        <v>100</v>
      </c>
      <c r="H93" s="1638"/>
      <c r="J93" s="2093"/>
      <c r="K93" s="2093"/>
    </row>
    <row r="94" spans="1:11" s="1639" customFormat="1" ht="8.25" hidden="1" customHeight="1" x14ac:dyDescent="0.25">
      <c r="A94" s="1637"/>
      <c r="B94" s="2913"/>
      <c r="C94" s="4104"/>
      <c r="D94" s="1507"/>
      <c r="E94" s="5437"/>
      <c r="F94" s="3280"/>
      <c r="G94" s="2415"/>
      <c r="H94" s="1638"/>
      <c r="J94" s="2093"/>
      <c r="K94" s="2093"/>
    </row>
    <row r="95" spans="1:11" s="2070" customFormat="1" ht="17.25" hidden="1" customHeight="1" x14ac:dyDescent="0.25">
      <c r="B95" s="2913"/>
      <c r="C95" s="3859" t="s">
        <v>1357</v>
      </c>
      <c r="D95" s="1499">
        <f>D96</f>
        <v>1650150000</v>
      </c>
      <c r="E95" s="1539">
        <f>E96</f>
        <v>1649340698</v>
      </c>
      <c r="F95" s="1435">
        <f>E95/D95*100</f>
        <v>99.950955852498254</v>
      </c>
      <c r="G95" s="2206">
        <v>100</v>
      </c>
      <c r="H95" s="2077"/>
      <c r="J95" s="2085"/>
      <c r="K95" s="2085"/>
    </row>
    <row r="96" spans="1:11" s="1639" customFormat="1" ht="16.5" hidden="1" customHeight="1" x14ac:dyDescent="0.25">
      <c r="A96" s="1637"/>
      <c r="B96" s="2913"/>
      <c r="C96" s="4104" t="s">
        <v>1358</v>
      </c>
      <c r="D96" s="1507">
        <v>1650150000</v>
      </c>
      <c r="E96" s="5437">
        <v>1649340698</v>
      </c>
      <c r="F96" s="1434">
        <f>E96/D96*100</f>
        <v>99.950955852498254</v>
      </c>
      <c r="G96" s="2415">
        <v>100</v>
      </c>
      <c r="H96" s="2090"/>
      <c r="J96" s="2093"/>
      <c r="K96" s="2093"/>
    </row>
    <row r="97" spans="1:11" s="1639" customFormat="1" ht="10.5" hidden="1" customHeight="1" x14ac:dyDescent="0.25">
      <c r="A97" s="1637"/>
      <c r="B97" s="2913"/>
      <c r="C97" s="3861"/>
      <c r="D97" s="2632"/>
      <c r="E97" s="5442"/>
      <c r="F97" s="1434"/>
      <c r="G97" s="5351"/>
      <c r="H97" s="2091"/>
      <c r="J97" s="2093"/>
      <c r="K97" s="2093"/>
    </row>
    <row r="98" spans="1:11" s="1639" customFormat="1" ht="17.25" hidden="1" customHeight="1" x14ac:dyDescent="0.25">
      <c r="A98" s="1637"/>
      <c r="B98" s="2913"/>
      <c r="C98" s="3873" t="s">
        <v>1359</v>
      </c>
      <c r="D98" s="5450">
        <f>D99</f>
        <v>789935000</v>
      </c>
      <c r="E98" s="1453">
        <f>E99</f>
        <v>789387610</v>
      </c>
      <c r="F98" s="1435">
        <f>E98/D98*100</f>
        <v>99.930704425047637</v>
      </c>
      <c r="G98" s="5451">
        <v>100</v>
      </c>
      <c r="H98" s="2091"/>
      <c r="J98" s="2093"/>
      <c r="K98" s="2093"/>
    </row>
    <row r="99" spans="1:11" s="1639" customFormat="1" ht="14.25" hidden="1" customHeight="1" x14ac:dyDescent="0.25">
      <c r="A99" s="1637"/>
      <c r="B99" s="2913"/>
      <c r="C99" s="3861" t="s">
        <v>1360</v>
      </c>
      <c r="D99" s="2632">
        <v>789935000</v>
      </c>
      <c r="E99" s="5442">
        <v>789387610</v>
      </c>
      <c r="F99" s="1434">
        <f>E99/D99*100</f>
        <v>99.930704425047637</v>
      </c>
      <c r="G99" s="5351">
        <v>100</v>
      </c>
      <c r="H99" s="2091"/>
      <c r="J99" s="2093"/>
      <c r="K99" s="2093"/>
    </row>
    <row r="100" spans="1:11" ht="12" hidden="1" customHeight="1" x14ac:dyDescent="0.25">
      <c r="B100" s="5402"/>
      <c r="C100" s="3873"/>
      <c r="D100" s="1403"/>
      <c r="E100" s="5439"/>
      <c r="F100" s="1434"/>
      <c r="G100" s="5351"/>
      <c r="H100" s="539"/>
    </row>
    <row r="101" spans="1:11" s="2070" customFormat="1" ht="16.5" hidden="1" customHeight="1" x14ac:dyDescent="0.25">
      <c r="B101" s="5397" t="s">
        <v>230</v>
      </c>
      <c r="C101" s="3858" t="s">
        <v>2348</v>
      </c>
      <c r="D101" s="1502">
        <f>D102+D105+D108</f>
        <v>2000000000</v>
      </c>
      <c r="E101" s="1518">
        <f>E102+E105+E108</f>
        <v>1232056000</v>
      </c>
      <c r="F101" s="2200">
        <f>SUM(E101/D101*100)</f>
        <v>61.602800000000002</v>
      </c>
      <c r="G101" s="3631">
        <f>SUM(G102+G105+G108)/3</f>
        <v>66.666666666666671</v>
      </c>
      <c r="H101" s="2071"/>
      <c r="J101" s="2085"/>
      <c r="K101" s="2085"/>
    </row>
    <row r="102" spans="1:11" s="2070" customFormat="1" ht="20.25" hidden="1" customHeight="1" x14ac:dyDescent="0.25">
      <c r="B102" s="2913"/>
      <c r="C102" s="3871" t="s">
        <v>1361</v>
      </c>
      <c r="D102" s="1497">
        <f>SUM(D103:D103)</f>
        <v>500000000</v>
      </c>
      <c r="E102" s="1013">
        <v>0</v>
      </c>
      <c r="F102" s="1435">
        <f>E102/D102*100</f>
        <v>0</v>
      </c>
      <c r="G102" s="3632">
        <v>0</v>
      </c>
      <c r="H102" s="2073"/>
      <c r="J102" s="2085"/>
      <c r="K102" s="2085"/>
    </row>
    <row r="103" spans="1:11" s="1639" customFormat="1" ht="28.5" hidden="1" customHeight="1" x14ac:dyDescent="0.25">
      <c r="A103" s="1637"/>
      <c r="B103" s="2913"/>
      <c r="C103" s="4104" t="s">
        <v>1362</v>
      </c>
      <c r="D103" s="1507">
        <v>500000000</v>
      </c>
      <c r="E103" s="4058">
        <v>0</v>
      </c>
      <c r="F103" s="1434">
        <f>E103/D103*100</f>
        <v>0</v>
      </c>
      <c r="G103" s="3630">
        <v>0</v>
      </c>
      <c r="H103" s="1638"/>
      <c r="J103" s="2093"/>
      <c r="K103" s="2093"/>
    </row>
    <row r="104" spans="1:11" s="1639" customFormat="1" ht="9" hidden="1" customHeight="1" x14ac:dyDescent="0.25">
      <c r="A104" s="1637"/>
      <c r="B104" s="2913"/>
      <c r="C104" s="4104"/>
      <c r="D104" s="1507"/>
      <c r="E104" s="5438"/>
      <c r="F104" s="5436"/>
      <c r="G104" s="2415"/>
      <c r="H104" s="1638"/>
      <c r="J104" s="2093"/>
      <c r="K104" s="2093"/>
    </row>
    <row r="105" spans="1:11" s="2070" customFormat="1" ht="15.75" hidden="1" customHeight="1" x14ac:dyDescent="0.25">
      <c r="B105" s="2913"/>
      <c r="C105" s="3859" t="s">
        <v>1363</v>
      </c>
      <c r="D105" s="1499">
        <f>SUM(D106:D106)</f>
        <v>500000000</v>
      </c>
      <c r="E105" s="1539">
        <f>SUM(E106:E106)</f>
        <v>497256000</v>
      </c>
      <c r="F105" s="1435">
        <f>E105/D105*100</f>
        <v>99.4512</v>
      </c>
      <c r="G105" s="3629">
        <v>100</v>
      </c>
      <c r="H105" s="2077"/>
      <c r="J105" s="2085"/>
      <c r="K105" s="2085"/>
    </row>
    <row r="106" spans="1:11" s="1639" customFormat="1" ht="16.5" hidden="1" customHeight="1" x14ac:dyDescent="0.25">
      <c r="A106" s="1637"/>
      <c r="B106" s="2913"/>
      <c r="C106" s="4104" t="s">
        <v>1364</v>
      </c>
      <c r="D106" s="1507">
        <v>500000000</v>
      </c>
      <c r="E106" s="4058">
        <v>497256000</v>
      </c>
      <c r="F106" s="1434">
        <f>E106/D106*100</f>
        <v>99.4512</v>
      </c>
      <c r="G106" s="3630">
        <v>100</v>
      </c>
      <c r="H106" s="1638"/>
      <c r="J106" s="2093"/>
      <c r="K106" s="2093"/>
    </row>
    <row r="107" spans="1:11" s="1639" customFormat="1" ht="7.5" hidden="1" customHeight="1" x14ac:dyDescent="0.25">
      <c r="A107" s="1637"/>
      <c r="B107" s="2913"/>
      <c r="C107" s="4104"/>
      <c r="D107" s="1507"/>
      <c r="E107" s="5438"/>
      <c r="F107" s="3280"/>
      <c r="G107" s="2415"/>
      <c r="H107" s="1638"/>
      <c r="J107" s="2093"/>
      <c r="K107" s="2093"/>
    </row>
    <row r="108" spans="1:11" s="2070" customFormat="1" ht="16.5" hidden="1" customHeight="1" x14ac:dyDescent="0.25">
      <c r="B108" s="2913"/>
      <c r="C108" s="3859" t="s">
        <v>1365</v>
      </c>
      <c r="D108" s="1499">
        <f>SUM(D109:D109)</f>
        <v>1000000000</v>
      </c>
      <c r="E108" s="1539">
        <f>SUM(E109:E109)</f>
        <v>734800000</v>
      </c>
      <c r="F108" s="1435">
        <f>E108/D108*100</f>
        <v>73.48</v>
      </c>
      <c r="G108" s="3629">
        <v>100</v>
      </c>
      <c r="H108" s="2077"/>
      <c r="J108" s="2085"/>
      <c r="K108" s="2085"/>
    </row>
    <row r="109" spans="1:11" s="1639" customFormat="1" ht="14.25" hidden="1" customHeight="1" x14ac:dyDescent="0.25">
      <c r="A109" s="1637"/>
      <c r="B109" s="2913"/>
      <c r="C109" s="4104" t="s">
        <v>1366</v>
      </c>
      <c r="D109" s="1507">
        <v>1000000000</v>
      </c>
      <c r="E109" s="4058">
        <v>734800000</v>
      </c>
      <c r="F109" s="1434">
        <f>E109/D109*100</f>
        <v>73.48</v>
      </c>
      <c r="G109" s="3630">
        <v>100</v>
      </c>
      <c r="H109" s="1638"/>
      <c r="J109" s="2093"/>
      <c r="K109" s="2093"/>
    </row>
    <row r="110" spans="1:11" ht="12" hidden="1" customHeight="1" x14ac:dyDescent="0.25">
      <c r="B110" s="2913"/>
      <c r="C110" s="3861"/>
      <c r="D110" s="1403"/>
      <c r="E110" s="5439"/>
      <c r="F110" s="3283"/>
      <c r="G110" s="5351"/>
      <c r="H110" s="539"/>
    </row>
    <row r="111" spans="1:11" s="2070" customFormat="1" ht="18" hidden="1" customHeight="1" x14ac:dyDescent="0.25">
      <c r="B111" s="5397" t="s">
        <v>231</v>
      </c>
      <c r="C111" s="3858" t="s">
        <v>2348</v>
      </c>
      <c r="D111" s="1502">
        <f>D112+D115</f>
        <v>1000000000</v>
      </c>
      <c r="E111" s="1518">
        <f>E112+E115</f>
        <v>524130000</v>
      </c>
      <c r="F111" s="2200">
        <f>SUM(E111/D111*100)</f>
        <v>52.412999999999997</v>
      </c>
      <c r="G111" s="3631">
        <f>SUM(G112+G115)/2</f>
        <v>78.75</v>
      </c>
      <c r="H111" s="2071"/>
      <c r="J111" s="2085"/>
      <c r="K111" s="2085"/>
    </row>
    <row r="112" spans="1:11" s="2070" customFormat="1" ht="17.25" hidden="1" customHeight="1" x14ac:dyDescent="0.25">
      <c r="B112" s="2913"/>
      <c r="C112" s="3871" t="s">
        <v>1367</v>
      </c>
      <c r="D112" s="1497">
        <f>SUM(D113:D113)</f>
        <v>250000000</v>
      </c>
      <c r="E112" s="3483">
        <f>SUM(E113:E113)</f>
        <v>249500000</v>
      </c>
      <c r="F112" s="1435">
        <f>E112/D112*100</f>
        <v>99.8</v>
      </c>
      <c r="G112" s="3632">
        <v>100</v>
      </c>
      <c r="H112" s="2073"/>
      <c r="J112" s="2085"/>
      <c r="K112" s="2085"/>
    </row>
    <row r="113" spans="1:11" s="1639" customFormat="1" ht="17.25" hidden="1" customHeight="1" x14ac:dyDescent="0.25">
      <c r="A113" s="1637"/>
      <c r="B113" s="2913"/>
      <c r="C113" s="4104" t="s">
        <v>1368</v>
      </c>
      <c r="D113" s="1507">
        <v>250000000</v>
      </c>
      <c r="E113" s="4058">
        <v>249500000</v>
      </c>
      <c r="F113" s="1434">
        <f>E113/D113*100</f>
        <v>99.8</v>
      </c>
      <c r="G113" s="3630">
        <v>100</v>
      </c>
      <c r="H113" s="1638"/>
      <c r="J113" s="2093"/>
      <c r="K113" s="2093"/>
    </row>
    <row r="114" spans="1:11" s="1639" customFormat="1" ht="8.25" hidden="1" customHeight="1" x14ac:dyDescent="0.25">
      <c r="A114" s="1637"/>
      <c r="B114" s="2913"/>
      <c r="C114" s="4104"/>
      <c r="D114" s="1507"/>
      <c r="E114" s="5438"/>
      <c r="F114" s="3280"/>
      <c r="G114" s="2415"/>
      <c r="H114" s="1638"/>
      <c r="J114" s="2093"/>
      <c r="K114" s="2093"/>
    </row>
    <row r="115" spans="1:11" s="2070" customFormat="1" ht="15.75" hidden="1" customHeight="1" x14ac:dyDescent="0.25">
      <c r="B115" s="2913"/>
      <c r="C115" s="3859" t="s">
        <v>1369</v>
      </c>
      <c r="D115" s="1499">
        <f>SUM(D116:D117)</f>
        <v>750000000</v>
      </c>
      <c r="E115" s="1539">
        <f>SUM(E116:E117)</f>
        <v>274630000</v>
      </c>
      <c r="F115" s="1435">
        <f>E115/D115*100</f>
        <v>36.617333333333335</v>
      </c>
      <c r="G115" s="3629">
        <f>SUM(G116:G117)/2</f>
        <v>57.5</v>
      </c>
      <c r="H115" s="2077"/>
      <c r="J115" s="2085"/>
      <c r="K115" s="2085"/>
    </row>
    <row r="116" spans="1:11" s="1639" customFormat="1" ht="15" hidden="1" customHeight="1" x14ac:dyDescent="0.25">
      <c r="A116" s="1637"/>
      <c r="B116" s="2913"/>
      <c r="C116" s="4104" t="s">
        <v>1370</v>
      </c>
      <c r="D116" s="1507">
        <v>350000000</v>
      </c>
      <c r="E116" s="4058">
        <v>227160000</v>
      </c>
      <c r="F116" s="1434">
        <f>E116/D116*100</f>
        <v>64.902857142857144</v>
      </c>
      <c r="G116" s="3630">
        <v>100</v>
      </c>
      <c r="H116" s="1638"/>
      <c r="J116" s="2093"/>
      <c r="K116" s="2093"/>
    </row>
    <row r="117" spans="1:11" s="1639" customFormat="1" ht="16.5" hidden="1" customHeight="1" x14ac:dyDescent="0.25">
      <c r="A117" s="1637"/>
      <c r="B117" s="2913"/>
      <c r="C117" s="4104" t="s">
        <v>1371</v>
      </c>
      <c r="D117" s="1507">
        <v>400000000</v>
      </c>
      <c r="E117" s="4058">
        <v>47470000</v>
      </c>
      <c r="F117" s="1434">
        <f>E117/D117*100</f>
        <v>11.8675</v>
      </c>
      <c r="G117" s="3630">
        <v>15</v>
      </c>
      <c r="H117" s="1638"/>
      <c r="J117" s="2093"/>
      <c r="K117" s="2093"/>
    </row>
    <row r="118" spans="1:11" ht="12" hidden="1" customHeight="1" x14ac:dyDescent="0.25">
      <c r="B118" s="5398"/>
      <c r="C118" s="3861"/>
      <c r="D118" s="2648"/>
      <c r="E118" s="5439"/>
      <c r="F118" s="3283"/>
      <c r="G118" s="3284"/>
      <c r="H118" s="536"/>
    </row>
    <row r="119" spans="1:11" s="269" customFormat="1" ht="16.5" hidden="1" customHeight="1" x14ac:dyDescent="0.25">
      <c r="A119" s="350"/>
      <c r="B119" s="5397" t="s">
        <v>232</v>
      </c>
      <c r="C119" s="3858" t="s">
        <v>2346</v>
      </c>
      <c r="D119" s="1502">
        <f>SUM(D120,D123)</f>
        <v>82158529570</v>
      </c>
      <c r="E119" s="1518">
        <f>SUM(E120,E123)</f>
        <v>69370685540</v>
      </c>
      <c r="F119" s="2200">
        <f>SUM(E119/D119*100)</f>
        <v>84.435159566597875</v>
      </c>
      <c r="G119" s="2220">
        <v>100</v>
      </c>
      <c r="H119" s="550"/>
      <c r="J119" s="2069"/>
      <c r="K119" s="2069"/>
    </row>
    <row r="120" spans="1:11" s="269" customFormat="1" ht="15" hidden="1" customHeight="1" x14ac:dyDescent="0.25">
      <c r="A120" s="350"/>
      <c r="B120" s="2912"/>
      <c r="C120" s="3871" t="s">
        <v>2457</v>
      </c>
      <c r="D120" s="1497">
        <f>SUM(D121:D121)</f>
        <v>12370685540</v>
      </c>
      <c r="E120" s="3483">
        <f>SUM(E121:E121)</f>
        <v>12370685540</v>
      </c>
      <c r="F120" s="1435">
        <f>E120/D120*100</f>
        <v>100</v>
      </c>
      <c r="G120" s="2222">
        <v>100</v>
      </c>
      <c r="H120" s="551"/>
      <c r="J120" s="2069"/>
      <c r="K120" s="2069"/>
    </row>
    <row r="121" spans="1:11" ht="14.25" hidden="1" customHeight="1" x14ac:dyDescent="0.25">
      <c r="B121" s="5399"/>
      <c r="C121" s="4104" t="s">
        <v>7116</v>
      </c>
      <c r="D121" s="1126">
        <v>12370685540</v>
      </c>
      <c r="E121" s="1126">
        <v>12370685540</v>
      </c>
      <c r="F121" s="1434">
        <f>E121/D121*100</f>
        <v>100</v>
      </c>
      <c r="G121" s="3630">
        <v>100</v>
      </c>
      <c r="H121" s="535"/>
    </row>
    <row r="122" spans="1:11" ht="9" hidden="1" customHeight="1" x14ac:dyDescent="0.25">
      <c r="B122" s="5399"/>
      <c r="C122" s="4104"/>
      <c r="D122" s="1500"/>
      <c r="E122" s="5438"/>
      <c r="F122" s="3280"/>
      <c r="G122" s="3281"/>
      <c r="H122" s="535"/>
    </row>
    <row r="123" spans="1:11" ht="16.5" hidden="1" customHeight="1" x14ac:dyDescent="0.25">
      <c r="B123" s="5399"/>
      <c r="C123" s="3859" t="s">
        <v>2458</v>
      </c>
      <c r="D123" s="1499">
        <f>SUM(D124:D124)</f>
        <v>69787844030</v>
      </c>
      <c r="E123" s="1539">
        <f>SUM(E124:E124)</f>
        <v>57000000000</v>
      </c>
      <c r="F123" s="1435">
        <f>E123/D123*100</f>
        <v>81.676115364012631</v>
      </c>
      <c r="G123" s="2206">
        <v>100</v>
      </c>
      <c r="H123" s="535"/>
    </row>
    <row r="124" spans="1:11" ht="15.75" hidden="1" customHeight="1" x14ac:dyDescent="0.25">
      <c r="B124" s="5399"/>
      <c r="C124" s="4104" t="s">
        <v>2459</v>
      </c>
      <c r="D124" s="1126">
        <f>69787500000+344030</f>
        <v>69787844030</v>
      </c>
      <c r="E124" s="5437">
        <v>57000000000</v>
      </c>
      <c r="F124" s="1434">
        <f>E124/D124*100</f>
        <v>81.676115364012631</v>
      </c>
      <c r="G124" s="3281">
        <v>100</v>
      </c>
      <c r="H124" s="535"/>
    </row>
    <row r="125" spans="1:11" ht="12" hidden="1" customHeight="1" x14ac:dyDescent="0.25">
      <c r="B125" s="5399"/>
      <c r="C125" s="4104"/>
      <c r="D125" s="1507"/>
      <c r="E125" s="5438"/>
      <c r="F125" s="3279"/>
      <c r="G125" s="3279"/>
      <c r="H125" s="535"/>
    </row>
    <row r="126" spans="1:11" s="276" customFormat="1" ht="16.5" customHeight="1" x14ac:dyDescent="0.25">
      <c r="A126" s="362"/>
      <c r="B126" s="5403" t="s">
        <v>79</v>
      </c>
      <c r="C126" s="3886" t="s">
        <v>17</v>
      </c>
      <c r="D126" s="1515">
        <f>SUM(D128+D247+D819+D1279+D1521+D1741+D2157+D2308+D2773+D2953+D3101+D3413+D3657)</f>
        <v>1926421190520</v>
      </c>
      <c r="E126" s="1515">
        <f>SUM(E128+E247+E819+E1279+E1521+E1741+E2157+E2308+E2773+E2953+E3101+E3413+E3657)</f>
        <v>1767824258542</v>
      </c>
      <c r="F126" s="2621">
        <f>E126/D126*100</f>
        <v>91.767276400484889</v>
      </c>
      <c r="G126" s="2233">
        <f>SUM(G128+G247+G819+G1279+G1521+G1741+G2157+G2308+G2773+G2953+G3101+G3413+G3657)/13</f>
        <v>94.493409657186447</v>
      </c>
      <c r="H126" s="575"/>
      <c r="J126" s="2148"/>
      <c r="K126" s="2148"/>
    </row>
    <row r="127" spans="1:11" ht="8.25" hidden="1" customHeight="1" x14ac:dyDescent="0.25">
      <c r="B127" s="5402"/>
      <c r="C127" s="3873"/>
      <c r="D127" s="1516"/>
      <c r="E127" s="894"/>
      <c r="F127" s="1315"/>
      <c r="G127" s="1315"/>
      <c r="H127" s="535"/>
    </row>
    <row r="128" spans="1:11" ht="14.25" customHeight="1" x14ac:dyDescent="0.25">
      <c r="B128" s="5404"/>
      <c r="C128" s="3967" t="s">
        <v>557</v>
      </c>
      <c r="D128" s="1517">
        <f>SUM(D130+D146+D187+D192+D200+D208+D217+D224+D231+D240)</f>
        <v>174750518000</v>
      </c>
      <c r="E128" s="1517">
        <f>SUM(E130+E146+E187+E192+E200+E208+E217+E224+E231+E240)</f>
        <v>155250770403</v>
      </c>
      <c r="F128" s="1444">
        <f>E128/D128*100</f>
        <v>88.841379230131963</v>
      </c>
      <c r="G128" s="2263">
        <f>SUM(G130+G146+G187+G192+G200+G208+G217+G224+G231+G240)/10</f>
        <v>89.538034188034189</v>
      </c>
      <c r="H128" s="535"/>
    </row>
    <row r="129" spans="1:11" ht="6.75" hidden="1" customHeight="1" x14ac:dyDescent="0.25">
      <c r="B129" s="2913"/>
      <c r="C129" s="3968"/>
      <c r="D129" s="3633"/>
      <c r="E129" s="894"/>
      <c r="F129" s="1315"/>
      <c r="G129" s="1315"/>
      <c r="H129" s="535"/>
    </row>
    <row r="130" spans="1:11" s="1639" customFormat="1" ht="16.5" hidden="1" customHeight="1" x14ac:dyDescent="0.25">
      <c r="A130" s="1637"/>
      <c r="B130" s="5397"/>
      <c r="C130" s="5452" t="s">
        <v>2064</v>
      </c>
      <c r="D130" s="1518">
        <f>SUM(D131+D136+D143)</f>
        <v>51361399864</v>
      </c>
      <c r="E130" s="1518">
        <f>SUM(E131+E136+E143)</f>
        <v>42719522500</v>
      </c>
      <c r="F130" s="1462">
        <f>E130/D130*100</f>
        <v>83.174373387635754</v>
      </c>
      <c r="G130" s="2652">
        <f>SUM(G131+G136+G143)/3</f>
        <v>90.444444444444443</v>
      </c>
      <c r="H130" s="1638"/>
      <c r="J130" s="2093"/>
      <c r="K130" s="2093"/>
    </row>
    <row r="131" spans="1:11" s="1639" customFormat="1" ht="15.75" hidden="1" customHeight="1" x14ac:dyDescent="0.25">
      <c r="A131" s="1637"/>
      <c r="B131" s="2913"/>
      <c r="C131" s="5453" t="s">
        <v>288</v>
      </c>
      <c r="D131" s="1519">
        <f>SUM(D132:D134)</f>
        <v>4199950000</v>
      </c>
      <c r="E131" s="1519">
        <f>SUM(E132:E134)</f>
        <v>3121150000</v>
      </c>
      <c r="F131" s="3691">
        <f>E131/D131*100</f>
        <v>74.313979928332486</v>
      </c>
      <c r="G131" s="3691">
        <f>SUM(G132:G134)/3</f>
        <v>83.333333333333329</v>
      </c>
      <c r="H131" s="1638"/>
      <c r="J131" s="2093"/>
      <c r="K131" s="2093"/>
    </row>
    <row r="132" spans="1:11" s="1639" customFormat="1" ht="15" hidden="1" customHeight="1" x14ac:dyDescent="0.25">
      <c r="A132" s="1637"/>
      <c r="B132" s="2913"/>
      <c r="C132" s="5454" t="s">
        <v>620</v>
      </c>
      <c r="D132" s="1406">
        <v>2435900000</v>
      </c>
      <c r="E132" s="5455">
        <v>1425100000</v>
      </c>
      <c r="F132" s="1434">
        <f>E132/D132*100</f>
        <v>58.504043679954023</v>
      </c>
      <c r="G132" s="1717">
        <v>50</v>
      </c>
      <c r="H132" s="1638"/>
      <c r="J132" s="2093"/>
      <c r="K132" s="2093"/>
    </row>
    <row r="133" spans="1:11" s="1639" customFormat="1" ht="16.5" hidden="1" customHeight="1" x14ac:dyDescent="0.25">
      <c r="A133" s="1637"/>
      <c r="B133" s="2913"/>
      <c r="C133" s="5454" t="s">
        <v>2158</v>
      </c>
      <c r="D133" s="1406">
        <v>1263000000</v>
      </c>
      <c r="E133" s="3879">
        <v>1195000000</v>
      </c>
      <c r="F133" s="1434">
        <f>E133/D133*100</f>
        <v>94.615993665874896</v>
      </c>
      <c r="G133" s="3630">
        <v>100</v>
      </c>
      <c r="H133" s="1638"/>
      <c r="J133" s="2093"/>
      <c r="K133" s="2093"/>
    </row>
    <row r="134" spans="1:11" s="1639" customFormat="1" ht="15" hidden="1" customHeight="1" x14ac:dyDescent="0.25">
      <c r="A134" s="1637"/>
      <c r="B134" s="2913"/>
      <c r="C134" s="4574" t="s">
        <v>2159</v>
      </c>
      <c r="D134" s="1407">
        <v>501050000</v>
      </c>
      <c r="E134" s="3879">
        <v>501050000</v>
      </c>
      <c r="F134" s="1434">
        <f>E134/D134*100</f>
        <v>100</v>
      </c>
      <c r="G134" s="3630">
        <v>100</v>
      </c>
      <c r="H134" s="1638"/>
      <c r="J134" s="2093"/>
      <c r="K134" s="2093"/>
    </row>
    <row r="135" spans="1:11" s="1639" customFormat="1" ht="7.5" hidden="1" customHeight="1" x14ac:dyDescent="0.25">
      <c r="A135" s="1637"/>
      <c r="B135" s="2913"/>
      <c r="C135" s="5453"/>
      <c r="D135" s="1519"/>
      <c r="E135" s="5456"/>
      <c r="F135" s="2261"/>
      <c r="G135" s="767"/>
      <c r="H135" s="1638"/>
      <c r="J135" s="2093"/>
      <c r="K135" s="2093"/>
    </row>
    <row r="136" spans="1:11" s="1639" customFormat="1" ht="11.25" hidden="1" customHeight="1" x14ac:dyDescent="0.25">
      <c r="A136" s="1637"/>
      <c r="B136" s="2913"/>
      <c r="C136" s="3938" t="s">
        <v>239</v>
      </c>
      <c r="D136" s="3629">
        <f>SUM(D137:D141)</f>
        <v>31074209864</v>
      </c>
      <c r="E136" s="3629">
        <f>SUM(E137:E141)</f>
        <v>25606435000</v>
      </c>
      <c r="F136" s="3691">
        <f t="shared" ref="F136:F141" si="2">E136/D136*100</f>
        <v>82.404138712036854</v>
      </c>
      <c r="G136" s="767">
        <f>SUM(G137:G141)/5</f>
        <v>88</v>
      </c>
      <c r="H136" s="1638"/>
      <c r="J136" s="2093"/>
      <c r="K136" s="2093"/>
    </row>
    <row r="137" spans="1:11" s="1639" customFormat="1" hidden="1" x14ac:dyDescent="0.25">
      <c r="A137" s="1637"/>
      <c r="B137" s="2913"/>
      <c r="C137" s="4566" t="s">
        <v>2230</v>
      </c>
      <c r="D137" s="1407">
        <v>3348640000</v>
      </c>
      <c r="E137" s="3879">
        <v>2863000000</v>
      </c>
      <c r="F137" s="1434">
        <f t="shared" si="2"/>
        <v>85.497395957761952</v>
      </c>
      <c r="G137" s="1717">
        <v>85</v>
      </c>
      <c r="H137" s="1638"/>
      <c r="J137" s="2093"/>
      <c r="K137" s="2093"/>
    </row>
    <row r="138" spans="1:11" s="1639" customFormat="1" ht="15.75" hidden="1" customHeight="1" x14ac:dyDescent="0.25">
      <c r="A138" s="1637"/>
      <c r="B138" s="2913"/>
      <c r="C138" s="4574" t="s">
        <v>2242</v>
      </c>
      <c r="D138" s="1407">
        <v>4284545000</v>
      </c>
      <c r="E138" s="3879">
        <v>4216360000</v>
      </c>
      <c r="F138" s="1434">
        <f t="shared" si="2"/>
        <v>98.408582474918575</v>
      </c>
      <c r="G138" s="1717">
        <v>100</v>
      </c>
      <c r="H138" s="1638"/>
      <c r="J138" s="2093"/>
      <c r="K138" s="2093"/>
    </row>
    <row r="139" spans="1:11" s="1639" customFormat="1" ht="14.25" hidden="1" customHeight="1" x14ac:dyDescent="0.25">
      <c r="A139" s="1637"/>
      <c r="B139" s="2913"/>
      <c r="C139" s="4574" t="s">
        <v>2231</v>
      </c>
      <c r="D139" s="1407">
        <v>10749969864</v>
      </c>
      <c r="E139" s="3879">
        <v>8557500000</v>
      </c>
      <c r="F139" s="1434">
        <f t="shared" si="2"/>
        <v>79.604874323022571</v>
      </c>
      <c r="G139" s="1717">
        <v>80</v>
      </c>
      <c r="H139" s="1638"/>
      <c r="J139" s="2093"/>
      <c r="K139" s="2093"/>
    </row>
    <row r="140" spans="1:11" s="1639" customFormat="1" ht="13.5" hidden="1" customHeight="1" x14ac:dyDescent="0.25">
      <c r="A140" s="1637"/>
      <c r="B140" s="2913"/>
      <c r="C140" s="4574" t="s">
        <v>2232</v>
      </c>
      <c r="D140" s="1407">
        <v>9661460000</v>
      </c>
      <c r="E140" s="3879">
        <v>7198000000</v>
      </c>
      <c r="F140" s="1434">
        <f t="shared" si="2"/>
        <v>74.502197390456516</v>
      </c>
      <c r="G140" s="1717">
        <v>75</v>
      </c>
      <c r="H140" s="1638"/>
      <c r="J140" s="2093"/>
      <c r="K140" s="2093"/>
    </row>
    <row r="141" spans="1:11" s="1639" customFormat="1" ht="15.75" hidden="1" customHeight="1" x14ac:dyDescent="0.25">
      <c r="A141" s="1637"/>
      <c r="B141" s="2913"/>
      <c r="C141" s="4574" t="s">
        <v>2233</v>
      </c>
      <c r="D141" s="1407">
        <v>3029595000</v>
      </c>
      <c r="E141" s="3879">
        <v>2771575000</v>
      </c>
      <c r="F141" s="1434">
        <f t="shared" si="2"/>
        <v>91.4833500847473</v>
      </c>
      <c r="G141" s="1717">
        <v>100</v>
      </c>
      <c r="H141" s="1638"/>
      <c r="J141" s="2093"/>
      <c r="K141" s="2093"/>
    </row>
    <row r="142" spans="1:11" s="1639" customFormat="1" ht="6" hidden="1" customHeight="1" x14ac:dyDescent="0.25">
      <c r="A142" s="1637"/>
      <c r="B142" s="2913"/>
      <c r="C142" s="3971"/>
      <c r="D142" s="3557"/>
      <c r="E142" s="3879"/>
      <c r="F142" s="1434"/>
      <c r="G142" s="2692"/>
      <c r="H142" s="1638"/>
      <c r="J142" s="2093"/>
      <c r="K142" s="2093"/>
    </row>
    <row r="143" spans="1:11" s="1639" customFormat="1" ht="14.25" hidden="1" customHeight="1" x14ac:dyDescent="0.25">
      <c r="A143" s="1637"/>
      <c r="B143" s="2913"/>
      <c r="C143" s="3938" t="s">
        <v>240</v>
      </c>
      <c r="D143" s="3629">
        <f>D144</f>
        <v>16087240000</v>
      </c>
      <c r="E143" s="3629">
        <f>E144</f>
        <v>13991937500</v>
      </c>
      <c r="F143" s="1435">
        <f>E143/D143*100</f>
        <v>86.975376136615097</v>
      </c>
      <c r="G143" s="3691">
        <v>100</v>
      </c>
      <c r="H143" s="1638"/>
      <c r="J143" s="2093"/>
      <c r="K143" s="2093"/>
    </row>
    <row r="144" spans="1:11" s="1639" customFormat="1" ht="14.25" hidden="1" customHeight="1" x14ac:dyDescent="0.25">
      <c r="A144" s="1637"/>
      <c r="B144" s="2913"/>
      <c r="C144" s="4118" t="s">
        <v>2234</v>
      </c>
      <c r="D144" s="1406">
        <v>16087240000</v>
      </c>
      <c r="E144" s="3879">
        <v>13991937500</v>
      </c>
      <c r="F144" s="1434">
        <f>E144/D144*100</f>
        <v>86.975376136615097</v>
      </c>
      <c r="G144" s="1717">
        <v>100</v>
      </c>
      <c r="H144" s="1638"/>
      <c r="J144" s="2093"/>
      <c r="K144" s="2093"/>
    </row>
    <row r="145" spans="1:11" ht="6.75" hidden="1" customHeight="1" x14ac:dyDescent="0.25">
      <c r="B145" s="2913"/>
      <c r="C145" s="3972"/>
      <c r="D145" s="1520"/>
      <c r="E145" s="894"/>
      <c r="F145" s="1315"/>
      <c r="G145" s="1315"/>
      <c r="H145" s="535"/>
    </row>
    <row r="146" spans="1:11" s="1639" customFormat="1" ht="14.25" hidden="1" customHeight="1" x14ac:dyDescent="0.25">
      <c r="A146" s="1637"/>
      <c r="B146" s="5397"/>
      <c r="C146" s="3913" t="s">
        <v>241</v>
      </c>
      <c r="D146" s="3631">
        <f>SUM(D147+D150+D156+D159)</f>
        <v>14232940000</v>
      </c>
      <c r="E146" s="3631">
        <f>SUM(E147+E150+E156+E159)</f>
        <v>11970126000</v>
      </c>
      <c r="F146" s="1462">
        <f>E146/D146*100</f>
        <v>84.101570019967767</v>
      </c>
      <c r="G146" s="2652">
        <f>SUM(G147+G150+G156+G159)/4</f>
        <v>85.769230769230774</v>
      </c>
      <c r="H146" s="1638"/>
      <c r="J146" s="2093"/>
      <c r="K146" s="2093"/>
    </row>
    <row r="147" spans="1:11" s="1639" customFormat="1" ht="18.75" hidden="1" customHeight="1" x14ac:dyDescent="0.25">
      <c r="A147" s="1637"/>
      <c r="B147" s="2913"/>
      <c r="C147" s="5457" t="s">
        <v>242</v>
      </c>
      <c r="D147" s="1521">
        <f>D148</f>
        <v>1531340000</v>
      </c>
      <c r="E147" s="1521">
        <f>E148</f>
        <v>1516040000</v>
      </c>
      <c r="F147" s="3691">
        <f>E147/D147*100</f>
        <v>99.000875050609267</v>
      </c>
      <c r="G147" s="3633">
        <v>100</v>
      </c>
      <c r="H147" s="1638"/>
      <c r="J147" s="2093"/>
      <c r="K147" s="2093"/>
    </row>
    <row r="148" spans="1:11" s="1639" customFormat="1" ht="12" hidden="1" customHeight="1" x14ac:dyDescent="0.25">
      <c r="A148" s="1637"/>
      <c r="B148" s="2913"/>
      <c r="C148" s="4067" t="s">
        <v>2160</v>
      </c>
      <c r="D148" s="1407">
        <v>1531340000</v>
      </c>
      <c r="E148" s="3879">
        <v>1516040000</v>
      </c>
      <c r="F148" s="1434">
        <f>E148/D148*100</f>
        <v>99.000875050609267</v>
      </c>
      <c r="G148" s="3630">
        <v>100</v>
      </c>
      <c r="H148" s="1638"/>
      <c r="J148" s="2093"/>
      <c r="K148" s="2093"/>
    </row>
    <row r="149" spans="1:11" s="1639" customFormat="1" ht="9" hidden="1" customHeight="1" x14ac:dyDescent="0.25">
      <c r="A149" s="1637"/>
      <c r="B149" s="2913"/>
      <c r="C149" s="4118"/>
      <c r="D149" s="3630"/>
      <c r="E149" s="3879"/>
      <c r="F149" s="1434"/>
      <c r="G149" s="2261"/>
      <c r="H149" s="1638"/>
      <c r="J149" s="2093"/>
      <c r="K149" s="2093"/>
    </row>
    <row r="150" spans="1:11" s="1639" customFormat="1" ht="14.25" hidden="1" customHeight="1" x14ac:dyDescent="0.25">
      <c r="A150" s="1637"/>
      <c r="B150" s="2913"/>
      <c r="C150" s="4567" t="s">
        <v>2161</v>
      </c>
      <c r="D150" s="1522">
        <f>SUM(D151:D154)</f>
        <v>1958880000</v>
      </c>
      <c r="E150" s="1522">
        <f>SUM(E151:E154)</f>
        <v>1776937000</v>
      </c>
      <c r="F150" s="1435">
        <f>E150/D150*100</f>
        <v>90.7118863840562</v>
      </c>
      <c r="G150" s="2261">
        <f>SUM(G151:G154)/4</f>
        <v>95</v>
      </c>
      <c r="H150" s="1638"/>
      <c r="J150" s="2093"/>
      <c r="K150" s="2093"/>
    </row>
    <row r="151" spans="1:11" s="1639" customFormat="1" ht="15" hidden="1" customHeight="1" x14ac:dyDescent="0.25">
      <c r="A151" s="1637"/>
      <c r="B151" s="2913"/>
      <c r="C151" s="4566" t="s">
        <v>2581</v>
      </c>
      <c r="D151" s="1406">
        <v>407200000</v>
      </c>
      <c r="E151" s="3879">
        <v>407200000</v>
      </c>
      <c r="F151" s="1434">
        <f>E151/D151*100</f>
        <v>100</v>
      </c>
      <c r="G151" s="1717">
        <v>100</v>
      </c>
      <c r="H151" s="1638"/>
      <c r="J151" s="2093"/>
      <c r="K151" s="2093"/>
    </row>
    <row r="152" spans="1:11" s="1639" customFormat="1" ht="13.5" hidden="1" customHeight="1" x14ac:dyDescent="0.25">
      <c r="A152" s="1637"/>
      <c r="B152" s="2913"/>
      <c r="C152" s="4563" t="s">
        <v>2164</v>
      </c>
      <c r="D152" s="1523">
        <v>207700000</v>
      </c>
      <c r="E152" s="3879">
        <v>207700000</v>
      </c>
      <c r="F152" s="1434">
        <f>E152/D152*100</f>
        <v>100</v>
      </c>
      <c r="G152" s="1717">
        <v>100</v>
      </c>
      <c r="H152" s="1638"/>
      <c r="J152" s="2093"/>
      <c r="K152" s="2093"/>
    </row>
    <row r="153" spans="1:11" s="1639" customFormat="1" ht="15" hidden="1" customHeight="1" x14ac:dyDescent="0.25">
      <c r="A153" s="1637"/>
      <c r="B153" s="2913"/>
      <c r="C153" s="4563" t="s">
        <v>2163</v>
      </c>
      <c r="D153" s="1523">
        <v>478230000</v>
      </c>
      <c r="E153" s="3879">
        <v>478230000</v>
      </c>
      <c r="F153" s="1434">
        <f>E153/D153*100</f>
        <v>100</v>
      </c>
      <c r="G153" s="3630">
        <v>100</v>
      </c>
      <c r="H153" s="1638"/>
      <c r="J153" s="2093"/>
      <c r="K153" s="2093"/>
    </row>
    <row r="154" spans="1:11" s="1639" customFormat="1" ht="12" hidden="1" customHeight="1" x14ac:dyDescent="0.25">
      <c r="A154" s="1637"/>
      <c r="B154" s="2913"/>
      <c r="C154" s="4563" t="s">
        <v>2162</v>
      </c>
      <c r="D154" s="1523">
        <v>865750000</v>
      </c>
      <c r="E154" s="3879">
        <v>683807000</v>
      </c>
      <c r="F154" s="1434">
        <f>E154/D154*100</f>
        <v>78.984348830493786</v>
      </c>
      <c r="G154" s="1717">
        <v>80</v>
      </c>
      <c r="H154" s="1638"/>
      <c r="J154" s="2093"/>
      <c r="K154" s="2093"/>
    </row>
    <row r="155" spans="1:11" s="1639" customFormat="1" ht="6" hidden="1" customHeight="1" x14ac:dyDescent="0.25">
      <c r="A155" s="1637"/>
      <c r="B155" s="2913"/>
      <c r="C155" s="4118"/>
      <c r="D155" s="3630"/>
      <c r="E155" s="3879"/>
      <c r="F155" s="2261"/>
      <c r="G155" s="2261"/>
      <c r="H155" s="1638"/>
      <c r="J155" s="2093"/>
      <c r="K155" s="2093"/>
    </row>
    <row r="156" spans="1:11" s="1639" customFormat="1" ht="29.25" hidden="1" customHeight="1" x14ac:dyDescent="0.25">
      <c r="A156" s="1637"/>
      <c r="B156" s="2913"/>
      <c r="C156" s="4555" t="s">
        <v>2165</v>
      </c>
      <c r="D156" s="1524">
        <f>SUM(D157:D157)</f>
        <v>3472100000</v>
      </c>
      <c r="E156" s="1524">
        <f>SUM(E157:E157)</f>
        <v>1680200000</v>
      </c>
      <c r="F156" s="1435">
        <f>E156/D156*100</f>
        <v>48.391463379510959</v>
      </c>
      <c r="G156" s="3600">
        <v>50</v>
      </c>
      <c r="H156" s="1638"/>
      <c r="J156" s="4515"/>
      <c r="K156" s="4514"/>
    </row>
    <row r="157" spans="1:11" s="1639" customFormat="1" ht="13.5" hidden="1" customHeight="1" x14ac:dyDescent="0.25">
      <c r="A157" s="1637"/>
      <c r="B157" s="2913"/>
      <c r="C157" s="4563" t="s">
        <v>2166</v>
      </c>
      <c r="D157" s="1523">
        <v>3472100000</v>
      </c>
      <c r="E157" s="3879">
        <v>1680200000</v>
      </c>
      <c r="F157" s="1434">
        <f>E157/D157*100</f>
        <v>48.391463379510959</v>
      </c>
      <c r="G157" s="1717">
        <v>50</v>
      </c>
      <c r="H157" s="1638"/>
      <c r="J157" s="2093"/>
      <c r="K157" s="2093"/>
    </row>
    <row r="158" spans="1:11" s="1639" customFormat="1" ht="5.25" hidden="1" customHeight="1" x14ac:dyDescent="0.25">
      <c r="A158" s="1637"/>
      <c r="B158" s="2913"/>
      <c r="C158" s="3896"/>
      <c r="D158" s="797"/>
      <c r="E158" s="3879"/>
      <c r="F158" s="3648"/>
      <c r="G158" s="3648"/>
      <c r="H158" s="1638"/>
      <c r="J158" s="2093"/>
      <c r="K158" s="2093"/>
    </row>
    <row r="159" spans="1:11" s="1639" customFormat="1" ht="16.5" hidden="1" customHeight="1" x14ac:dyDescent="0.25">
      <c r="A159" s="1637"/>
      <c r="B159" s="2913"/>
      <c r="C159" s="4567" t="s">
        <v>2167</v>
      </c>
      <c r="D159" s="1522">
        <f>SUM(D160:D185)</f>
        <v>7270620000</v>
      </c>
      <c r="E159" s="1522">
        <f>SUM(E160:E185)</f>
        <v>6996949000</v>
      </c>
      <c r="F159" s="1435">
        <f t="shared" ref="F159:F185" si="3">E159/D159*100</f>
        <v>96.23593311161909</v>
      </c>
      <c r="G159" s="2261">
        <f>SUM(G160:G185)/26</f>
        <v>98.07692307692308</v>
      </c>
      <c r="H159" s="1638"/>
      <c r="J159" s="2093"/>
      <c r="K159" s="2093"/>
    </row>
    <row r="160" spans="1:11" s="1639" customFormat="1" ht="12.75" hidden="1" customHeight="1" x14ac:dyDescent="0.25">
      <c r="A160" s="1637"/>
      <c r="B160" s="2913"/>
      <c r="C160" s="4574" t="s">
        <v>2168</v>
      </c>
      <c r="D160" s="1407">
        <v>463120000</v>
      </c>
      <c r="E160" s="3879">
        <v>463120000</v>
      </c>
      <c r="F160" s="1434">
        <f t="shared" si="3"/>
        <v>100</v>
      </c>
      <c r="G160" s="1717">
        <v>100</v>
      </c>
      <c r="H160" s="1638"/>
      <c r="J160" s="2093"/>
      <c r="K160" s="2093"/>
    </row>
    <row r="161" spans="1:11" s="1639" customFormat="1" ht="13.5" hidden="1" customHeight="1" x14ac:dyDescent="0.25">
      <c r="A161" s="1637"/>
      <c r="B161" s="2913"/>
      <c r="C161" s="4574" t="s">
        <v>2169</v>
      </c>
      <c r="D161" s="1407">
        <v>476600000</v>
      </c>
      <c r="E161" s="3879">
        <v>415000000</v>
      </c>
      <c r="F161" s="1434">
        <f t="shared" si="3"/>
        <v>87.075115400755351</v>
      </c>
      <c r="G161" s="1717">
        <v>90</v>
      </c>
      <c r="H161" s="1638"/>
      <c r="J161" s="2093"/>
      <c r="K161" s="2093"/>
    </row>
    <row r="162" spans="1:11" s="1639" customFormat="1" ht="15" hidden="1" customHeight="1" x14ac:dyDescent="0.25">
      <c r="A162" s="1637"/>
      <c r="B162" s="2913"/>
      <c r="C162" s="4574" t="s">
        <v>2171</v>
      </c>
      <c r="D162" s="1407">
        <v>630000000</v>
      </c>
      <c r="E162" s="3879">
        <v>630000000</v>
      </c>
      <c r="F162" s="1434">
        <f t="shared" si="3"/>
        <v>100</v>
      </c>
      <c r="G162" s="1717">
        <v>100</v>
      </c>
      <c r="H162" s="1638"/>
      <c r="J162" s="2093"/>
      <c r="K162" s="2093"/>
    </row>
    <row r="163" spans="1:11" s="1639" customFormat="1" ht="14.25" hidden="1" customHeight="1" x14ac:dyDescent="0.25">
      <c r="A163" s="1637"/>
      <c r="B163" s="2913"/>
      <c r="C163" s="4574" t="s">
        <v>2170</v>
      </c>
      <c r="D163" s="1407">
        <v>156800000</v>
      </c>
      <c r="E163" s="3879">
        <v>156800000</v>
      </c>
      <c r="F163" s="1434">
        <f t="shared" si="3"/>
        <v>100</v>
      </c>
      <c r="G163" s="1717">
        <v>100</v>
      </c>
      <c r="H163" s="1638"/>
      <c r="J163" s="2093"/>
      <c r="K163" s="2093"/>
    </row>
    <row r="164" spans="1:11" s="1639" customFormat="1" ht="11.25" hidden="1" customHeight="1" x14ac:dyDescent="0.25">
      <c r="A164" s="1637"/>
      <c r="B164" s="2913"/>
      <c r="C164" s="4574" t="s">
        <v>2172</v>
      </c>
      <c r="D164" s="1407">
        <v>318560000</v>
      </c>
      <c r="E164" s="3879">
        <v>306560000</v>
      </c>
      <c r="F164" s="1434">
        <f t="shared" si="3"/>
        <v>96.233048719236564</v>
      </c>
      <c r="G164" s="1717">
        <v>100</v>
      </c>
      <c r="H164" s="1638"/>
      <c r="J164" s="2093"/>
      <c r="K164" s="2093"/>
    </row>
    <row r="165" spans="1:11" s="1639" customFormat="1" ht="13.5" hidden="1" customHeight="1" x14ac:dyDescent="0.25">
      <c r="A165" s="1637"/>
      <c r="B165" s="2913"/>
      <c r="C165" s="4574" t="s">
        <v>2173</v>
      </c>
      <c r="D165" s="1407">
        <v>423000000</v>
      </c>
      <c r="E165" s="3879">
        <v>423000000</v>
      </c>
      <c r="F165" s="1434">
        <f t="shared" si="3"/>
        <v>100</v>
      </c>
      <c r="G165" s="1717">
        <v>100</v>
      </c>
      <c r="H165" s="1638"/>
      <c r="J165" s="2093"/>
      <c r="K165" s="2093"/>
    </row>
    <row r="166" spans="1:11" s="1639" customFormat="1" ht="13.5" hidden="1" customHeight="1" x14ac:dyDescent="0.25">
      <c r="A166" s="1637"/>
      <c r="B166" s="2913"/>
      <c r="C166" s="5458" t="s">
        <v>2174</v>
      </c>
      <c r="D166" s="1523">
        <v>191920000</v>
      </c>
      <c r="E166" s="3879">
        <v>191920000</v>
      </c>
      <c r="F166" s="1434">
        <f t="shared" si="3"/>
        <v>100</v>
      </c>
      <c r="G166" s="1717">
        <v>100</v>
      </c>
      <c r="H166" s="1638"/>
      <c r="J166" s="2093"/>
      <c r="K166" s="2093"/>
    </row>
    <row r="167" spans="1:11" s="1639" customFormat="1" ht="15" hidden="1" customHeight="1" x14ac:dyDescent="0.25">
      <c r="A167" s="1637"/>
      <c r="B167" s="2913"/>
      <c r="C167" s="4574" t="s">
        <v>7333</v>
      </c>
      <c r="D167" s="1407">
        <v>261920000</v>
      </c>
      <c r="E167" s="3879">
        <v>261920000</v>
      </c>
      <c r="F167" s="1434">
        <f t="shared" si="3"/>
        <v>100</v>
      </c>
      <c r="G167" s="1717">
        <v>100</v>
      </c>
      <c r="H167" s="1638"/>
      <c r="J167" s="2093"/>
      <c r="K167" s="2093"/>
    </row>
    <row r="168" spans="1:11" s="1639" customFormat="1" ht="11.25" hidden="1" customHeight="1" x14ac:dyDescent="0.25">
      <c r="A168" s="1637"/>
      <c r="B168" s="2913"/>
      <c r="C168" s="4574" t="s">
        <v>7334</v>
      </c>
      <c r="D168" s="1407">
        <v>276920000</v>
      </c>
      <c r="E168" s="3879">
        <v>276920000</v>
      </c>
      <c r="F168" s="1434">
        <f t="shared" si="3"/>
        <v>100</v>
      </c>
      <c r="G168" s="1717">
        <v>100</v>
      </c>
      <c r="H168" s="1638"/>
      <c r="J168" s="2093"/>
      <c r="K168" s="2093"/>
    </row>
    <row r="169" spans="1:11" s="1639" customFormat="1" ht="13.5" hidden="1" customHeight="1" x14ac:dyDescent="0.25">
      <c r="A169" s="1637"/>
      <c r="B169" s="2913"/>
      <c r="C169" s="4574" t="s">
        <v>7335</v>
      </c>
      <c r="D169" s="1407">
        <v>434120000</v>
      </c>
      <c r="E169" s="3879">
        <v>434120000</v>
      </c>
      <c r="F169" s="1434">
        <f t="shared" si="3"/>
        <v>100</v>
      </c>
      <c r="G169" s="1717">
        <v>100</v>
      </c>
      <c r="H169" s="1638"/>
      <c r="J169" s="2093"/>
      <c r="K169" s="2093"/>
    </row>
    <row r="170" spans="1:11" s="1639" customFormat="1" ht="16.5" hidden="1" customHeight="1" x14ac:dyDescent="0.25">
      <c r="A170" s="1637"/>
      <c r="B170" s="2913"/>
      <c r="C170" s="4574" t="s">
        <v>7336</v>
      </c>
      <c r="D170" s="1407">
        <v>233100000</v>
      </c>
      <c r="E170" s="3879">
        <v>225600000</v>
      </c>
      <c r="F170" s="1434">
        <f t="shared" si="3"/>
        <v>96.782496782496779</v>
      </c>
      <c r="G170" s="1717">
        <v>100</v>
      </c>
      <c r="H170" s="1638"/>
      <c r="J170" s="2093"/>
      <c r="K170" s="2093"/>
    </row>
    <row r="171" spans="1:11" s="1639" customFormat="1" ht="12" hidden="1" customHeight="1" x14ac:dyDescent="0.25">
      <c r="A171" s="1637"/>
      <c r="B171" s="2913"/>
      <c r="C171" s="4574" t="s">
        <v>7337</v>
      </c>
      <c r="D171" s="1407">
        <v>252800000</v>
      </c>
      <c r="E171" s="865">
        <v>228800000</v>
      </c>
      <c r="F171" s="1434">
        <f t="shared" si="3"/>
        <v>90.506329113924053</v>
      </c>
      <c r="G171" s="1717">
        <v>100</v>
      </c>
      <c r="H171" s="1638"/>
      <c r="J171" s="2093"/>
      <c r="K171" s="2093"/>
    </row>
    <row r="172" spans="1:11" s="1639" customFormat="1" ht="14.25" hidden="1" customHeight="1" x14ac:dyDescent="0.25">
      <c r="A172" s="1637"/>
      <c r="B172" s="2913"/>
      <c r="C172" s="4574" t="s">
        <v>7338</v>
      </c>
      <c r="D172" s="1407">
        <v>239600000</v>
      </c>
      <c r="E172" s="865">
        <v>196050000</v>
      </c>
      <c r="F172" s="1434">
        <f t="shared" si="3"/>
        <v>81.823873121869781</v>
      </c>
      <c r="G172" s="1717">
        <v>90</v>
      </c>
      <c r="H172" s="1638"/>
      <c r="J172" s="2093"/>
      <c r="K172" s="2093"/>
    </row>
    <row r="173" spans="1:11" s="1639" customFormat="1" ht="15" hidden="1" customHeight="1" x14ac:dyDescent="0.25">
      <c r="A173" s="1637"/>
      <c r="B173" s="2913"/>
      <c r="C173" s="4574" t="s">
        <v>7339</v>
      </c>
      <c r="D173" s="1407">
        <v>440120000</v>
      </c>
      <c r="E173" s="865">
        <v>406120000</v>
      </c>
      <c r="F173" s="1434">
        <f t="shared" si="3"/>
        <v>92.27483413614469</v>
      </c>
      <c r="G173" s="1717">
        <v>90</v>
      </c>
      <c r="H173" s="1638"/>
      <c r="J173" s="2093"/>
      <c r="K173" s="2093"/>
    </row>
    <row r="174" spans="1:11" s="1639" customFormat="1" ht="15" hidden="1" customHeight="1" x14ac:dyDescent="0.25">
      <c r="A174" s="1637"/>
      <c r="B174" s="2913"/>
      <c r="C174" s="4574" t="s">
        <v>7340</v>
      </c>
      <c r="D174" s="1407">
        <v>167920000</v>
      </c>
      <c r="E174" s="865">
        <v>167920000</v>
      </c>
      <c r="F174" s="1434">
        <f t="shared" si="3"/>
        <v>100</v>
      </c>
      <c r="G174" s="1717">
        <v>100</v>
      </c>
      <c r="H174" s="1638"/>
      <c r="J174" s="2093"/>
      <c r="K174" s="2093"/>
    </row>
    <row r="175" spans="1:11" s="1639" customFormat="1" ht="12" hidden="1" customHeight="1" x14ac:dyDescent="0.25">
      <c r="A175" s="1637"/>
      <c r="B175" s="2913"/>
      <c r="C175" s="4574" t="s">
        <v>7341</v>
      </c>
      <c r="D175" s="1407">
        <v>205400000</v>
      </c>
      <c r="E175" s="865">
        <v>192400000</v>
      </c>
      <c r="F175" s="1434">
        <f t="shared" si="3"/>
        <v>93.670886075949369</v>
      </c>
      <c r="G175" s="1717">
        <v>100</v>
      </c>
      <c r="H175" s="1638"/>
      <c r="J175" s="2093"/>
      <c r="K175" s="2093"/>
    </row>
    <row r="176" spans="1:11" s="1639" customFormat="1" ht="15" hidden="1" customHeight="1" x14ac:dyDescent="0.25">
      <c r="A176" s="1637"/>
      <c r="B176" s="2913"/>
      <c r="C176" s="4574" t="s">
        <v>7342</v>
      </c>
      <c r="D176" s="1407">
        <v>299920000</v>
      </c>
      <c r="E176" s="865">
        <v>269920000</v>
      </c>
      <c r="F176" s="1434">
        <f t="shared" si="3"/>
        <v>89.997332622032545</v>
      </c>
      <c r="G176" s="1717">
        <v>100</v>
      </c>
      <c r="H176" s="1638"/>
      <c r="J176" s="2093"/>
      <c r="K176" s="2093"/>
    </row>
    <row r="177" spans="1:11" s="1639" customFormat="1" ht="14.25" hidden="1" customHeight="1" x14ac:dyDescent="0.25">
      <c r="A177" s="1637"/>
      <c r="B177" s="2913"/>
      <c r="C177" s="4574" t="s">
        <v>7343</v>
      </c>
      <c r="D177" s="1407">
        <v>197000000</v>
      </c>
      <c r="E177" s="865">
        <v>197000000</v>
      </c>
      <c r="F177" s="1434">
        <f t="shared" si="3"/>
        <v>100</v>
      </c>
      <c r="G177" s="1717">
        <v>100</v>
      </c>
      <c r="H177" s="1638"/>
      <c r="J177" s="2093"/>
      <c r="K177" s="2093"/>
    </row>
    <row r="178" spans="1:11" s="1639" customFormat="1" ht="15.75" hidden="1" customHeight="1" x14ac:dyDescent="0.25">
      <c r="A178" s="1637"/>
      <c r="B178" s="2913"/>
      <c r="C178" s="4574" t="s">
        <v>7344</v>
      </c>
      <c r="D178" s="1407">
        <v>199800000</v>
      </c>
      <c r="E178" s="865">
        <v>199800000</v>
      </c>
      <c r="F178" s="1434">
        <f t="shared" si="3"/>
        <v>100</v>
      </c>
      <c r="G178" s="1717">
        <v>100</v>
      </c>
      <c r="H178" s="1638"/>
      <c r="J178" s="2093"/>
      <c r="K178" s="2093"/>
    </row>
    <row r="179" spans="1:11" s="1639" customFormat="1" ht="15" hidden="1" customHeight="1" x14ac:dyDescent="0.25">
      <c r="A179" s="1637"/>
      <c r="B179" s="2913"/>
      <c r="C179" s="4574" t="s">
        <v>7345</v>
      </c>
      <c r="D179" s="1407">
        <v>162800000</v>
      </c>
      <c r="E179" s="865">
        <v>162800000</v>
      </c>
      <c r="F179" s="1434">
        <f t="shared" si="3"/>
        <v>100</v>
      </c>
      <c r="G179" s="1717">
        <v>100</v>
      </c>
      <c r="H179" s="1638"/>
      <c r="J179" s="2093"/>
      <c r="K179" s="2093"/>
    </row>
    <row r="180" spans="1:11" s="1639" customFormat="1" ht="15" hidden="1" customHeight="1" x14ac:dyDescent="0.25">
      <c r="A180" s="1637"/>
      <c r="B180" s="2913"/>
      <c r="C180" s="4574" t="s">
        <v>7346</v>
      </c>
      <c r="D180" s="1407">
        <v>330000000</v>
      </c>
      <c r="E180" s="865">
        <v>330000000</v>
      </c>
      <c r="F180" s="1434">
        <f t="shared" si="3"/>
        <v>100</v>
      </c>
      <c r="G180" s="1717">
        <v>100</v>
      </c>
      <c r="H180" s="1638"/>
      <c r="J180" s="2093"/>
      <c r="K180" s="2093"/>
    </row>
    <row r="181" spans="1:11" s="1639" customFormat="1" ht="14.25" hidden="1" customHeight="1" x14ac:dyDescent="0.25">
      <c r="A181" s="1637"/>
      <c r="B181" s="2913"/>
      <c r="C181" s="4574" t="s">
        <v>7347</v>
      </c>
      <c r="D181" s="1407">
        <v>220800000</v>
      </c>
      <c r="E181" s="865">
        <v>172800000</v>
      </c>
      <c r="F181" s="1434">
        <f t="shared" si="3"/>
        <v>78.260869565217391</v>
      </c>
      <c r="G181" s="1717">
        <v>80</v>
      </c>
      <c r="H181" s="1638"/>
      <c r="J181" s="2093"/>
      <c r="K181" s="2093"/>
    </row>
    <row r="182" spans="1:11" s="1639" customFormat="1" ht="15" hidden="1" customHeight="1" x14ac:dyDescent="0.25">
      <c r="A182" s="1637"/>
      <c r="B182" s="2913"/>
      <c r="C182" s="4574" t="s">
        <v>7348</v>
      </c>
      <c r="D182" s="1407">
        <v>270800000</v>
      </c>
      <c r="E182" s="865">
        <v>270800000</v>
      </c>
      <c r="F182" s="1434">
        <f t="shared" si="3"/>
        <v>100</v>
      </c>
      <c r="G182" s="1717">
        <v>100</v>
      </c>
      <c r="H182" s="1638"/>
      <c r="J182" s="2093"/>
      <c r="K182" s="2093"/>
    </row>
    <row r="183" spans="1:11" s="1639" customFormat="1" ht="14.25" hidden="1" customHeight="1" x14ac:dyDescent="0.25">
      <c r="A183" s="1637"/>
      <c r="B183" s="2913"/>
      <c r="C183" s="4574" t="s">
        <v>7349</v>
      </c>
      <c r="D183" s="1407">
        <v>100000000</v>
      </c>
      <c r="E183" s="865">
        <v>100000000</v>
      </c>
      <c r="F183" s="1434">
        <f t="shared" si="3"/>
        <v>100</v>
      </c>
      <c r="G183" s="1717">
        <v>100</v>
      </c>
      <c r="H183" s="1638"/>
      <c r="J183" s="2093"/>
      <c r="K183" s="2093"/>
    </row>
    <row r="184" spans="1:11" s="1639" customFormat="1" ht="15" hidden="1" customHeight="1" x14ac:dyDescent="0.25">
      <c r="A184" s="1637"/>
      <c r="B184" s="2913"/>
      <c r="C184" s="4574" t="s">
        <v>7350</v>
      </c>
      <c r="D184" s="1407">
        <v>100000000</v>
      </c>
      <c r="E184" s="865">
        <v>100000000</v>
      </c>
      <c r="F184" s="1434">
        <f t="shared" si="3"/>
        <v>100</v>
      </c>
      <c r="G184" s="1717">
        <v>100</v>
      </c>
      <c r="H184" s="1638"/>
      <c r="J184" s="2093"/>
      <c r="K184" s="2093"/>
    </row>
    <row r="185" spans="1:11" s="1639" customFormat="1" ht="15.75" hidden="1" customHeight="1" x14ac:dyDescent="0.25">
      <c r="A185" s="1637"/>
      <c r="B185" s="2913"/>
      <c r="C185" s="4574" t="s">
        <v>7351</v>
      </c>
      <c r="D185" s="1407">
        <v>217600000</v>
      </c>
      <c r="E185" s="865">
        <v>217579000</v>
      </c>
      <c r="F185" s="1434">
        <f t="shared" si="3"/>
        <v>99.990349264705884</v>
      </c>
      <c r="G185" s="1717">
        <v>100</v>
      </c>
      <c r="H185" s="1638"/>
      <c r="J185" s="2093"/>
      <c r="K185" s="2093"/>
    </row>
    <row r="186" spans="1:11" ht="7.5" hidden="1" customHeight="1" x14ac:dyDescent="0.25">
      <c r="B186" s="2913"/>
      <c r="C186" s="3972"/>
      <c r="D186" s="1520"/>
      <c r="E186" s="788"/>
      <c r="F186" s="2285"/>
      <c r="G186" s="2285"/>
      <c r="H186" s="535"/>
    </row>
    <row r="187" spans="1:11" s="1639" customFormat="1" ht="15.75" hidden="1" customHeight="1" x14ac:dyDescent="0.25">
      <c r="A187" s="1637"/>
      <c r="B187" s="5397"/>
      <c r="C187" s="3913" t="s">
        <v>358</v>
      </c>
      <c r="D187" s="1518">
        <f>D188</f>
        <v>5500000000</v>
      </c>
      <c r="E187" s="1518">
        <f>E188</f>
        <v>5438022873</v>
      </c>
      <c r="F187" s="1462">
        <f>E187/D187*100</f>
        <v>98.873143145454549</v>
      </c>
      <c r="G187" s="2356">
        <v>100</v>
      </c>
      <c r="H187" s="1638"/>
      <c r="J187" s="2093">
        <v>5500000000</v>
      </c>
      <c r="K187" s="2093">
        <v>5438022873</v>
      </c>
    </row>
    <row r="188" spans="1:11" s="1639" customFormat="1" ht="13.5" hidden="1" customHeight="1" x14ac:dyDescent="0.25">
      <c r="A188" s="1637"/>
      <c r="B188" s="2913"/>
      <c r="C188" s="5459" t="s">
        <v>2237</v>
      </c>
      <c r="D188" s="1525">
        <f>D189+D190</f>
        <v>5500000000</v>
      </c>
      <c r="E188" s="1525">
        <f>E189+E190</f>
        <v>5438022873</v>
      </c>
      <c r="F188" s="3691">
        <f>E188/D188*100</f>
        <v>98.873143145454549</v>
      </c>
      <c r="G188" s="2259">
        <v>100</v>
      </c>
      <c r="H188" s="1638"/>
      <c r="J188" s="2093"/>
      <c r="K188" s="2093"/>
    </row>
    <row r="189" spans="1:11" s="1639" customFormat="1" ht="14.25" hidden="1" customHeight="1" x14ac:dyDescent="0.25">
      <c r="A189" s="1637"/>
      <c r="B189" s="2913"/>
      <c r="C189" s="4067" t="s">
        <v>2065</v>
      </c>
      <c r="D189" s="880">
        <v>3369396848</v>
      </c>
      <c r="E189" s="865">
        <v>3308636000</v>
      </c>
      <c r="F189" s="1434">
        <f>E189/D189*100</f>
        <v>98.196684726049227</v>
      </c>
      <c r="G189" s="798">
        <v>100</v>
      </c>
      <c r="H189" s="1638"/>
      <c r="J189" s="2093"/>
      <c r="K189" s="2093"/>
    </row>
    <row r="190" spans="1:11" s="1639" customFormat="1" ht="14.25" hidden="1" customHeight="1" x14ac:dyDescent="0.25">
      <c r="A190" s="1637"/>
      <c r="B190" s="2913"/>
      <c r="C190" s="4067" t="s">
        <v>2238</v>
      </c>
      <c r="D190" s="880">
        <v>2130603152</v>
      </c>
      <c r="E190" s="666">
        <v>2129386873</v>
      </c>
      <c r="F190" s="1434">
        <f>E190/D190*100</f>
        <v>99.942913864608798</v>
      </c>
      <c r="G190" s="1717">
        <v>100</v>
      </c>
      <c r="H190" s="1638"/>
      <c r="J190" s="2093"/>
      <c r="K190" s="2093"/>
    </row>
    <row r="191" spans="1:11" ht="10.5" hidden="1" customHeight="1" x14ac:dyDescent="0.25">
      <c r="B191" s="2913"/>
      <c r="C191" s="3977"/>
      <c r="D191" s="1526"/>
      <c r="E191" s="969"/>
      <c r="F191" s="2279"/>
      <c r="G191" s="2279"/>
      <c r="H191" s="535"/>
    </row>
    <row r="192" spans="1:11" s="1639" customFormat="1" ht="16.5" hidden="1" customHeight="1" x14ac:dyDescent="0.25">
      <c r="A192" s="1637"/>
      <c r="B192" s="5397"/>
      <c r="C192" s="3913" t="s">
        <v>274</v>
      </c>
      <c r="D192" s="3631">
        <f>SUM(D193+D196)</f>
        <v>9633858000</v>
      </c>
      <c r="E192" s="3631">
        <f>SUM(E193+E196)</f>
        <v>7536637000</v>
      </c>
      <c r="F192" s="1462">
        <f>E192/D192*100</f>
        <v>78.230725426926568</v>
      </c>
      <c r="G192" s="1726">
        <v>100</v>
      </c>
      <c r="H192" s="1638"/>
      <c r="J192" s="2093">
        <v>9633858000</v>
      </c>
      <c r="K192" s="2093">
        <v>7536637000</v>
      </c>
    </row>
    <row r="193" spans="1:11" s="1639" customFormat="1" ht="14.25" hidden="1" customHeight="1" x14ac:dyDescent="0.25">
      <c r="A193" s="1637"/>
      <c r="B193" s="2913"/>
      <c r="C193" s="3968" t="s">
        <v>275</v>
      </c>
      <c r="D193" s="3633">
        <f>D194</f>
        <v>1131768000</v>
      </c>
      <c r="E193" s="3633">
        <f>E194</f>
        <v>1121268000</v>
      </c>
      <c r="F193" s="3691">
        <f>E193/D193*100</f>
        <v>99.072248022562931</v>
      </c>
      <c r="G193" s="3633">
        <v>100</v>
      </c>
      <c r="H193" s="1638"/>
      <c r="J193" s="2093"/>
      <c r="K193" s="2093"/>
    </row>
    <row r="194" spans="1:11" s="1639" customFormat="1" ht="13.5" hidden="1" customHeight="1" x14ac:dyDescent="0.25">
      <c r="A194" s="1637"/>
      <c r="B194" s="2913"/>
      <c r="C194" s="4563" t="s">
        <v>2194</v>
      </c>
      <c r="D194" s="1406">
        <v>1131768000</v>
      </c>
      <c r="E194" s="3879">
        <v>1121268000</v>
      </c>
      <c r="F194" s="1434">
        <f>E194/D194*100</f>
        <v>99.072248022562931</v>
      </c>
      <c r="G194" s="3630">
        <v>100</v>
      </c>
      <c r="H194" s="1638"/>
      <c r="J194" s="2093"/>
      <c r="K194" s="2093"/>
    </row>
    <row r="195" spans="1:11" s="1639" customFormat="1" ht="9" hidden="1" customHeight="1" x14ac:dyDescent="0.25">
      <c r="A195" s="1637"/>
      <c r="B195" s="2913"/>
      <c r="C195" s="5460"/>
      <c r="D195" s="5461"/>
      <c r="E195" s="3879"/>
      <c r="F195" s="1434"/>
      <c r="G195" s="3648"/>
      <c r="H195" s="1638"/>
      <c r="J195" s="2093"/>
      <c r="K195" s="2093"/>
    </row>
    <row r="196" spans="1:11" s="1639" customFormat="1" ht="20.25" hidden="1" customHeight="1" x14ac:dyDescent="0.25">
      <c r="A196" s="1637"/>
      <c r="B196" s="2913"/>
      <c r="C196" s="5462" t="s">
        <v>1887</v>
      </c>
      <c r="D196" s="3629">
        <f>SUM(D197:D198)</f>
        <v>8502090000</v>
      </c>
      <c r="E196" s="3629">
        <f>SUM(E197:E198)</f>
        <v>6415369000</v>
      </c>
      <c r="F196" s="1435">
        <f>E196/D196*100</f>
        <v>75.45637602048437</v>
      </c>
      <c r="G196" s="3600">
        <v>100</v>
      </c>
      <c r="H196" s="1638"/>
      <c r="J196" s="2093"/>
      <c r="K196" s="2093"/>
    </row>
    <row r="197" spans="1:11" s="1639" customFormat="1" ht="15.75" hidden="1" customHeight="1" x14ac:dyDescent="0.25">
      <c r="A197" s="1637"/>
      <c r="B197" s="2913"/>
      <c r="C197" s="4563" t="s">
        <v>2195</v>
      </c>
      <c r="D197" s="1406">
        <v>5357550000</v>
      </c>
      <c r="E197" s="3879">
        <v>3364829000</v>
      </c>
      <c r="F197" s="1434">
        <f>E197/D197*100</f>
        <v>62.805368125355812</v>
      </c>
      <c r="G197" s="3630">
        <v>100</v>
      </c>
      <c r="H197" s="1638"/>
      <c r="J197" s="2093"/>
      <c r="K197" s="2093"/>
    </row>
    <row r="198" spans="1:11" s="1639" customFormat="1" ht="14.25" hidden="1" customHeight="1" x14ac:dyDescent="0.25">
      <c r="A198" s="1637"/>
      <c r="B198" s="2913"/>
      <c r="C198" s="4563" t="s">
        <v>2196</v>
      </c>
      <c r="D198" s="1406">
        <v>3144540000</v>
      </c>
      <c r="E198" s="3879">
        <v>3050540000</v>
      </c>
      <c r="F198" s="1434">
        <f>E198/D198*100</f>
        <v>97.010691547889365</v>
      </c>
      <c r="G198" s="1717">
        <v>100</v>
      </c>
      <c r="H198" s="1638"/>
      <c r="J198" s="2093"/>
      <c r="K198" s="2093"/>
    </row>
    <row r="199" spans="1:11" ht="12.75" hidden="1" customHeight="1" x14ac:dyDescent="0.25">
      <c r="B199" s="2913"/>
      <c r="C199" s="3896"/>
      <c r="D199" s="827"/>
      <c r="E199" s="865"/>
      <c r="F199" s="2512"/>
      <c r="G199" s="2512"/>
      <c r="H199" s="535"/>
    </row>
    <row r="200" spans="1:11" s="1639" customFormat="1" ht="14.25" hidden="1" customHeight="1" x14ac:dyDescent="0.25">
      <c r="A200" s="1637"/>
      <c r="B200" s="5397"/>
      <c r="C200" s="4581" t="s">
        <v>2197</v>
      </c>
      <c r="D200" s="806">
        <f>SUM(D201)</f>
        <v>1400000000</v>
      </c>
      <c r="E200" s="806">
        <f>SUM(E201)</f>
        <v>1377294250</v>
      </c>
      <c r="F200" s="1462">
        <f t="shared" ref="F200:F206" si="4">E200/D200*100</f>
        <v>98.378160714285713</v>
      </c>
      <c r="G200" s="2356">
        <v>100</v>
      </c>
      <c r="H200" s="1638"/>
      <c r="J200" s="2093">
        <v>1400000000</v>
      </c>
      <c r="K200" s="2093">
        <v>1377294250</v>
      </c>
    </row>
    <row r="201" spans="1:11" s="1639" customFormat="1" ht="17.25" hidden="1" customHeight="1" x14ac:dyDescent="0.25">
      <c r="A201" s="1637"/>
      <c r="B201" s="2913"/>
      <c r="C201" s="5463" t="s">
        <v>2198</v>
      </c>
      <c r="D201" s="1527">
        <f>SUM(D202:D206)</f>
        <v>1400000000</v>
      </c>
      <c r="E201" s="1527">
        <f>SUM(E202:E206)</f>
        <v>1377294250</v>
      </c>
      <c r="F201" s="3691">
        <f t="shared" si="4"/>
        <v>98.378160714285713</v>
      </c>
      <c r="G201" s="3691">
        <v>100</v>
      </c>
      <c r="H201" s="1638"/>
      <c r="J201" s="2093"/>
      <c r="K201" s="2093"/>
    </row>
    <row r="202" spans="1:11" s="1639" customFormat="1" ht="14.25" hidden="1" customHeight="1" x14ac:dyDescent="0.25">
      <c r="A202" s="1637"/>
      <c r="B202" s="2913"/>
      <c r="C202" s="4566" t="s">
        <v>2203</v>
      </c>
      <c r="D202" s="1407">
        <v>516518750</v>
      </c>
      <c r="E202" s="3879">
        <v>516430000</v>
      </c>
      <c r="F202" s="1434">
        <f t="shared" si="4"/>
        <v>99.982817661507923</v>
      </c>
      <c r="G202" s="3630">
        <v>100</v>
      </c>
      <c r="H202" s="1638"/>
      <c r="J202" s="2093"/>
      <c r="K202" s="2093"/>
    </row>
    <row r="203" spans="1:11" s="1639" customFormat="1" ht="25.5" hidden="1" customHeight="1" x14ac:dyDescent="0.25">
      <c r="A203" s="1637"/>
      <c r="B203" s="2913"/>
      <c r="C203" s="4566" t="s">
        <v>2202</v>
      </c>
      <c r="D203" s="1406">
        <v>312446250</v>
      </c>
      <c r="E203" s="3879">
        <v>289944250</v>
      </c>
      <c r="F203" s="1434">
        <f t="shared" si="4"/>
        <v>92.798121276859618</v>
      </c>
      <c r="G203" s="3630">
        <v>100</v>
      </c>
      <c r="H203" s="1638"/>
      <c r="J203" s="2093"/>
      <c r="K203" s="2093"/>
    </row>
    <row r="204" spans="1:11" s="1639" customFormat="1" ht="15" hidden="1" customHeight="1" x14ac:dyDescent="0.25">
      <c r="A204" s="1637"/>
      <c r="B204" s="2913"/>
      <c r="C204" s="4566" t="s">
        <v>2201</v>
      </c>
      <c r="D204" s="1406">
        <v>150035000</v>
      </c>
      <c r="E204" s="3879">
        <v>149980000</v>
      </c>
      <c r="F204" s="1434">
        <f t="shared" si="4"/>
        <v>99.963341886893048</v>
      </c>
      <c r="G204" s="3630">
        <v>100</v>
      </c>
      <c r="H204" s="1638"/>
      <c r="J204" s="2093"/>
      <c r="K204" s="2093"/>
    </row>
    <row r="205" spans="1:11" s="1639" customFormat="1" ht="15" hidden="1" customHeight="1" x14ac:dyDescent="0.25">
      <c r="A205" s="1637"/>
      <c r="B205" s="2913"/>
      <c r="C205" s="5454" t="s">
        <v>2200</v>
      </c>
      <c r="D205" s="1406">
        <v>216250000</v>
      </c>
      <c r="E205" s="3879">
        <v>216220000</v>
      </c>
      <c r="F205" s="1434">
        <f t="shared" si="4"/>
        <v>99.986127167630059</v>
      </c>
      <c r="G205" s="3630">
        <v>100</v>
      </c>
      <c r="H205" s="1638"/>
      <c r="J205" s="2093"/>
      <c r="K205" s="2093"/>
    </row>
    <row r="206" spans="1:11" s="1639" customFormat="1" ht="18" hidden="1" customHeight="1" x14ac:dyDescent="0.25">
      <c r="A206" s="1637"/>
      <c r="B206" s="2913"/>
      <c r="C206" s="5454" t="s">
        <v>2199</v>
      </c>
      <c r="D206" s="1406">
        <v>204750000</v>
      </c>
      <c r="E206" s="666">
        <v>204720000</v>
      </c>
      <c r="F206" s="1434">
        <f t="shared" si="4"/>
        <v>99.985347985347985</v>
      </c>
      <c r="G206" s="3630">
        <v>100</v>
      </c>
      <c r="H206" s="1638"/>
      <c r="J206" s="2093"/>
      <c r="K206" s="2093"/>
    </row>
    <row r="207" spans="1:11" ht="6" hidden="1" customHeight="1" x14ac:dyDescent="0.25">
      <c r="B207" s="2913"/>
      <c r="C207" s="3972"/>
      <c r="D207" s="1528"/>
      <c r="E207" s="894"/>
      <c r="F207" s="1315"/>
      <c r="G207" s="1315"/>
      <c r="H207" s="535"/>
    </row>
    <row r="208" spans="1:11" s="1639" customFormat="1" ht="14.25" hidden="1" customHeight="1" x14ac:dyDescent="0.25">
      <c r="A208" s="1637"/>
      <c r="B208" s="5397"/>
      <c r="C208" s="3913" t="s">
        <v>276</v>
      </c>
      <c r="D208" s="3631">
        <f>SUM(D209+D212)</f>
        <v>1948080000</v>
      </c>
      <c r="E208" s="3631">
        <f>SUM(E209+E212)</f>
        <v>1482850000</v>
      </c>
      <c r="F208" s="1462">
        <f>E208/D208*100</f>
        <v>76.118537226397279</v>
      </c>
      <c r="G208" s="3631">
        <f>SUM(G209+G212)/2</f>
        <v>83.333333333333343</v>
      </c>
      <c r="H208" s="1638"/>
      <c r="J208" s="2093">
        <v>1948080000</v>
      </c>
      <c r="K208" s="2093">
        <v>1232850000</v>
      </c>
    </row>
    <row r="209" spans="1:11" s="1639" customFormat="1" ht="18.75" hidden="1" customHeight="1" x14ac:dyDescent="0.25">
      <c r="A209" s="1637"/>
      <c r="B209" s="2913"/>
      <c r="C209" s="3968" t="s">
        <v>2066</v>
      </c>
      <c r="D209" s="3633">
        <f>SUM(D210:D210)</f>
        <v>253350000</v>
      </c>
      <c r="E209" s="3633">
        <f>SUM(E210:E210)</f>
        <v>250000000</v>
      </c>
      <c r="F209" s="3691">
        <f>E209/D209*100</f>
        <v>98.677718571146627</v>
      </c>
      <c r="G209" s="3633">
        <v>100</v>
      </c>
      <c r="H209" s="1638"/>
      <c r="J209" s="2093"/>
      <c r="K209" s="2093"/>
    </row>
    <row r="210" spans="1:11" s="1639" customFormat="1" ht="15.75" hidden="1" customHeight="1" x14ac:dyDescent="0.25">
      <c r="A210" s="1637"/>
      <c r="B210" s="2913"/>
      <c r="C210" s="4118" t="s">
        <v>2204</v>
      </c>
      <c r="D210" s="1406">
        <v>253350000</v>
      </c>
      <c r="E210" s="3879">
        <v>250000000</v>
      </c>
      <c r="F210" s="1434">
        <f>E210/D210*100</f>
        <v>98.677718571146627</v>
      </c>
      <c r="G210" s="3630">
        <v>100</v>
      </c>
      <c r="H210" s="1638"/>
      <c r="J210" s="2093"/>
      <c r="K210" s="2093"/>
    </row>
    <row r="211" spans="1:11" s="1639" customFormat="1" ht="5.25" hidden="1" customHeight="1" x14ac:dyDescent="0.25">
      <c r="A211" s="1637"/>
      <c r="B211" s="2913"/>
      <c r="C211" s="3896"/>
      <c r="D211" s="5464"/>
      <c r="E211" s="3879"/>
      <c r="F211" s="3630"/>
      <c r="G211" s="3630"/>
      <c r="H211" s="1638"/>
      <c r="J211" s="2093"/>
      <c r="K211" s="2093"/>
    </row>
    <row r="212" spans="1:11" s="1639" customFormat="1" ht="16.5" hidden="1" customHeight="1" x14ac:dyDescent="0.25">
      <c r="A212" s="1637"/>
      <c r="B212" s="2913"/>
      <c r="C212" s="5462" t="s">
        <v>2205</v>
      </c>
      <c r="D212" s="3632">
        <f>SUM(D213:D215)</f>
        <v>1694730000</v>
      </c>
      <c r="E212" s="3632">
        <f>SUM(E213:E215)</f>
        <v>1232850000</v>
      </c>
      <c r="F212" s="3691">
        <f>E212/D212*100</f>
        <v>72.746101148855573</v>
      </c>
      <c r="G212" s="3629">
        <f>SUM(G213:G215)/3</f>
        <v>66.666666666666671</v>
      </c>
      <c r="H212" s="1638"/>
      <c r="J212" s="2093"/>
      <c r="K212" s="2093"/>
    </row>
    <row r="213" spans="1:11" s="1639" customFormat="1" ht="15" hidden="1" customHeight="1" x14ac:dyDescent="0.25">
      <c r="A213" s="1637"/>
      <c r="B213" s="2913"/>
      <c r="C213" s="4566" t="s">
        <v>2206</v>
      </c>
      <c r="D213" s="1406">
        <v>370980000</v>
      </c>
      <c r="E213" s="3879">
        <v>0</v>
      </c>
      <c r="F213" s="3879">
        <v>0</v>
      </c>
      <c r="G213" s="3879">
        <v>0</v>
      </c>
      <c r="H213" s="1638"/>
      <c r="J213" s="2093"/>
      <c r="K213" s="2093"/>
    </row>
    <row r="214" spans="1:11" s="1639" customFormat="1" ht="15.75" hidden="1" customHeight="1" x14ac:dyDescent="0.25">
      <c r="A214" s="1637"/>
      <c r="B214" s="2913"/>
      <c r="C214" s="4566" t="s">
        <v>2207</v>
      </c>
      <c r="D214" s="1406">
        <v>1107900000</v>
      </c>
      <c r="E214" s="3879">
        <v>1017000000</v>
      </c>
      <c r="F214" s="2265">
        <f>E214/D214*100</f>
        <v>91.795288383428115</v>
      </c>
      <c r="G214" s="3630">
        <v>100</v>
      </c>
      <c r="H214" s="1638"/>
      <c r="J214" s="2093"/>
      <c r="K214" s="2093"/>
    </row>
    <row r="215" spans="1:11" s="1639" customFormat="1" ht="15.75" hidden="1" customHeight="1" x14ac:dyDescent="0.25">
      <c r="A215" s="1637"/>
      <c r="B215" s="2913"/>
      <c r="C215" s="5454" t="s">
        <v>2208</v>
      </c>
      <c r="D215" s="1406">
        <v>215850000</v>
      </c>
      <c r="E215" s="3879">
        <v>215850000</v>
      </c>
      <c r="F215" s="1434">
        <f>E215/D215*100</f>
        <v>100</v>
      </c>
      <c r="G215" s="3630">
        <v>100</v>
      </c>
      <c r="H215" s="1638"/>
      <c r="J215" s="2093"/>
      <c r="K215" s="2093"/>
    </row>
    <row r="216" spans="1:11" ht="12" hidden="1" customHeight="1" x14ac:dyDescent="0.25">
      <c r="B216" s="2913"/>
      <c r="C216" s="3896"/>
      <c r="D216" s="827"/>
      <c r="E216" s="788"/>
      <c r="F216" s="2285"/>
      <c r="G216" s="2285"/>
      <c r="H216" s="535"/>
    </row>
    <row r="217" spans="1:11" s="1639" customFormat="1" ht="15" hidden="1" customHeight="1" x14ac:dyDescent="0.25">
      <c r="A217" s="1637"/>
      <c r="B217" s="5397"/>
      <c r="C217" s="4581" t="s">
        <v>254</v>
      </c>
      <c r="D217" s="3631">
        <f>SUM(D218+D221)</f>
        <v>9578520000</v>
      </c>
      <c r="E217" s="3631">
        <f>SUM(E218+E221)</f>
        <v>8195495000</v>
      </c>
      <c r="F217" s="1462">
        <f>E217/D217*100</f>
        <v>85.561182729691026</v>
      </c>
      <c r="G217" s="2356">
        <v>100</v>
      </c>
      <c r="H217" s="1638"/>
      <c r="J217" s="2093">
        <v>9578520000</v>
      </c>
      <c r="K217" s="2093">
        <v>8195495000</v>
      </c>
    </row>
    <row r="218" spans="1:11" s="1639" customFormat="1" ht="28.5" hidden="1" customHeight="1" x14ac:dyDescent="0.25">
      <c r="A218" s="1637"/>
      <c r="B218" s="2913"/>
      <c r="C218" s="5463" t="s">
        <v>2209</v>
      </c>
      <c r="D218" s="1527">
        <f>D219</f>
        <v>1371140000</v>
      </c>
      <c r="E218" s="1527">
        <f>E219</f>
        <v>1323820000</v>
      </c>
      <c r="F218" s="3691">
        <f>E218/D218*100</f>
        <v>96.548857155359769</v>
      </c>
      <c r="G218" s="2259">
        <v>100</v>
      </c>
      <c r="H218" s="1638"/>
      <c r="J218" s="2093"/>
      <c r="K218" s="2093"/>
    </row>
    <row r="219" spans="1:11" s="1639" customFormat="1" ht="16.5" hidden="1" customHeight="1" x14ac:dyDescent="0.25">
      <c r="A219" s="1637"/>
      <c r="B219" s="2913"/>
      <c r="C219" s="5454" t="s">
        <v>2210</v>
      </c>
      <c r="D219" s="1406">
        <v>1371140000</v>
      </c>
      <c r="E219" s="666">
        <v>1323820000</v>
      </c>
      <c r="F219" s="1434">
        <f>E219/D219*100</f>
        <v>96.548857155359769</v>
      </c>
      <c r="G219" s="2265">
        <v>100</v>
      </c>
      <c r="H219" s="1638"/>
      <c r="J219" s="2093"/>
      <c r="K219" s="2093"/>
    </row>
    <row r="220" spans="1:11" s="1639" customFormat="1" ht="5.25" hidden="1" customHeight="1" x14ac:dyDescent="0.25">
      <c r="A220" s="1637"/>
      <c r="B220" s="2913"/>
      <c r="C220" s="3896"/>
      <c r="D220" s="797"/>
      <c r="E220" s="894"/>
      <c r="F220" s="1315"/>
      <c r="G220" s="1315"/>
      <c r="H220" s="1638"/>
      <c r="J220" s="2093"/>
      <c r="K220" s="2093"/>
    </row>
    <row r="221" spans="1:11" s="1639" customFormat="1" ht="14.25" hidden="1" customHeight="1" x14ac:dyDescent="0.25">
      <c r="A221" s="1637"/>
      <c r="B221" s="2913"/>
      <c r="C221" s="4567" t="s">
        <v>2211</v>
      </c>
      <c r="D221" s="1522">
        <f>D222</f>
        <v>8207380000</v>
      </c>
      <c r="E221" s="1522">
        <f>E222</f>
        <v>6871675000</v>
      </c>
      <c r="F221" s="3691">
        <f>E221/D221*100</f>
        <v>83.725561628680538</v>
      </c>
      <c r="G221" s="2261">
        <v>100</v>
      </c>
      <c r="H221" s="1638"/>
      <c r="J221" s="2093"/>
      <c r="K221" s="2093"/>
    </row>
    <row r="222" spans="1:11" s="1639" customFormat="1" ht="17.25" hidden="1" customHeight="1" x14ac:dyDescent="0.25">
      <c r="A222" s="1637"/>
      <c r="B222" s="2913"/>
      <c r="C222" s="5465" t="s">
        <v>2212</v>
      </c>
      <c r="D222" s="1406">
        <v>8207380000</v>
      </c>
      <c r="E222" s="894">
        <v>6871675000</v>
      </c>
      <c r="F222" s="1434">
        <f>E222/D222*100</f>
        <v>83.725561628680538</v>
      </c>
      <c r="G222" s="1717">
        <v>100</v>
      </c>
      <c r="H222" s="1638"/>
      <c r="J222" s="2093"/>
      <c r="K222" s="2093"/>
    </row>
    <row r="223" spans="1:11" ht="9.75" hidden="1" customHeight="1" x14ac:dyDescent="0.25">
      <c r="B223" s="2913"/>
      <c r="C223" s="3982"/>
      <c r="D223" s="827"/>
      <c r="E223" s="969"/>
      <c r="F223" s="2279"/>
      <c r="G223" s="2279"/>
      <c r="H223" s="535"/>
    </row>
    <row r="224" spans="1:11" ht="13.5" hidden="1" customHeight="1" x14ac:dyDescent="0.25">
      <c r="B224" s="5397"/>
      <c r="C224" s="3913" t="s">
        <v>2213</v>
      </c>
      <c r="D224" s="3631">
        <f>SUM(D225)</f>
        <v>72322059180</v>
      </c>
      <c r="E224" s="3631">
        <f>SUM(E225)</f>
        <v>71418739180</v>
      </c>
      <c r="F224" s="1462">
        <f t="shared" ref="F224:F229" si="5">E224/D224*100</f>
        <v>98.750975829170244</v>
      </c>
      <c r="G224" s="2356">
        <v>100</v>
      </c>
      <c r="H224" s="535"/>
    </row>
    <row r="225" spans="1:11" ht="15.75" hidden="1" customHeight="1" x14ac:dyDescent="0.25">
      <c r="B225" s="2913"/>
      <c r="C225" s="5462" t="s">
        <v>2214</v>
      </c>
      <c r="D225" s="636">
        <f>SUM(D226:D229)</f>
        <v>72322059180</v>
      </c>
      <c r="E225" s="636">
        <f>SUM(E226:E229)</f>
        <v>71418739180</v>
      </c>
      <c r="F225" s="3691">
        <f t="shared" si="5"/>
        <v>98.750975829170244</v>
      </c>
      <c r="G225" s="3691">
        <v>100</v>
      </c>
      <c r="H225" s="535"/>
    </row>
    <row r="226" spans="1:11" s="1639" customFormat="1" ht="13.5" hidden="1" customHeight="1" x14ac:dyDescent="0.25">
      <c r="A226" s="1637"/>
      <c r="B226" s="2913"/>
      <c r="C226" s="4574" t="s">
        <v>2215</v>
      </c>
      <c r="D226" s="1406">
        <v>1000000000</v>
      </c>
      <c r="E226" s="666">
        <v>1000000000</v>
      </c>
      <c r="F226" s="1434">
        <f t="shared" si="5"/>
        <v>100</v>
      </c>
      <c r="G226" s="1717">
        <v>100</v>
      </c>
      <c r="H226" s="1638"/>
      <c r="J226" s="2093"/>
      <c r="K226" s="2093"/>
    </row>
    <row r="227" spans="1:11" s="1639" customFormat="1" ht="17.25" hidden="1" customHeight="1" x14ac:dyDescent="0.25">
      <c r="A227" s="1637"/>
      <c r="B227" s="2913"/>
      <c r="C227" s="4574" t="s">
        <v>2216</v>
      </c>
      <c r="D227" s="1406">
        <v>32020391547</v>
      </c>
      <c r="E227" s="666">
        <v>32020391547</v>
      </c>
      <c r="F227" s="1434">
        <f t="shared" si="5"/>
        <v>100</v>
      </c>
      <c r="G227" s="1717">
        <v>100</v>
      </c>
      <c r="H227" s="1638"/>
      <c r="J227" s="2093"/>
      <c r="K227" s="2093"/>
    </row>
    <row r="228" spans="1:11" s="1639" customFormat="1" ht="17.25" hidden="1" customHeight="1" x14ac:dyDescent="0.25">
      <c r="A228" s="1637"/>
      <c r="B228" s="2913"/>
      <c r="C228" s="4574" t="s">
        <v>2217</v>
      </c>
      <c r="D228" s="1406">
        <v>1500000000</v>
      </c>
      <c r="E228" s="666">
        <v>1500000000</v>
      </c>
      <c r="F228" s="1434">
        <f t="shared" si="5"/>
        <v>100</v>
      </c>
      <c r="G228" s="1717">
        <v>100</v>
      </c>
      <c r="H228" s="1638"/>
      <c r="J228" s="2093"/>
      <c r="K228" s="2093"/>
    </row>
    <row r="229" spans="1:11" s="1639" customFormat="1" ht="15.75" hidden="1" customHeight="1" x14ac:dyDescent="0.25">
      <c r="A229" s="1637"/>
      <c r="B229" s="2913"/>
      <c r="C229" s="4574" t="s">
        <v>2218</v>
      </c>
      <c r="D229" s="1406">
        <v>37801667633</v>
      </c>
      <c r="E229" s="666">
        <v>36898347633</v>
      </c>
      <c r="F229" s="1434">
        <f t="shared" si="5"/>
        <v>97.610369974229855</v>
      </c>
      <c r="G229" s="1717">
        <v>100</v>
      </c>
      <c r="H229" s="1638"/>
      <c r="J229" s="2093"/>
      <c r="K229" s="2093"/>
    </row>
    <row r="230" spans="1:11" ht="10.5" hidden="1" customHeight="1" x14ac:dyDescent="0.25">
      <c r="B230" s="2913"/>
      <c r="C230" s="3896"/>
      <c r="D230" s="827"/>
      <c r="E230" s="969"/>
      <c r="F230" s="2279"/>
      <c r="G230" s="2279"/>
      <c r="H230" s="535"/>
    </row>
    <row r="231" spans="1:11" s="1639" customFormat="1" ht="14.25" hidden="1" customHeight="1" x14ac:dyDescent="0.25">
      <c r="A231" s="1637"/>
      <c r="B231" s="5397"/>
      <c r="C231" s="3913" t="s">
        <v>1750</v>
      </c>
      <c r="D231" s="1518">
        <f>SUM(D232+D237)</f>
        <v>5671414956</v>
      </c>
      <c r="E231" s="1518">
        <f>SUM(E232+E237)</f>
        <v>3058983600</v>
      </c>
      <c r="F231" s="1462">
        <f>E231/D231*100</f>
        <v>53.9368680255672</v>
      </c>
      <c r="G231" s="2356">
        <f>SUM(G232+G237)/2</f>
        <v>75.833333333333329</v>
      </c>
      <c r="H231" s="1638"/>
      <c r="J231" s="2093">
        <v>5671414956</v>
      </c>
      <c r="K231" s="2093">
        <v>3058983600</v>
      </c>
    </row>
    <row r="232" spans="1:11" s="1639" customFormat="1" ht="16.5" hidden="1" customHeight="1" x14ac:dyDescent="0.25">
      <c r="A232" s="1637"/>
      <c r="B232" s="2913"/>
      <c r="C232" s="4567" t="s">
        <v>2219</v>
      </c>
      <c r="D232" s="1529">
        <f>SUM(D233:D235)</f>
        <v>3261150716</v>
      </c>
      <c r="E232" s="1529">
        <f>SUM(E233:E235)</f>
        <v>1543983600</v>
      </c>
      <c r="F232" s="3691">
        <f>E232/D232*100</f>
        <v>47.344748355997176</v>
      </c>
      <c r="G232" s="3691">
        <f>SUM(G233:G235)/3</f>
        <v>51.666666666666664</v>
      </c>
      <c r="H232" s="1638"/>
      <c r="J232" s="2093"/>
      <c r="K232" s="2093"/>
    </row>
    <row r="233" spans="1:11" s="1639" customFormat="1" ht="14.25" hidden="1" customHeight="1" x14ac:dyDescent="0.25">
      <c r="A233" s="1637"/>
      <c r="B233" s="2913"/>
      <c r="C233" s="4566" t="s">
        <v>2220</v>
      </c>
      <c r="D233" s="1530">
        <v>2769816000</v>
      </c>
      <c r="E233" s="666">
        <v>1291384000</v>
      </c>
      <c r="F233" s="1434">
        <f>E233/D233*100</f>
        <v>46.62345802031615</v>
      </c>
      <c r="G233" s="1717">
        <v>50</v>
      </c>
      <c r="H233" s="1638"/>
      <c r="J233" s="2093"/>
      <c r="K233" s="2093"/>
    </row>
    <row r="234" spans="1:11" s="1639" customFormat="1" ht="14.25" hidden="1" customHeight="1" x14ac:dyDescent="0.25">
      <c r="A234" s="1637"/>
      <c r="B234" s="2913"/>
      <c r="C234" s="4566" t="s">
        <v>2221</v>
      </c>
      <c r="D234" s="1530">
        <v>291334716</v>
      </c>
      <c r="E234" s="666">
        <v>152900000</v>
      </c>
      <c r="F234" s="1434">
        <f>E234/D234*100</f>
        <v>52.482588446479554</v>
      </c>
      <c r="G234" s="1717">
        <v>55</v>
      </c>
      <c r="H234" s="1638"/>
      <c r="J234" s="2093"/>
      <c r="K234" s="2093"/>
    </row>
    <row r="235" spans="1:11" s="1639" customFormat="1" ht="14.25" hidden="1" customHeight="1" x14ac:dyDescent="0.25">
      <c r="A235" s="1637"/>
      <c r="B235" s="2913"/>
      <c r="C235" s="4566" t="s">
        <v>2222</v>
      </c>
      <c r="D235" s="1530">
        <v>200000000</v>
      </c>
      <c r="E235" s="3879">
        <v>99699600</v>
      </c>
      <c r="F235" s="1434">
        <f>E235/D235*100</f>
        <v>49.849800000000002</v>
      </c>
      <c r="G235" s="3630">
        <v>50</v>
      </c>
      <c r="H235" s="1638"/>
      <c r="J235" s="2093"/>
      <c r="K235" s="2093"/>
    </row>
    <row r="236" spans="1:11" s="1639" customFormat="1" ht="9.75" hidden="1" customHeight="1" x14ac:dyDescent="0.25">
      <c r="A236" s="1637"/>
      <c r="B236" s="2913"/>
      <c r="C236" s="4067"/>
      <c r="D236" s="1466"/>
      <c r="E236" s="894"/>
      <c r="F236" s="1434"/>
      <c r="G236" s="1315"/>
      <c r="H236" s="1638"/>
      <c r="J236" s="2093"/>
      <c r="K236" s="2093"/>
    </row>
    <row r="237" spans="1:11" s="1639" customFormat="1" ht="14.25" hidden="1" customHeight="1" x14ac:dyDescent="0.25">
      <c r="A237" s="1637"/>
      <c r="B237" s="2913"/>
      <c r="C237" s="4567" t="s">
        <v>2223</v>
      </c>
      <c r="D237" s="1531">
        <f>D238</f>
        <v>2410264240</v>
      </c>
      <c r="E237" s="1531">
        <f>E238</f>
        <v>1515000000</v>
      </c>
      <c r="F237" s="1435">
        <f>E237/D237*100</f>
        <v>62.856178789757919</v>
      </c>
      <c r="G237" s="3629">
        <v>100</v>
      </c>
      <c r="H237" s="1638"/>
      <c r="J237" s="2093"/>
      <c r="K237" s="2093"/>
    </row>
    <row r="238" spans="1:11" s="1639" customFormat="1" ht="16.5" hidden="1" customHeight="1" x14ac:dyDescent="0.25">
      <c r="A238" s="1637"/>
      <c r="B238" s="2913"/>
      <c r="C238" s="4566" t="s">
        <v>2224</v>
      </c>
      <c r="D238" s="1532">
        <v>2410264240</v>
      </c>
      <c r="E238" s="3879">
        <v>1515000000</v>
      </c>
      <c r="F238" s="1434">
        <f>E238/D238*100</f>
        <v>62.856178789757919</v>
      </c>
      <c r="G238" s="3630">
        <v>100</v>
      </c>
      <c r="H238" s="1638"/>
      <c r="J238" s="2093"/>
      <c r="K238" s="2093"/>
    </row>
    <row r="239" spans="1:11" ht="6" hidden="1" customHeight="1" x14ac:dyDescent="0.25">
      <c r="B239" s="2913"/>
      <c r="C239" s="3896"/>
      <c r="D239" s="827"/>
      <c r="E239" s="969"/>
      <c r="F239" s="2279"/>
      <c r="G239" s="2279"/>
      <c r="H239" s="535"/>
    </row>
    <row r="240" spans="1:11" s="1639" customFormat="1" ht="15.75" hidden="1" customHeight="1" x14ac:dyDescent="0.25">
      <c r="A240" s="1637"/>
      <c r="B240" s="5397"/>
      <c r="C240" s="3913" t="s">
        <v>2225</v>
      </c>
      <c r="D240" s="3631">
        <f>SUM(D241+D244)</f>
        <v>3102246000</v>
      </c>
      <c r="E240" s="3631">
        <f>SUM(E241+E244)</f>
        <v>2053100000</v>
      </c>
      <c r="F240" s="1462">
        <f>E240/D240*100</f>
        <v>66.181082995997102</v>
      </c>
      <c r="G240" s="2652">
        <f>SUM(G241+G244)/2</f>
        <v>60</v>
      </c>
      <c r="H240" s="1638"/>
      <c r="J240" s="2093">
        <v>3102246000</v>
      </c>
      <c r="K240" s="2093">
        <v>2053100000</v>
      </c>
    </row>
    <row r="241" spans="1:11" s="1639" customFormat="1" ht="16.5" hidden="1" customHeight="1" x14ac:dyDescent="0.25">
      <c r="A241" s="1637"/>
      <c r="B241" s="2913"/>
      <c r="C241" s="4567" t="s">
        <v>2226</v>
      </c>
      <c r="D241" s="1533">
        <f>D242</f>
        <v>1344718000</v>
      </c>
      <c r="E241" s="1533">
        <f>E242</f>
        <v>469700000</v>
      </c>
      <c r="F241" s="3691">
        <f>E241/D241*100</f>
        <v>34.929256543007533</v>
      </c>
      <c r="G241" s="3691">
        <v>30</v>
      </c>
      <c r="H241" s="1638"/>
      <c r="J241" s="2093"/>
      <c r="K241" s="2093"/>
    </row>
    <row r="242" spans="1:11" s="1639" customFormat="1" ht="12.75" hidden="1" customHeight="1" x14ac:dyDescent="0.25">
      <c r="A242" s="1637"/>
      <c r="B242" s="2913"/>
      <c r="C242" s="4566" t="s">
        <v>2227</v>
      </c>
      <c r="D242" s="1407">
        <v>1344718000</v>
      </c>
      <c r="E242" s="3879">
        <v>469700000</v>
      </c>
      <c r="F242" s="1434">
        <f>E242/D242*100</f>
        <v>34.929256543007533</v>
      </c>
      <c r="G242" s="1717">
        <v>30</v>
      </c>
      <c r="H242" s="1638"/>
      <c r="J242" s="2093"/>
      <c r="K242" s="2093"/>
    </row>
    <row r="243" spans="1:11" s="1639" customFormat="1" ht="9.75" hidden="1" customHeight="1" x14ac:dyDescent="0.25">
      <c r="A243" s="1637"/>
      <c r="B243" s="2913"/>
      <c r="C243" s="3968"/>
      <c r="D243" s="1534"/>
      <c r="E243" s="788"/>
      <c r="F243" s="1434"/>
      <c r="G243" s="2285"/>
      <c r="H243" s="1638"/>
      <c r="J243" s="2093"/>
      <c r="K243" s="2093"/>
    </row>
    <row r="244" spans="1:11" s="1639" customFormat="1" ht="15.75" hidden="1" customHeight="1" x14ac:dyDescent="0.25">
      <c r="A244" s="1637"/>
      <c r="B244" s="2913"/>
      <c r="C244" s="4567" t="s">
        <v>2228</v>
      </c>
      <c r="D244" s="1522">
        <f>D245</f>
        <v>1757528000</v>
      </c>
      <c r="E244" s="1522">
        <f>E245</f>
        <v>1583400000</v>
      </c>
      <c r="F244" s="1435">
        <f>E244/D244*100</f>
        <v>90.092448029277477</v>
      </c>
      <c r="G244" s="2261">
        <v>90</v>
      </c>
      <c r="H244" s="1638"/>
      <c r="J244" s="2093"/>
      <c r="K244" s="2093"/>
    </row>
    <row r="245" spans="1:11" s="1639" customFormat="1" ht="16.5" hidden="1" customHeight="1" x14ac:dyDescent="0.25">
      <c r="A245" s="1637"/>
      <c r="B245" s="2913"/>
      <c r="C245" s="5466" t="s">
        <v>2229</v>
      </c>
      <c r="D245" s="1535">
        <v>1757528000</v>
      </c>
      <c r="E245" s="666">
        <v>1583400000</v>
      </c>
      <c r="F245" s="1434">
        <f>E245/D245*100</f>
        <v>90.092448029277477</v>
      </c>
      <c r="G245" s="1717">
        <v>90</v>
      </c>
      <c r="H245" s="1638"/>
      <c r="J245" s="2093"/>
      <c r="K245" s="2093"/>
    </row>
    <row r="246" spans="1:11" ht="12" hidden="1" customHeight="1" x14ac:dyDescent="0.25">
      <c r="B246" s="2913"/>
      <c r="C246" s="1261"/>
      <c r="D246" s="1536"/>
      <c r="E246" s="969"/>
      <c r="F246" s="2279"/>
      <c r="G246" s="2279"/>
      <c r="H246" s="535"/>
    </row>
    <row r="247" spans="1:11" ht="15" customHeight="1" x14ac:dyDescent="0.25">
      <c r="B247" s="5404"/>
      <c r="C247" s="3967" t="s">
        <v>244</v>
      </c>
      <c r="D247" s="1517">
        <f>SUM(D249+D300+D338+D345+D356+D366+D371+D393+D397+D404+D411+D443+D447+D451+D481+D497+D501+D509+D513+D538+D559+D584+D601+D626+D651+D675+D701+D727+D731+D735+D739+D743+D747+D751+D755+D759+D763+D767+D772+D791+D799+D812+D806)</f>
        <v>171334691000</v>
      </c>
      <c r="E247" s="1517">
        <f>SUM(E249+E300+E338+E345+E356+E366+E371+E393+E397+E404+E411+E443+E447+E451+E481+E497+E501+E509+E513+E538+E559+E584+E601+E626+E651+E675+E701+E727+E731+E735+E739+E743+E747+E751+E755+E759+E763+E767+E772+E791+E799+E812+E806)</f>
        <v>150575639218</v>
      </c>
      <c r="F247" s="4505">
        <f>E247/D247*100</f>
        <v>87.883917926463596</v>
      </c>
      <c r="G247" s="2263">
        <f>SUM(G249+G300+G338+G345+G356+G366+G371+G393+G397+G404+G411+G443+G447+G451+G481+G497+G501+G509+G513+G538+G559+G584+G601+G626+G651+G675+G701+G727+G731+G735+G739+G743+G747+G751+G755+G759+G763+G767+G772+G791+G799+G806+G812)/43</f>
        <v>94.462899278931232</v>
      </c>
      <c r="H247" s="1638"/>
      <c r="J247" s="1517">
        <f>SUM(J249+J300+J338+J345+J356+J366+J371+J393+J397+J404+J411+J443+J447+J451+J481+J497+J501+J509+J513+J538+J559+J584+J601+J626+J651+J675+J701+J727+J731+J735+J739+J743+J747+J751+J755+J759+J763+J767+J772+J791+J799+J812+J806)</f>
        <v>171334691000</v>
      </c>
      <c r="K247" s="522">
        <v>150575639218</v>
      </c>
    </row>
    <row r="248" spans="1:11" ht="5.25" hidden="1" customHeight="1" x14ac:dyDescent="0.25">
      <c r="B248" s="2913"/>
      <c r="C248" s="3968"/>
      <c r="D248" s="1528"/>
      <c r="E248" s="894"/>
      <c r="F248" s="1315"/>
      <c r="G248" s="1315"/>
      <c r="H248" s="535"/>
    </row>
    <row r="249" spans="1:11" s="1639" customFormat="1" ht="18" hidden="1" customHeight="1" x14ac:dyDescent="0.25">
      <c r="A249" s="1637"/>
      <c r="B249" s="5397"/>
      <c r="C249" s="3858" t="s">
        <v>245</v>
      </c>
      <c r="D249" s="1462">
        <f>SUM(D250+D256+D270+D277+D283+D292+D297)</f>
        <v>42205087300</v>
      </c>
      <c r="E249" s="1462">
        <f>SUM(E250+E256+E270+E277+E283+E292+E297)</f>
        <v>31600504371</v>
      </c>
      <c r="F249" s="1462">
        <f t="shared" ref="F249:F254" si="6">E249/D249*100</f>
        <v>74.873685597138902</v>
      </c>
      <c r="G249" s="1726">
        <v>100</v>
      </c>
      <c r="H249" s="1638"/>
      <c r="J249" s="2093">
        <v>42205087300</v>
      </c>
      <c r="K249" s="2093">
        <v>31600504371</v>
      </c>
    </row>
    <row r="250" spans="1:11" s="1639" customFormat="1" ht="18" hidden="1" customHeight="1" x14ac:dyDescent="0.25">
      <c r="A250" s="1637"/>
      <c r="B250" s="2913"/>
      <c r="C250" s="3893" t="s">
        <v>246</v>
      </c>
      <c r="D250" s="811">
        <f>SUM(D251:D254)</f>
        <v>670241000</v>
      </c>
      <c r="E250" s="811">
        <f>SUM(E251:E254)</f>
        <v>652241000</v>
      </c>
      <c r="F250" s="3691">
        <f t="shared" si="6"/>
        <v>97.314398850562711</v>
      </c>
      <c r="G250" s="2380">
        <v>100</v>
      </c>
      <c r="H250" s="1638"/>
      <c r="J250" s="2093"/>
      <c r="K250" s="2093"/>
    </row>
    <row r="251" spans="1:11" s="1639" customFormat="1" ht="17.25" hidden="1" customHeight="1" x14ac:dyDescent="0.25">
      <c r="A251" s="1637"/>
      <c r="B251" s="2913"/>
      <c r="C251" s="4104" t="s">
        <v>247</v>
      </c>
      <c r="D251" s="812">
        <v>218503000</v>
      </c>
      <c r="E251" s="1238">
        <v>216253000</v>
      </c>
      <c r="F251" s="1717">
        <f t="shared" si="6"/>
        <v>98.970265854473396</v>
      </c>
      <c r="G251" s="3648">
        <v>100</v>
      </c>
      <c r="H251" s="1638"/>
      <c r="J251" s="2093"/>
      <c r="K251" s="2093"/>
    </row>
    <row r="252" spans="1:11" s="1639" customFormat="1" ht="27" hidden="1" customHeight="1" x14ac:dyDescent="0.25">
      <c r="A252" s="1637"/>
      <c r="B252" s="2913"/>
      <c r="C252" s="4104" t="s">
        <v>1518</v>
      </c>
      <c r="D252" s="813">
        <v>163650000</v>
      </c>
      <c r="E252" s="1238">
        <v>163650000</v>
      </c>
      <c r="F252" s="1717">
        <f t="shared" si="6"/>
        <v>100</v>
      </c>
      <c r="G252" s="3648">
        <v>100</v>
      </c>
      <c r="H252" s="1638"/>
      <c r="J252" s="2093"/>
      <c r="K252" s="2093"/>
    </row>
    <row r="253" spans="1:11" s="1639" customFormat="1" ht="15.75" hidden="1" customHeight="1" x14ac:dyDescent="0.25">
      <c r="A253" s="1637"/>
      <c r="B253" s="2913"/>
      <c r="C253" s="5467" t="s">
        <v>1519</v>
      </c>
      <c r="D253" s="814">
        <v>98248000</v>
      </c>
      <c r="E253" s="1238">
        <v>94498000</v>
      </c>
      <c r="F253" s="1717">
        <f t="shared" si="6"/>
        <v>96.183128409738615</v>
      </c>
      <c r="G253" s="3648">
        <v>100</v>
      </c>
      <c r="H253" s="1638"/>
      <c r="J253" s="2093"/>
      <c r="K253" s="2093"/>
    </row>
    <row r="254" spans="1:11" s="1639" customFormat="1" ht="16.5" hidden="1" customHeight="1" x14ac:dyDescent="0.25">
      <c r="A254" s="1637"/>
      <c r="B254" s="2913"/>
      <c r="C254" s="3891" t="s">
        <v>1520</v>
      </c>
      <c r="D254" s="813">
        <v>189840000</v>
      </c>
      <c r="E254" s="1238">
        <v>177840000</v>
      </c>
      <c r="F254" s="1717">
        <f t="shared" si="6"/>
        <v>93.678887484197219</v>
      </c>
      <c r="G254" s="3648">
        <v>100</v>
      </c>
      <c r="H254" s="1638"/>
      <c r="J254" s="2093"/>
      <c r="K254" s="2093"/>
    </row>
    <row r="255" spans="1:11" s="1639" customFormat="1" ht="9.75" hidden="1" customHeight="1" x14ac:dyDescent="0.25">
      <c r="A255" s="1637"/>
      <c r="B255" s="2913"/>
      <c r="C255" s="3984"/>
      <c r="D255" s="815"/>
      <c r="E255" s="3360"/>
      <c r="F255" s="1315"/>
      <c r="G255" s="1315"/>
      <c r="H255" s="1638"/>
      <c r="J255" s="2093"/>
      <c r="K255" s="2093"/>
    </row>
    <row r="256" spans="1:11" s="1639" customFormat="1" ht="18" hidden="1" customHeight="1" x14ac:dyDescent="0.25">
      <c r="A256" s="1637"/>
      <c r="B256" s="2913"/>
      <c r="C256" s="4116" t="s">
        <v>1521</v>
      </c>
      <c r="D256" s="816">
        <f>SUM(D257:D268)</f>
        <v>34154662820</v>
      </c>
      <c r="E256" s="816">
        <f>SUM(E257:E268)</f>
        <v>23939574341</v>
      </c>
      <c r="F256" s="3691">
        <f t="shared" ref="F256:F268" si="7">E256/D256*100</f>
        <v>70.091672305960131</v>
      </c>
      <c r="G256" s="2261">
        <v>100</v>
      </c>
      <c r="H256" s="1638"/>
      <c r="J256" s="2093"/>
      <c r="K256" s="2093"/>
    </row>
    <row r="257" spans="1:11" s="1639" customFormat="1" ht="16.5" hidden="1" customHeight="1" x14ac:dyDescent="0.25">
      <c r="A257" s="1637"/>
      <c r="B257" s="2913"/>
      <c r="C257" s="3985" t="s">
        <v>1522</v>
      </c>
      <c r="D257" s="813">
        <v>21272983620</v>
      </c>
      <c r="E257" s="1238">
        <v>11078090941</v>
      </c>
      <c r="F257" s="1717">
        <f t="shared" si="7"/>
        <v>52.075868335576715</v>
      </c>
      <c r="G257" s="1717">
        <v>100</v>
      </c>
      <c r="H257" s="1638"/>
      <c r="J257" s="2093"/>
      <c r="K257" s="2093"/>
    </row>
    <row r="258" spans="1:11" s="1639" customFormat="1" ht="16.5" hidden="1" customHeight="1" x14ac:dyDescent="0.25">
      <c r="A258" s="1637"/>
      <c r="B258" s="2913"/>
      <c r="C258" s="5467" t="s">
        <v>1523</v>
      </c>
      <c r="D258" s="813">
        <v>163385000</v>
      </c>
      <c r="E258" s="1238">
        <v>163385000</v>
      </c>
      <c r="F258" s="1717">
        <f t="shared" si="7"/>
        <v>100</v>
      </c>
      <c r="G258" s="1717">
        <v>100</v>
      </c>
      <c r="H258" s="1638"/>
      <c r="J258" s="2093"/>
      <c r="K258" s="2093"/>
    </row>
    <row r="259" spans="1:11" s="1639" customFormat="1" ht="18" hidden="1" customHeight="1" x14ac:dyDescent="0.25">
      <c r="A259" s="1637"/>
      <c r="B259" s="2913"/>
      <c r="C259" s="4104" t="s">
        <v>1524</v>
      </c>
      <c r="D259" s="813">
        <v>577469000</v>
      </c>
      <c r="E259" s="1238">
        <v>577469000</v>
      </c>
      <c r="F259" s="1717">
        <f t="shared" si="7"/>
        <v>100</v>
      </c>
      <c r="G259" s="1717">
        <v>100</v>
      </c>
      <c r="H259" s="1638"/>
      <c r="J259" s="2093"/>
      <c r="K259" s="2093"/>
    </row>
    <row r="260" spans="1:11" s="1639" customFormat="1" ht="29.25" hidden="1" customHeight="1" x14ac:dyDescent="0.25">
      <c r="A260" s="1637"/>
      <c r="B260" s="2913"/>
      <c r="C260" s="4104" t="s">
        <v>1525</v>
      </c>
      <c r="D260" s="813">
        <v>7717570800</v>
      </c>
      <c r="E260" s="1238">
        <v>7713875000</v>
      </c>
      <c r="F260" s="1717">
        <f t="shared" si="7"/>
        <v>99.952111874373742</v>
      </c>
      <c r="G260" s="1717">
        <v>100</v>
      </c>
      <c r="H260" s="1638"/>
      <c r="J260" s="2093"/>
      <c r="K260" s="2093"/>
    </row>
    <row r="261" spans="1:11" s="1639" customFormat="1" ht="29.25" hidden="1" customHeight="1" x14ac:dyDescent="0.25">
      <c r="A261" s="1637"/>
      <c r="B261" s="2913"/>
      <c r="C261" s="4104" t="s">
        <v>1526</v>
      </c>
      <c r="D261" s="813">
        <v>243391000</v>
      </c>
      <c r="E261" s="1238">
        <v>243391000</v>
      </c>
      <c r="F261" s="1717">
        <f t="shared" si="7"/>
        <v>100</v>
      </c>
      <c r="G261" s="1717">
        <v>100</v>
      </c>
      <c r="H261" s="1638"/>
      <c r="J261" s="2093"/>
      <c r="K261" s="2093"/>
    </row>
    <row r="262" spans="1:11" s="1639" customFormat="1" ht="16.5" hidden="1" customHeight="1" x14ac:dyDescent="0.25">
      <c r="A262" s="1637"/>
      <c r="B262" s="2913"/>
      <c r="C262" s="4104" t="s">
        <v>1527</v>
      </c>
      <c r="D262" s="813">
        <v>138131000</v>
      </c>
      <c r="E262" s="1238">
        <v>138131000</v>
      </c>
      <c r="F262" s="1717">
        <f t="shared" si="7"/>
        <v>100</v>
      </c>
      <c r="G262" s="1717">
        <v>100</v>
      </c>
      <c r="H262" s="1638"/>
      <c r="J262" s="2093"/>
      <c r="K262" s="2093"/>
    </row>
    <row r="263" spans="1:11" s="1639" customFormat="1" ht="30" hidden="1" customHeight="1" x14ac:dyDescent="0.25">
      <c r="A263" s="1637"/>
      <c r="B263" s="2913"/>
      <c r="C263" s="4104" t="s">
        <v>1528</v>
      </c>
      <c r="D263" s="813">
        <v>109363000</v>
      </c>
      <c r="E263" s="1238">
        <v>102363000</v>
      </c>
      <c r="F263" s="1717">
        <f t="shared" si="7"/>
        <v>93.59929775152473</v>
      </c>
      <c r="G263" s="1717">
        <v>100</v>
      </c>
      <c r="H263" s="1638"/>
      <c r="J263" s="2093"/>
      <c r="K263" s="2093"/>
    </row>
    <row r="264" spans="1:11" s="1639" customFormat="1" ht="17.25" hidden="1" customHeight="1" x14ac:dyDescent="0.25">
      <c r="A264" s="1637"/>
      <c r="B264" s="2913"/>
      <c r="C264" s="4104" t="s">
        <v>1529</v>
      </c>
      <c r="D264" s="813">
        <v>120698000</v>
      </c>
      <c r="E264" s="1238">
        <v>111198000</v>
      </c>
      <c r="F264" s="1717">
        <f t="shared" si="7"/>
        <v>92.129115644004045</v>
      </c>
      <c r="G264" s="1717">
        <v>100</v>
      </c>
      <c r="H264" s="1638"/>
      <c r="J264" s="2093"/>
      <c r="K264" s="2093"/>
    </row>
    <row r="265" spans="1:11" s="1639" customFormat="1" ht="15.75" hidden="1" customHeight="1" x14ac:dyDescent="0.25">
      <c r="A265" s="1637"/>
      <c r="B265" s="2913"/>
      <c r="C265" s="3985" t="s">
        <v>1530</v>
      </c>
      <c r="D265" s="1412">
        <v>229431400</v>
      </c>
      <c r="E265" s="1238">
        <v>229431400</v>
      </c>
      <c r="F265" s="1717">
        <f t="shared" si="7"/>
        <v>100</v>
      </c>
      <c r="G265" s="1717">
        <v>100</v>
      </c>
      <c r="H265" s="1638"/>
      <c r="J265" s="2093"/>
      <c r="K265" s="2093"/>
    </row>
    <row r="266" spans="1:11" s="1639" customFormat="1" ht="17.25" hidden="1" customHeight="1" x14ac:dyDescent="0.25">
      <c r="A266" s="1637"/>
      <c r="B266" s="2913"/>
      <c r="C266" s="4104" t="s">
        <v>1531</v>
      </c>
      <c r="D266" s="1412">
        <v>3342217250</v>
      </c>
      <c r="E266" s="1238">
        <v>3342217250</v>
      </c>
      <c r="F266" s="1717">
        <f t="shared" si="7"/>
        <v>100</v>
      </c>
      <c r="G266" s="1717">
        <v>100</v>
      </c>
      <c r="H266" s="1638"/>
      <c r="J266" s="2093"/>
      <c r="K266" s="2093"/>
    </row>
    <row r="267" spans="1:11" s="1639" customFormat="1" ht="14.25" hidden="1" customHeight="1" x14ac:dyDescent="0.25">
      <c r="A267" s="1637"/>
      <c r="B267" s="2913"/>
      <c r="C267" s="4104" t="s">
        <v>1532</v>
      </c>
      <c r="D267" s="813">
        <v>67208500</v>
      </c>
      <c r="E267" s="1238">
        <v>67208500</v>
      </c>
      <c r="F267" s="1717">
        <f t="shared" si="7"/>
        <v>100</v>
      </c>
      <c r="G267" s="1717">
        <v>100</v>
      </c>
      <c r="H267" s="1638"/>
      <c r="J267" s="2093"/>
      <c r="K267" s="2093"/>
    </row>
    <row r="268" spans="1:11" s="1639" customFormat="1" ht="17.25" hidden="1" customHeight="1" x14ac:dyDescent="0.25">
      <c r="A268" s="1637"/>
      <c r="B268" s="2913"/>
      <c r="C268" s="4104" t="s">
        <v>1533</v>
      </c>
      <c r="D268" s="813">
        <v>172814250</v>
      </c>
      <c r="E268" s="1238">
        <v>172814250</v>
      </c>
      <c r="F268" s="1717">
        <f t="shared" si="7"/>
        <v>100</v>
      </c>
      <c r="G268" s="1717">
        <v>100</v>
      </c>
      <c r="H268" s="1638"/>
      <c r="J268" s="2093"/>
      <c r="K268" s="2093"/>
    </row>
    <row r="269" spans="1:11" s="1639" customFormat="1" ht="1.5" hidden="1" customHeight="1" x14ac:dyDescent="0.25">
      <c r="A269" s="1637"/>
      <c r="B269" s="2912"/>
      <c r="C269" s="3890"/>
      <c r="D269" s="1538"/>
      <c r="E269" s="3360"/>
      <c r="F269" s="1717"/>
      <c r="G269" s="1315"/>
      <c r="H269" s="1638"/>
      <c r="J269" s="2093"/>
      <c r="K269" s="2093"/>
    </row>
    <row r="270" spans="1:11" s="1639" customFormat="1" ht="18.75" hidden="1" customHeight="1" x14ac:dyDescent="0.25">
      <c r="A270" s="1637"/>
      <c r="B270" s="5402"/>
      <c r="C270" s="4116" t="s">
        <v>1534</v>
      </c>
      <c r="D270" s="1539">
        <f>SUM(D271:D275)</f>
        <v>1604365000</v>
      </c>
      <c r="E270" s="1539">
        <f>SUM(E271:E275)</f>
        <v>1604365000</v>
      </c>
      <c r="F270" s="3691">
        <f t="shared" ref="F270:F275" si="8">E270/D270*100</f>
        <v>100</v>
      </c>
      <c r="G270" s="761">
        <v>100</v>
      </c>
      <c r="H270" s="5425"/>
      <c r="I270" s="2078">
        <f>SUM(I271:I275)</f>
        <v>0</v>
      </c>
      <c r="J270" s="3335"/>
      <c r="K270" s="2093"/>
    </row>
    <row r="271" spans="1:11" s="1639" customFormat="1" ht="12" hidden="1" customHeight="1" x14ac:dyDescent="0.25">
      <c r="A271" s="1637"/>
      <c r="B271" s="2913"/>
      <c r="C271" s="5467" t="s">
        <v>1535</v>
      </c>
      <c r="D271" s="818">
        <v>788290000</v>
      </c>
      <c r="E271" s="1238">
        <v>788290000</v>
      </c>
      <c r="F271" s="1717">
        <f t="shared" si="8"/>
        <v>100</v>
      </c>
      <c r="G271" s="3648">
        <v>100</v>
      </c>
      <c r="H271" s="1638"/>
      <c r="J271" s="2093"/>
      <c r="K271" s="2093"/>
    </row>
    <row r="272" spans="1:11" s="1639" customFormat="1" ht="16.5" hidden="1" customHeight="1" x14ac:dyDescent="0.25">
      <c r="A272" s="1637"/>
      <c r="B272" s="2913"/>
      <c r="C272" s="3891" t="s">
        <v>1536</v>
      </c>
      <c r="D272" s="819">
        <v>167217000</v>
      </c>
      <c r="E272" s="1238">
        <v>167217000</v>
      </c>
      <c r="F272" s="1717">
        <f t="shared" si="8"/>
        <v>100</v>
      </c>
      <c r="G272" s="3648">
        <v>100</v>
      </c>
      <c r="H272" s="1638"/>
      <c r="J272" s="2093"/>
      <c r="K272" s="2093"/>
    </row>
    <row r="273" spans="1:11" s="1639" customFormat="1" ht="15.75" hidden="1" customHeight="1" x14ac:dyDescent="0.25">
      <c r="A273" s="1637"/>
      <c r="B273" s="2913"/>
      <c r="C273" s="3891" t="s">
        <v>1537</v>
      </c>
      <c r="D273" s="819">
        <v>164707000</v>
      </c>
      <c r="E273" s="1238">
        <v>164707000</v>
      </c>
      <c r="F273" s="1717">
        <f t="shared" si="8"/>
        <v>100</v>
      </c>
      <c r="G273" s="3648">
        <v>100</v>
      </c>
      <c r="H273" s="1638"/>
      <c r="J273" s="2093"/>
      <c r="K273" s="2093"/>
    </row>
    <row r="274" spans="1:11" s="1639" customFormat="1" ht="16.5" hidden="1" customHeight="1" x14ac:dyDescent="0.25">
      <c r="A274" s="1637"/>
      <c r="B274" s="2913"/>
      <c r="C274" s="3891" t="s">
        <v>1538</v>
      </c>
      <c r="D274" s="819">
        <v>120367000</v>
      </c>
      <c r="E274" s="1238">
        <v>120367000</v>
      </c>
      <c r="F274" s="1717">
        <f t="shared" si="8"/>
        <v>100</v>
      </c>
      <c r="G274" s="1717">
        <v>100</v>
      </c>
      <c r="H274" s="1638"/>
      <c r="J274" s="2093"/>
      <c r="K274" s="2093"/>
    </row>
    <row r="275" spans="1:11" s="1639" customFormat="1" ht="18" hidden="1" customHeight="1" x14ac:dyDescent="0.25">
      <c r="A275" s="1637"/>
      <c r="B275" s="2913"/>
      <c r="C275" s="3891" t="s">
        <v>1539</v>
      </c>
      <c r="D275" s="819">
        <v>363784000</v>
      </c>
      <c r="E275" s="1238">
        <v>363784000</v>
      </c>
      <c r="F275" s="1717">
        <f t="shared" si="8"/>
        <v>100</v>
      </c>
      <c r="G275" s="1315">
        <v>100</v>
      </c>
      <c r="H275" s="1638"/>
      <c r="J275" s="2093"/>
      <c r="K275" s="2093"/>
    </row>
    <row r="276" spans="1:11" s="1639" customFormat="1" ht="10.5" hidden="1" customHeight="1" x14ac:dyDescent="0.25">
      <c r="A276" s="1637"/>
      <c r="B276" s="2913"/>
      <c r="C276" s="5467"/>
      <c r="D276" s="820"/>
      <c r="E276" s="3360"/>
      <c r="F276" s="1315"/>
      <c r="G276" s="1315"/>
      <c r="H276" s="1638"/>
      <c r="J276" s="2093"/>
      <c r="K276" s="2093"/>
    </row>
    <row r="277" spans="1:11" s="1639" customFormat="1" ht="15.75" hidden="1" customHeight="1" x14ac:dyDescent="0.25">
      <c r="A277" s="1637"/>
      <c r="B277" s="2913"/>
      <c r="C277" s="3873" t="s">
        <v>1540</v>
      </c>
      <c r="D277" s="1539">
        <f>SUM(D278:D281)</f>
        <v>1438274000</v>
      </c>
      <c r="E277" s="1539">
        <f>SUM(E278:E281)</f>
        <v>1416219550</v>
      </c>
      <c r="F277" s="3691">
        <f>E277/D277*100</f>
        <v>98.466603025570933</v>
      </c>
      <c r="G277" s="2261">
        <v>100</v>
      </c>
      <c r="H277" s="1638"/>
      <c r="J277" s="2093"/>
      <c r="K277" s="2093"/>
    </row>
    <row r="278" spans="1:11" s="1639" customFormat="1" ht="13.5" hidden="1" customHeight="1" x14ac:dyDescent="0.25">
      <c r="A278" s="1637"/>
      <c r="B278" s="2913"/>
      <c r="C278" s="4104" t="s">
        <v>1541</v>
      </c>
      <c r="D278" s="1609">
        <v>219480000</v>
      </c>
      <c r="E278" s="1238">
        <v>219480000</v>
      </c>
      <c r="F278" s="1717">
        <f>E278/D278*100</f>
        <v>100</v>
      </c>
      <c r="G278" s="971">
        <v>100</v>
      </c>
      <c r="H278" s="1638"/>
      <c r="J278" s="2093"/>
      <c r="K278" s="2093"/>
    </row>
    <row r="279" spans="1:11" s="1639" customFormat="1" ht="15.75" hidden="1" customHeight="1" x14ac:dyDescent="0.25">
      <c r="A279" s="1637"/>
      <c r="B279" s="2913"/>
      <c r="C279" s="4104" t="s">
        <v>1542</v>
      </c>
      <c r="D279" s="813">
        <v>594102000</v>
      </c>
      <c r="E279" s="1238">
        <v>594102000</v>
      </c>
      <c r="F279" s="1717">
        <f>E279/D279*100</f>
        <v>100</v>
      </c>
      <c r="G279" s="971">
        <v>100</v>
      </c>
      <c r="H279" s="1638"/>
      <c r="J279" s="2093"/>
      <c r="K279" s="2093"/>
    </row>
    <row r="280" spans="1:11" s="1639" customFormat="1" ht="16.5" hidden="1" customHeight="1" x14ac:dyDescent="0.25">
      <c r="A280" s="1637"/>
      <c r="B280" s="2913"/>
      <c r="C280" s="4104" t="s">
        <v>1543</v>
      </c>
      <c r="D280" s="813">
        <v>382500000</v>
      </c>
      <c r="E280" s="1238">
        <v>360445550</v>
      </c>
      <c r="F280" s="1717">
        <f>E280/D280*100</f>
        <v>94.234130718954248</v>
      </c>
      <c r="G280" s="971">
        <v>100</v>
      </c>
      <c r="H280" s="1638"/>
      <c r="J280" s="2093"/>
      <c r="K280" s="2093"/>
    </row>
    <row r="281" spans="1:11" s="1639" customFormat="1" ht="13.5" hidden="1" customHeight="1" x14ac:dyDescent="0.25">
      <c r="A281" s="1637"/>
      <c r="B281" s="2913"/>
      <c r="C281" s="4104" t="s">
        <v>1544</v>
      </c>
      <c r="D281" s="1609">
        <v>242192000</v>
      </c>
      <c r="E281" s="1238">
        <v>242192000</v>
      </c>
      <c r="F281" s="1717">
        <f>E281/D281*100</f>
        <v>100</v>
      </c>
      <c r="G281" s="971">
        <v>100</v>
      </c>
      <c r="H281" s="1638"/>
      <c r="J281" s="2093"/>
      <c r="K281" s="2093"/>
    </row>
    <row r="282" spans="1:11" s="1639" customFormat="1" ht="10.5" hidden="1" customHeight="1" x14ac:dyDescent="0.25">
      <c r="A282" s="1637"/>
      <c r="B282" s="2913"/>
      <c r="C282" s="4104"/>
      <c r="D282" s="1520"/>
      <c r="E282" s="3360"/>
      <c r="F282" s="1717"/>
      <c r="G282" s="1315"/>
      <c r="H282" s="1638"/>
      <c r="J282" s="2093"/>
      <c r="K282" s="2093"/>
    </row>
    <row r="283" spans="1:11" s="1639" customFormat="1" ht="18.75" hidden="1" customHeight="1" x14ac:dyDescent="0.25">
      <c r="A283" s="1637"/>
      <c r="B283" s="2913"/>
      <c r="C283" s="4116" t="s">
        <v>1545</v>
      </c>
      <c r="D283" s="1541">
        <f>SUM(D284:D290)</f>
        <v>2774235480</v>
      </c>
      <c r="E283" s="1541">
        <f>SUM(E284:E290)</f>
        <v>2672395480</v>
      </c>
      <c r="F283" s="3691">
        <f t="shared" ref="F283:F290" si="9">E283/D283*100</f>
        <v>96.329078741361926</v>
      </c>
      <c r="G283" s="2261">
        <v>100</v>
      </c>
      <c r="H283" s="1638"/>
      <c r="J283" s="2093"/>
      <c r="K283" s="2093"/>
    </row>
    <row r="284" spans="1:11" s="1639" customFormat="1" ht="18" hidden="1" customHeight="1" x14ac:dyDescent="0.25">
      <c r="A284" s="1637"/>
      <c r="B284" s="2913"/>
      <c r="C284" s="4104" t="s">
        <v>314</v>
      </c>
      <c r="D284" s="1609">
        <v>271494000</v>
      </c>
      <c r="E284" s="1238">
        <v>271494000</v>
      </c>
      <c r="F284" s="1717">
        <f t="shared" si="9"/>
        <v>100</v>
      </c>
      <c r="G284" s="1717">
        <v>100</v>
      </c>
      <c r="H284" s="1638"/>
      <c r="J284" s="2093"/>
      <c r="K284" s="2093"/>
    </row>
    <row r="285" spans="1:11" s="1639" customFormat="1" ht="14.25" hidden="1" customHeight="1" x14ac:dyDescent="0.25">
      <c r="A285" s="1637"/>
      <c r="B285" s="2913"/>
      <c r="C285" s="4104" t="s">
        <v>1546</v>
      </c>
      <c r="D285" s="1609">
        <v>174465000</v>
      </c>
      <c r="E285" s="1238">
        <v>133255000</v>
      </c>
      <c r="F285" s="1717">
        <f t="shared" si="9"/>
        <v>76.37921646175451</v>
      </c>
      <c r="G285" s="1717">
        <v>100</v>
      </c>
      <c r="H285" s="1638"/>
      <c r="J285" s="2093"/>
      <c r="K285" s="2093"/>
    </row>
    <row r="286" spans="1:11" s="1639" customFormat="1" ht="14.25" hidden="1" customHeight="1" x14ac:dyDescent="0.25">
      <c r="A286" s="1637"/>
      <c r="B286" s="2913"/>
      <c r="C286" s="4104" t="s">
        <v>1547</v>
      </c>
      <c r="D286" s="813">
        <v>286608000</v>
      </c>
      <c r="E286" s="1238">
        <v>273978000</v>
      </c>
      <c r="F286" s="1717">
        <f t="shared" si="9"/>
        <v>95.593284207000508</v>
      </c>
      <c r="G286" s="1717">
        <v>100</v>
      </c>
      <c r="H286" s="1638"/>
      <c r="J286" s="2093"/>
      <c r="K286" s="2093"/>
    </row>
    <row r="287" spans="1:11" s="1639" customFormat="1" ht="16.5" hidden="1" customHeight="1" x14ac:dyDescent="0.25">
      <c r="A287" s="1637"/>
      <c r="B287" s="2913"/>
      <c r="C287" s="4104" t="s">
        <v>1548</v>
      </c>
      <c r="D287" s="813">
        <v>533447480</v>
      </c>
      <c r="E287" s="1238">
        <v>533447480</v>
      </c>
      <c r="F287" s="1717">
        <f t="shared" si="9"/>
        <v>100</v>
      </c>
      <c r="G287" s="1717">
        <v>100</v>
      </c>
      <c r="H287" s="1638"/>
      <c r="J287" s="2093"/>
      <c r="K287" s="2093"/>
    </row>
    <row r="288" spans="1:11" s="1639" customFormat="1" ht="15.75" hidden="1" customHeight="1" x14ac:dyDescent="0.25">
      <c r="A288" s="1637"/>
      <c r="B288" s="2913"/>
      <c r="C288" s="4104" t="s">
        <v>1550</v>
      </c>
      <c r="D288" s="813">
        <v>745500000</v>
      </c>
      <c r="E288" s="1238">
        <v>745500000</v>
      </c>
      <c r="F288" s="1717">
        <f t="shared" si="9"/>
        <v>100</v>
      </c>
      <c r="G288" s="1717">
        <v>100</v>
      </c>
      <c r="H288" s="1638"/>
      <c r="J288" s="2093"/>
      <c r="K288" s="2093"/>
    </row>
    <row r="289" spans="1:11" s="1639" customFormat="1" ht="18.75" hidden="1" customHeight="1" x14ac:dyDescent="0.25">
      <c r="A289" s="1637"/>
      <c r="B289" s="2913"/>
      <c r="C289" s="4104" t="s">
        <v>1551</v>
      </c>
      <c r="D289" s="813">
        <v>239843000</v>
      </c>
      <c r="E289" s="1238">
        <v>191843000</v>
      </c>
      <c r="F289" s="1717">
        <f t="shared" si="9"/>
        <v>79.986908102383651</v>
      </c>
      <c r="G289" s="1717">
        <v>100</v>
      </c>
      <c r="H289" s="1638"/>
      <c r="J289" s="2093"/>
      <c r="K289" s="2093"/>
    </row>
    <row r="290" spans="1:11" s="1639" customFormat="1" ht="26.25" hidden="1" customHeight="1" x14ac:dyDescent="0.25">
      <c r="A290" s="1637"/>
      <c r="B290" s="2913"/>
      <c r="C290" s="4104" t="s">
        <v>1549</v>
      </c>
      <c r="D290" s="2693">
        <v>522878000</v>
      </c>
      <c r="E290" s="1238">
        <v>522878000</v>
      </c>
      <c r="F290" s="1717">
        <f t="shared" si="9"/>
        <v>100</v>
      </c>
      <c r="G290" s="1717">
        <v>100</v>
      </c>
      <c r="H290" s="1638"/>
      <c r="J290" s="2093"/>
      <c r="K290" s="2093"/>
    </row>
    <row r="291" spans="1:11" s="1639" customFormat="1" ht="9.75" hidden="1" customHeight="1" x14ac:dyDescent="0.25">
      <c r="A291" s="1637"/>
      <c r="B291" s="2913"/>
      <c r="C291" s="3861"/>
      <c r="D291" s="813"/>
      <c r="E291" s="1927"/>
      <c r="F291" s="3553"/>
      <c r="G291" s="3553"/>
      <c r="H291" s="1638"/>
      <c r="J291" s="2093"/>
      <c r="K291" s="2093"/>
    </row>
    <row r="292" spans="1:11" s="1639" customFormat="1" ht="17.25" hidden="1" customHeight="1" x14ac:dyDescent="0.25">
      <c r="A292" s="1637"/>
      <c r="B292" s="2913"/>
      <c r="C292" s="4116" t="s">
        <v>1590</v>
      </c>
      <c r="D292" s="816">
        <f>SUM(D293:D295)</f>
        <v>1263430000</v>
      </c>
      <c r="E292" s="816">
        <f>SUM(E293:E295)</f>
        <v>1047830000</v>
      </c>
      <c r="F292" s="2261">
        <f>E292/D292*100</f>
        <v>82.935342678264718</v>
      </c>
      <c r="G292" s="3629">
        <v>100</v>
      </c>
      <c r="H292" s="1638"/>
      <c r="J292" s="2093"/>
      <c r="K292" s="2093"/>
    </row>
    <row r="293" spans="1:11" s="1639" customFormat="1" ht="17.25" hidden="1" customHeight="1" x14ac:dyDescent="0.25">
      <c r="A293" s="1637"/>
      <c r="B293" s="2913"/>
      <c r="C293" s="4104" t="s">
        <v>1593</v>
      </c>
      <c r="D293" s="813">
        <v>255290000</v>
      </c>
      <c r="E293" s="1238">
        <v>255290000</v>
      </c>
      <c r="F293" s="1717">
        <f>E293/D293*100</f>
        <v>100</v>
      </c>
      <c r="G293" s="971">
        <v>100</v>
      </c>
      <c r="H293" s="1638"/>
      <c r="J293" s="2093"/>
      <c r="K293" s="2093"/>
    </row>
    <row r="294" spans="1:11" s="1639" customFormat="1" ht="17.25" hidden="1" customHeight="1" x14ac:dyDescent="0.25">
      <c r="A294" s="1637"/>
      <c r="B294" s="2913"/>
      <c r="C294" s="4104" t="s">
        <v>1594</v>
      </c>
      <c r="D294" s="813">
        <v>391550000</v>
      </c>
      <c r="E294" s="1238">
        <v>175950000</v>
      </c>
      <c r="F294" s="1717">
        <f>E294/D294*100</f>
        <v>44.936789682032945</v>
      </c>
      <c r="G294" s="971">
        <v>100</v>
      </c>
      <c r="H294" s="1638"/>
      <c r="J294" s="2093"/>
      <c r="K294" s="2093"/>
    </row>
    <row r="295" spans="1:11" s="1639" customFormat="1" ht="19.5" hidden="1" customHeight="1" x14ac:dyDescent="0.25">
      <c r="A295" s="1637"/>
      <c r="B295" s="2913"/>
      <c r="C295" s="4104" t="s">
        <v>1595</v>
      </c>
      <c r="D295" s="813">
        <v>616590000</v>
      </c>
      <c r="E295" s="1238">
        <v>616590000</v>
      </c>
      <c r="F295" s="1717">
        <f>E295/D295*100</f>
        <v>100</v>
      </c>
      <c r="G295" s="971">
        <v>100</v>
      </c>
      <c r="H295" s="1638"/>
      <c r="J295" s="2093"/>
      <c r="K295" s="2093"/>
    </row>
    <row r="296" spans="1:11" s="1639" customFormat="1" ht="9" hidden="1" customHeight="1" x14ac:dyDescent="0.25">
      <c r="A296" s="1637"/>
      <c r="B296" s="2913"/>
      <c r="C296" s="4104"/>
      <c r="D296" s="813"/>
      <c r="E296" s="1891"/>
      <c r="F296" s="3648"/>
      <c r="G296" s="3648"/>
      <c r="H296" s="1638"/>
      <c r="J296" s="2093"/>
      <c r="K296" s="2093"/>
    </row>
    <row r="297" spans="1:11" s="1639" customFormat="1" ht="15.75" hidden="1" customHeight="1" x14ac:dyDescent="0.25">
      <c r="A297" s="1637"/>
      <c r="B297" s="2913"/>
      <c r="C297" s="4116" t="s">
        <v>1591</v>
      </c>
      <c r="D297" s="816">
        <f>D298</f>
        <v>299879000</v>
      </c>
      <c r="E297" s="816">
        <f>E298</f>
        <v>267879000</v>
      </c>
      <c r="F297" s="3691">
        <f>E297/D297*100</f>
        <v>89.329029375181321</v>
      </c>
      <c r="G297" s="3600">
        <v>100</v>
      </c>
      <c r="H297" s="1638"/>
      <c r="J297" s="2093"/>
      <c r="K297" s="2093"/>
    </row>
    <row r="298" spans="1:11" s="1639" customFormat="1" ht="20.25" hidden="1" customHeight="1" x14ac:dyDescent="0.25">
      <c r="A298" s="1637"/>
      <c r="B298" s="2913"/>
      <c r="C298" s="4104" t="s">
        <v>1592</v>
      </c>
      <c r="D298" s="813">
        <v>299879000</v>
      </c>
      <c r="E298" s="1238">
        <v>267879000</v>
      </c>
      <c r="F298" s="1717">
        <f>E298/D298*100</f>
        <v>89.329029375181321</v>
      </c>
      <c r="G298" s="3648">
        <v>100</v>
      </c>
      <c r="H298" s="1638"/>
      <c r="J298" s="2093"/>
      <c r="K298" s="2093"/>
    </row>
    <row r="299" spans="1:11" ht="10.5" hidden="1" customHeight="1" x14ac:dyDescent="0.25">
      <c r="B299" s="2913"/>
      <c r="C299" s="3892"/>
      <c r="D299" s="2693"/>
      <c r="E299" s="1927"/>
      <c r="F299" s="3651"/>
      <c r="G299" s="3651"/>
      <c r="H299" s="535"/>
    </row>
    <row r="300" spans="1:11" s="1639" customFormat="1" ht="14.25" hidden="1" customHeight="1" x14ac:dyDescent="0.25">
      <c r="A300" s="1637"/>
      <c r="B300" s="5397"/>
      <c r="C300" s="3858" t="s">
        <v>248</v>
      </c>
      <c r="D300" s="1518">
        <f>SUM(D301+D304+D307+D316+D320+D325+D330+D333)</f>
        <v>18876076584</v>
      </c>
      <c r="E300" s="1518">
        <f>SUM(E301+E304+E307+E316+E320+E325+E330+E333)</f>
        <v>17223439928</v>
      </c>
      <c r="F300" s="1462">
        <f>E300/D300*100</f>
        <v>91.24480848207179</v>
      </c>
      <c r="G300" s="1726">
        <f>SUM(G301+G304+G307+G316+G320+G325+G330+G333)/8</f>
        <v>93.75</v>
      </c>
      <c r="H300" s="1638"/>
      <c r="J300" s="2093">
        <v>18876076584</v>
      </c>
      <c r="K300" s="2093">
        <v>17223439928</v>
      </c>
    </row>
    <row r="301" spans="1:11" s="1639" customFormat="1" ht="16.5" hidden="1" customHeight="1" x14ac:dyDescent="0.25">
      <c r="A301" s="1637"/>
      <c r="B301" s="2913"/>
      <c r="C301" s="3893" t="s">
        <v>561</v>
      </c>
      <c r="D301" s="1519">
        <f>D302</f>
        <v>145475000</v>
      </c>
      <c r="E301" s="1519">
        <f>E302</f>
        <v>126575000</v>
      </c>
      <c r="F301" s="3633">
        <f>E301/D301*100</f>
        <v>87.008076989173404</v>
      </c>
      <c r="G301" s="3633">
        <v>100</v>
      </c>
      <c r="H301" s="1638"/>
      <c r="J301" s="2093"/>
      <c r="K301" s="2093"/>
    </row>
    <row r="302" spans="1:11" s="1639" customFormat="1" ht="13.5" hidden="1" customHeight="1" x14ac:dyDescent="0.25">
      <c r="A302" s="1637"/>
      <c r="B302" s="2913"/>
      <c r="C302" s="4104" t="s">
        <v>1552</v>
      </c>
      <c r="D302" s="812">
        <v>145475000</v>
      </c>
      <c r="E302" s="1238">
        <v>126575000</v>
      </c>
      <c r="F302" s="1717">
        <f>E302/D302*100</f>
        <v>87.008076989173404</v>
      </c>
      <c r="G302" s="971">
        <v>100</v>
      </c>
      <c r="H302" s="1638"/>
      <c r="J302" s="2093"/>
      <c r="K302" s="2093"/>
    </row>
    <row r="303" spans="1:11" s="1639" customFormat="1" ht="8.25" hidden="1" customHeight="1" x14ac:dyDescent="0.25">
      <c r="A303" s="1637"/>
      <c r="B303" s="2913"/>
      <c r="C303" s="4116"/>
      <c r="D303" s="1313"/>
      <c r="E303" s="3879"/>
      <c r="F303" s="3648"/>
      <c r="G303" s="3648"/>
      <c r="H303" s="1638"/>
      <c r="J303" s="2093"/>
      <c r="K303" s="2093"/>
    </row>
    <row r="304" spans="1:11" s="1639" customFormat="1" ht="15.75" hidden="1" customHeight="1" x14ac:dyDescent="0.25">
      <c r="A304" s="1637"/>
      <c r="B304" s="2913"/>
      <c r="C304" s="4116" t="s">
        <v>290</v>
      </c>
      <c r="D304" s="1541">
        <f>D305</f>
        <v>124780000</v>
      </c>
      <c r="E304" s="1541">
        <f>E305</f>
        <v>124780000</v>
      </c>
      <c r="F304" s="3633">
        <f>E304/D304*100</f>
        <v>100</v>
      </c>
      <c r="G304" s="2261">
        <v>100</v>
      </c>
      <c r="H304" s="1638"/>
      <c r="J304" s="2093"/>
      <c r="K304" s="2093"/>
    </row>
    <row r="305" spans="1:11" s="1639" customFormat="1" ht="15" hidden="1" customHeight="1" x14ac:dyDescent="0.25">
      <c r="A305" s="1637"/>
      <c r="B305" s="2913"/>
      <c r="C305" s="4104" t="s">
        <v>1553</v>
      </c>
      <c r="D305" s="5468">
        <v>124780000</v>
      </c>
      <c r="E305" s="4507">
        <v>124780000</v>
      </c>
      <c r="F305" s="1717">
        <f>E305/D305*100</f>
        <v>100</v>
      </c>
      <c r="G305" s="1717">
        <v>100</v>
      </c>
      <c r="H305" s="1638"/>
      <c r="J305" s="2093"/>
      <c r="K305" s="2093"/>
    </row>
    <row r="306" spans="1:11" s="1639" customFormat="1" ht="8.25" hidden="1" customHeight="1" x14ac:dyDescent="0.25">
      <c r="A306" s="1637"/>
      <c r="B306" s="2913"/>
      <c r="C306" s="4116"/>
      <c r="D306" s="1520"/>
      <c r="E306" s="1891"/>
      <c r="F306" s="3648"/>
      <c r="G306" s="3648"/>
      <c r="H306" s="1638"/>
      <c r="J306" s="2093"/>
      <c r="K306" s="2093"/>
    </row>
    <row r="307" spans="1:11" s="1639" customFormat="1" ht="15" hidden="1" customHeight="1" x14ac:dyDescent="0.25">
      <c r="A307" s="1637"/>
      <c r="B307" s="2913"/>
      <c r="C307" s="4116" t="s">
        <v>291</v>
      </c>
      <c r="D307" s="1541">
        <f>SUM(D308:D314)</f>
        <v>5524469308</v>
      </c>
      <c r="E307" s="1541">
        <f>SUM(E308:E314)</f>
        <v>5259084288</v>
      </c>
      <c r="F307" s="3633">
        <f t="shared" ref="F307:F314" si="10">E307/D307*100</f>
        <v>95.196189802055812</v>
      </c>
      <c r="G307" s="3600">
        <v>100</v>
      </c>
      <c r="H307" s="1638"/>
      <c r="J307" s="2093"/>
      <c r="K307" s="2093"/>
    </row>
    <row r="308" spans="1:11" s="1639" customFormat="1" ht="15.75" hidden="1" customHeight="1" x14ac:dyDescent="0.25">
      <c r="A308" s="1637"/>
      <c r="B308" s="2913"/>
      <c r="C308" s="4104" t="s">
        <v>1554</v>
      </c>
      <c r="D308" s="1609">
        <v>121594000</v>
      </c>
      <c r="E308" s="1238">
        <v>51594000</v>
      </c>
      <c r="F308" s="1717">
        <f t="shared" si="10"/>
        <v>42.431369968912939</v>
      </c>
      <c r="G308" s="971">
        <v>100</v>
      </c>
      <c r="H308" s="1638"/>
      <c r="J308" s="2093"/>
      <c r="K308" s="2093"/>
    </row>
    <row r="309" spans="1:11" s="1639" customFormat="1" ht="14.25" hidden="1" customHeight="1" x14ac:dyDescent="0.25">
      <c r="A309" s="1637"/>
      <c r="B309" s="2913"/>
      <c r="C309" s="4104" t="s">
        <v>1555</v>
      </c>
      <c r="D309" s="1609">
        <v>851750000</v>
      </c>
      <c r="E309" s="1238">
        <v>812950000</v>
      </c>
      <c r="F309" s="1717">
        <f t="shared" si="10"/>
        <v>95.444672732609334</v>
      </c>
      <c r="G309" s="971">
        <v>100</v>
      </c>
      <c r="H309" s="1638"/>
      <c r="J309" s="2093"/>
      <c r="K309" s="2093"/>
    </row>
    <row r="310" spans="1:11" s="1639" customFormat="1" ht="15.75" hidden="1" customHeight="1" x14ac:dyDescent="0.25">
      <c r="A310" s="1637"/>
      <c r="B310" s="2913"/>
      <c r="C310" s="4104" t="s">
        <v>1556</v>
      </c>
      <c r="D310" s="1609">
        <v>192800000</v>
      </c>
      <c r="E310" s="1238">
        <v>192579988</v>
      </c>
      <c r="F310" s="1717">
        <f t="shared" si="10"/>
        <v>99.885885892116178</v>
      </c>
      <c r="G310" s="971">
        <v>100</v>
      </c>
      <c r="H310" s="1638"/>
      <c r="J310" s="2093"/>
      <c r="K310" s="2093"/>
    </row>
    <row r="311" spans="1:11" s="1639" customFormat="1" ht="16.5" hidden="1" customHeight="1" x14ac:dyDescent="0.25">
      <c r="A311" s="1637"/>
      <c r="B311" s="2913"/>
      <c r="C311" s="4104" t="s">
        <v>2235</v>
      </c>
      <c r="D311" s="1609">
        <v>2912700000</v>
      </c>
      <c r="E311" s="1238">
        <v>2789880000</v>
      </c>
      <c r="F311" s="1717">
        <f t="shared" si="10"/>
        <v>95.78329385106602</v>
      </c>
      <c r="G311" s="971">
        <v>100</v>
      </c>
      <c r="H311" s="1638"/>
      <c r="J311" s="2093"/>
      <c r="K311" s="2093"/>
    </row>
    <row r="312" spans="1:11" s="1639" customFormat="1" ht="15.75" hidden="1" customHeight="1" x14ac:dyDescent="0.25">
      <c r="A312" s="1637"/>
      <c r="B312" s="2913"/>
      <c r="C312" s="4104" t="s">
        <v>1557</v>
      </c>
      <c r="D312" s="1609">
        <v>1100611308</v>
      </c>
      <c r="E312" s="1238">
        <v>1070406300</v>
      </c>
      <c r="F312" s="1717">
        <f t="shared" si="10"/>
        <v>97.255615331184657</v>
      </c>
      <c r="G312" s="971">
        <v>100</v>
      </c>
      <c r="H312" s="1638"/>
      <c r="J312" s="2093"/>
      <c r="K312" s="2093"/>
    </row>
    <row r="313" spans="1:11" s="1639" customFormat="1" ht="14.25" hidden="1" customHeight="1" x14ac:dyDescent="0.25">
      <c r="A313" s="1637"/>
      <c r="B313" s="2913"/>
      <c r="C313" s="4104" t="s">
        <v>2236</v>
      </c>
      <c r="D313" s="1609">
        <v>270774000</v>
      </c>
      <c r="E313" s="1238">
        <v>269974000</v>
      </c>
      <c r="F313" s="1717">
        <f t="shared" si="10"/>
        <v>99.704550658482717</v>
      </c>
      <c r="G313" s="971">
        <v>100</v>
      </c>
      <c r="H313" s="1638"/>
      <c r="J313" s="2093"/>
      <c r="K313" s="2093"/>
    </row>
    <row r="314" spans="1:11" s="1639" customFormat="1" ht="16.5" hidden="1" customHeight="1" x14ac:dyDescent="0.25">
      <c r="A314" s="1637"/>
      <c r="B314" s="2913"/>
      <c r="C314" s="4104" t="s">
        <v>1558</v>
      </c>
      <c r="D314" s="1609">
        <v>74240000</v>
      </c>
      <c r="E314" s="1238">
        <v>71700000</v>
      </c>
      <c r="F314" s="1717">
        <f t="shared" si="10"/>
        <v>96.578663793103445</v>
      </c>
      <c r="G314" s="971">
        <v>100</v>
      </c>
      <c r="H314" s="1638"/>
      <c r="J314" s="2093"/>
      <c r="K314" s="2093"/>
    </row>
    <row r="315" spans="1:11" s="1639" customFormat="1" ht="7.5" hidden="1" customHeight="1" x14ac:dyDescent="0.25">
      <c r="A315" s="1637"/>
      <c r="B315" s="2913"/>
      <c r="C315" s="4104"/>
      <c r="D315" s="1609"/>
      <c r="E315" s="3879"/>
      <c r="F315" s="3648"/>
      <c r="G315" s="3648"/>
      <c r="H315" s="1638"/>
      <c r="J315" s="2093"/>
      <c r="K315" s="2093"/>
    </row>
    <row r="316" spans="1:11" s="1639" customFormat="1" ht="18" hidden="1" customHeight="1" x14ac:dyDescent="0.25">
      <c r="A316" s="1637"/>
      <c r="B316" s="2913"/>
      <c r="C316" s="4116" t="s">
        <v>1013</v>
      </c>
      <c r="D316" s="3707">
        <f>SUM(D317:D318)</f>
        <v>240921600</v>
      </c>
      <c r="E316" s="1557">
        <f>SUM(E317:E318)</f>
        <v>53021600</v>
      </c>
      <c r="F316" s="3633">
        <f>E316/D316*100</f>
        <v>22.007823291892468</v>
      </c>
      <c r="G316" s="3629">
        <f>SUM(G317:G318)/2</f>
        <v>50</v>
      </c>
      <c r="H316" s="1638"/>
      <c r="J316" s="2093"/>
      <c r="K316" s="2093"/>
    </row>
    <row r="317" spans="1:11" s="1639" customFormat="1" ht="14.25" hidden="1" customHeight="1" x14ac:dyDescent="0.25">
      <c r="A317" s="1637"/>
      <c r="B317" s="2913"/>
      <c r="C317" s="4104" t="s">
        <v>1559</v>
      </c>
      <c r="D317" s="1520">
        <v>47250000</v>
      </c>
      <c r="E317" s="1238">
        <v>47250000</v>
      </c>
      <c r="F317" s="1717">
        <f>E317/D317*100</f>
        <v>100</v>
      </c>
      <c r="G317" s="971">
        <v>100</v>
      </c>
      <c r="H317" s="1638"/>
      <c r="J317" s="2093"/>
      <c r="K317" s="2093"/>
    </row>
    <row r="318" spans="1:11" s="1639" customFormat="1" ht="21.75" hidden="1" customHeight="1" x14ac:dyDescent="0.25">
      <c r="A318" s="1637"/>
      <c r="B318" s="2913"/>
      <c r="C318" s="4104" t="s">
        <v>1560</v>
      </c>
      <c r="D318" s="1520">
        <v>193671600</v>
      </c>
      <c r="E318" s="1238">
        <v>5771600</v>
      </c>
      <c r="F318" s="1717">
        <f>E318/D318*100</f>
        <v>2.9800962040898096</v>
      </c>
      <c r="G318" s="971">
        <v>0</v>
      </c>
      <c r="H318" s="1638"/>
      <c r="J318" s="2093"/>
      <c r="K318" s="2093"/>
    </row>
    <row r="319" spans="1:11" s="1639" customFormat="1" ht="9" hidden="1" customHeight="1" x14ac:dyDescent="0.25">
      <c r="A319" s="1637"/>
      <c r="B319" s="2913"/>
      <c r="C319" s="3890"/>
      <c r="D319" s="1520"/>
      <c r="E319" s="1891"/>
      <c r="F319" s="3648"/>
      <c r="G319" s="3648"/>
      <c r="H319" s="1638"/>
      <c r="J319" s="2093"/>
      <c r="K319" s="2093"/>
    </row>
    <row r="320" spans="1:11" s="1639" customFormat="1" ht="14.25" hidden="1" customHeight="1" x14ac:dyDescent="0.25">
      <c r="A320" s="1637"/>
      <c r="B320" s="2913"/>
      <c r="C320" s="4116" t="s">
        <v>285</v>
      </c>
      <c r="D320" s="3707">
        <f>SUM(D321:D323)</f>
        <v>598605000</v>
      </c>
      <c r="E320" s="1557">
        <f>SUM(E321:E323)</f>
        <v>426985000</v>
      </c>
      <c r="F320" s="3633">
        <f>E320/D320*100</f>
        <v>71.330008937446237</v>
      </c>
      <c r="G320" s="541">
        <v>100</v>
      </c>
      <c r="H320" s="5426"/>
      <c r="I320" s="2113">
        <f>SUM(I321:I323)</f>
        <v>0</v>
      </c>
      <c r="J320" s="3336"/>
      <c r="K320" s="2093"/>
    </row>
    <row r="321" spans="1:11" s="1639" customFormat="1" ht="18" hidden="1" customHeight="1" x14ac:dyDescent="0.25">
      <c r="A321" s="1637"/>
      <c r="B321" s="2913"/>
      <c r="C321" s="4104" t="s">
        <v>1561</v>
      </c>
      <c r="D321" s="1609">
        <v>281400000</v>
      </c>
      <c r="E321" s="1238">
        <v>109780000</v>
      </c>
      <c r="F321" s="1717">
        <f>E321/D321*100</f>
        <v>39.012082444918263</v>
      </c>
      <c r="G321" s="971">
        <v>100</v>
      </c>
      <c r="H321" s="1638"/>
      <c r="J321" s="2093"/>
      <c r="K321" s="2093"/>
    </row>
    <row r="322" spans="1:11" s="1639" customFormat="1" ht="27.75" hidden="1" customHeight="1" x14ac:dyDescent="0.25">
      <c r="A322" s="1637"/>
      <c r="B322" s="2913"/>
      <c r="C322" s="4104" t="s">
        <v>1562</v>
      </c>
      <c r="D322" s="1520">
        <v>252515000</v>
      </c>
      <c r="E322" s="1238">
        <v>252515000</v>
      </c>
      <c r="F322" s="1717">
        <f>E322/D322*100</f>
        <v>100</v>
      </c>
      <c r="G322" s="3648">
        <v>100</v>
      </c>
      <c r="H322" s="1638"/>
      <c r="J322" s="2093"/>
      <c r="K322" s="2093"/>
    </row>
    <row r="323" spans="1:11" s="1639" customFormat="1" ht="18.75" hidden="1" customHeight="1" x14ac:dyDescent="0.25">
      <c r="A323" s="1637"/>
      <c r="B323" s="2913"/>
      <c r="C323" s="4104" t="s">
        <v>1563</v>
      </c>
      <c r="D323" s="1520">
        <v>64690000</v>
      </c>
      <c r="E323" s="1238">
        <v>64690000</v>
      </c>
      <c r="F323" s="1717">
        <f>E323/D323*100</f>
        <v>100</v>
      </c>
      <c r="G323" s="3648">
        <v>100</v>
      </c>
      <c r="H323" s="1638"/>
      <c r="J323" s="2093"/>
      <c r="K323" s="2093"/>
    </row>
    <row r="324" spans="1:11" s="1639" customFormat="1" ht="9.75" hidden="1" customHeight="1" x14ac:dyDescent="0.25">
      <c r="A324" s="1637"/>
      <c r="B324" s="2913"/>
      <c r="C324" s="4104"/>
      <c r="D324" s="1609"/>
      <c r="E324" s="1891"/>
      <c r="F324" s="3648"/>
      <c r="G324" s="3648"/>
      <c r="H324" s="1638"/>
      <c r="J324" s="2093"/>
      <c r="K324" s="2093"/>
    </row>
    <row r="325" spans="1:11" s="1639" customFormat="1" ht="14.25" hidden="1" customHeight="1" x14ac:dyDescent="0.25">
      <c r="A325" s="1637"/>
      <c r="B325" s="2913"/>
      <c r="C325" s="4116" t="s">
        <v>1564</v>
      </c>
      <c r="D325" s="3707">
        <f>SUM(D326:D328)</f>
        <v>498450000</v>
      </c>
      <c r="E325" s="1557">
        <f>SUM(E326:E328)</f>
        <v>472650000</v>
      </c>
      <c r="F325" s="3633">
        <f>E325/D325*100</f>
        <v>94.823954258200416</v>
      </c>
      <c r="G325" s="3600">
        <v>100</v>
      </c>
      <c r="H325" s="1638"/>
      <c r="J325" s="2093"/>
      <c r="K325" s="2093"/>
    </row>
    <row r="326" spans="1:11" s="1639" customFormat="1" ht="13.5" hidden="1" customHeight="1" x14ac:dyDescent="0.25">
      <c r="A326" s="1637"/>
      <c r="B326" s="2913"/>
      <c r="C326" s="4104" t="s">
        <v>1565</v>
      </c>
      <c r="D326" s="1609">
        <v>191100000</v>
      </c>
      <c r="E326" s="1238">
        <v>181350000</v>
      </c>
      <c r="F326" s="1717">
        <f>E326/D326*100</f>
        <v>94.897959183673478</v>
      </c>
      <c r="G326" s="3648">
        <v>100</v>
      </c>
      <c r="H326" s="1638"/>
      <c r="J326" s="2093"/>
      <c r="K326" s="2093"/>
    </row>
    <row r="327" spans="1:11" s="1639" customFormat="1" ht="13.5" hidden="1" customHeight="1" x14ac:dyDescent="0.25">
      <c r="A327" s="1637"/>
      <c r="B327" s="2913"/>
      <c r="C327" s="4104" t="s">
        <v>1566</v>
      </c>
      <c r="D327" s="1609">
        <v>160725000</v>
      </c>
      <c r="E327" s="1238">
        <v>160725000</v>
      </c>
      <c r="F327" s="1717">
        <f>E327/D327*100</f>
        <v>100</v>
      </c>
      <c r="G327" s="3648">
        <v>100</v>
      </c>
      <c r="H327" s="1638"/>
      <c r="J327" s="2093"/>
      <c r="K327" s="2093"/>
    </row>
    <row r="328" spans="1:11" s="1639" customFormat="1" ht="13.5" hidden="1" customHeight="1" x14ac:dyDescent="0.25">
      <c r="A328" s="1637"/>
      <c r="B328" s="2913"/>
      <c r="C328" s="4104" t="s">
        <v>1890</v>
      </c>
      <c r="D328" s="1520">
        <v>146625000</v>
      </c>
      <c r="E328" s="1238">
        <v>130575000</v>
      </c>
      <c r="F328" s="1717">
        <f>E328/D328*100</f>
        <v>89.05370843989769</v>
      </c>
      <c r="G328" s="3648">
        <v>100</v>
      </c>
      <c r="H328" s="1638"/>
      <c r="J328" s="2093"/>
      <c r="K328" s="2093"/>
    </row>
    <row r="329" spans="1:11" s="1639" customFormat="1" ht="11.25" hidden="1" customHeight="1" x14ac:dyDescent="0.25">
      <c r="A329" s="1637"/>
      <c r="B329" s="2913"/>
      <c r="C329" s="4116"/>
      <c r="D329" s="3707"/>
      <c r="E329" s="1891"/>
      <c r="F329" s="3648"/>
      <c r="G329" s="3648"/>
      <c r="H329" s="1638"/>
      <c r="J329" s="2093"/>
      <c r="K329" s="2093"/>
    </row>
    <row r="330" spans="1:11" s="1639" customFormat="1" ht="16.5" hidden="1" customHeight="1" x14ac:dyDescent="0.25">
      <c r="A330" s="1637"/>
      <c r="B330" s="2913"/>
      <c r="C330" s="4116" t="s">
        <v>1567</v>
      </c>
      <c r="D330" s="3707">
        <f>D331</f>
        <v>129750000</v>
      </c>
      <c r="E330" s="3707">
        <f>E331</f>
        <v>129750000</v>
      </c>
      <c r="F330" s="3633">
        <f>E330/D330*100</f>
        <v>100</v>
      </c>
      <c r="G330" s="3629">
        <v>100</v>
      </c>
      <c r="H330" s="1638"/>
      <c r="J330" s="2093"/>
      <c r="K330" s="2093"/>
    </row>
    <row r="331" spans="1:11" s="1639" customFormat="1" ht="15.75" hidden="1" customHeight="1" x14ac:dyDescent="0.25">
      <c r="A331" s="1637"/>
      <c r="B331" s="2913"/>
      <c r="C331" s="4104" t="s">
        <v>1568</v>
      </c>
      <c r="D331" s="1520">
        <v>129750000</v>
      </c>
      <c r="E331" s="1238">
        <v>129750000</v>
      </c>
      <c r="F331" s="1717">
        <f>E331/D331*100</f>
        <v>100</v>
      </c>
      <c r="G331" s="971">
        <v>100</v>
      </c>
      <c r="H331" s="1638"/>
      <c r="J331" s="2093"/>
      <c r="K331" s="2093"/>
    </row>
    <row r="332" spans="1:11" s="1639" customFormat="1" ht="6.75" hidden="1" customHeight="1" x14ac:dyDescent="0.25">
      <c r="A332" s="1637"/>
      <c r="B332" s="2913"/>
      <c r="C332" s="4116"/>
      <c r="D332" s="3707"/>
      <c r="E332" s="1891"/>
      <c r="F332" s="3648"/>
      <c r="G332" s="3648"/>
      <c r="H332" s="1638"/>
      <c r="J332" s="2093"/>
      <c r="K332" s="2093"/>
    </row>
    <row r="333" spans="1:11" s="1639" customFormat="1" ht="27.75" hidden="1" customHeight="1" x14ac:dyDescent="0.25">
      <c r="A333" s="1637"/>
      <c r="B333" s="2913"/>
      <c r="C333" s="4116" t="s">
        <v>1569</v>
      </c>
      <c r="D333" s="3708">
        <f>SUM(D334:D336)</f>
        <v>11613625676</v>
      </c>
      <c r="E333" s="3708">
        <f>SUM(E334:E336)</f>
        <v>10630594040</v>
      </c>
      <c r="F333" s="3633">
        <f>E333/D333*100</f>
        <v>91.535531939595131</v>
      </c>
      <c r="G333" s="3600">
        <v>100</v>
      </c>
      <c r="H333" s="1638"/>
      <c r="J333" s="2093"/>
      <c r="K333" s="2093"/>
    </row>
    <row r="334" spans="1:11" s="1639" customFormat="1" ht="15.75" hidden="1" customHeight="1" x14ac:dyDescent="0.25">
      <c r="A334" s="1637"/>
      <c r="B334" s="2913"/>
      <c r="C334" s="4104" t="s">
        <v>1570</v>
      </c>
      <c r="D334" s="1520">
        <v>786750530</v>
      </c>
      <c r="E334" s="1238">
        <v>740415680</v>
      </c>
      <c r="F334" s="1717">
        <f>E334/D334*100</f>
        <v>94.110604539408456</v>
      </c>
      <c r="G334" s="3648">
        <v>100</v>
      </c>
      <c r="H334" s="1638"/>
      <c r="J334" s="2093"/>
      <c r="K334" s="2093"/>
    </row>
    <row r="335" spans="1:11" s="1639" customFormat="1" ht="15" hidden="1" customHeight="1" x14ac:dyDescent="0.25">
      <c r="A335" s="1637"/>
      <c r="B335" s="2913"/>
      <c r="C335" s="4104" t="s">
        <v>1571</v>
      </c>
      <c r="D335" s="1609">
        <v>1498891696</v>
      </c>
      <c r="E335" s="1238">
        <v>823196000</v>
      </c>
      <c r="F335" s="1717">
        <f>E335/D335*100</f>
        <v>54.920312267845141</v>
      </c>
      <c r="G335" s="3648">
        <v>100</v>
      </c>
      <c r="H335" s="1638"/>
      <c r="J335" s="2093"/>
      <c r="K335" s="2093"/>
    </row>
    <row r="336" spans="1:11" s="1639" customFormat="1" ht="15" hidden="1" customHeight="1" x14ac:dyDescent="0.25">
      <c r="A336" s="1637"/>
      <c r="B336" s="2913"/>
      <c r="C336" s="4104" t="s">
        <v>1572</v>
      </c>
      <c r="D336" s="812">
        <v>9327983450</v>
      </c>
      <c r="E336" s="1238">
        <v>9066982360</v>
      </c>
      <c r="F336" s="1717">
        <f>E336/D336*100</f>
        <v>97.201955906128887</v>
      </c>
      <c r="G336" s="3648">
        <v>100</v>
      </c>
      <c r="H336" s="1638"/>
      <c r="J336" s="2093"/>
      <c r="K336" s="2093"/>
    </row>
    <row r="337" spans="1:11" ht="6.75" hidden="1" customHeight="1" x14ac:dyDescent="0.25">
      <c r="B337" s="2913"/>
      <c r="C337" s="3892"/>
      <c r="D337" s="2693"/>
      <c r="E337" s="1927"/>
      <c r="F337" s="3553"/>
      <c r="G337" s="3553"/>
      <c r="H337" s="535"/>
    </row>
    <row r="338" spans="1:11" s="1639" customFormat="1" ht="15" hidden="1" customHeight="1" x14ac:dyDescent="0.25">
      <c r="A338" s="1637"/>
      <c r="B338" s="5397"/>
      <c r="C338" s="3858" t="s">
        <v>249</v>
      </c>
      <c r="D338" s="1546">
        <f>SUM(D339+D342)</f>
        <v>7806893900</v>
      </c>
      <c r="E338" s="1546">
        <f>SUM(E339+E342)</f>
        <v>6778609364</v>
      </c>
      <c r="F338" s="1462">
        <f>E338/D338*100</f>
        <v>86.828506328233829</v>
      </c>
      <c r="G338" s="1726">
        <v>100</v>
      </c>
      <c r="H338" s="1638"/>
      <c r="J338" s="3337">
        <v>7806893900</v>
      </c>
      <c r="K338" s="2093">
        <v>6778609364</v>
      </c>
    </row>
    <row r="339" spans="1:11" s="1639" customFormat="1" ht="21.75" hidden="1" customHeight="1" x14ac:dyDescent="0.25">
      <c r="A339" s="1637"/>
      <c r="B339" s="2913"/>
      <c r="C339" s="3893" t="s">
        <v>1573</v>
      </c>
      <c r="D339" s="1556">
        <f>D340</f>
        <v>776000000</v>
      </c>
      <c r="E339" s="3712">
        <f>E340</f>
        <v>635460438</v>
      </c>
      <c r="F339" s="3633">
        <f>E339/D339*100</f>
        <v>81.889231701030923</v>
      </c>
      <c r="G339" s="2380">
        <v>100</v>
      </c>
      <c r="H339" s="1638"/>
      <c r="J339" s="2093"/>
      <c r="K339" s="2093"/>
    </row>
    <row r="340" spans="1:11" s="1639" customFormat="1" ht="13.5" hidden="1" customHeight="1" x14ac:dyDescent="0.25">
      <c r="A340" s="1637"/>
      <c r="B340" s="2913"/>
      <c r="C340" s="4104" t="s">
        <v>1574</v>
      </c>
      <c r="D340" s="1609">
        <v>776000000</v>
      </c>
      <c r="E340" s="1238">
        <v>635460438</v>
      </c>
      <c r="F340" s="1717">
        <f>E340/D340*100</f>
        <v>81.889231701030923</v>
      </c>
      <c r="G340" s="3648">
        <v>100</v>
      </c>
      <c r="H340" s="1638"/>
      <c r="J340" s="2093"/>
      <c r="K340" s="2093"/>
    </row>
    <row r="341" spans="1:11" s="1639" customFormat="1" ht="8.25" hidden="1" customHeight="1" x14ac:dyDescent="0.25">
      <c r="A341" s="1637"/>
      <c r="B341" s="2913"/>
      <c r="C341" s="3890"/>
      <c r="D341" s="1516"/>
      <c r="E341" s="1891"/>
      <c r="F341" s="3648"/>
      <c r="G341" s="3648"/>
      <c r="H341" s="1638"/>
      <c r="J341" s="2093"/>
      <c r="K341" s="2093"/>
    </row>
    <row r="342" spans="1:11" s="1639" customFormat="1" ht="18" hidden="1" customHeight="1" x14ac:dyDescent="0.25">
      <c r="A342" s="1637"/>
      <c r="B342" s="2913"/>
      <c r="C342" s="4116" t="s">
        <v>1575</v>
      </c>
      <c r="D342" s="3707">
        <f>D343</f>
        <v>7030893900</v>
      </c>
      <c r="E342" s="1557">
        <f>E343</f>
        <v>6143148926</v>
      </c>
      <c r="F342" s="3633">
        <f>E342/D342*100</f>
        <v>87.373654237621196</v>
      </c>
      <c r="G342" s="3600">
        <v>100</v>
      </c>
      <c r="H342" s="1638"/>
      <c r="J342" s="2093"/>
      <c r="K342" s="2093"/>
    </row>
    <row r="343" spans="1:11" s="1639" customFormat="1" ht="13.5" hidden="1" customHeight="1" x14ac:dyDescent="0.25">
      <c r="A343" s="1637"/>
      <c r="B343" s="2913"/>
      <c r="C343" s="4104" t="s">
        <v>1576</v>
      </c>
      <c r="D343" s="1609">
        <v>7030893900</v>
      </c>
      <c r="E343" s="1238">
        <v>6143148926</v>
      </c>
      <c r="F343" s="1717">
        <f>E343/D343*100</f>
        <v>87.373654237621196</v>
      </c>
      <c r="G343" s="3648">
        <v>100</v>
      </c>
      <c r="H343" s="1638"/>
      <c r="J343" s="2093"/>
      <c r="K343" s="2093"/>
    </row>
    <row r="344" spans="1:11" ht="13.5" hidden="1" customHeight="1" x14ac:dyDescent="0.25">
      <c r="B344" s="2913"/>
      <c r="C344" s="3892"/>
      <c r="D344" s="4508"/>
      <c r="E344" s="1927"/>
      <c r="F344" s="3651"/>
      <c r="G344" s="3651"/>
      <c r="H344" s="535"/>
    </row>
    <row r="345" spans="1:11" s="1639" customFormat="1" ht="13.5" hidden="1" customHeight="1" x14ac:dyDescent="0.25">
      <c r="A345" s="1637"/>
      <c r="B345" s="5397"/>
      <c r="C345" s="3858" t="s">
        <v>250</v>
      </c>
      <c r="D345" s="1546">
        <f>SUM(D346+D349+D353)</f>
        <v>12684880412</v>
      </c>
      <c r="E345" s="1546">
        <f>SUM(E346+E349+E353)</f>
        <v>12315220187</v>
      </c>
      <c r="F345" s="1462">
        <f>E345/D345*100</f>
        <v>97.08582018124271</v>
      </c>
      <c r="G345" s="1726">
        <v>100</v>
      </c>
      <c r="H345" s="1638"/>
      <c r="J345" s="2093">
        <v>12684880412</v>
      </c>
      <c r="K345" s="2093">
        <v>12315220187</v>
      </c>
    </row>
    <row r="346" spans="1:11" s="1639" customFormat="1" ht="18.75" hidden="1" customHeight="1" x14ac:dyDescent="0.25">
      <c r="A346" s="1637"/>
      <c r="B346" s="2913"/>
      <c r="C346" s="3893" t="s">
        <v>1577</v>
      </c>
      <c r="D346" s="1547">
        <f>D347</f>
        <v>5467255000</v>
      </c>
      <c r="E346" s="1547">
        <f>E347</f>
        <v>5259073440</v>
      </c>
      <c r="F346" s="3633">
        <f>E346/D346*100</f>
        <v>96.192210533439535</v>
      </c>
      <c r="G346" s="3550">
        <v>100</v>
      </c>
      <c r="H346" s="1638"/>
      <c r="J346" s="2093"/>
      <c r="K346" s="2093"/>
    </row>
    <row r="347" spans="1:11" s="1639" customFormat="1" ht="13.5" hidden="1" customHeight="1" x14ac:dyDescent="0.25">
      <c r="A347" s="1637"/>
      <c r="B347" s="2913"/>
      <c r="C347" s="4104" t="s">
        <v>1578</v>
      </c>
      <c r="D347" s="1609">
        <v>5467255000</v>
      </c>
      <c r="E347" s="1238">
        <v>5259073440</v>
      </c>
      <c r="F347" s="1717">
        <f>E347/D347*100</f>
        <v>96.192210533439535</v>
      </c>
      <c r="G347" s="3648">
        <v>100</v>
      </c>
      <c r="H347" s="1638"/>
      <c r="J347" s="2093"/>
      <c r="K347" s="2093"/>
    </row>
    <row r="348" spans="1:11" s="1639" customFormat="1" ht="8.25" hidden="1" customHeight="1" x14ac:dyDescent="0.25">
      <c r="A348" s="1637"/>
      <c r="B348" s="2913"/>
      <c r="C348" s="3890"/>
      <c r="D348" s="1564"/>
      <c r="E348" s="1891"/>
      <c r="F348" s="3648"/>
      <c r="G348" s="3648"/>
      <c r="H348" s="1638"/>
      <c r="J348" s="2093"/>
      <c r="K348" s="2093"/>
    </row>
    <row r="349" spans="1:11" s="1639" customFormat="1" ht="13.5" hidden="1" customHeight="1" x14ac:dyDescent="0.25">
      <c r="A349" s="1637"/>
      <c r="B349" s="2913"/>
      <c r="C349" s="4116" t="s">
        <v>1579</v>
      </c>
      <c r="D349" s="3707">
        <f>SUM(D350:D351)</f>
        <v>779300000</v>
      </c>
      <c r="E349" s="3707">
        <f>SUM(E350:E351)</f>
        <v>778114000</v>
      </c>
      <c r="F349" s="3633">
        <f>E349/D349*100</f>
        <v>99.84781213909919</v>
      </c>
      <c r="G349" s="3600">
        <v>100</v>
      </c>
      <c r="H349" s="1638"/>
      <c r="J349" s="2093"/>
      <c r="K349" s="2093"/>
    </row>
    <row r="350" spans="1:11" s="1639" customFormat="1" ht="13.5" hidden="1" customHeight="1" x14ac:dyDescent="0.25">
      <c r="A350" s="1637"/>
      <c r="B350" s="2913"/>
      <c r="C350" s="4104" t="s">
        <v>1580</v>
      </c>
      <c r="D350" s="1609">
        <v>395000000</v>
      </c>
      <c r="E350" s="1238">
        <v>394414000</v>
      </c>
      <c r="F350" s="1717">
        <f>E350/D350*100</f>
        <v>99.851645569620246</v>
      </c>
      <c r="G350" s="3648">
        <v>100</v>
      </c>
      <c r="H350" s="1638"/>
      <c r="J350" s="2093"/>
      <c r="K350" s="2093"/>
    </row>
    <row r="351" spans="1:11" s="1639" customFormat="1" ht="13.5" hidden="1" customHeight="1" x14ac:dyDescent="0.25">
      <c r="A351" s="1637"/>
      <c r="B351" s="2913"/>
      <c r="C351" s="3892" t="s">
        <v>1581</v>
      </c>
      <c r="D351" s="1516">
        <v>384300000</v>
      </c>
      <c r="E351" s="1238">
        <v>383700000</v>
      </c>
      <c r="F351" s="1717">
        <f>E351/D351*100</f>
        <v>99.843871975019511</v>
      </c>
      <c r="G351" s="3648">
        <v>100</v>
      </c>
      <c r="H351" s="1638"/>
      <c r="J351" s="2093"/>
      <c r="K351" s="2093"/>
    </row>
    <row r="352" spans="1:11" s="1639" customFormat="1" ht="5.25" hidden="1" customHeight="1" x14ac:dyDescent="0.25">
      <c r="A352" s="1637"/>
      <c r="B352" s="2913"/>
      <c r="C352" s="3890"/>
      <c r="D352" s="1548"/>
      <c r="E352" s="1891"/>
      <c r="F352" s="3648"/>
      <c r="G352" s="3648"/>
      <c r="H352" s="1638"/>
      <c r="J352" s="2093"/>
      <c r="K352" s="2093"/>
    </row>
    <row r="353" spans="1:11" s="1639" customFormat="1" ht="13.5" hidden="1" customHeight="1" x14ac:dyDescent="0.25">
      <c r="A353" s="1637"/>
      <c r="B353" s="2913"/>
      <c r="C353" s="4116" t="s">
        <v>1582</v>
      </c>
      <c r="D353" s="1549">
        <f>D354</f>
        <v>6438325412</v>
      </c>
      <c r="E353" s="1549">
        <f>E354</f>
        <v>6278032747</v>
      </c>
      <c r="F353" s="3633">
        <f>E353/D353*100</f>
        <v>97.510336077433422</v>
      </c>
      <c r="G353" s="3600">
        <v>100</v>
      </c>
      <c r="H353" s="1638"/>
      <c r="J353" s="2093"/>
      <c r="K353" s="2093"/>
    </row>
    <row r="354" spans="1:11" s="1639" customFormat="1" ht="13.5" hidden="1" customHeight="1" x14ac:dyDescent="0.25">
      <c r="A354" s="1637"/>
      <c r="B354" s="2913"/>
      <c r="C354" s="4104" t="s">
        <v>1583</v>
      </c>
      <c r="D354" s="1548">
        <v>6438325412</v>
      </c>
      <c r="E354" s="1238">
        <v>6278032747</v>
      </c>
      <c r="F354" s="1717">
        <f>E354/D354*100</f>
        <v>97.510336077433422</v>
      </c>
      <c r="G354" s="3648">
        <v>100</v>
      </c>
      <c r="H354" s="1638"/>
      <c r="J354" s="2093"/>
      <c r="K354" s="2093"/>
    </row>
    <row r="355" spans="1:11" ht="13.5" hidden="1" customHeight="1" x14ac:dyDescent="0.25">
      <c r="B355" s="2913"/>
      <c r="C355" s="3892"/>
      <c r="D355" s="1550"/>
      <c r="E355" s="1927"/>
      <c r="F355" s="3553"/>
      <c r="G355" s="3553"/>
      <c r="H355" s="535"/>
    </row>
    <row r="356" spans="1:11" s="1639" customFormat="1" ht="13.5" hidden="1" customHeight="1" x14ac:dyDescent="0.25">
      <c r="A356" s="1637"/>
      <c r="B356" s="5397"/>
      <c r="C356" s="3858" t="s">
        <v>251</v>
      </c>
      <c r="D356" s="1546">
        <f>SUM(D357+D360+D363)</f>
        <v>4872916000</v>
      </c>
      <c r="E356" s="1546">
        <f>SUM(E357+E360+E363)</f>
        <v>4799515000</v>
      </c>
      <c r="F356" s="1462">
        <f>E356/D356*100</f>
        <v>98.493694535263899</v>
      </c>
      <c r="G356" s="1726">
        <v>100</v>
      </c>
      <c r="H356" s="1638"/>
      <c r="J356" s="2093">
        <v>4872916000</v>
      </c>
      <c r="K356" s="2093">
        <v>4799515000</v>
      </c>
    </row>
    <row r="357" spans="1:11" s="1639" customFormat="1" ht="13.5" hidden="1" customHeight="1" x14ac:dyDescent="0.25">
      <c r="A357" s="1637"/>
      <c r="B357" s="2913"/>
      <c r="C357" s="3893" t="s">
        <v>1584</v>
      </c>
      <c r="D357" s="3707">
        <f>D358</f>
        <v>60000000</v>
      </c>
      <c r="E357" s="3712">
        <f>E358</f>
        <v>59400000</v>
      </c>
      <c r="F357" s="3633">
        <f>E357/D357*100</f>
        <v>99</v>
      </c>
      <c r="G357" s="2380">
        <v>100</v>
      </c>
      <c r="H357" s="1638"/>
      <c r="J357" s="2093"/>
      <c r="K357" s="2093"/>
    </row>
    <row r="358" spans="1:11" s="1639" customFormat="1" ht="13.5" hidden="1" customHeight="1" x14ac:dyDescent="0.25">
      <c r="A358" s="1637"/>
      <c r="B358" s="2913"/>
      <c r="C358" s="4104" t="s">
        <v>1585</v>
      </c>
      <c r="D358" s="1609">
        <v>60000000</v>
      </c>
      <c r="E358" s="1238">
        <v>59400000</v>
      </c>
      <c r="F358" s="1717">
        <f>E358/D358*100</f>
        <v>99</v>
      </c>
      <c r="G358" s="3648">
        <v>100</v>
      </c>
      <c r="H358" s="1638"/>
      <c r="J358" s="2093"/>
      <c r="K358" s="2093"/>
    </row>
    <row r="359" spans="1:11" s="1639" customFormat="1" ht="10.5" hidden="1" customHeight="1" x14ac:dyDescent="0.25">
      <c r="A359" s="1637"/>
      <c r="B359" s="2913"/>
      <c r="C359" s="3890"/>
      <c r="D359" s="1564"/>
      <c r="E359" s="1891"/>
      <c r="F359" s="3648"/>
      <c r="G359" s="3648"/>
      <c r="H359" s="1638"/>
      <c r="J359" s="2093"/>
      <c r="K359" s="2093"/>
    </row>
    <row r="360" spans="1:11" s="1639" customFormat="1" ht="13.5" hidden="1" customHeight="1" x14ac:dyDescent="0.25">
      <c r="A360" s="1637"/>
      <c r="B360" s="2913"/>
      <c r="C360" s="4116" t="s">
        <v>1586</v>
      </c>
      <c r="D360" s="3707">
        <f>D361</f>
        <v>4027916000</v>
      </c>
      <c r="E360" s="3707">
        <f>E361</f>
        <v>3992995000</v>
      </c>
      <c r="F360" s="3633">
        <f>E360/D360*100</f>
        <v>99.133025614238235</v>
      </c>
      <c r="G360" s="3600">
        <v>100</v>
      </c>
      <c r="H360" s="1638"/>
      <c r="J360" s="2093"/>
      <c r="K360" s="2093"/>
    </row>
    <row r="361" spans="1:11" s="1639" customFormat="1" ht="13.5" hidden="1" customHeight="1" x14ac:dyDescent="0.25">
      <c r="A361" s="1637"/>
      <c r="B361" s="2913"/>
      <c r="C361" s="4104" t="s">
        <v>393</v>
      </c>
      <c r="D361" s="1609">
        <v>4027916000</v>
      </c>
      <c r="E361" s="1238">
        <v>3992995000</v>
      </c>
      <c r="F361" s="1717">
        <f>E361/D361*100</f>
        <v>99.133025614238235</v>
      </c>
      <c r="G361" s="3648">
        <v>100</v>
      </c>
      <c r="H361" s="1638"/>
      <c r="J361" s="2093"/>
      <c r="K361" s="2093"/>
    </row>
    <row r="362" spans="1:11" s="1639" customFormat="1" ht="8.25" hidden="1" customHeight="1" x14ac:dyDescent="0.25">
      <c r="A362" s="1637"/>
      <c r="B362" s="2913"/>
      <c r="C362" s="3861"/>
      <c r="D362" s="1609"/>
      <c r="E362" s="1891"/>
      <c r="F362" s="1717"/>
      <c r="G362" s="3648"/>
      <c r="H362" s="1638"/>
      <c r="J362" s="2093"/>
      <c r="K362" s="2093"/>
    </row>
    <row r="363" spans="1:11" s="1639" customFormat="1" ht="13.5" hidden="1" customHeight="1" x14ac:dyDescent="0.25">
      <c r="A363" s="1637"/>
      <c r="B363" s="2913"/>
      <c r="C363" s="3873" t="s">
        <v>1587</v>
      </c>
      <c r="D363" s="3707">
        <f>D364</f>
        <v>785000000</v>
      </c>
      <c r="E363" s="1557">
        <f>E364</f>
        <v>747120000</v>
      </c>
      <c r="F363" s="3633">
        <f>E363/D363*100</f>
        <v>95.174522292993629</v>
      </c>
      <c r="G363" s="3600">
        <v>100</v>
      </c>
      <c r="H363" s="1638"/>
      <c r="J363" s="2093"/>
      <c r="K363" s="2093"/>
    </row>
    <row r="364" spans="1:11" s="1639" customFormat="1" ht="13.5" hidden="1" customHeight="1" x14ac:dyDescent="0.25">
      <c r="A364" s="1637"/>
      <c r="B364" s="2913"/>
      <c r="C364" s="3861" t="s">
        <v>1588</v>
      </c>
      <c r="D364" s="1609">
        <v>785000000</v>
      </c>
      <c r="E364" s="1238">
        <v>747120000</v>
      </c>
      <c r="F364" s="1717">
        <f>E364/D364*100</f>
        <v>95.174522292993629</v>
      </c>
      <c r="G364" s="3648">
        <v>100</v>
      </c>
      <c r="H364" s="1638"/>
      <c r="J364" s="2093"/>
      <c r="K364" s="2093"/>
    </row>
    <row r="365" spans="1:11" ht="9" hidden="1" customHeight="1" x14ac:dyDescent="0.25">
      <c r="B365" s="2913"/>
      <c r="C365" s="3894"/>
      <c r="D365" s="1561"/>
      <c r="E365" s="3491"/>
      <c r="F365" s="1717"/>
      <c r="G365" s="3651"/>
      <c r="H365" s="536"/>
    </row>
    <row r="366" spans="1:11" s="1639" customFormat="1" ht="17.25" hidden="1" customHeight="1" x14ac:dyDescent="0.25">
      <c r="A366" s="1637"/>
      <c r="B366" s="5397"/>
      <c r="C366" s="3858" t="s">
        <v>252</v>
      </c>
      <c r="D366" s="1546">
        <f>SUM(D367)</f>
        <v>483860000</v>
      </c>
      <c r="E366" s="1546">
        <f>SUM(E367)</f>
        <v>481592000</v>
      </c>
      <c r="F366" s="1462">
        <f>E366/D366*100</f>
        <v>99.53126937543918</v>
      </c>
      <c r="G366" s="1726">
        <v>100</v>
      </c>
      <c r="H366" s="2115"/>
      <c r="J366" s="2093">
        <v>483860000</v>
      </c>
      <c r="K366" s="2093">
        <v>481592000</v>
      </c>
    </row>
    <row r="367" spans="1:11" s="1639" customFormat="1" ht="17.25" hidden="1" customHeight="1" x14ac:dyDescent="0.25">
      <c r="A367" s="1637"/>
      <c r="B367" s="2912"/>
      <c r="C367" s="3893" t="s">
        <v>253</v>
      </c>
      <c r="D367" s="1547">
        <f>SUM(D368+D369)</f>
        <v>483860000</v>
      </c>
      <c r="E367" s="1547">
        <f>SUM(E368+E369)</f>
        <v>481592000</v>
      </c>
      <c r="F367" s="3633">
        <f>E367/D367*100</f>
        <v>99.53126937543918</v>
      </c>
      <c r="G367" s="2380">
        <v>100</v>
      </c>
      <c r="H367" s="2115"/>
      <c r="J367" s="2093"/>
      <c r="K367" s="2093"/>
    </row>
    <row r="368" spans="1:11" s="1639" customFormat="1" ht="14.25" hidden="1" customHeight="1" x14ac:dyDescent="0.25">
      <c r="A368" s="1637"/>
      <c r="B368" s="5405"/>
      <c r="C368" s="4104" t="s">
        <v>1635</v>
      </c>
      <c r="D368" s="1609">
        <v>180560000</v>
      </c>
      <c r="E368" s="1238">
        <v>178292000</v>
      </c>
      <c r="F368" s="1717">
        <f>E368/D368*100</f>
        <v>98.743907842268499</v>
      </c>
      <c r="G368" s="3648">
        <v>100</v>
      </c>
      <c r="H368" s="2115"/>
      <c r="J368" s="2093"/>
      <c r="K368" s="2093"/>
    </row>
    <row r="369" spans="1:11" s="1639" customFormat="1" ht="13.5" hidden="1" customHeight="1" x14ac:dyDescent="0.25">
      <c r="A369" s="1637"/>
      <c r="B369" s="5405"/>
      <c r="C369" s="4104" t="s">
        <v>1636</v>
      </c>
      <c r="D369" s="1609">
        <v>303300000</v>
      </c>
      <c r="E369" s="1238">
        <v>303300000</v>
      </c>
      <c r="F369" s="1717">
        <f>E369/D369*100</f>
        <v>100</v>
      </c>
      <c r="G369" s="3648">
        <v>100</v>
      </c>
      <c r="H369" s="2115"/>
      <c r="J369" s="2093"/>
      <c r="K369" s="2093"/>
    </row>
    <row r="370" spans="1:11" ht="10.5" hidden="1" customHeight="1" x14ac:dyDescent="0.25">
      <c r="B370" s="2913"/>
      <c r="C370" s="3892"/>
      <c r="D370" s="1558"/>
      <c r="E370" s="3491"/>
      <c r="F370" s="3651"/>
      <c r="G370" s="3651"/>
      <c r="H370" s="577"/>
    </row>
    <row r="371" spans="1:11" s="1639" customFormat="1" ht="13.5" hidden="1" customHeight="1" x14ac:dyDescent="0.25">
      <c r="A371" s="1637"/>
      <c r="B371" s="5397"/>
      <c r="C371" s="3858" t="s">
        <v>254</v>
      </c>
      <c r="D371" s="1546">
        <f>SUM(D372+D375+D378+D381+D387)</f>
        <v>3970868500</v>
      </c>
      <c r="E371" s="1546">
        <f>SUM(E372+E375+E378+E381+E387)</f>
        <v>3852288650</v>
      </c>
      <c r="F371" s="1462">
        <f>E371/D371*100</f>
        <v>97.013755303153445</v>
      </c>
      <c r="G371" s="1726">
        <f>SUM(G372+G375+G378+G381+G387)/5</f>
        <v>95</v>
      </c>
      <c r="H371" s="2115"/>
      <c r="J371" s="3715">
        <v>3970868500</v>
      </c>
      <c r="K371" s="3715">
        <v>3852288650</v>
      </c>
    </row>
    <row r="372" spans="1:11" s="1639" customFormat="1" ht="19.5" hidden="1" customHeight="1" x14ac:dyDescent="0.25">
      <c r="A372" s="1637"/>
      <c r="B372" s="2913"/>
      <c r="C372" s="3881" t="s">
        <v>1637</v>
      </c>
      <c r="D372" s="1547">
        <f>D373</f>
        <v>94750000</v>
      </c>
      <c r="E372" s="1547">
        <f>E373</f>
        <v>93146000</v>
      </c>
      <c r="F372" s="3633">
        <f>E372/D372*100</f>
        <v>98.307124010554091</v>
      </c>
      <c r="G372" s="2380">
        <v>100</v>
      </c>
      <c r="H372" s="2117"/>
      <c r="J372" s="2093"/>
      <c r="K372" s="2093"/>
    </row>
    <row r="373" spans="1:11" s="1639" customFormat="1" ht="15.75" hidden="1" customHeight="1" x14ac:dyDescent="0.25">
      <c r="A373" s="1637"/>
      <c r="B373" s="2913"/>
      <c r="C373" s="4104" t="s">
        <v>1638</v>
      </c>
      <c r="D373" s="1609">
        <v>94750000</v>
      </c>
      <c r="E373" s="1238">
        <v>93146000</v>
      </c>
      <c r="F373" s="1717">
        <f>E373/D373*100</f>
        <v>98.307124010554091</v>
      </c>
      <c r="G373" s="3648">
        <v>100</v>
      </c>
      <c r="H373" s="1638"/>
      <c r="J373" s="2093"/>
      <c r="K373" s="2093"/>
    </row>
    <row r="374" spans="1:11" s="1639" customFormat="1" ht="9.75" hidden="1" customHeight="1" x14ac:dyDescent="0.25">
      <c r="A374" s="1637"/>
      <c r="B374" s="2913"/>
      <c r="C374" s="3890"/>
      <c r="D374" s="1516"/>
      <c r="E374" s="3879"/>
      <c r="F374" s="3648"/>
      <c r="G374" s="3648"/>
      <c r="H374" s="1638"/>
      <c r="J374" s="2093"/>
      <c r="K374" s="2093"/>
    </row>
    <row r="375" spans="1:11" s="1639" customFormat="1" ht="15.75" hidden="1" customHeight="1" x14ac:dyDescent="0.25">
      <c r="A375" s="1637"/>
      <c r="B375" s="2913"/>
      <c r="C375" s="4116" t="s">
        <v>1639</v>
      </c>
      <c r="D375" s="3707">
        <f>D376</f>
        <v>187550000</v>
      </c>
      <c r="E375" s="3707">
        <f>E376</f>
        <v>185459000</v>
      </c>
      <c r="F375" s="3633">
        <f>E375/D375*100</f>
        <v>98.885097307384697</v>
      </c>
      <c r="G375" s="3600">
        <v>100</v>
      </c>
      <c r="H375" s="1638"/>
      <c r="J375" s="2093"/>
      <c r="K375" s="2093"/>
    </row>
    <row r="376" spans="1:11" s="1639" customFormat="1" ht="28.5" hidden="1" customHeight="1" x14ac:dyDescent="0.25">
      <c r="A376" s="1637"/>
      <c r="B376" s="2913"/>
      <c r="C376" s="4104" t="s">
        <v>1640</v>
      </c>
      <c r="D376" s="1609">
        <v>187550000</v>
      </c>
      <c r="E376" s="1238">
        <v>185459000</v>
      </c>
      <c r="F376" s="1717">
        <f>E376/D376*100</f>
        <v>98.885097307384697</v>
      </c>
      <c r="G376" s="3648">
        <v>100</v>
      </c>
      <c r="H376" s="1638"/>
      <c r="J376" s="2093"/>
      <c r="K376" s="2093"/>
    </row>
    <row r="377" spans="1:11" s="1639" customFormat="1" ht="9" hidden="1" customHeight="1" x14ac:dyDescent="0.25">
      <c r="A377" s="1637"/>
      <c r="B377" s="2913"/>
      <c r="C377" s="3890"/>
      <c r="D377" s="1516"/>
      <c r="E377" s="3879"/>
      <c r="F377" s="3648"/>
      <c r="G377" s="3648"/>
      <c r="H377" s="1638"/>
      <c r="J377" s="2093"/>
      <c r="K377" s="2093"/>
    </row>
    <row r="378" spans="1:11" s="1639" customFormat="1" ht="18" hidden="1" customHeight="1" x14ac:dyDescent="0.25">
      <c r="A378" s="1637"/>
      <c r="B378" s="2913"/>
      <c r="C378" s="4116" t="s">
        <v>255</v>
      </c>
      <c r="D378" s="1551">
        <f>D379</f>
        <v>2474852000</v>
      </c>
      <c r="E378" s="1551">
        <f>E379</f>
        <v>2456790000</v>
      </c>
      <c r="F378" s="3633">
        <f>E378/D378*100</f>
        <v>99.270178580375713</v>
      </c>
      <c r="G378" s="3600">
        <v>100</v>
      </c>
      <c r="H378" s="1638"/>
      <c r="J378" s="2093"/>
      <c r="K378" s="2093"/>
    </row>
    <row r="379" spans="1:11" s="1639" customFormat="1" ht="15" hidden="1" customHeight="1" x14ac:dyDescent="0.25">
      <c r="A379" s="1637"/>
      <c r="B379" s="2913"/>
      <c r="C379" s="4104" t="s">
        <v>1641</v>
      </c>
      <c r="D379" s="1609">
        <v>2474852000</v>
      </c>
      <c r="E379" s="1238">
        <v>2456790000</v>
      </c>
      <c r="F379" s="1717">
        <f>E379/D379*100</f>
        <v>99.270178580375713</v>
      </c>
      <c r="G379" s="3648">
        <v>100</v>
      </c>
      <c r="H379" s="1638"/>
      <c r="J379" s="2093"/>
      <c r="K379" s="2093"/>
    </row>
    <row r="380" spans="1:11" s="1639" customFormat="1" ht="10.5" hidden="1" customHeight="1" x14ac:dyDescent="0.25">
      <c r="A380" s="1637"/>
      <c r="B380" s="2913"/>
      <c r="C380" s="3861"/>
      <c r="D380" s="1609"/>
      <c r="E380" s="3879"/>
      <c r="F380" s="3648"/>
      <c r="G380" s="3648"/>
      <c r="H380" s="1638"/>
      <c r="J380" s="2093"/>
      <c r="K380" s="2093"/>
    </row>
    <row r="381" spans="1:11" s="1639" customFormat="1" ht="13.5" hidden="1" customHeight="1" x14ac:dyDescent="0.25">
      <c r="A381" s="1637"/>
      <c r="B381" s="2913"/>
      <c r="C381" s="3873" t="s">
        <v>1642</v>
      </c>
      <c r="D381" s="3707">
        <f>SUM(D382:D385)</f>
        <v>838916500</v>
      </c>
      <c r="E381" s="3707">
        <f>SUM(E382:E385)</f>
        <v>784793650</v>
      </c>
      <c r="F381" s="3633">
        <f>E381/D381*100</f>
        <v>93.548481881093053</v>
      </c>
      <c r="G381" s="3600">
        <v>100</v>
      </c>
      <c r="H381" s="1638"/>
      <c r="J381" s="2093"/>
      <c r="K381" s="2093"/>
    </row>
    <row r="382" spans="1:11" s="1639" customFormat="1" ht="14.25" hidden="1" customHeight="1" x14ac:dyDescent="0.25">
      <c r="A382" s="1637"/>
      <c r="B382" s="2913"/>
      <c r="C382" s="3861" t="s">
        <v>1643</v>
      </c>
      <c r="D382" s="1609">
        <v>53900000</v>
      </c>
      <c r="E382" s="1238">
        <v>38900000</v>
      </c>
      <c r="F382" s="1717">
        <f>E382/D382*100</f>
        <v>72.170686456400745</v>
      </c>
      <c r="G382" s="971">
        <v>100</v>
      </c>
      <c r="H382" s="1638"/>
      <c r="J382" s="2093"/>
      <c r="K382" s="2093"/>
    </row>
    <row r="383" spans="1:11" s="1639" customFormat="1" ht="18" hidden="1" customHeight="1" x14ac:dyDescent="0.25">
      <c r="A383" s="1637"/>
      <c r="B383" s="2913"/>
      <c r="C383" s="3861" t="s">
        <v>1644</v>
      </c>
      <c r="D383" s="1609">
        <v>308350000</v>
      </c>
      <c r="E383" s="1238">
        <v>286334000</v>
      </c>
      <c r="F383" s="1717">
        <f>E383/D383*100</f>
        <v>92.860061618290899</v>
      </c>
      <c r="G383" s="971">
        <v>100</v>
      </c>
      <c r="H383" s="1638"/>
      <c r="J383" s="2093"/>
      <c r="K383" s="2093"/>
    </row>
    <row r="384" spans="1:11" s="1639" customFormat="1" ht="13.5" hidden="1" customHeight="1" x14ac:dyDescent="0.25">
      <c r="A384" s="1637"/>
      <c r="B384" s="2913"/>
      <c r="C384" s="3861" t="s">
        <v>1589</v>
      </c>
      <c r="D384" s="1609">
        <v>383050000</v>
      </c>
      <c r="E384" s="1238">
        <v>381844000</v>
      </c>
      <c r="F384" s="1717">
        <f>E384/D384*100</f>
        <v>99.685158595483614</v>
      </c>
      <c r="G384" s="971">
        <v>100</v>
      </c>
      <c r="H384" s="1638"/>
      <c r="J384" s="2093"/>
      <c r="K384" s="2093"/>
    </row>
    <row r="385" spans="1:11" s="1639" customFormat="1" ht="17.25" hidden="1" customHeight="1" x14ac:dyDescent="0.25">
      <c r="A385" s="1637"/>
      <c r="B385" s="2913"/>
      <c r="C385" s="3861" t="s">
        <v>1645</v>
      </c>
      <c r="D385" s="1609">
        <v>93616500</v>
      </c>
      <c r="E385" s="1238">
        <v>77715650</v>
      </c>
      <c r="F385" s="1717">
        <f>E385/D385*100</f>
        <v>83.014906560275165</v>
      </c>
      <c r="G385" s="971">
        <v>100</v>
      </c>
      <c r="H385" s="1638"/>
      <c r="J385" s="2093"/>
      <c r="K385" s="2093"/>
    </row>
    <row r="386" spans="1:11" s="1639" customFormat="1" ht="6.75" hidden="1" customHeight="1" x14ac:dyDescent="0.25">
      <c r="A386" s="1637"/>
      <c r="B386" s="2913"/>
      <c r="C386" s="3861"/>
      <c r="D386" s="1609"/>
      <c r="E386" s="3879"/>
      <c r="F386" s="3648"/>
      <c r="G386" s="3648"/>
      <c r="H386" s="1638"/>
      <c r="J386" s="2093"/>
      <c r="K386" s="2093"/>
    </row>
    <row r="387" spans="1:11" s="1639" customFormat="1" ht="21" hidden="1" customHeight="1" x14ac:dyDescent="0.25">
      <c r="A387" s="1637"/>
      <c r="B387" s="2913"/>
      <c r="C387" s="3873" t="s">
        <v>1646</v>
      </c>
      <c r="D387" s="3707">
        <f>SUM(D388:D391)</f>
        <v>374800000</v>
      </c>
      <c r="E387" s="1557">
        <f>SUM(E388:E391)</f>
        <v>332100000</v>
      </c>
      <c r="F387" s="3633">
        <f>E387/D387*100</f>
        <v>88.607257203842053</v>
      </c>
      <c r="G387" s="3600">
        <f>SUM(G388:G391)/4</f>
        <v>75</v>
      </c>
      <c r="H387" s="1638"/>
      <c r="J387" s="2093"/>
      <c r="K387" s="2093"/>
    </row>
    <row r="388" spans="1:11" s="1639" customFormat="1" ht="13.5" hidden="1" customHeight="1" x14ac:dyDescent="0.25">
      <c r="A388" s="1637"/>
      <c r="B388" s="2913"/>
      <c r="C388" s="3861" t="s">
        <v>1647</v>
      </c>
      <c r="D388" s="1609">
        <v>40100000</v>
      </c>
      <c r="E388" s="1238">
        <v>38100000</v>
      </c>
      <c r="F388" s="1717">
        <f>E388/D388*100</f>
        <v>95.012468827930178</v>
      </c>
      <c r="G388" s="971">
        <v>100</v>
      </c>
      <c r="H388" s="1638"/>
      <c r="J388" s="2093"/>
      <c r="K388" s="2093"/>
    </row>
    <row r="389" spans="1:11" s="1639" customFormat="1" ht="13.5" hidden="1" customHeight="1" x14ac:dyDescent="0.25">
      <c r="A389" s="1637"/>
      <c r="B389" s="2913"/>
      <c r="C389" s="3861" t="s">
        <v>1648</v>
      </c>
      <c r="D389" s="1609">
        <v>40700000</v>
      </c>
      <c r="E389" s="1238">
        <v>0</v>
      </c>
      <c r="F389" s="1238">
        <v>0</v>
      </c>
      <c r="G389" s="1238">
        <v>0</v>
      </c>
      <c r="H389" s="1638"/>
      <c r="J389" s="2093"/>
      <c r="K389" s="2093"/>
    </row>
    <row r="390" spans="1:11" s="1639" customFormat="1" ht="13.5" hidden="1" customHeight="1" x14ac:dyDescent="0.25">
      <c r="A390" s="1637"/>
      <c r="B390" s="2913"/>
      <c r="C390" s="3861" t="s">
        <v>1649</v>
      </c>
      <c r="D390" s="1609">
        <v>124000000</v>
      </c>
      <c r="E390" s="1238">
        <v>124000000</v>
      </c>
      <c r="F390" s="1717">
        <f>E390/D390*100</f>
        <v>100</v>
      </c>
      <c r="G390" s="3648">
        <v>100</v>
      </c>
      <c r="H390" s="1638"/>
      <c r="J390" s="2093"/>
      <c r="K390" s="2093"/>
    </row>
    <row r="391" spans="1:11" s="1639" customFormat="1" ht="13.5" hidden="1" customHeight="1" x14ac:dyDescent="0.25">
      <c r="A391" s="1637"/>
      <c r="B391" s="2913"/>
      <c r="C391" s="3861" t="s">
        <v>1650</v>
      </c>
      <c r="D391" s="1609">
        <v>170000000</v>
      </c>
      <c r="E391" s="1238">
        <v>170000000</v>
      </c>
      <c r="F391" s="1717">
        <f>E391/D391*100</f>
        <v>100</v>
      </c>
      <c r="G391" s="971">
        <v>100</v>
      </c>
      <c r="H391" s="1638"/>
      <c r="J391" s="2093"/>
      <c r="K391" s="2093"/>
    </row>
    <row r="392" spans="1:11" s="1639" customFormat="1" ht="10.5" hidden="1" customHeight="1" x14ac:dyDescent="0.25">
      <c r="A392" s="1637"/>
      <c r="B392" s="2913"/>
      <c r="C392" s="3848"/>
      <c r="D392" s="1516"/>
      <c r="E392" s="1927"/>
      <c r="F392" s="3553"/>
      <c r="G392" s="3553"/>
      <c r="H392" s="1638"/>
      <c r="J392" s="2093"/>
      <c r="K392" s="2093"/>
    </row>
    <row r="393" spans="1:11" s="1639" customFormat="1" ht="12" hidden="1" customHeight="1" x14ac:dyDescent="0.25">
      <c r="A393" s="1637"/>
      <c r="B393" s="5397"/>
      <c r="C393" s="3858" t="s">
        <v>256</v>
      </c>
      <c r="D393" s="5469">
        <f>D394</f>
        <v>788880000</v>
      </c>
      <c r="E393" s="5469">
        <f>E394</f>
        <v>787660389</v>
      </c>
      <c r="F393" s="1462">
        <f>E393/D393*100</f>
        <v>99.84539968055978</v>
      </c>
      <c r="G393" s="1726">
        <v>100</v>
      </c>
      <c r="H393" s="1638"/>
      <c r="J393" s="2093">
        <v>788880000</v>
      </c>
      <c r="K393" s="2093">
        <v>787660389</v>
      </c>
    </row>
    <row r="394" spans="1:11" s="1639" customFormat="1" ht="18" hidden="1" customHeight="1" x14ac:dyDescent="0.25">
      <c r="A394" s="1637"/>
      <c r="B394" s="2913"/>
      <c r="C394" s="3881" t="s">
        <v>1651</v>
      </c>
      <c r="D394" s="1556">
        <f>D395</f>
        <v>788880000</v>
      </c>
      <c r="E394" s="3712">
        <f>E395</f>
        <v>787660389</v>
      </c>
      <c r="F394" s="3633">
        <f>E394/D394*100</f>
        <v>99.84539968055978</v>
      </c>
      <c r="G394" s="3554">
        <v>100</v>
      </c>
      <c r="H394" s="1638"/>
      <c r="J394" s="2093"/>
      <c r="K394" s="2093"/>
    </row>
    <row r="395" spans="1:11" s="1639" customFormat="1" ht="13.5" hidden="1" customHeight="1" x14ac:dyDescent="0.25">
      <c r="A395" s="1637"/>
      <c r="B395" s="2913"/>
      <c r="C395" s="4104" t="s">
        <v>1652</v>
      </c>
      <c r="D395" s="1609">
        <v>788880000</v>
      </c>
      <c r="E395" s="1238">
        <v>787660389</v>
      </c>
      <c r="F395" s="1717">
        <f>E395/D395*100</f>
        <v>99.84539968055978</v>
      </c>
      <c r="G395" s="3648">
        <v>100</v>
      </c>
      <c r="H395" s="1638"/>
      <c r="J395" s="2093"/>
      <c r="K395" s="2093"/>
    </row>
    <row r="396" spans="1:11" ht="8.25" hidden="1" customHeight="1" x14ac:dyDescent="0.25">
      <c r="B396" s="2913"/>
      <c r="C396" s="3873"/>
      <c r="D396" s="3707"/>
      <c r="E396" s="1927"/>
      <c r="F396" s="3553"/>
      <c r="G396" s="3553"/>
      <c r="H396" s="535"/>
    </row>
    <row r="397" spans="1:11" s="1639" customFormat="1" ht="15.75" hidden="1" customHeight="1" x14ac:dyDescent="0.25">
      <c r="A397" s="1637"/>
      <c r="B397" s="5397"/>
      <c r="C397" s="3858" t="s">
        <v>6579</v>
      </c>
      <c r="D397" s="1552">
        <f>SUM(D398+D401)</f>
        <v>714808000</v>
      </c>
      <c r="E397" s="1552">
        <f>SUM(E398+E401)</f>
        <v>701889959</v>
      </c>
      <c r="F397" s="1462">
        <f>E397/D397*100</f>
        <v>98.192795687793094</v>
      </c>
      <c r="G397" s="1726">
        <v>100</v>
      </c>
      <c r="H397" s="1638"/>
      <c r="J397" s="2093">
        <v>714808000</v>
      </c>
      <c r="K397" s="2093">
        <v>701889959</v>
      </c>
    </row>
    <row r="398" spans="1:11" s="1639" customFormat="1" ht="19.5" hidden="1" customHeight="1" x14ac:dyDescent="0.25">
      <c r="A398" s="1637"/>
      <c r="B398" s="2913"/>
      <c r="C398" s="3893" t="s">
        <v>6580</v>
      </c>
      <c r="D398" s="1556">
        <f>D399</f>
        <v>400000000</v>
      </c>
      <c r="E398" s="1567">
        <f>E399</f>
        <v>390489458</v>
      </c>
      <c r="F398" s="3633">
        <f>E398/D398*100</f>
        <v>97.622364500000003</v>
      </c>
      <c r="G398" s="3554">
        <v>100</v>
      </c>
      <c r="H398" s="1638"/>
      <c r="J398" s="2093"/>
      <c r="K398" s="2093"/>
    </row>
    <row r="399" spans="1:11" s="1639" customFormat="1" ht="15.75" hidden="1" customHeight="1" x14ac:dyDescent="0.25">
      <c r="A399" s="1637"/>
      <c r="B399" s="2913"/>
      <c r="C399" s="4104" t="s">
        <v>6581</v>
      </c>
      <c r="D399" s="812">
        <v>400000000</v>
      </c>
      <c r="E399" s="1238">
        <v>390489458</v>
      </c>
      <c r="F399" s="1717">
        <f>E399/D399*100</f>
        <v>97.622364500000003</v>
      </c>
      <c r="G399" s="1668">
        <v>100</v>
      </c>
      <c r="H399" s="1638"/>
      <c r="J399" s="2093"/>
      <c r="K399" s="2093"/>
    </row>
    <row r="400" spans="1:11" s="1639" customFormat="1" ht="9.75" hidden="1" customHeight="1" x14ac:dyDescent="0.25">
      <c r="A400" s="1637"/>
      <c r="B400" s="2913"/>
      <c r="C400" s="4104"/>
      <c r="D400" s="812"/>
      <c r="E400" s="1238"/>
      <c r="F400" s="1717"/>
      <c r="G400" s="1668"/>
      <c r="H400" s="1638"/>
      <c r="J400" s="2093"/>
      <c r="K400" s="2093"/>
    </row>
    <row r="401" spans="1:11" s="1639" customFormat="1" ht="17.25" hidden="1" customHeight="1" x14ac:dyDescent="0.25">
      <c r="A401" s="1637"/>
      <c r="B401" s="2913"/>
      <c r="C401" s="4116" t="s">
        <v>6582</v>
      </c>
      <c r="D401" s="1557">
        <f>D402</f>
        <v>314808000</v>
      </c>
      <c r="E401" s="1557">
        <f>E402</f>
        <v>311400501</v>
      </c>
      <c r="F401" s="3633">
        <f>E401/D401*100</f>
        <v>98.917594533811084</v>
      </c>
      <c r="G401" s="3554">
        <v>100</v>
      </c>
      <c r="H401" s="1638"/>
      <c r="J401" s="2093"/>
      <c r="K401" s="2093"/>
    </row>
    <row r="402" spans="1:11" s="1639" customFormat="1" ht="15" hidden="1" customHeight="1" x14ac:dyDescent="0.25">
      <c r="A402" s="1637"/>
      <c r="B402" s="2913"/>
      <c r="C402" s="4104" t="s">
        <v>6583</v>
      </c>
      <c r="D402" s="812">
        <v>314808000</v>
      </c>
      <c r="E402" s="1238">
        <v>311400501</v>
      </c>
      <c r="F402" s="1717">
        <f>E402/D402*100</f>
        <v>98.917594533811084</v>
      </c>
      <c r="G402" s="1668">
        <v>100</v>
      </c>
      <c r="H402" s="1638"/>
      <c r="J402" s="2093"/>
      <c r="K402" s="2093"/>
    </row>
    <row r="403" spans="1:11" s="1639" customFormat="1" ht="7.5" hidden="1" customHeight="1" x14ac:dyDescent="0.25">
      <c r="A403" s="1637"/>
      <c r="B403" s="2913"/>
      <c r="C403" s="3894"/>
      <c r="D403" s="1561"/>
      <c r="E403" s="1927"/>
      <c r="F403" s="3553"/>
      <c r="G403" s="3553"/>
      <c r="H403" s="1638"/>
      <c r="J403" s="2093"/>
      <c r="K403" s="2093"/>
    </row>
    <row r="404" spans="1:11" s="1639" customFormat="1" ht="17.25" hidden="1" customHeight="1" x14ac:dyDescent="0.25">
      <c r="A404" s="1637"/>
      <c r="B404" s="5397"/>
      <c r="C404" s="3858" t="s">
        <v>6584</v>
      </c>
      <c r="D404" s="1552">
        <f>SUM(D405+D408)</f>
        <v>169900000</v>
      </c>
      <c r="E404" s="1552">
        <f>SUM(E405+E408)</f>
        <v>168755200</v>
      </c>
      <c r="F404" s="1462">
        <f>E404/D404*100</f>
        <v>99.326191877575042</v>
      </c>
      <c r="G404" s="1726">
        <v>100</v>
      </c>
      <c r="H404" s="1638"/>
      <c r="J404" s="2093">
        <v>169900000</v>
      </c>
      <c r="K404" s="2093">
        <v>168755200</v>
      </c>
    </row>
    <row r="405" spans="1:11" s="1639" customFormat="1" ht="19.5" hidden="1" customHeight="1" x14ac:dyDescent="0.25">
      <c r="A405" s="1637"/>
      <c r="B405" s="2913"/>
      <c r="C405" s="3893" t="s">
        <v>6585</v>
      </c>
      <c r="D405" s="1556">
        <f>D406</f>
        <v>130000000</v>
      </c>
      <c r="E405" s="1959">
        <f>E406</f>
        <v>128855200</v>
      </c>
      <c r="F405" s="3633">
        <f>E405/D405*100</f>
        <v>99.119384615384618</v>
      </c>
      <c r="G405" s="3632">
        <v>100</v>
      </c>
      <c r="H405" s="1638"/>
      <c r="J405" s="2093"/>
      <c r="K405" s="2093"/>
    </row>
    <row r="406" spans="1:11" s="1639" customFormat="1" ht="17.25" hidden="1" customHeight="1" x14ac:dyDescent="0.25">
      <c r="A406" s="1637"/>
      <c r="B406" s="2913"/>
      <c r="C406" s="4104" t="s">
        <v>6586</v>
      </c>
      <c r="D406" s="812">
        <v>130000000</v>
      </c>
      <c r="E406" s="663">
        <v>128855200</v>
      </c>
      <c r="F406" s="1717">
        <f>E406/D406*100</f>
        <v>99.119384615384618</v>
      </c>
      <c r="G406" s="3630">
        <v>100</v>
      </c>
      <c r="H406" s="1638"/>
      <c r="J406" s="2093"/>
      <c r="K406" s="2093"/>
    </row>
    <row r="407" spans="1:11" s="1639" customFormat="1" ht="10.5" hidden="1" customHeight="1" x14ac:dyDescent="0.25">
      <c r="A407" s="1637"/>
      <c r="B407" s="2913"/>
      <c r="C407" s="4104"/>
      <c r="D407" s="812"/>
      <c r="E407" s="3879"/>
      <c r="F407" s="3648"/>
      <c r="G407" s="3648"/>
      <c r="H407" s="1638"/>
      <c r="J407" s="2093"/>
      <c r="K407" s="2093"/>
    </row>
    <row r="408" spans="1:11" s="1639" customFormat="1" ht="17.25" hidden="1" customHeight="1" x14ac:dyDescent="0.25">
      <c r="A408" s="1637"/>
      <c r="B408" s="2913"/>
      <c r="C408" s="4116" t="s">
        <v>6587</v>
      </c>
      <c r="D408" s="5470">
        <f>D409</f>
        <v>39900000</v>
      </c>
      <c r="E408" s="5470">
        <f>E409</f>
        <v>39900000</v>
      </c>
      <c r="F408" s="3633">
        <f>E408/D408*100</f>
        <v>100</v>
      </c>
      <c r="G408" s="3600">
        <v>100</v>
      </c>
      <c r="H408" s="1638"/>
      <c r="J408" s="2093"/>
      <c r="K408" s="2093"/>
    </row>
    <row r="409" spans="1:11" s="1639" customFormat="1" ht="15" hidden="1" customHeight="1" x14ac:dyDescent="0.25">
      <c r="A409" s="1637"/>
      <c r="B409" s="2913"/>
      <c r="C409" s="4104" t="s">
        <v>6588</v>
      </c>
      <c r="D409" s="812">
        <v>39900000</v>
      </c>
      <c r="E409" s="1238">
        <v>39900000</v>
      </c>
      <c r="F409" s="1717">
        <f>E409/D409*100</f>
        <v>100</v>
      </c>
      <c r="G409" s="971">
        <v>100</v>
      </c>
      <c r="H409" s="1638"/>
      <c r="J409" s="2093"/>
      <c r="K409" s="2093"/>
    </row>
    <row r="410" spans="1:11" s="303" customFormat="1" ht="13.5" hidden="1" customHeight="1" x14ac:dyDescent="0.25">
      <c r="A410" s="3005"/>
      <c r="B410" s="2913"/>
      <c r="C410" s="3892"/>
      <c r="D410" s="1558"/>
      <c r="E410" s="865"/>
      <c r="F410" s="3553"/>
      <c r="G410" s="3553"/>
      <c r="H410" s="554"/>
      <c r="J410" s="522"/>
      <c r="K410" s="522"/>
    </row>
    <row r="411" spans="1:11" s="1639" customFormat="1" ht="15.75" hidden="1" customHeight="1" x14ac:dyDescent="0.25">
      <c r="A411" s="1637"/>
      <c r="B411" s="5397"/>
      <c r="C411" s="3895" t="s">
        <v>6589</v>
      </c>
      <c r="D411" s="1724">
        <f>D412+D415+D419+D423+D427+D431+D434+D439</f>
        <v>2367448000</v>
      </c>
      <c r="E411" s="1724">
        <f>E412+E415+E419+E423+E427+E431+E434+E439</f>
        <v>2357755500</v>
      </c>
      <c r="F411" s="1462">
        <f>E411/D411*100</f>
        <v>99.590592908482051</v>
      </c>
      <c r="G411" s="1726">
        <v>100</v>
      </c>
      <c r="H411" s="1638"/>
      <c r="J411" s="2093">
        <v>2367448000</v>
      </c>
      <c r="K411" s="2093">
        <v>2357755500</v>
      </c>
    </row>
    <row r="412" spans="1:11" s="1639" customFormat="1" ht="15.75" hidden="1" customHeight="1" x14ac:dyDescent="0.25">
      <c r="A412" s="1637"/>
      <c r="B412" s="2913"/>
      <c r="C412" s="3893" t="s">
        <v>6590</v>
      </c>
      <c r="D412" s="1556">
        <f>D413</f>
        <v>740479000</v>
      </c>
      <c r="E412" s="1959">
        <f>E413</f>
        <v>740479000</v>
      </c>
      <c r="F412" s="3633">
        <f>E412/D412*100</f>
        <v>100</v>
      </c>
      <c r="G412" s="3554">
        <v>100</v>
      </c>
      <c r="H412" s="1638"/>
      <c r="J412" s="2093"/>
      <c r="K412" s="2093"/>
    </row>
    <row r="413" spans="1:11" s="1639" customFormat="1" ht="15.75" hidden="1" customHeight="1" x14ac:dyDescent="0.25">
      <c r="A413" s="1637"/>
      <c r="B413" s="2913"/>
      <c r="C413" s="4104" t="s">
        <v>6591</v>
      </c>
      <c r="D413" s="812">
        <v>740479000</v>
      </c>
      <c r="E413" s="1238">
        <v>740479000</v>
      </c>
      <c r="F413" s="1717">
        <f>E413/D413*100</f>
        <v>100</v>
      </c>
      <c r="G413" s="3648">
        <v>100</v>
      </c>
      <c r="H413" s="1638"/>
      <c r="J413" s="2093"/>
      <c r="K413" s="2093"/>
    </row>
    <row r="414" spans="1:11" s="1639" customFormat="1" ht="9.75" hidden="1" customHeight="1" x14ac:dyDescent="0.25">
      <c r="A414" s="1637"/>
      <c r="B414" s="2913"/>
      <c r="C414" s="4104"/>
      <c r="D414" s="812"/>
      <c r="E414" s="3879"/>
      <c r="F414" s="3648"/>
      <c r="G414" s="3648"/>
      <c r="H414" s="1638"/>
      <c r="J414" s="2093"/>
      <c r="K414" s="2093"/>
    </row>
    <row r="415" spans="1:11" s="1639" customFormat="1" ht="18" hidden="1" customHeight="1" x14ac:dyDescent="0.25">
      <c r="A415" s="1637"/>
      <c r="B415" s="2913"/>
      <c r="C415" s="4116" t="s">
        <v>6592</v>
      </c>
      <c r="D415" s="1557">
        <f>D416+D417</f>
        <v>301665000</v>
      </c>
      <c r="E415" s="1557">
        <f>E416+E417</f>
        <v>298780000</v>
      </c>
      <c r="F415" s="3633">
        <f>E415/D415*100</f>
        <v>99.043641125089081</v>
      </c>
      <c r="G415" s="3600">
        <v>100</v>
      </c>
      <c r="H415" s="1638"/>
      <c r="J415" s="2093"/>
      <c r="K415" s="2093"/>
    </row>
    <row r="416" spans="1:11" s="1639" customFormat="1" ht="15.75" hidden="1" customHeight="1" x14ac:dyDescent="0.25">
      <c r="A416" s="1637"/>
      <c r="B416" s="2913"/>
      <c r="C416" s="4104" t="s">
        <v>6593</v>
      </c>
      <c r="D416" s="812">
        <v>91165000</v>
      </c>
      <c r="E416" s="1238">
        <v>88280000</v>
      </c>
      <c r="F416" s="1717">
        <f>E416/D416*100</f>
        <v>96.835408325563549</v>
      </c>
      <c r="G416" s="3648">
        <v>100</v>
      </c>
      <c r="H416" s="1638"/>
      <c r="J416" s="2093"/>
      <c r="K416" s="2093"/>
    </row>
    <row r="417" spans="1:11" s="1639" customFormat="1" ht="15.75" hidden="1" customHeight="1" x14ac:dyDescent="0.25">
      <c r="A417" s="1637"/>
      <c r="B417" s="2913"/>
      <c r="C417" s="4104" t="s">
        <v>7331</v>
      </c>
      <c r="D417" s="812">
        <v>210500000</v>
      </c>
      <c r="E417" s="1238">
        <v>210500000</v>
      </c>
      <c r="F417" s="1717">
        <f>E417/D417*100</f>
        <v>100</v>
      </c>
      <c r="G417" s="3648">
        <v>100</v>
      </c>
      <c r="H417" s="1638"/>
      <c r="J417" s="2093"/>
      <c r="K417" s="2093"/>
    </row>
    <row r="418" spans="1:11" s="1639" customFormat="1" ht="9.75" hidden="1" customHeight="1" x14ac:dyDescent="0.25">
      <c r="A418" s="1637"/>
      <c r="B418" s="2913"/>
      <c r="C418" s="4104"/>
      <c r="D418" s="812"/>
      <c r="E418" s="3879"/>
      <c r="F418" s="3648"/>
      <c r="G418" s="3648"/>
      <c r="H418" s="1638"/>
      <c r="J418" s="2093"/>
      <c r="K418" s="2093"/>
    </row>
    <row r="419" spans="1:11" s="1639" customFormat="1" ht="20.25" hidden="1" customHeight="1" x14ac:dyDescent="0.25">
      <c r="A419" s="1637"/>
      <c r="B419" s="2913"/>
      <c r="C419" s="4116" t="s">
        <v>6594</v>
      </c>
      <c r="D419" s="1557">
        <f>D420+D421</f>
        <v>120895000</v>
      </c>
      <c r="E419" s="1557">
        <f>E420+E421</f>
        <v>120895000</v>
      </c>
      <c r="F419" s="3633">
        <f>E419/D419*100</f>
        <v>100</v>
      </c>
      <c r="G419" s="3600">
        <v>100</v>
      </c>
      <c r="H419" s="1638"/>
      <c r="J419" s="2093"/>
      <c r="K419" s="2093"/>
    </row>
    <row r="420" spans="1:11" s="1639" customFormat="1" ht="15.75" hidden="1" customHeight="1" x14ac:dyDescent="0.25">
      <c r="A420" s="1637"/>
      <c r="B420" s="2913"/>
      <c r="C420" s="4104" t="s">
        <v>6595</v>
      </c>
      <c r="D420" s="812">
        <v>24270000</v>
      </c>
      <c r="E420" s="3879">
        <v>24270000</v>
      </c>
      <c r="F420" s="1717">
        <f>E420/D420*100</f>
        <v>100</v>
      </c>
      <c r="G420" s="3648">
        <v>100</v>
      </c>
      <c r="H420" s="1638"/>
      <c r="J420" s="2093"/>
      <c r="K420" s="2093"/>
    </row>
    <row r="421" spans="1:11" s="1639" customFormat="1" ht="18" hidden="1" customHeight="1" x14ac:dyDescent="0.25">
      <c r="A421" s="1637"/>
      <c r="B421" s="2913"/>
      <c r="C421" s="4104" t="s">
        <v>6596</v>
      </c>
      <c r="D421" s="812">
        <v>96625000</v>
      </c>
      <c r="E421" s="3879">
        <v>96625000</v>
      </c>
      <c r="F421" s="1717">
        <f>E421/D421*100</f>
        <v>100</v>
      </c>
      <c r="G421" s="3648">
        <v>100</v>
      </c>
      <c r="H421" s="1638"/>
      <c r="J421" s="2093"/>
      <c r="K421" s="2093"/>
    </row>
    <row r="422" spans="1:11" s="1639" customFormat="1" ht="7.5" hidden="1" customHeight="1" x14ac:dyDescent="0.25">
      <c r="A422" s="1637"/>
      <c r="B422" s="2913"/>
      <c r="C422" s="4104"/>
      <c r="D422" s="812"/>
      <c r="E422" s="3879"/>
      <c r="F422" s="3648"/>
      <c r="G422" s="3648"/>
      <c r="H422" s="1638"/>
      <c r="J422" s="2093"/>
      <c r="K422" s="2093"/>
    </row>
    <row r="423" spans="1:11" s="1639" customFormat="1" ht="15" hidden="1" customHeight="1" x14ac:dyDescent="0.25">
      <c r="A423" s="1637"/>
      <c r="B423" s="2913"/>
      <c r="C423" s="4116" t="s">
        <v>6597</v>
      </c>
      <c r="D423" s="1557">
        <f>D424+D425</f>
        <v>361125000</v>
      </c>
      <c r="E423" s="1557">
        <f>E424+E425</f>
        <v>361125000</v>
      </c>
      <c r="F423" s="3633">
        <f>E423/D423*100</f>
        <v>100</v>
      </c>
      <c r="G423" s="3600">
        <v>100</v>
      </c>
      <c r="H423" s="1638"/>
      <c r="J423" s="2093"/>
      <c r="K423" s="2093"/>
    </row>
    <row r="424" spans="1:11" s="1639" customFormat="1" ht="18" hidden="1" customHeight="1" x14ac:dyDescent="0.25">
      <c r="A424" s="1637"/>
      <c r="B424" s="2913"/>
      <c r="C424" s="4104" t="s">
        <v>6598</v>
      </c>
      <c r="D424" s="812">
        <v>200000000</v>
      </c>
      <c r="E424" s="3879">
        <v>200000000</v>
      </c>
      <c r="F424" s="1717">
        <f>E424/D424*100</f>
        <v>100</v>
      </c>
      <c r="G424" s="3648">
        <v>100</v>
      </c>
      <c r="H424" s="1638"/>
      <c r="J424" s="2093"/>
      <c r="K424" s="2093"/>
    </row>
    <row r="425" spans="1:11" s="1639" customFormat="1" ht="17.25" hidden="1" customHeight="1" x14ac:dyDescent="0.25">
      <c r="A425" s="1637"/>
      <c r="B425" s="2913"/>
      <c r="C425" s="4104" t="s">
        <v>6599</v>
      </c>
      <c r="D425" s="812">
        <v>161125000</v>
      </c>
      <c r="E425" s="3879">
        <v>161125000</v>
      </c>
      <c r="F425" s="1717">
        <f>E425/D425*100</f>
        <v>100</v>
      </c>
      <c r="G425" s="3648">
        <v>100</v>
      </c>
      <c r="H425" s="1638"/>
      <c r="J425" s="2093"/>
      <c r="K425" s="2093"/>
    </row>
    <row r="426" spans="1:11" s="1639" customFormat="1" ht="12" hidden="1" customHeight="1" x14ac:dyDescent="0.25">
      <c r="A426" s="1637"/>
      <c r="B426" s="2913"/>
      <c r="C426" s="4104"/>
      <c r="D426" s="812"/>
      <c r="E426" s="3879"/>
      <c r="F426" s="3648"/>
      <c r="G426" s="3648"/>
      <c r="H426" s="1638"/>
      <c r="J426" s="2093"/>
      <c r="K426" s="2093"/>
    </row>
    <row r="427" spans="1:11" s="1639" customFormat="1" ht="21" hidden="1" customHeight="1" x14ac:dyDescent="0.25">
      <c r="A427" s="1637"/>
      <c r="B427" s="2913"/>
      <c r="C427" s="4116" t="s">
        <v>6600</v>
      </c>
      <c r="D427" s="1557">
        <f>D428+D429</f>
        <v>248770000</v>
      </c>
      <c r="E427" s="1557">
        <f>E428+E429</f>
        <v>248392500</v>
      </c>
      <c r="F427" s="3633">
        <f>E427/D427*100</f>
        <v>99.848253406761273</v>
      </c>
      <c r="G427" s="3600">
        <v>100</v>
      </c>
      <c r="H427" s="1638"/>
      <c r="J427" s="2093"/>
      <c r="K427" s="2093"/>
    </row>
    <row r="428" spans="1:11" s="1639" customFormat="1" ht="21" hidden="1" customHeight="1" x14ac:dyDescent="0.25">
      <c r="A428" s="1637"/>
      <c r="B428" s="2913"/>
      <c r="C428" s="4104" t="s">
        <v>6601</v>
      </c>
      <c r="D428" s="812">
        <v>98770000</v>
      </c>
      <c r="E428" s="3879">
        <v>98432500</v>
      </c>
      <c r="F428" s="1717">
        <f>E428/D428*100</f>
        <v>99.658297053761274</v>
      </c>
      <c r="G428" s="3648">
        <v>100</v>
      </c>
      <c r="H428" s="1638"/>
      <c r="J428" s="2093"/>
      <c r="K428" s="2093"/>
    </row>
    <row r="429" spans="1:11" s="1639" customFormat="1" ht="13.5" hidden="1" customHeight="1" x14ac:dyDescent="0.25">
      <c r="A429" s="1637"/>
      <c r="B429" s="2913"/>
      <c r="C429" s="4104" t="s">
        <v>6602</v>
      </c>
      <c r="D429" s="812">
        <v>150000000</v>
      </c>
      <c r="E429" s="3879">
        <v>149960000</v>
      </c>
      <c r="F429" s="1717">
        <f>E429/D429*100</f>
        <v>99.973333333333329</v>
      </c>
      <c r="G429" s="3648">
        <v>100</v>
      </c>
      <c r="H429" s="1638"/>
      <c r="J429" s="2093"/>
      <c r="K429" s="2093"/>
    </row>
    <row r="430" spans="1:11" s="1639" customFormat="1" ht="9" hidden="1" customHeight="1" x14ac:dyDescent="0.25">
      <c r="A430" s="1637"/>
      <c r="B430" s="2913"/>
      <c r="C430" s="4104"/>
      <c r="D430" s="812"/>
      <c r="E430" s="3879"/>
      <c r="F430" s="1717"/>
      <c r="G430" s="3648"/>
      <c r="H430" s="1638"/>
      <c r="J430" s="2093"/>
      <c r="K430" s="2093"/>
    </row>
    <row r="431" spans="1:11" s="1639" customFormat="1" ht="17.25" hidden="1" customHeight="1" x14ac:dyDescent="0.25">
      <c r="A431" s="1637"/>
      <c r="B431" s="2913"/>
      <c r="C431" s="4116" t="s">
        <v>6603</v>
      </c>
      <c r="D431" s="1557">
        <f>D432</f>
        <v>218355000</v>
      </c>
      <c r="E431" s="1557">
        <f>E432</f>
        <v>218355000</v>
      </c>
      <c r="F431" s="3633">
        <f>E431/D431*100</f>
        <v>100</v>
      </c>
      <c r="G431" s="3600">
        <v>100</v>
      </c>
      <c r="H431" s="1638"/>
      <c r="J431" s="2093"/>
      <c r="K431" s="2093"/>
    </row>
    <row r="432" spans="1:11" s="1639" customFormat="1" ht="17.25" hidden="1" customHeight="1" x14ac:dyDescent="0.25">
      <c r="A432" s="1637"/>
      <c r="B432" s="2913"/>
      <c r="C432" s="4104" t="s">
        <v>6604</v>
      </c>
      <c r="D432" s="812">
        <v>218355000</v>
      </c>
      <c r="E432" s="3879">
        <v>218355000</v>
      </c>
      <c r="F432" s="1717">
        <f>E432/D432*100</f>
        <v>100</v>
      </c>
      <c r="G432" s="3648">
        <v>100</v>
      </c>
      <c r="H432" s="1638"/>
      <c r="J432" s="2093"/>
      <c r="K432" s="2093"/>
    </row>
    <row r="433" spans="1:11" s="1639" customFormat="1" ht="12" hidden="1" customHeight="1" x14ac:dyDescent="0.25">
      <c r="A433" s="1637"/>
      <c r="B433" s="2913"/>
      <c r="C433" s="4104"/>
      <c r="D433" s="812"/>
      <c r="E433" s="3879"/>
      <c r="F433" s="3648"/>
      <c r="G433" s="3648"/>
      <c r="H433" s="1638"/>
      <c r="J433" s="2093"/>
      <c r="K433" s="2093"/>
    </row>
    <row r="434" spans="1:11" s="1639" customFormat="1" ht="16.5" hidden="1" customHeight="1" x14ac:dyDescent="0.25">
      <c r="A434" s="1637"/>
      <c r="B434" s="2913"/>
      <c r="C434" s="4116" t="s">
        <v>6605</v>
      </c>
      <c r="D434" s="1557">
        <f>SUM(D435:D437)</f>
        <v>283259000</v>
      </c>
      <c r="E434" s="1557">
        <f>SUM(E435:E437)</f>
        <v>276829000</v>
      </c>
      <c r="F434" s="3633">
        <f>E434/D434*100</f>
        <v>97.729992692200426</v>
      </c>
      <c r="G434" s="3600">
        <v>100</v>
      </c>
      <c r="H434" s="1638"/>
      <c r="J434" s="2093"/>
      <c r="K434" s="2093"/>
    </row>
    <row r="435" spans="1:11" s="1639" customFormat="1" ht="18.75" hidden="1" customHeight="1" x14ac:dyDescent="0.25">
      <c r="A435" s="1637"/>
      <c r="B435" s="2913"/>
      <c r="C435" s="4104" t="s">
        <v>6606</v>
      </c>
      <c r="D435" s="812">
        <v>91159000</v>
      </c>
      <c r="E435" s="3879">
        <v>90524000</v>
      </c>
      <c r="F435" s="1717">
        <f>E435/D435*100</f>
        <v>99.303414912405799</v>
      </c>
      <c r="G435" s="3648">
        <v>100</v>
      </c>
      <c r="H435" s="1638"/>
      <c r="J435" s="2093"/>
      <c r="K435" s="2093"/>
    </row>
    <row r="436" spans="1:11" s="1639" customFormat="1" ht="14.25" hidden="1" customHeight="1" x14ac:dyDescent="0.25">
      <c r="A436" s="1637"/>
      <c r="B436" s="2913"/>
      <c r="C436" s="4104" t="s">
        <v>6607</v>
      </c>
      <c r="D436" s="812">
        <v>94250000</v>
      </c>
      <c r="E436" s="3879">
        <v>93455000</v>
      </c>
      <c r="F436" s="1717">
        <f>E436/D436*100</f>
        <v>99.15649867374006</v>
      </c>
      <c r="G436" s="3648">
        <v>100</v>
      </c>
      <c r="H436" s="1638"/>
      <c r="J436" s="2093"/>
      <c r="K436" s="2093"/>
    </row>
    <row r="437" spans="1:11" s="1639" customFormat="1" ht="18" hidden="1" customHeight="1" x14ac:dyDescent="0.25">
      <c r="A437" s="1637"/>
      <c r="B437" s="2913"/>
      <c r="C437" s="4104" t="s">
        <v>6608</v>
      </c>
      <c r="D437" s="812">
        <v>97850000</v>
      </c>
      <c r="E437" s="3879">
        <v>92850000</v>
      </c>
      <c r="F437" s="1717">
        <f>E437/D437*100</f>
        <v>94.890137966274906</v>
      </c>
      <c r="G437" s="3648">
        <v>100</v>
      </c>
      <c r="H437" s="1638"/>
      <c r="J437" s="2093"/>
      <c r="K437" s="2093"/>
    </row>
    <row r="438" spans="1:11" s="1639" customFormat="1" ht="4.5" hidden="1" customHeight="1" x14ac:dyDescent="0.25">
      <c r="A438" s="1637"/>
      <c r="B438" s="2913"/>
      <c r="C438" s="4116"/>
      <c r="D438" s="1557"/>
      <c r="E438" s="4056"/>
      <c r="F438" s="3648"/>
      <c r="G438" s="3648"/>
      <c r="H438" s="1638"/>
      <c r="J438" s="2093"/>
      <c r="K438" s="2093"/>
    </row>
    <row r="439" spans="1:11" s="1639" customFormat="1" ht="18.75" hidden="1" customHeight="1" x14ac:dyDescent="0.25">
      <c r="A439" s="1637"/>
      <c r="B439" s="2913"/>
      <c r="C439" s="4116" t="s">
        <v>6609</v>
      </c>
      <c r="D439" s="1557">
        <f>SUM(D440:D441)</f>
        <v>92900000</v>
      </c>
      <c r="E439" s="1557">
        <f>SUM(E440:E441)</f>
        <v>92900000</v>
      </c>
      <c r="F439" s="3633">
        <f>E439/D439*100</f>
        <v>100</v>
      </c>
      <c r="G439" s="3648">
        <v>100</v>
      </c>
      <c r="H439" s="1638"/>
      <c r="J439" s="2093"/>
      <c r="K439" s="2093"/>
    </row>
    <row r="440" spans="1:11" s="1639" customFormat="1" ht="15.75" hidden="1" customHeight="1" x14ac:dyDescent="0.25">
      <c r="A440" s="1637"/>
      <c r="B440" s="2913"/>
      <c r="C440" s="4104" t="s">
        <v>6610</v>
      </c>
      <c r="D440" s="812">
        <v>57750000</v>
      </c>
      <c r="E440" s="3879">
        <v>57750000</v>
      </c>
      <c r="F440" s="1717">
        <f>E440/D440*100</f>
        <v>100</v>
      </c>
      <c r="G440" s="3648">
        <v>100</v>
      </c>
      <c r="H440" s="1638"/>
      <c r="J440" s="2093"/>
      <c r="K440" s="2093"/>
    </row>
    <row r="441" spans="1:11" s="1639" customFormat="1" ht="17.25" hidden="1" customHeight="1" x14ac:dyDescent="0.25">
      <c r="A441" s="1637"/>
      <c r="B441" s="2913"/>
      <c r="C441" s="4104" t="s">
        <v>6611</v>
      </c>
      <c r="D441" s="812">
        <v>35150000</v>
      </c>
      <c r="E441" s="3879">
        <v>35150000</v>
      </c>
      <c r="F441" s="1717">
        <f>E441/D441*100</f>
        <v>100</v>
      </c>
      <c r="G441" s="3648">
        <v>100</v>
      </c>
      <c r="H441" s="1638"/>
      <c r="J441" s="2093"/>
      <c r="K441" s="2093"/>
    </row>
    <row r="442" spans="1:11" s="1639" customFormat="1" ht="10.5" hidden="1" customHeight="1" x14ac:dyDescent="0.25">
      <c r="A442" s="1637"/>
      <c r="B442" s="2913"/>
      <c r="C442" s="3892"/>
      <c r="D442" s="1558"/>
      <c r="E442" s="1927"/>
      <c r="F442" s="3651"/>
      <c r="G442" s="3651"/>
      <c r="H442" s="1638"/>
      <c r="J442" s="2093"/>
      <c r="K442" s="2093"/>
    </row>
    <row r="443" spans="1:11" s="1639" customFormat="1" ht="17.25" hidden="1" customHeight="1" x14ac:dyDescent="0.25">
      <c r="A443" s="1637"/>
      <c r="B443" s="5397"/>
      <c r="C443" s="3858" t="s">
        <v>6612</v>
      </c>
      <c r="D443" s="1552">
        <f>D444</f>
        <v>294900000</v>
      </c>
      <c r="E443" s="1552">
        <f>E444</f>
        <v>294470000</v>
      </c>
      <c r="F443" s="1462">
        <f>E443/D443*100</f>
        <v>99.854187860291617</v>
      </c>
      <c r="G443" s="1726">
        <v>100</v>
      </c>
      <c r="H443" s="1638"/>
      <c r="J443" s="2093">
        <v>294900000</v>
      </c>
      <c r="K443" s="2093">
        <v>294470000</v>
      </c>
    </row>
    <row r="444" spans="1:11" s="1639" customFormat="1" ht="15.75" hidden="1" customHeight="1" x14ac:dyDescent="0.25">
      <c r="A444" s="1637"/>
      <c r="B444" s="2913"/>
      <c r="C444" s="3881" t="s">
        <v>6613</v>
      </c>
      <c r="D444" s="1567">
        <f>D445</f>
        <v>294900000</v>
      </c>
      <c r="E444" s="1567">
        <f>E445</f>
        <v>294470000</v>
      </c>
      <c r="F444" s="3633">
        <f>E444/D444*100</f>
        <v>99.854187860291617</v>
      </c>
      <c r="G444" s="3554">
        <v>100</v>
      </c>
      <c r="H444" s="1638"/>
      <c r="J444" s="2093"/>
      <c r="K444" s="2093"/>
    </row>
    <row r="445" spans="1:11" s="1639" customFormat="1" ht="17.25" hidden="1" customHeight="1" x14ac:dyDescent="0.25">
      <c r="A445" s="1637"/>
      <c r="B445" s="2913"/>
      <c r="C445" s="4104" t="s">
        <v>6614</v>
      </c>
      <c r="D445" s="812">
        <v>294900000</v>
      </c>
      <c r="E445" s="1238">
        <v>294470000</v>
      </c>
      <c r="F445" s="1717">
        <f>E445/D445*100</f>
        <v>99.854187860291617</v>
      </c>
      <c r="G445" s="3648">
        <v>100</v>
      </c>
      <c r="H445" s="1638"/>
      <c r="J445" s="2093"/>
      <c r="K445" s="2093"/>
    </row>
    <row r="446" spans="1:11" s="1639" customFormat="1" ht="13.5" hidden="1" customHeight="1" x14ac:dyDescent="0.25">
      <c r="A446" s="1637"/>
      <c r="B446" s="2913"/>
      <c r="C446" s="3861"/>
      <c r="D446" s="1609"/>
      <c r="E446" s="1927"/>
      <c r="F446" s="3553"/>
      <c r="G446" s="3553"/>
      <c r="H446" s="1638"/>
      <c r="J446" s="2093"/>
      <c r="K446" s="2093"/>
    </row>
    <row r="447" spans="1:11" s="1639" customFormat="1" ht="15.75" hidden="1" customHeight="1" x14ac:dyDescent="0.25">
      <c r="A447" s="1637"/>
      <c r="B447" s="5397"/>
      <c r="C447" s="3858" t="s">
        <v>6615</v>
      </c>
      <c r="D447" s="1552">
        <f>D448</f>
        <v>180000000</v>
      </c>
      <c r="E447" s="1552">
        <f>E448</f>
        <v>179388000</v>
      </c>
      <c r="F447" s="1462">
        <f>E447/D447*100</f>
        <v>99.660000000000011</v>
      </c>
      <c r="G447" s="1726">
        <v>100</v>
      </c>
      <c r="H447" s="1638"/>
      <c r="J447" s="2093">
        <v>180000000</v>
      </c>
      <c r="K447" s="2093">
        <v>179388000</v>
      </c>
    </row>
    <row r="448" spans="1:11" s="1639" customFormat="1" ht="18.75" hidden="1" customHeight="1" x14ac:dyDescent="0.25">
      <c r="A448" s="1637"/>
      <c r="B448" s="2913"/>
      <c r="C448" s="3881" t="s">
        <v>6616</v>
      </c>
      <c r="D448" s="1567">
        <f>D449</f>
        <v>180000000</v>
      </c>
      <c r="E448" s="1567">
        <f>E449</f>
        <v>179388000</v>
      </c>
      <c r="F448" s="3633">
        <f>E448/D448*100</f>
        <v>99.660000000000011</v>
      </c>
      <c r="G448" s="3554">
        <v>100</v>
      </c>
      <c r="H448" s="1638"/>
      <c r="J448" s="2093"/>
      <c r="K448" s="2093"/>
    </row>
    <row r="449" spans="1:11" s="1639" customFormat="1" ht="21.75" hidden="1" customHeight="1" x14ac:dyDescent="0.25">
      <c r="A449" s="1637"/>
      <c r="B449" s="2913"/>
      <c r="C449" s="4104" t="s">
        <v>6617</v>
      </c>
      <c r="D449" s="812">
        <v>180000000</v>
      </c>
      <c r="E449" s="1238">
        <v>179388000</v>
      </c>
      <c r="F449" s="1717">
        <f>E449/D449*100</f>
        <v>99.660000000000011</v>
      </c>
      <c r="G449" s="3630">
        <v>100</v>
      </c>
      <c r="H449" s="1638"/>
      <c r="J449" s="2093"/>
      <c r="K449" s="2093"/>
    </row>
    <row r="450" spans="1:11" s="1639" customFormat="1" ht="11.25" hidden="1" customHeight="1" x14ac:dyDescent="0.25">
      <c r="A450" s="1637"/>
      <c r="B450" s="2913"/>
      <c r="C450" s="3861"/>
      <c r="D450" s="1609"/>
      <c r="E450" s="1927"/>
      <c r="F450" s="3553"/>
      <c r="G450" s="3553"/>
      <c r="H450" s="1638"/>
      <c r="J450" s="2093"/>
      <c r="K450" s="2093"/>
    </row>
    <row r="451" spans="1:11" ht="17.25" hidden="1" customHeight="1" x14ac:dyDescent="0.25">
      <c r="B451" s="5397"/>
      <c r="C451" s="3858" t="s">
        <v>6618</v>
      </c>
      <c r="D451" s="1552">
        <f>D452+D455+D459+D462+D465+D468+D472+D475+D478</f>
        <v>3626469000</v>
      </c>
      <c r="E451" s="1552">
        <f>E452+E455+E459+E462+E465+E468+E472+E475+E478</f>
        <v>3314599242</v>
      </c>
      <c r="F451" s="1462">
        <f>E451/D451*100</f>
        <v>91.400181333412746</v>
      </c>
      <c r="G451" s="1726">
        <v>100</v>
      </c>
      <c r="H451" s="535"/>
      <c r="J451" s="522">
        <v>3626469000</v>
      </c>
      <c r="K451" s="522">
        <v>3314599242</v>
      </c>
    </row>
    <row r="452" spans="1:11" s="1639" customFormat="1" ht="18" hidden="1" customHeight="1" x14ac:dyDescent="0.25">
      <c r="A452" s="1637"/>
      <c r="B452" s="2913"/>
      <c r="C452" s="3881" t="s">
        <v>2692</v>
      </c>
      <c r="D452" s="1567">
        <f>D453</f>
        <v>75000000</v>
      </c>
      <c r="E452" s="1567">
        <f>E453</f>
        <v>58200000</v>
      </c>
      <c r="F452" s="3633">
        <f>E452/D452*100</f>
        <v>77.600000000000009</v>
      </c>
      <c r="G452" s="3554">
        <v>100</v>
      </c>
      <c r="H452" s="1638"/>
      <c r="J452" s="2093"/>
      <c r="K452" s="2093"/>
    </row>
    <row r="453" spans="1:11" s="1639" customFormat="1" ht="21.75" hidden="1" customHeight="1" x14ac:dyDescent="0.25">
      <c r="A453" s="1637"/>
      <c r="B453" s="2913"/>
      <c r="C453" s="4104" t="s">
        <v>6619</v>
      </c>
      <c r="D453" s="812">
        <v>75000000</v>
      </c>
      <c r="E453" s="4059">
        <v>58200000</v>
      </c>
      <c r="F453" s="1717">
        <f>E453/D453*100</f>
        <v>77.600000000000009</v>
      </c>
      <c r="G453" s="3648">
        <v>100</v>
      </c>
      <c r="H453" s="1638"/>
      <c r="J453" s="2093"/>
      <c r="K453" s="2093"/>
    </row>
    <row r="454" spans="1:11" s="1639" customFormat="1" ht="9" hidden="1" customHeight="1" x14ac:dyDescent="0.25">
      <c r="A454" s="1637"/>
      <c r="B454" s="2913"/>
      <c r="C454" s="4104"/>
      <c r="D454" s="812"/>
      <c r="E454" s="3879"/>
      <c r="F454" s="3648"/>
      <c r="G454" s="3648"/>
      <c r="H454" s="1638"/>
      <c r="J454" s="2093"/>
      <c r="K454" s="2093"/>
    </row>
    <row r="455" spans="1:11" s="1639" customFormat="1" ht="19.5" hidden="1" customHeight="1" x14ac:dyDescent="0.25">
      <c r="A455" s="1637"/>
      <c r="B455" s="2913"/>
      <c r="C455" s="4116" t="s">
        <v>6620</v>
      </c>
      <c r="D455" s="1557">
        <f>D456+D457</f>
        <v>646093000</v>
      </c>
      <c r="E455" s="1557">
        <f>E456+E457</f>
        <v>602544242</v>
      </c>
      <c r="F455" s="3633">
        <f>E455/D455*100</f>
        <v>93.259676548113049</v>
      </c>
      <c r="G455" s="3600">
        <v>100</v>
      </c>
      <c r="H455" s="1638"/>
      <c r="J455" s="2093"/>
      <c r="K455" s="2093"/>
    </row>
    <row r="456" spans="1:11" s="1639" customFormat="1" ht="18" hidden="1" customHeight="1" x14ac:dyDescent="0.25">
      <c r="A456" s="1637"/>
      <c r="B456" s="2913"/>
      <c r="C456" s="4104" t="s">
        <v>6621</v>
      </c>
      <c r="D456" s="812">
        <v>575888000</v>
      </c>
      <c r="E456" s="1238">
        <v>532339242</v>
      </c>
      <c r="F456" s="1717">
        <f>E456/D456*100</f>
        <v>92.437981343594586</v>
      </c>
      <c r="G456" s="3648">
        <v>100</v>
      </c>
      <c r="H456" s="1638"/>
      <c r="J456" s="2093"/>
      <c r="K456" s="2093"/>
    </row>
    <row r="457" spans="1:11" s="1639" customFormat="1" ht="17.25" hidden="1" customHeight="1" x14ac:dyDescent="0.25">
      <c r="A457" s="1637"/>
      <c r="B457" s="2913"/>
      <c r="C457" s="3861" t="s">
        <v>6622</v>
      </c>
      <c r="D457" s="1609">
        <v>70205000</v>
      </c>
      <c r="E457" s="4509">
        <v>70205000</v>
      </c>
      <c r="F457" s="1717">
        <f>E457/D457*100</f>
        <v>100</v>
      </c>
      <c r="G457" s="3648">
        <v>100</v>
      </c>
      <c r="H457" s="1638"/>
      <c r="J457" s="2093"/>
      <c r="K457" s="2093"/>
    </row>
    <row r="458" spans="1:11" ht="11.25" hidden="1" customHeight="1" x14ac:dyDescent="0.25">
      <c r="B458" s="2913"/>
      <c r="C458" s="3861"/>
      <c r="D458" s="1609"/>
      <c r="E458" s="1927"/>
      <c r="F458" s="3553"/>
      <c r="G458" s="3648"/>
      <c r="H458" s="535"/>
    </row>
    <row r="459" spans="1:11" s="1639" customFormat="1" ht="18" hidden="1" customHeight="1" x14ac:dyDescent="0.25">
      <c r="A459" s="1637"/>
      <c r="B459" s="2913"/>
      <c r="C459" s="3873" t="s">
        <v>6623</v>
      </c>
      <c r="D459" s="3707">
        <f>D460</f>
        <v>80840000</v>
      </c>
      <c r="E459" s="3707">
        <f>E460</f>
        <v>73640000</v>
      </c>
      <c r="F459" s="3629">
        <f>E459/D459*100</f>
        <v>91.093518060366151</v>
      </c>
      <c r="G459" s="3600">
        <v>100</v>
      </c>
      <c r="H459" s="1638"/>
      <c r="J459" s="2093"/>
      <c r="K459" s="2093"/>
    </row>
    <row r="460" spans="1:11" s="1639" customFormat="1" ht="15" hidden="1" customHeight="1" x14ac:dyDescent="0.25">
      <c r="A460" s="1637"/>
      <c r="B460" s="2913"/>
      <c r="C460" s="3861" t="s">
        <v>6624</v>
      </c>
      <c r="D460" s="1609">
        <v>80840000</v>
      </c>
      <c r="E460" s="1238">
        <v>73640000</v>
      </c>
      <c r="F460" s="1717">
        <f>E460/D460*100</f>
        <v>91.093518060366151</v>
      </c>
      <c r="G460" s="3648">
        <v>100</v>
      </c>
      <c r="H460" s="1638"/>
      <c r="J460" s="2093"/>
      <c r="K460" s="2093"/>
    </row>
    <row r="461" spans="1:11" s="1639" customFormat="1" ht="6.75" hidden="1" customHeight="1" x14ac:dyDescent="0.25">
      <c r="A461" s="1637"/>
      <c r="B461" s="2913"/>
      <c r="C461" s="3861"/>
      <c r="D461" s="1609"/>
      <c r="E461" s="4509"/>
      <c r="F461" s="3630"/>
      <c r="G461" s="3553"/>
      <c r="H461" s="1638"/>
      <c r="J461" s="2093"/>
      <c r="K461" s="2093"/>
    </row>
    <row r="462" spans="1:11" s="1639" customFormat="1" ht="17.25" hidden="1" customHeight="1" x14ac:dyDescent="0.25">
      <c r="A462" s="1637"/>
      <c r="B462" s="2913"/>
      <c r="C462" s="3873" t="s">
        <v>6625</v>
      </c>
      <c r="D462" s="3707">
        <f>D463</f>
        <v>225000000</v>
      </c>
      <c r="E462" s="3707">
        <f>E463</f>
        <v>207875000</v>
      </c>
      <c r="F462" s="3629">
        <f>E462/D462*100</f>
        <v>92.388888888888886</v>
      </c>
      <c r="G462" s="2275">
        <v>100</v>
      </c>
      <c r="H462" s="1638"/>
      <c r="J462" s="2093"/>
      <c r="K462" s="2093"/>
    </row>
    <row r="463" spans="1:11" s="1639" customFormat="1" ht="18" hidden="1" customHeight="1" x14ac:dyDescent="0.25">
      <c r="A463" s="1637"/>
      <c r="B463" s="2913"/>
      <c r="C463" s="3861" t="s">
        <v>6626</v>
      </c>
      <c r="D463" s="1609">
        <v>225000000</v>
      </c>
      <c r="E463" s="1238">
        <v>207875000</v>
      </c>
      <c r="F463" s="1717">
        <f>E463/D463*100</f>
        <v>92.388888888888886</v>
      </c>
      <c r="G463" s="3553">
        <v>100</v>
      </c>
      <c r="H463" s="1638"/>
      <c r="J463" s="2093"/>
      <c r="K463" s="2093"/>
    </row>
    <row r="464" spans="1:11" s="1639" customFormat="1" ht="12" hidden="1" customHeight="1" x14ac:dyDescent="0.25">
      <c r="A464" s="1637"/>
      <c r="B464" s="2913"/>
      <c r="C464" s="3861"/>
      <c r="D464" s="1609"/>
      <c r="E464" s="1238"/>
      <c r="F464" s="798"/>
      <c r="G464" s="3553"/>
      <c r="H464" s="1638"/>
      <c r="J464" s="2093"/>
      <c r="K464" s="2093"/>
    </row>
    <row r="465" spans="1:11" s="1639" customFormat="1" ht="18.75" hidden="1" customHeight="1" x14ac:dyDescent="0.25">
      <c r="A465" s="1637"/>
      <c r="B465" s="2913"/>
      <c r="C465" s="3873" t="s">
        <v>6627</v>
      </c>
      <c r="D465" s="3707">
        <f>D466</f>
        <v>388500000</v>
      </c>
      <c r="E465" s="1557">
        <f>E466</f>
        <v>359450000</v>
      </c>
      <c r="F465" s="3629">
        <f>E465/D465*100</f>
        <v>92.522522522522522</v>
      </c>
      <c r="G465" s="2275">
        <v>100</v>
      </c>
      <c r="H465" s="1638"/>
      <c r="J465" s="2093"/>
      <c r="K465" s="2093"/>
    </row>
    <row r="466" spans="1:11" s="1639" customFormat="1" ht="15.75" hidden="1" customHeight="1" x14ac:dyDescent="0.25">
      <c r="A466" s="1637"/>
      <c r="B466" s="2913"/>
      <c r="C466" s="3861" t="s">
        <v>6628</v>
      </c>
      <c r="D466" s="1609">
        <v>388500000</v>
      </c>
      <c r="E466" s="1238">
        <v>359450000</v>
      </c>
      <c r="F466" s="1717">
        <f>E466/D466*100</f>
        <v>92.522522522522522</v>
      </c>
      <c r="G466" s="3553">
        <v>100</v>
      </c>
      <c r="H466" s="1638"/>
      <c r="J466" s="2093"/>
      <c r="K466" s="2093"/>
    </row>
    <row r="467" spans="1:11" s="1639" customFormat="1" ht="11.25" hidden="1" customHeight="1" x14ac:dyDescent="0.25">
      <c r="A467" s="1637"/>
      <c r="B467" s="2913"/>
      <c r="C467" s="3861"/>
      <c r="D467" s="1609"/>
      <c r="E467" s="4509"/>
      <c r="F467" s="3630"/>
      <c r="G467" s="3553"/>
      <c r="H467" s="1638"/>
      <c r="J467" s="2093"/>
      <c r="K467" s="2093"/>
    </row>
    <row r="468" spans="1:11" s="1639" customFormat="1" ht="19.5" hidden="1" customHeight="1" x14ac:dyDescent="0.25">
      <c r="A468" s="1637"/>
      <c r="B468" s="2913"/>
      <c r="C468" s="3873" t="s">
        <v>6629</v>
      </c>
      <c r="D468" s="3707">
        <f>D469+D470</f>
        <v>587526000</v>
      </c>
      <c r="E468" s="3707">
        <f>E469+E470</f>
        <v>452639000</v>
      </c>
      <c r="F468" s="3629">
        <f>E468/D468*100</f>
        <v>77.041526672862133</v>
      </c>
      <c r="G468" s="2275">
        <v>100</v>
      </c>
      <c r="H468" s="1638"/>
      <c r="J468" s="2093"/>
      <c r="K468" s="2093"/>
    </row>
    <row r="469" spans="1:11" s="1639" customFormat="1" ht="21" hidden="1" customHeight="1" x14ac:dyDescent="0.25">
      <c r="A469" s="1637"/>
      <c r="B469" s="2913"/>
      <c r="C469" s="3861" t="s">
        <v>6630</v>
      </c>
      <c r="D469" s="1609">
        <v>420550000</v>
      </c>
      <c r="E469" s="1238">
        <v>337076000</v>
      </c>
      <c r="F469" s="1717">
        <f>E469/D469*100</f>
        <v>80.151230531446913</v>
      </c>
      <c r="G469" s="3553">
        <v>100</v>
      </c>
      <c r="H469" s="1638"/>
      <c r="J469" s="2093"/>
      <c r="K469" s="2093"/>
    </row>
    <row r="470" spans="1:11" s="1639" customFormat="1" ht="18" hidden="1" customHeight="1" x14ac:dyDescent="0.25">
      <c r="A470" s="1637"/>
      <c r="B470" s="2913"/>
      <c r="C470" s="3861" t="s">
        <v>6631</v>
      </c>
      <c r="D470" s="1609">
        <v>166976000</v>
      </c>
      <c r="E470" s="1238">
        <v>115563000</v>
      </c>
      <c r="F470" s="1717">
        <f>E470/D470*100</f>
        <v>69.209347451130697</v>
      </c>
      <c r="G470" s="3553">
        <v>100</v>
      </c>
      <c r="H470" s="1638"/>
      <c r="J470" s="2093"/>
      <c r="K470" s="2093"/>
    </row>
    <row r="471" spans="1:11" ht="13.5" hidden="1" customHeight="1" x14ac:dyDescent="0.25">
      <c r="B471" s="2913"/>
      <c r="C471" s="3861"/>
      <c r="D471" s="1609"/>
      <c r="E471" s="1927"/>
      <c r="F471" s="3648"/>
      <c r="G471" s="3553"/>
      <c r="H471" s="535"/>
    </row>
    <row r="472" spans="1:11" s="4099" customFormat="1" ht="17.25" hidden="1" customHeight="1" x14ac:dyDescent="0.25">
      <c r="A472" s="4101"/>
      <c r="B472" s="2913"/>
      <c r="C472" s="4116" t="s">
        <v>6632</v>
      </c>
      <c r="D472" s="1557">
        <f>D473</f>
        <v>1362610000</v>
      </c>
      <c r="E472" s="1557">
        <f>E473</f>
        <v>1299401000</v>
      </c>
      <c r="F472" s="3629">
        <f>E472/D472*100</f>
        <v>95.361181849538752</v>
      </c>
      <c r="G472" s="3600">
        <v>100</v>
      </c>
      <c r="H472" s="4109"/>
      <c r="J472" s="522"/>
      <c r="K472" s="522"/>
    </row>
    <row r="473" spans="1:11" s="4099" customFormat="1" ht="17.25" hidden="1" customHeight="1" x14ac:dyDescent="0.25">
      <c r="A473" s="4101"/>
      <c r="B473" s="2913"/>
      <c r="C473" s="4104" t="s">
        <v>6633</v>
      </c>
      <c r="D473" s="812">
        <v>1362610000</v>
      </c>
      <c r="E473" s="3879">
        <v>1299401000</v>
      </c>
      <c r="F473" s="1717">
        <f>E473/D473*100</f>
        <v>95.361181849538752</v>
      </c>
      <c r="G473" s="3648">
        <v>100</v>
      </c>
      <c r="H473" s="4109"/>
      <c r="J473" s="522"/>
      <c r="K473" s="522"/>
    </row>
    <row r="474" spans="1:11" s="4099" customFormat="1" ht="13.5" hidden="1" customHeight="1" x14ac:dyDescent="0.25">
      <c r="A474" s="4101"/>
      <c r="B474" s="2913"/>
      <c r="C474" s="4104"/>
      <c r="D474" s="812"/>
      <c r="E474" s="3879"/>
      <c r="F474" s="3648"/>
      <c r="G474" s="3648"/>
      <c r="H474" s="4109"/>
      <c r="J474" s="522"/>
      <c r="K474" s="522"/>
    </row>
    <row r="475" spans="1:11" s="4099" customFormat="1" ht="21" hidden="1" customHeight="1" x14ac:dyDescent="0.25">
      <c r="A475" s="4101"/>
      <c r="B475" s="2913"/>
      <c r="C475" s="4116" t="s">
        <v>6634</v>
      </c>
      <c r="D475" s="1557">
        <f>D476</f>
        <v>60900000</v>
      </c>
      <c r="E475" s="1557">
        <f>E476</f>
        <v>60900000</v>
      </c>
      <c r="F475" s="3633">
        <f>E475/D475*100</f>
        <v>100</v>
      </c>
      <c r="G475" s="3600">
        <v>100</v>
      </c>
      <c r="H475" s="4109"/>
      <c r="J475" s="522"/>
      <c r="K475" s="522"/>
    </row>
    <row r="476" spans="1:11" s="4099" customFormat="1" ht="15.75" hidden="1" customHeight="1" x14ac:dyDescent="0.25">
      <c r="A476" s="4101"/>
      <c r="B476" s="2913"/>
      <c r="C476" s="4104" t="s">
        <v>6635</v>
      </c>
      <c r="D476" s="812">
        <v>60900000</v>
      </c>
      <c r="E476" s="3879">
        <v>60900000</v>
      </c>
      <c r="F476" s="1717">
        <f>E476/D476*100</f>
        <v>100</v>
      </c>
      <c r="G476" s="3648">
        <v>100</v>
      </c>
      <c r="H476" s="4109"/>
      <c r="J476" s="522"/>
      <c r="K476" s="522"/>
    </row>
    <row r="477" spans="1:11" s="4099" customFormat="1" ht="13.5" hidden="1" customHeight="1" x14ac:dyDescent="0.25">
      <c r="A477" s="4101"/>
      <c r="B477" s="2913"/>
      <c r="C477" s="4104"/>
      <c r="D477" s="812"/>
      <c r="E477" s="3879"/>
      <c r="F477" s="3648"/>
      <c r="G477" s="3648"/>
      <c r="H477" s="4109"/>
      <c r="J477" s="522"/>
      <c r="K477" s="522"/>
    </row>
    <row r="478" spans="1:11" s="4099" customFormat="1" ht="18" hidden="1" customHeight="1" x14ac:dyDescent="0.25">
      <c r="A478" s="4101"/>
      <c r="B478" s="2913"/>
      <c r="C478" s="4116" t="s">
        <v>6636</v>
      </c>
      <c r="D478" s="1557">
        <f>D479</f>
        <v>200000000</v>
      </c>
      <c r="E478" s="1557">
        <f>E479</f>
        <v>199950000</v>
      </c>
      <c r="F478" s="3633">
        <f>E478/D478*100</f>
        <v>99.975000000000009</v>
      </c>
      <c r="G478" s="3600">
        <v>100</v>
      </c>
      <c r="H478" s="4109"/>
      <c r="J478" s="522"/>
      <c r="K478" s="522"/>
    </row>
    <row r="479" spans="1:11" s="4099" customFormat="1" ht="16.5" hidden="1" customHeight="1" x14ac:dyDescent="0.25">
      <c r="A479" s="4101"/>
      <c r="B479" s="2913"/>
      <c r="C479" s="4104" t="s">
        <v>6637</v>
      </c>
      <c r="D479" s="812">
        <v>200000000</v>
      </c>
      <c r="E479" s="4056">
        <v>199950000</v>
      </c>
      <c r="F479" s="1717">
        <f>E479/D479*100</f>
        <v>99.975000000000009</v>
      </c>
      <c r="G479" s="3648">
        <v>100</v>
      </c>
      <c r="H479" s="4109"/>
      <c r="J479" s="522"/>
      <c r="K479" s="522"/>
    </row>
    <row r="480" spans="1:11" s="4099" customFormat="1" ht="13.5" hidden="1" customHeight="1" x14ac:dyDescent="0.25">
      <c r="A480" s="4101"/>
      <c r="B480" s="2913"/>
      <c r="C480" s="3892"/>
      <c r="D480" s="1558"/>
      <c r="E480" s="1927"/>
      <c r="F480" s="3651"/>
      <c r="G480" s="3651"/>
      <c r="H480" s="4109"/>
      <c r="J480" s="522"/>
      <c r="K480" s="522"/>
    </row>
    <row r="481" spans="1:11" s="1639" customFormat="1" ht="15.75" hidden="1" customHeight="1" x14ac:dyDescent="0.25">
      <c r="A481" s="1637"/>
      <c r="B481" s="5397"/>
      <c r="C481" s="3858" t="s">
        <v>6638</v>
      </c>
      <c r="D481" s="1546">
        <f>D482+D490+D493</f>
        <v>1434555000</v>
      </c>
      <c r="E481" s="1546">
        <f>E482+E490+E493</f>
        <v>1433555000</v>
      </c>
      <c r="F481" s="1462">
        <f t="shared" ref="F481:F488" si="11">E481/D481*100</f>
        <v>99.930291972074968</v>
      </c>
      <c r="G481" s="3631">
        <v>100</v>
      </c>
      <c r="H481" s="1638"/>
      <c r="J481" s="2093">
        <v>1434555000</v>
      </c>
      <c r="K481" s="2093">
        <v>1433555000</v>
      </c>
    </row>
    <row r="482" spans="1:11" s="1639" customFormat="1" ht="19.5" hidden="1" customHeight="1" x14ac:dyDescent="0.25">
      <c r="A482" s="1637"/>
      <c r="B482" s="2913"/>
      <c r="C482" s="3893" t="s">
        <v>6639</v>
      </c>
      <c r="D482" s="1547">
        <f>SUM(D483:D488)</f>
        <v>985980000</v>
      </c>
      <c r="E482" s="1547">
        <f>SUM(E483:E488)</f>
        <v>985980000</v>
      </c>
      <c r="F482" s="3633">
        <f t="shared" si="11"/>
        <v>100</v>
      </c>
      <c r="G482" s="3632">
        <v>100</v>
      </c>
      <c r="H482" s="1638"/>
      <c r="J482" s="2093"/>
      <c r="K482" s="2093"/>
    </row>
    <row r="483" spans="1:11" s="1639" customFormat="1" ht="20.25" hidden="1" customHeight="1" x14ac:dyDescent="0.25">
      <c r="A483" s="1637"/>
      <c r="B483" s="2913"/>
      <c r="C483" s="4104" t="s">
        <v>6640</v>
      </c>
      <c r="D483" s="1548">
        <v>145950000</v>
      </c>
      <c r="E483" s="1238">
        <v>145950000</v>
      </c>
      <c r="F483" s="1717">
        <f t="shared" si="11"/>
        <v>100</v>
      </c>
      <c r="G483" s="971">
        <v>100</v>
      </c>
      <c r="H483" s="1638"/>
      <c r="J483" s="2093"/>
      <c r="K483" s="2093"/>
    </row>
    <row r="484" spans="1:11" s="1639" customFormat="1" ht="18.75" hidden="1" customHeight="1" x14ac:dyDescent="0.25">
      <c r="A484" s="1637"/>
      <c r="B484" s="2913"/>
      <c r="C484" s="4104" t="s">
        <v>6641</v>
      </c>
      <c r="D484" s="1548">
        <v>109830000</v>
      </c>
      <c r="E484" s="1238">
        <v>109830000</v>
      </c>
      <c r="F484" s="1717">
        <f t="shared" si="11"/>
        <v>100</v>
      </c>
      <c r="G484" s="971">
        <v>100</v>
      </c>
      <c r="H484" s="1638"/>
      <c r="J484" s="2093"/>
      <c r="K484" s="2093"/>
    </row>
    <row r="485" spans="1:11" s="1639" customFormat="1" ht="18" hidden="1" customHeight="1" x14ac:dyDescent="0.25">
      <c r="A485" s="1637"/>
      <c r="B485" s="2913"/>
      <c r="C485" s="4104" t="s">
        <v>6642</v>
      </c>
      <c r="D485" s="1548">
        <v>143250000</v>
      </c>
      <c r="E485" s="1238">
        <v>143250000</v>
      </c>
      <c r="F485" s="1717">
        <f t="shared" si="11"/>
        <v>100</v>
      </c>
      <c r="G485" s="971">
        <v>100</v>
      </c>
      <c r="H485" s="1638"/>
      <c r="J485" s="2093"/>
      <c r="K485" s="2093"/>
    </row>
    <row r="486" spans="1:11" s="1639" customFormat="1" ht="19.5" hidden="1" customHeight="1" x14ac:dyDescent="0.25">
      <c r="A486" s="1637"/>
      <c r="B486" s="2913"/>
      <c r="C486" s="4104" t="s">
        <v>6643</v>
      </c>
      <c r="D486" s="1548">
        <v>145800000</v>
      </c>
      <c r="E486" s="1238">
        <v>145800000</v>
      </c>
      <c r="F486" s="1717">
        <f t="shared" si="11"/>
        <v>100</v>
      </c>
      <c r="G486" s="971">
        <v>100</v>
      </c>
      <c r="H486" s="1638"/>
      <c r="J486" s="2093"/>
      <c r="K486" s="2093"/>
    </row>
    <row r="487" spans="1:11" s="1639" customFormat="1" ht="14.25" hidden="1" customHeight="1" x14ac:dyDescent="0.25">
      <c r="A487" s="1637"/>
      <c r="B487" s="2913"/>
      <c r="C487" s="4104" t="s">
        <v>6644</v>
      </c>
      <c r="D487" s="1548">
        <v>145800000</v>
      </c>
      <c r="E487" s="1238">
        <v>145800000</v>
      </c>
      <c r="F487" s="1717">
        <f t="shared" si="11"/>
        <v>100</v>
      </c>
      <c r="G487" s="971">
        <v>100</v>
      </c>
      <c r="H487" s="1638"/>
      <c r="J487" s="2093"/>
      <c r="K487" s="2093"/>
    </row>
    <row r="488" spans="1:11" s="1639" customFormat="1" ht="18" hidden="1" customHeight="1" x14ac:dyDescent="0.25">
      <c r="A488" s="1637"/>
      <c r="B488" s="2913"/>
      <c r="C488" s="4104" t="s">
        <v>6645</v>
      </c>
      <c r="D488" s="1548">
        <v>295350000</v>
      </c>
      <c r="E488" s="1238">
        <v>295350000</v>
      </c>
      <c r="F488" s="1717">
        <f t="shared" si="11"/>
        <v>100</v>
      </c>
      <c r="G488" s="971">
        <v>100</v>
      </c>
      <c r="H488" s="1638"/>
      <c r="J488" s="2093"/>
      <c r="K488" s="2093"/>
    </row>
    <row r="489" spans="1:11" s="1639" customFormat="1" ht="10.5" hidden="1" customHeight="1" x14ac:dyDescent="0.25">
      <c r="A489" s="1637"/>
      <c r="B489" s="2913"/>
      <c r="C489" s="4104"/>
      <c r="D489" s="1548"/>
      <c r="E489" s="1238"/>
      <c r="F489" s="971"/>
      <c r="G489" s="971"/>
      <c r="H489" s="1638"/>
      <c r="J489" s="2093"/>
      <c r="K489" s="2093"/>
    </row>
    <row r="490" spans="1:11" s="1639" customFormat="1" ht="20.25" hidden="1" customHeight="1" x14ac:dyDescent="0.25">
      <c r="A490" s="1637"/>
      <c r="B490" s="2913"/>
      <c r="C490" s="4116" t="s">
        <v>6646</v>
      </c>
      <c r="D490" s="1549">
        <f>D491</f>
        <v>144275000</v>
      </c>
      <c r="E490" s="1549">
        <f>E491</f>
        <v>144275000</v>
      </c>
      <c r="F490" s="3633">
        <f>E490/D490*100</f>
        <v>100</v>
      </c>
      <c r="G490" s="1379">
        <v>100</v>
      </c>
      <c r="H490" s="1638"/>
      <c r="J490" s="2093"/>
      <c r="K490" s="2093"/>
    </row>
    <row r="491" spans="1:11" s="1639" customFormat="1" ht="14.25" hidden="1" customHeight="1" x14ac:dyDescent="0.25">
      <c r="A491" s="1637"/>
      <c r="B491" s="2913"/>
      <c r="C491" s="4104" t="s">
        <v>6647</v>
      </c>
      <c r="D491" s="1548">
        <v>144275000</v>
      </c>
      <c r="E491" s="1238">
        <v>144275000</v>
      </c>
      <c r="F491" s="1717">
        <f>E491/D491*100</f>
        <v>100</v>
      </c>
      <c r="G491" s="971">
        <v>100</v>
      </c>
      <c r="H491" s="1638"/>
      <c r="J491" s="2093"/>
      <c r="K491" s="2093"/>
    </row>
    <row r="492" spans="1:11" s="1639" customFormat="1" ht="12.75" hidden="1" customHeight="1" x14ac:dyDescent="0.25">
      <c r="A492" s="1637"/>
      <c r="B492" s="2913"/>
      <c r="C492" s="4104"/>
      <c r="D492" s="1548"/>
      <c r="E492" s="1238"/>
      <c r="F492" s="971"/>
      <c r="G492" s="971"/>
      <c r="H492" s="1638"/>
      <c r="J492" s="2093"/>
      <c r="K492" s="2093"/>
    </row>
    <row r="493" spans="1:11" s="1639" customFormat="1" ht="20.25" hidden="1" customHeight="1" x14ac:dyDescent="0.25">
      <c r="A493" s="1637"/>
      <c r="B493" s="2913"/>
      <c r="C493" s="4116" t="s">
        <v>6648</v>
      </c>
      <c r="D493" s="1549">
        <f>D494+D495</f>
        <v>304300000</v>
      </c>
      <c r="E493" s="1549">
        <f>E494+E495</f>
        <v>303300000</v>
      </c>
      <c r="F493" s="3633">
        <f>E493/D493*100</f>
        <v>99.671376930660529</v>
      </c>
      <c r="G493" s="1379">
        <v>100</v>
      </c>
      <c r="H493" s="1638"/>
      <c r="J493" s="2093"/>
      <c r="K493" s="2093"/>
    </row>
    <row r="494" spans="1:11" s="1639" customFormat="1" ht="15" hidden="1" customHeight="1" x14ac:dyDescent="0.25">
      <c r="A494" s="1637"/>
      <c r="B494" s="2913"/>
      <c r="C494" s="4104" t="s">
        <v>6649</v>
      </c>
      <c r="D494" s="1548">
        <v>157150000</v>
      </c>
      <c r="E494" s="1238">
        <v>157150000</v>
      </c>
      <c r="F494" s="1717">
        <f>E494/D494*100</f>
        <v>100</v>
      </c>
      <c r="G494" s="971">
        <v>100</v>
      </c>
      <c r="H494" s="1638"/>
      <c r="J494" s="2093"/>
      <c r="K494" s="2093"/>
    </row>
    <row r="495" spans="1:11" s="1639" customFormat="1" ht="20.25" hidden="1" customHeight="1" x14ac:dyDescent="0.25">
      <c r="A495" s="1637"/>
      <c r="B495" s="2913"/>
      <c r="C495" s="4104" t="s">
        <v>6650</v>
      </c>
      <c r="D495" s="1548">
        <v>147150000</v>
      </c>
      <c r="E495" s="1238">
        <v>146150000</v>
      </c>
      <c r="F495" s="1717">
        <f>E495/D495*100</f>
        <v>99.320421338769961</v>
      </c>
      <c r="G495" s="971">
        <v>100</v>
      </c>
      <c r="H495" s="1638"/>
      <c r="J495" s="2093"/>
      <c r="K495" s="2093"/>
    </row>
    <row r="496" spans="1:11" ht="13.5" hidden="1" customHeight="1" x14ac:dyDescent="0.25">
      <c r="B496" s="2913"/>
      <c r="C496" s="3894"/>
      <c r="D496" s="1553"/>
      <c r="E496" s="5471"/>
      <c r="F496" s="2445"/>
      <c r="G496" s="3651"/>
      <c r="H496" s="535"/>
    </row>
    <row r="497" spans="1:11" ht="17.25" hidden="1" customHeight="1" x14ac:dyDescent="0.25">
      <c r="B497" s="5397"/>
      <c r="C497" s="3858" t="s">
        <v>6651</v>
      </c>
      <c r="D497" s="1546">
        <f>D498</f>
        <v>23120591212</v>
      </c>
      <c r="E497" s="1546">
        <f>E498</f>
        <v>20148286200</v>
      </c>
      <c r="F497" s="1462">
        <f>E497/D497*100</f>
        <v>87.144338201622972</v>
      </c>
      <c r="G497" s="1726">
        <v>100</v>
      </c>
      <c r="H497" s="535"/>
      <c r="J497" s="522">
        <v>23120591212</v>
      </c>
      <c r="K497" s="522">
        <v>20148286200</v>
      </c>
    </row>
    <row r="498" spans="1:11" s="1639" customFormat="1" ht="18" hidden="1" customHeight="1" x14ac:dyDescent="0.25">
      <c r="A498" s="1637"/>
      <c r="B498" s="2913"/>
      <c r="C498" s="4299" t="s">
        <v>6652</v>
      </c>
      <c r="D498" s="1547">
        <f>D499</f>
        <v>23120591212</v>
      </c>
      <c r="E498" s="1547">
        <f>E499</f>
        <v>20148286200</v>
      </c>
      <c r="F498" s="3633">
        <f>E498/D498*100</f>
        <v>87.144338201622972</v>
      </c>
      <c r="G498" s="3633">
        <v>100</v>
      </c>
      <c r="H498" s="1638"/>
      <c r="J498" s="2093"/>
      <c r="K498" s="2093"/>
    </row>
    <row r="499" spans="1:11" s="1639" customFormat="1" ht="15.75" hidden="1" customHeight="1" x14ac:dyDescent="0.25">
      <c r="A499" s="1637"/>
      <c r="B499" s="2913"/>
      <c r="C499" s="4104" t="s">
        <v>6653</v>
      </c>
      <c r="D499" s="1548">
        <v>23120591212</v>
      </c>
      <c r="E499" s="1238">
        <v>20148286200</v>
      </c>
      <c r="F499" s="1717">
        <f>E499/D499*100</f>
        <v>87.144338201622972</v>
      </c>
      <c r="G499" s="971">
        <v>100</v>
      </c>
      <c r="H499" s="1638"/>
      <c r="J499" s="2093"/>
      <c r="K499" s="2093"/>
    </row>
    <row r="500" spans="1:11" ht="13.5" hidden="1" customHeight="1" x14ac:dyDescent="0.25">
      <c r="B500" s="2913"/>
      <c r="C500" s="3892"/>
      <c r="D500" s="1550"/>
      <c r="E500" s="1927"/>
      <c r="F500" s="3651"/>
      <c r="G500" s="3553"/>
      <c r="H500" s="535"/>
    </row>
    <row r="501" spans="1:11" s="1639" customFormat="1" ht="15" hidden="1" customHeight="1" x14ac:dyDescent="0.25">
      <c r="A501" s="1637"/>
      <c r="B501" s="5397"/>
      <c r="C501" s="3858" t="s">
        <v>6654</v>
      </c>
      <c r="D501" s="1546">
        <f>D502</f>
        <v>760700000</v>
      </c>
      <c r="E501" s="1546">
        <f>E502</f>
        <v>694444054</v>
      </c>
      <c r="F501" s="1462">
        <f>E501/D501*100</f>
        <v>91.290134612856576</v>
      </c>
      <c r="G501" s="1726">
        <f>SUM(G502)/1</f>
        <v>80</v>
      </c>
      <c r="H501" s="1638"/>
      <c r="J501" s="2093">
        <v>760700000</v>
      </c>
      <c r="K501" s="2093">
        <v>694444054</v>
      </c>
    </row>
    <row r="502" spans="1:11" s="1639" customFormat="1" ht="18" hidden="1" customHeight="1" x14ac:dyDescent="0.25">
      <c r="A502" s="1637"/>
      <c r="B502" s="2913"/>
      <c r="C502" s="3881" t="s">
        <v>6655</v>
      </c>
      <c r="D502" s="1554">
        <f>SUM(D503:D507)</f>
        <v>760700000</v>
      </c>
      <c r="E502" s="1554">
        <f>SUM(E503:E507)</f>
        <v>694444054</v>
      </c>
      <c r="F502" s="3633">
        <f>E502/D502*100</f>
        <v>91.290134612856576</v>
      </c>
      <c r="G502" s="3554">
        <f>SUM(G503:G507)/5</f>
        <v>80</v>
      </c>
      <c r="H502" s="1638"/>
      <c r="J502" s="2093"/>
      <c r="K502" s="2093"/>
    </row>
    <row r="503" spans="1:11" s="1639" customFormat="1" ht="15.75" hidden="1" customHeight="1" x14ac:dyDescent="0.25">
      <c r="A503" s="1637"/>
      <c r="B503" s="2913"/>
      <c r="C503" s="4104" t="s">
        <v>6656</v>
      </c>
      <c r="D503" s="1548">
        <v>436800000</v>
      </c>
      <c r="E503" s="1238">
        <v>436299364</v>
      </c>
      <c r="F503" s="1717">
        <f>E503/D503*100</f>
        <v>99.885385531135526</v>
      </c>
      <c r="G503" s="3648">
        <v>100</v>
      </c>
      <c r="H503" s="1638"/>
      <c r="J503" s="2093"/>
      <c r="K503" s="2093"/>
    </row>
    <row r="504" spans="1:11" s="1639" customFormat="1" ht="17.25" hidden="1" customHeight="1" x14ac:dyDescent="0.25">
      <c r="A504" s="1637"/>
      <c r="B504" s="2913"/>
      <c r="C504" s="3861" t="s">
        <v>6660</v>
      </c>
      <c r="D504" s="1516">
        <v>88500000</v>
      </c>
      <c r="E504" s="4509">
        <v>88016645</v>
      </c>
      <c r="F504" s="1717">
        <f>E504/D504*100</f>
        <v>99.45383615819209</v>
      </c>
      <c r="G504" s="3553">
        <v>100</v>
      </c>
      <c r="H504" s="1638"/>
      <c r="J504" s="2093"/>
      <c r="K504" s="2093"/>
    </row>
    <row r="505" spans="1:11" s="1639" customFormat="1" ht="15.75" hidden="1" customHeight="1" x14ac:dyDescent="0.25">
      <c r="A505" s="1637"/>
      <c r="B505" s="2913"/>
      <c r="C505" s="3861" t="s">
        <v>6657</v>
      </c>
      <c r="D505" s="1516">
        <v>87950000</v>
      </c>
      <c r="E505" s="1238">
        <v>83410727</v>
      </c>
      <c r="F505" s="1717">
        <f>E505/D505*100</f>
        <v>94.838802728823197</v>
      </c>
      <c r="G505" s="3553">
        <v>100</v>
      </c>
      <c r="H505" s="1638"/>
      <c r="J505" s="2093"/>
      <c r="K505" s="2093"/>
    </row>
    <row r="506" spans="1:11" s="1639" customFormat="1" ht="18" hidden="1" customHeight="1" x14ac:dyDescent="0.25">
      <c r="A506" s="1637"/>
      <c r="B506" s="2913"/>
      <c r="C506" s="3861" t="s">
        <v>6658</v>
      </c>
      <c r="D506" s="1516">
        <v>59550000</v>
      </c>
      <c r="E506" s="1238">
        <v>0</v>
      </c>
      <c r="F506" s="4509">
        <v>0</v>
      </c>
      <c r="G506" s="4509">
        <v>0</v>
      </c>
      <c r="H506" s="1638"/>
      <c r="J506" s="2093"/>
      <c r="K506" s="2093"/>
    </row>
    <row r="507" spans="1:11" s="1639" customFormat="1" ht="15.75" hidden="1" customHeight="1" x14ac:dyDescent="0.25">
      <c r="A507" s="1637"/>
      <c r="B507" s="2913"/>
      <c r="C507" s="3861" t="s">
        <v>6659</v>
      </c>
      <c r="D507" s="1516">
        <v>87900000</v>
      </c>
      <c r="E507" s="1238">
        <v>86717318</v>
      </c>
      <c r="F507" s="1717">
        <f>E507/D507*100</f>
        <v>98.654514220705352</v>
      </c>
      <c r="G507" s="3553">
        <v>100</v>
      </c>
      <c r="H507" s="1638"/>
      <c r="J507" s="2093"/>
      <c r="K507" s="2093"/>
    </row>
    <row r="508" spans="1:11" ht="13.5" hidden="1" customHeight="1" x14ac:dyDescent="0.25">
      <c r="B508" s="2913"/>
      <c r="C508" s="3713"/>
      <c r="D508" s="1516"/>
      <c r="E508" s="1927"/>
      <c r="F508" s="3553"/>
      <c r="G508" s="3553"/>
      <c r="H508" s="535"/>
    </row>
    <row r="509" spans="1:11" s="1639" customFormat="1" ht="17.25" hidden="1" customHeight="1" x14ac:dyDescent="0.25">
      <c r="A509" s="1637"/>
      <c r="B509" s="5397"/>
      <c r="C509" s="3858" t="s">
        <v>6661</v>
      </c>
      <c r="D509" s="1546">
        <f>D510</f>
        <v>1279302000</v>
      </c>
      <c r="E509" s="1546">
        <f>E510</f>
        <v>1111402000</v>
      </c>
      <c r="F509" s="1462">
        <f>E509/D509*100</f>
        <v>86.875655630961262</v>
      </c>
      <c r="G509" s="1726">
        <v>100</v>
      </c>
      <c r="H509" s="1638"/>
      <c r="J509" s="2093">
        <v>1279302000</v>
      </c>
      <c r="K509" s="2093">
        <v>1111402000</v>
      </c>
    </row>
    <row r="510" spans="1:11" s="1639" customFormat="1" ht="17.25" hidden="1" customHeight="1" x14ac:dyDescent="0.25">
      <c r="A510" s="1637"/>
      <c r="B510" s="2913"/>
      <c r="C510" s="3881" t="s">
        <v>6662</v>
      </c>
      <c r="D510" s="1554">
        <f>D511</f>
        <v>1279302000</v>
      </c>
      <c r="E510" s="1554">
        <f>E511</f>
        <v>1111402000</v>
      </c>
      <c r="F510" s="3633">
        <f>E510/D510*100</f>
        <v>86.875655630961262</v>
      </c>
      <c r="G510" s="3554">
        <v>100</v>
      </c>
      <c r="H510" s="1638"/>
      <c r="J510" s="2093"/>
      <c r="K510" s="2093"/>
    </row>
    <row r="511" spans="1:11" s="1639" customFormat="1" ht="17.25" hidden="1" customHeight="1" x14ac:dyDescent="0.25">
      <c r="A511" s="1637"/>
      <c r="B511" s="2913"/>
      <c r="C511" s="4104" t="s">
        <v>6663</v>
      </c>
      <c r="D511" s="1548">
        <v>1279302000</v>
      </c>
      <c r="E511" s="1238">
        <v>1111402000</v>
      </c>
      <c r="F511" s="1717">
        <f>E511/D511*100</f>
        <v>86.875655630961262</v>
      </c>
      <c r="G511" s="3648">
        <v>100</v>
      </c>
      <c r="H511" s="1638"/>
      <c r="J511" s="2093"/>
      <c r="K511" s="2093"/>
    </row>
    <row r="512" spans="1:11" s="1639" customFormat="1" ht="13.5" hidden="1" customHeight="1" x14ac:dyDescent="0.25">
      <c r="A512" s="1637"/>
      <c r="B512" s="2913"/>
      <c r="C512" s="3861"/>
      <c r="D512" s="1516"/>
      <c r="E512" s="1927"/>
      <c r="F512" s="3553"/>
      <c r="G512" s="3553"/>
      <c r="H512" s="1638"/>
      <c r="J512" s="2093"/>
      <c r="K512" s="2093"/>
    </row>
    <row r="513" spans="1:11" s="303" customFormat="1" ht="15.75" hidden="1" customHeight="1" x14ac:dyDescent="0.25">
      <c r="A513" s="3005"/>
      <c r="B513" s="5397"/>
      <c r="C513" s="3858" t="s">
        <v>6664</v>
      </c>
      <c r="D513" s="1546">
        <f>SUM(D514+D517+D520+D523+D526+D529+D532+D535)</f>
        <v>1033995000</v>
      </c>
      <c r="E513" s="1546">
        <f>SUM(E514+E517+E520+E523+E526+E529+E532+E535)</f>
        <v>568079000</v>
      </c>
      <c r="F513" s="1462">
        <f>E513/D513*100</f>
        <v>54.940207641236171</v>
      </c>
      <c r="G513" s="1726">
        <f>SUM(G514+G517+G520+G523+G526+G529+G532+G535)/8</f>
        <v>75</v>
      </c>
      <c r="H513" s="554"/>
      <c r="J513" s="522">
        <v>1033995000</v>
      </c>
      <c r="K513" s="522">
        <v>568079000</v>
      </c>
    </row>
    <row r="514" spans="1:11" s="1639" customFormat="1" ht="18.75" hidden="1" customHeight="1" x14ac:dyDescent="0.25">
      <c r="A514" s="1637"/>
      <c r="B514" s="2913"/>
      <c r="C514" s="3881" t="s">
        <v>6665</v>
      </c>
      <c r="D514" s="1554">
        <f>D515</f>
        <v>215000000</v>
      </c>
      <c r="E514" s="1329">
        <v>0</v>
      </c>
      <c r="F514" s="3633">
        <v>0</v>
      </c>
      <c r="G514" s="3633">
        <v>0</v>
      </c>
      <c r="H514" s="1638"/>
      <c r="J514" s="2093"/>
      <c r="K514" s="2093"/>
    </row>
    <row r="515" spans="1:11" s="1639" customFormat="1" ht="18" hidden="1" customHeight="1" x14ac:dyDescent="0.25">
      <c r="A515" s="1637"/>
      <c r="B515" s="2913"/>
      <c r="C515" s="4104" t="s">
        <v>6666</v>
      </c>
      <c r="D515" s="1548">
        <v>215000000</v>
      </c>
      <c r="E515" s="1238">
        <v>0</v>
      </c>
      <c r="F515" s="1238">
        <v>0</v>
      </c>
      <c r="G515" s="1238">
        <v>0</v>
      </c>
      <c r="H515" s="1638"/>
      <c r="J515" s="2093"/>
      <c r="K515" s="2093"/>
    </row>
    <row r="516" spans="1:11" s="1639" customFormat="1" ht="7.5" hidden="1" customHeight="1" x14ac:dyDescent="0.25">
      <c r="A516" s="1637"/>
      <c r="B516" s="2913"/>
      <c r="C516" s="4104"/>
      <c r="D516" s="1548"/>
      <c r="E516" s="1238"/>
      <c r="F516" s="1717"/>
      <c r="G516" s="3648"/>
      <c r="H516" s="1638"/>
      <c r="J516" s="2093"/>
      <c r="K516" s="2093"/>
    </row>
    <row r="517" spans="1:11" s="2079" customFormat="1" ht="17.25" hidden="1" customHeight="1" x14ac:dyDescent="0.25">
      <c r="A517" s="2070"/>
      <c r="B517" s="2913"/>
      <c r="C517" s="4116" t="s">
        <v>6667</v>
      </c>
      <c r="D517" s="1549">
        <f>D518</f>
        <v>60000000</v>
      </c>
      <c r="E517" s="1549">
        <f>E518</f>
        <v>60000000</v>
      </c>
      <c r="F517" s="2261">
        <f>E517/D517*100</f>
        <v>100</v>
      </c>
      <c r="G517" s="3600">
        <v>100</v>
      </c>
      <c r="H517" s="2077"/>
      <c r="J517" s="4510"/>
      <c r="K517" s="4510"/>
    </row>
    <row r="518" spans="1:11" s="1639" customFormat="1" ht="18" hidden="1" customHeight="1" x14ac:dyDescent="0.25">
      <c r="A518" s="1637"/>
      <c r="B518" s="2913"/>
      <c r="C518" s="4104" t="s">
        <v>6668</v>
      </c>
      <c r="D518" s="1548">
        <v>60000000</v>
      </c>
      <c r="E518" s="1238">
        <v>60000000</v>
      </c>
      <c r="F518" s="1717">
        <f>E518/D518*100</f>
        <v>100</v>
      </c>
      <c r="G518" s="971">
        <v>100</v>
      </c>
      <c r="H518" s="1638"/>
      <c r="J518" s="2093"/>
      <c r="K518" s="2093"/>
    </row>
    <row r="519" spans="1:11" s="1639" customFormat="1" ht="9.75" hidden="1" customHeight="1" x14ac:dyDescent="0.25">
      <c r="A519" s="1637"/>
      <c r="B519" s="2913"/>
      <c r="C519" s="4104"/>
      <c r="D519" s="1548"/>
      <c r="E519" s="1238"/>
      <c r="F519" s="1717"/>
      <c r="G519" s="971"/>
      <c r="H519" s="1638"/>
      <c r="J519" s="2093"/>
      <c r="K519" s="2093"/>
    </row>
    <row r="520" spans="1:11" s="1639" customFormat="1" ht="21" hidden="1" customHeight="1" x14ac:dyDescent="0.25">
      <c r="A520" s="1637"/>
      <c r="B520" s="2913"/>
      <c r="C520" s="4116" t="s">
        <v>6669</v>
      </c>
      <c r="D520" s="1549">
        <f>D521</f>
        <v>176400000</v>
      </c>
      <c r="E520" s="1549">
        <f>E521</f>
        <v>176400000</v>
      </c>
      <c r="F520" s="2261">
        <f>E520/D520*100</f>
        <v>100</v>
      </c>
      <c r="G520" s="1379">
        <v>100</v>
      </c>
      <c r="H520" s="1638"/>
      <c r="J520" s="2093"/>
      <c r="K520" s="2093"/>
    </row>
    <row r="521" spans="1:11" s="1639" customFormat="1" ht="17.25" hidden="1" customHeight="1" x14ac:dyDescent="0.25">
      <c r="A521" s="1637"/>
      <c r="B521" s="2913"/>
      <c r="C521" s="4104" t="s">
        <v>6670</v>
      </c>
      <c r="D521" s="1548">
        <v>176400000</v>
      </c>
      <c r="E521" s="1329">
        <v>176400000</v>
      </c>
      <c r="F521" s="1717">
        <f>E521/D521*100</f>
        <v>100</v>
      </c>
      <c r="G521" s="971">
        <v>100</v>
      </c>
      <c r="H521" s="1638"/>
      <c r="J521" s="2093"/>
      <c r="K521" s="2093"/>
    </row>
    <row r="522" spans="1:11" s="303" customFormat="1" ht="12" hidden="1" customHeight="1" x14ac:dyDescent="0.25">
      <c r="A522" s="3005"/>
      <c r="B522" s="2913"/>
      <c r="C522" s="4104"/>
      <c r="D522" s="1548"/>
      <c r="E522" s="3879"/>
      <c r="F522" s="3648"/>
      <c r="G522" s="3648"/>
      <c r="H522" s="554"/>
      <c r="J522" s="522"/>
      <c r="K522" s="522"/>
    </row>
    <row r="523" spans="1:11" s="1639" customFormat="1" ht="18.75" hidden="1" customHeight="1" x14ac:dyDescent="0.25">
      <c r="A523" s="1637"/>
      <c r="B523" s="2913"/>
      <c r="C523" s="4116" t="s">
        <v>6671</v>
      </c>
      <c r="D523" s="1549">
        <f>D524</f>
        <v>250000000</v>
      </c>
      <c r="E523" s="1329">
        <v>0</v>
      </c>
      <c r="F523" s="1329">
        <v>0</v>
      </c>
      <c r="G523" s="1329">
        <v>0</v>
      </c>
      <c r="H523" s="1638"/>
      <c r="J523" s="2093"/>
      <c r="K523" s="2093"/>
    </row>
    <row r="524" spans="1:11" s="1639" customFormat="1" ht="17.25" hidden="1" customHeight="1" x14ac:dyDescent="0.25">
      <c r="A524" s="1637"/>
      <c r="B524" s="2913"/>
      <c r="C524" s="4104" t="s">
        <v>6672</v>
      </c>
      <c r="D524" s="1548">
        <v>250000000</v>
      </c>
      <c r="E524" s="1238">
        <v>0</v>
      </c>
      <c r="F524" s="1238">
        <v>0</v>
      </c>
      <c r="G524" s="1238">
        <v>0</v>
      </c>
      <c r="H524" s="1638"/>
      <c r="J524" s="2093"/>
      <c r="K524" s="2093"/>
    </row>
    <row r="525" spans="1:11" s="303" customFormat="1" ht="12" hidden="1" customHeight="1" x14ac:dyDescent="0.25">
      <c r="A525" s="3005"/>
      <c r="B525" s="2913"/>
      <c r="C525" s="4104"/>
      <c r="D525" s="1548"/>
      <c r="E525" s="1891"/>
      <c r="F525" s="3648"/>
      <c r="G525" s="3648"/>
      <c r="H525" s="554"/>
      <c r="J525" s="522"/>
      <c r="K525" s="522"/>
    </row>
    <row r="526" spans="1:11" s="1639" customFormat="1" ht="15.75" hidden="1" customHeight="1" x14ac:dyDescent="0.25">
      <c r="A526" s="1637"/>
      <c r="B526" s="2913"/>
      <c r="C526" s="4116" t="s">
        <v>6673</v>
      </c>
      <c r="D526" s="1549">
        <f>D527</f>
        <v>96820000</v>
      </c>
      <c r="E526" s="1549">
        <f>E527</f>
        <v>95904000</v>
      </c>
      <c r="F526" s="2261">
        <f>E526/D526*100</f>
        <v>99.05391448047925</v>
      </c>
      <c r="G526" s="3629">
        <v>100</v>
      </c>
      <c r="H526" s="1638"/>
      <c r="J526" s="2093"/>
      <c r="K526" s="2093"/>
    </row>
    <row r="527" spans="1:11" s="1639" customFormat="1" ht="24" hidden="1" customHeight="1" x14ac:dyDescent="0.25">
      <c r="A527" s="1637"/>
      <c r="B527" s="2913"/>
      <c r="C527" s="4104" t="s">
        <v>6674</v>
      </c>
      <c r="D527" s="1548">
        <v>96820000</v>
      </c>
      <c r="E527" s="3879">
        <v>95904000</v>
      </c>
      <c r="F527" s="1717">
        <f>E527/D527*100</f>
        <v>99.05391448047925</v>
      </c>
      <c r="G527" s="3630">
        <v>100</v>
      </c>
      <c r="H527" s="1638"/>
      <c r="J527" s="2093"/>
      <c r="K527" s="2093"/>
    </row>
    <row r="528" spans="1:11" s="1639" customFormat="1" ht="9" hidden="1" customHeight="1" x14ac:dyDescent="0.25">
      <c r="A528" s="1637"/>
      <c r="B528" s="2913"/>
      <c r="C528" s="4104"/>
      <c r="D528" s="1548"/>
      <c r="E528" s="3879"/>
      <c r="F528" s="3630"/>
      <c r="G528" s="3630"/>
      <c r="H528" s="1638"/>
      <c r="J528" s="2093"/>
      <c r="K528" s="2093"/>
    </row>
    <row r="529" spans="1:11" s="1639" customFormat="1" ht="19.5" hidden="1" customHeight="1" x14ac:dyDescent="0.25">
      <c r="A529" s="1637"/>
      <c r="B529" s="2913"/>
      <c r="C529" s="4116" t="s">
        <v>6675</v>
      </c>
      <c r="D529" s="1549">
        <f>D530</f>
        <v>155775000</v>
      </c>
      <c r="E529" s="1549">
        <f>E530</f>
        <v>155775000</v>
      </c>
      <c r="F529" s="2261">
        <f>E529/D529*100</f>
        <v>100</v>
      </c>
      <c r="G529" s="3629">
        <v>100</v>
      </c>
      <c r="H529" s="1638"/>
      <c r="J529" s="2093"/>
      <c r="K529" s="2093"/>
    </row>
    <row r="530" spans="1:11" s="1639" customFormat="1" ht="18.75" hidden="1" customHeight="1" x14ac:dyDescent="0.25">
      <c r="A530" s="1637"/>
      <c r="B530" s="2913"/>
      <c r="C530" s="4104" t="s">
        <v>6676</v>
      </c>
      <c r="D530" s="1548">
        <v>155775000</v>
      </c>
      <c r="E530" s="3879">
        <v>155775000</v>
      </c>
      <c r="F530" s="1717">
        <f>E530/D530*100</f>
        <v>100</v>
      </c>
      <c r="G530" s="3630">
        <v>100</v>
      </c>
      <c r="H530" s="1638"/>
      <c r="J530" s="2093"/>
      <c r="K530" s="2093"/>
    </row>
    <row r="531" spans="1:11" s="1639" customFormat="1" ht="10.5" hidden="1" customHeight="1" x14ac:dyDescent="0.25">
      <c r="A531" s="1637"/>
      <c r="B531" s="2913"/>
      <c r="C531" s="4104"/>
      <c r="D531" s="1548"/>
      <c r="E531" s="3879"/>
      <c r="F531" s="3630"/>
      <c r="G531" s="3630"/>
      <c r="H531" s="1638"/>
      <c r="J531" s="2093"/>
      <c r="K531" s="2093"/>
    </row>
    <row r="532" spans="1:11" s="1639" customFormat="1" ht="15" hidden="1" customHeight="1" x14ac:dyDescent="0.25">
      <c r="A532" s="1637"/>
      <c r="B532" s="2913"/>
      <c r="C532" s="4116" t="s">
        <v>6677</v>
      </c>
      <c r="D532" s="1549">
        <f>D533</f>
        <v>67000000</v>
      </c>
      <c r="E532" s="1549">
        <f>E533</f>
        <v>67000000</v>
      </c>
      <c r="F532" s="2261">
        <f>E532/D532*100</f>
        <v>100</v>
      </c>
      <c r="G532" s="3629">
        <v>100</v>
      </c>
      <c r="H532" s="1638"/>
      <c r="J532" s="2093"/>
      <c r="K532" s="2093"/>
    </row>
    <row r="533" spans="1:11" s="1639" customFormat="1" ht="16.5" hidden="1" customHeight="1" x14ac:dyDescent="0.25">
      <c r="A533" s="1637"/>
      <c r="B533" s="2913"/>
      <c r="C533" s="4104" t="s">
        <v>6678</v>
      </c>
      <c r="D533" s="1548">
        <v>67000000</v>
      </c>
      <c r="E533" s="3879">
        <v>67000000</v>
      </c>
      <c r="F533" s="1717">
        <f>E533/D533*100</f>
        <v>100</v>
      </c>
      <c r="G533" s="3630">
        <v>100</v>
      </c>
      <c r="H533" s="1638"/>
      <c r="J533" s="2093"/>
      <c r="K533" s="2093"/>
    </row>
    <row r="534" spans="1:11" s="1639" customFormat="1" ht="10.5" hidden="1" customHeight="1" x14ac:dyDescent="0.25">
      <c r="A534" s="1637"/>
      <c r="B534" s="2913"/>
      <c r="C534" s="4104"/>
      <c r="D534" s="1548"/>
      <c r="E534" s="3879"/>
      <c r="F534" s="3630"/>
      <c r="G534" s="3630"/>
      <c r="H534" s="1638"/>
      <c r="J534" s="2093"/>
      <c r="K534" s="2093"/>
    </row>
    <row r="535" spans="1:11" s="1639" customFormat="1" ht="18.75" hidden="1" customHeight="1" x14ac:dyDescent="0.25">
      <c r="A535" s="1637"/>
      <c r="B535" s="2913"/>
      <c r="C535" s="4116" t="s">
        <v>6679</v>
      </c>
      <c r="D535" s="1549">
        <f>D536</f>
        <v>13000000</v>
      </c>
      <c r="E535" s="1549">
        <f>E536</f>
        <v>13000000</v>
      </c>
      <c r="F535" s="2261">
        <f>E535/D535*100</f>
        <v>100</v>
      </c>
      <c r="G535" s="3629">
        <v>100</v>
      </c>
      <c r="H535" s="1638"/>
      <c r="J535" s="2093"/>
      <c r="K535" s="2093"/>
    </row>
    <row r="536" spans="1:11" s="1639" customFormat="1" ht="15" hidden="1" customHeight="1" x14ac:dyDescent="0.25">
      <c r="A536" s="1637"/>
      <c r="B536" s="2913"/>
      <c r="C536" s="4104" t="s">
        <v>6680</v>
      </c>
      <c r="D536" s="1548">
        <v>13000000</v>
      </c>
      <c r="E536" s="3879">
        <v>13000000</v>
      </c>
      <c r="F536" s="1717">
        <f>E536/D536*100</f>
        <v>100</v>
      </c>
      <c r="G536" s="3630">
        <v>100</v>
      </c>
      <c r="H536" s="1638"/>
      <c r="J536" s="2093"/>
      <c r="K536" s="2093"/>
    </row>
    <row r="537" spans="1:11" ht="13.5" hidden="1" customHeight="1" x14ac:dyDescent="0.25">
      <c r="B537" s="2913"/>
      <c r="C537" s="3892"/>
      <c r="D537" s="1550"/>
      <c r="E537" s="1927"/>
      <c r="F537" s="3651"/>
      <c r="G537" s="3651"/>
      <c r="H537" s="535"/>
    </row>
    <row r="538" spans="1:11" s="1639" customFormat="1" ht="17.25" hidden="1" customHeight="1" x14ac:dyDescent="0.25">
      <c r="A538" s="1637"/>
      <c r="B538" s="5397"/>
      <c r="C538" s="3895" t="s">
        <v>6681</v>
      </c>
      <c r="D538" s="863">
        <f>SUM(D539+D542+D545+D548+D551+D555)</f>
        <v>518756295</v>
      </c>
      <c r="E538" s="863">
        <f>SUM(E539+E542+E545+E548+E551+E555)</f>
        <v>518665295</v>
      </c>
      <c r="F538" s="1462">
        <f>E538/D538*100</f>
        <v>99.98245804419588</v>
      </c>
      <c r="G538" s="1726">
        <v>100</v>
      </c>
      <c r="H538" s="1638"/>
      <c r="J538" s="2093">
        <v>518756295</v>
      </c>
      <c r="K538" s="2093">
        <v>518665295</v>
      </c>
    </row>
    <row r="539" spans="1:11" s="1639" customFormat="1" ht="14.25" hidden="1" customHeight="1" x14ac:dyDescent="0.25">
      <c r="A539" s="1637"/>
      <c r="B539" s="2913"/>
      <c r="C539" s="3893" t="s">
        <v>4706</v>
      </c>
      <c r="D539" s="3726">
        <f>D540</f>
        <v>50000000</v>
      </c>
      <c r="E539" s="3726">
        <f>E540</f>
        <v>50000000</v>
      </c>
      <c r="F539" s="2261">
        <f>E539/D539*100</f>
        <v>100</v>
      </c>
      <c r="G539" s="3633">
        <v>100</v>
      </c>
      <c r="H539" s="1638"/>
      <c r="J539" s="2093"/>
      <c r="K539" s="2093"/>
    </row>
    <row r="540" spans="1:11" s="1639" customFormat="1" ht="15.75" hidden="1" customHeight="1" x14ac:dyDescent="0.25">
      <c r="A540" s="1637"/>
      <c r="B540" s="2913"/>
      <c r="C540" s="3861" t="s">
        <v>6683</v>
      </c>
      <c r="D540" s="813">
        <v>50000000</v>
      </c>
      <c r="E540" s="865">
        <v>50000000</v>
      </c>
      <c r="F540" s="1717">
        <f>E540/D540*100</f>
        <v>100</v>
      </c>
      <c r="G540" s="798">
        <v>100</v>
      </c>
      <c r="H540" s="1638"/>
      <c r="J540" s="2093"/>
      <c r="K540" s="2093"/>
    </row>
    <row r="541" spans="1:11" ht="9" hidden="1" customHeight="1" x14ac:dyDescent="0.25">
      <c r="B541" s="2913"/>
      <c r="C541" s="3861"/>
      <c r="D541" s="813"/>
      <c r="E541" s="865"/>
      <c r="F541" s="3553"/>
      <c r="G541" s="3553"/>
      <c r="H541" s="535"/>
    </row>
    <row r="542" spans="1:11" s="1639" customFormat="1" ht="16.5" hidden="1" customHeight="1" x14ac:dyDescent="0.25">
      <c r="A542" s="1637"/>
      <c r="B542" s="2913"/>
      <c r="C542" s="3873" t="s">
        <v>4708</v>
      </c>
      <c r="D542" s="816">
        <f>D543</f>
        <v>120000000</v>
      </c>
      <c r="E542" s="816">
        <f>E543</f>
        <v>120000000</v>
      </c>
      <c r="F542" s="2261">
        <f>E542/D542*100</f>
        <v>100</v>
      </c>
      <c r="G542" s="857">
        <v>100</v>
      </c>
      <c r="H542" s="1638"/>
      <c r="J542" s="2093"/>
      <c r="K542" s="2093"/>
    </row>
    <row r="543" spans="1:11" s="1639" customFormat="1" ht="15.75" hidden="1" customHeight="1" x14ac:dyDescent="0.25">
      <c r="A543" s="1637"/>
      <c r="B543" s="2913"/>
      <c r="C543" s="3861" t="s">
        <v>6684</v>
      </c>
      <c r="D543" s="813">
        <v>120000000</v>
      </c>
      <c r="E543" s="865">
        <v>120000000</v>
      </c>
      <c r="F543" s="1717">
        <f>E543/D543*100</f>
        <v>100</v>
      </c>
      <c r="G543" s="798">
        <v>100</v>
      </c>
      <c r="H543" s="1638"/>
      <c r="J543" s="2093"/>
      <c r="K543" s="2093"/>
    </row>
    <row r="544" spans="1:11" s="1639" customFormat="1" ht="9.75" hidden="1" customHeight="1" x14ac:dyDescent="0.25">
      <c r="A544" s="1637"/>
      <c r="B544" s="2913"/>
      <c r="C544" s="3861"/>
      <c r="D544" s="813"/>
      <c r="E544" s="865"/>
      <c r="F544" s="798"/>
      <c r="G544" s="798"/>
      <c r="H544" s="1638"/>
      <c r="J544" s="2093"/>
      <c r="K544" s="2093"/>
    </row>
    <row r="545" spans="1:11" s="1639" customFormat="1" ht="18" hidden="1" customHeight="1" x14ac:dyDescent="0.25">
      <c r="A545" s="1637"/>
      <c r="B545" s="2913"/>
      <c r="C545" s="3873" t="s">
        <v>6685</v>
      </c>
      <c r="D545" s="816">
        <f>D546</f>
        <v>67398795</v>
      </c>
      <c r="E545" s="816">
        <f>E546</f>
        <v>67398795</v>
      </c>
      <c r="F545" s="2261">
        <f>E545/D545*100</f>
        <v>100</v>
      </c>
      <c r="G545" s="857">
        <v>100</v>
      </c>
      <c r="H545" s="1638"/>
      <c r="J545" s="2093"/>
      <c r="K545" s="2093"/>
    </row>
    <row r="546" spans="1:11" s="1639" customFormat="1" ht="15.75" hidden="1" customHeight="1" x14ac:dyDescent="0.25">
      <c r="A546" s="1637"/>
      <c r="B546" s="2913"/>
      <c r="C546" s="3861" t="s">
        <v>6686</v>
      </c>
      <c r="D546" s="2693">
        <v>67398795</v>
      </c>
      <c r="E546" s="865">
        <v>67398795</v>
      </c>
      <c r="F546" s="1717">
        <f>E546/D546*100</f>
        <v>100</v>
      </c>
      <c r="G546" s="798">
        <v>100</v>
      </c>
      <c r="H546" s="1638"/>
      <c r="J546" s="2093"/>
      <c r="K546" s="2093"/>
    </row>
    <row r="547" spans="1:11" s="1639" customFormat="1" ht="10.5" hidden="1" customHeight="1" x14ac:dyDescent="0.25">
      <c r="A547" s="1637"/>
      <c r="B547" s="2913"/>
      <c r="C547" s="4104"/>
      <c r="D547" s="813"/>
      <c r="E547" s="3879"/>
      <c r="F547" s="3648"/>
      <c r="G547" s="3648"/>
      <c r="H547" s="1638"/>
      <c r="J547" s="2093"/>
      <c r="K547" s="2093"/>
    </row>
    <row r="548" spans="1:11" s="1639" customFormat="1" ht="15.75" hidden="1" customHeight="1" x14ac:dyDescent="0.25">
      <c r="A548" s="1637"/>
      <c r="B548" s="2913"/>
      <c r="C548" s="4116" t="s">
        <v>6687</v>
      </c>
      <c r="D548" s="816">
        <f>D549</f>
        <v>105000000</v>
      </c>
      <c r="E548" s="816">
        <f>E549</f>
        <v>105000000</v>
      </c>
      <c r="F548" s="2261">
        <f>E548/D548*100</f>
        <v>100</v>
      </c>
      <c r="G548" s="3600">
        <v>100</v>
      </c>
      <c r="H548" s="1638"/>
      <c r="J548" s="2093"/>
      <c r="K548" s="2093"/>
    </row>
    <row r="549" spans="1:11" s="1639" customFormat="1" ht="16.5" hidden="1" customHeight="1" x14ac:dyDescent="0.25">
      <c r="A549" s="1637"/>
      <c r="B549" s="2913"/>
      <c r="C549" s="4104" t="s">
        <v>6688</v>
      </c>
      <c r="D549" s="813">
        <v>105000000</v>
      </c>
      <c r="E549" s="1238">
        <v>105000000</v>
      </c>
      <c r="F549" s="1717">
        <f>E549/D549*100</f>
        <v>100</v>
      </c>
      <c r="G549" s="3648">
        <v>100</v>
      </c>
      <c r="H549" s="1638"/>
      <c r="J549" s="2093"/>
      <c r="K549" s="2093"/>
    </row>
    <row r="550" spans="1:11" s="1639" customFormat="1" ht="8.25" hidden="1" customHeight="1" x14ac:dyDescent="0.25">
      <c r="A550" s="1637"/>
      <c r="B550" s="2913"/>
      <c r="C550" s="4104"/>
      <c r="D550" s="813"/>
      <c r="E550" s="3879"/>
      <c r="F550" s="3648"/>
      <c r="G550" s="3648"/>
      <c r="H550" s="1638"/>
      <c r="J550" s="2093"/>
      <c r="K550" s="2093"/>
    </row>
    <row r="551" spans="1:11" s="1639" customFormat="1" ht="15.75" hidden="1" customHeight="1" x14ac:dyDescent="0.25">
      <c r="A551" s="1637"/>
      <c r="B551" s="2913"/>
      <c r="C551" s="4116" t="s">
        <v>6689</v>
      </c>
      <c r="D551" s="816">
        <f>SUM(D552:D553)</f>
        <v>120000000</v>
      </c>
      <c r="E551" s="816">
        <f>SUM(E552:E553)</f>
        <v>120000000</v>
      </c>
      <c r="F551" s="2261">
        <f>E551/D551*100</f>
        <v>100</v>
      </c>
      <c r="G551" s="3600">
        <v>100</v>
      </c>
      <c r="H551" s="1638"/>
      <c r="J551" s="2093"/>
      <c r="K551" s="2093"/>
    </row>
    <row r="552" spans="1:11" s="1639" customFormat="1" ht="21" hidden="1" customHeight="1" x14ac:dyDescent="0.25">
      <c r="A552" s="1637"/>
      <c r="B552" s="2913"/>
      <c r="C552" s="4104" t="s">
        <v>6690</v>
      </c>
      <c r="D552" s="813">
        <v>60000000</v>
      </c>
      <c r="E552" s="1238">
        <v>60000000</v>
      </c>
      <c r="F552" s="1717">
        <f>E552/D552*100</f>
        <v>100</v>
      </c>
      <c r="G552" s="3648">
        <v>100</v>
      </c>
      <c r="H552" s="1638"/>
      <c r="J552" s="2093"/>
      <c r="K552" s="2093"/>
    </row>
    <row r="553" spans="1:11" s="1639" customFormat="1" ht="15.75" hidden="1" customHeight="1" x14ac:dyDescent="0.25">
      <c r="A553" s="1637"/>
      <c r="B553" s="2913"/>
      <c r="C553" s="4104" t="s">
        <v>6691</v>
      </c>
      <c r="D553" s="813">
        <v>60000000</v>
      </c>
      <c r="E553" s="1238">
        <v>60000000</v>
      </c>
      <c r="F553" s="1717">
        <f>E553/D553*100</f>
        <v>100</v>
      </c>
      <c r="G553" s="971">
        <v>100</v>
      </c>
      <c r="H553" s="1638"/>
      <c r="J553" s="2093"/>
      <c r="K553" s="2093"/>
    </row>
    <row r="554" spans="1:11" s="1639" customFormat="1" ht="9.75" hidden="1" customHeight="1" x14ac:dyDescent="0.25">
      <c r="A554" s="1637"/>
      <c r="B554" s="2913"/>
      <c r="C554" s="4104"/>
      <c r="D554" s="813"/>
      <c r="E554" s="3879"/>
      <c r="F554" s="3648"/>
      <c r="G554" s="3648"/>
      <c r="H554" s="1638"/>
      <c r="J554" s="2093"/>
      <c r="K554" s="2093"/>
    </row>
    <row r="555" spans="1:11" s="1639" customFormat="1" ht="15.75" hidden="1" customHeight="1" x14ac:dyDescent="0.25">
      <c r="A555" s="1637"/>
      <c r="B555" s="2913"/>
      <c r="C555" s="4116" t="s">
        <v>4716</v>
      </c>
      <c r="D555" s="816">
        <f>SUM(D556:D557)</f>
        <v>56357500</v>
      </c>
      <c r="E555" s="816">
        <f>SUM(E556:E557)</f>
        <v>56266500</v>
      </c>
      <c r="F555" s="2261">
        <f>E555/D555*100</f>
        <v>99.838530807789567</v>
      </c>
      <c r="G555" s="3600">
        <v>100</v>
      </c>
      <c r="H555" s="1638"/>
      <c r="J555" s="2093"/>
      <c r="K555" s="2093"/>
    </row>
    <row r="556" spans="1:11" s="1639" customFormat="1" ht="21" hidden="1" customHeight="1" x14ac:dyDescent="0.25">
      <c r="A556" s="1637"/>
      <c r="B556" s="2913"/>
      <c r="C556" s="4104" t="s">
        <v>6692</v>
      </c>
      <c r="D556" s="813">
        <v>50000000</v>
      </c>
      <c r="E556" s="1238">
        <v>49909000</v>
      </c>
      <c r="F556" s="1717">
        <f>E556/D556*100</f>
        <v>99.817999999999998</v>
      </c>
      <c r="G556" s="3648">
        <v>100</v>
      </c>
      <c r="H556" s="1638"/>
      <c r="J556" s="2093"/>
      <c r="K556" s="2093"/>
    </row>
    <row r="557" spans="1:11" s="1639" customFormat="1" ht="13.5" hidden="1" customHeight="1" x14ac:dyDescent="0.25">
      <c r="A557" s="1637"/>
      <c r="B557" s="2913"/>
      <c r="C557" s="4104" t="s">
        <v>6693</v>
      </c>
      <c r="D557" s="813">
        <v>6357500</v>
      </c>
      <c r="E557" s="1238">
        <v>6357500</v>
      </c>
      <c r="F557" s="1717">
        <f>E557/D557*100</f>
        <v>100</v>
      </c>
      <c r="G557" s="3648">
        <v>100</v>
      </c>
      <c r="H557" s="1638"/>
      <c r="J557" s="2093"/>
      <c r="K557" s="2093"/>
    </row>
    <row r="558" spans="1:11" ht="15.75" hidden="1" customHeight="1" x14ac:dyDescent="0.25">
      <c r="B558" s="2913"/>
      <c r="C558" s="3892"/>
      <c r="D558" s="2693"/>
      <c r="E558" s="1927"/>
      <c r="F558" s="3651"/>
      <c r="G558" s="3651"/>
      <c r="H558" s="535"/>
    </row>
    <row r="559" spans="1:11" s="1639" customFormat="1" ht="16.5" hidden="1" customHeight="1" x14ac:dyDescent="0.25">
      <c r="A559" s="1637"/>
      <c r="B559" s="5397"/>
      <c r="C559" s="3858" t="s">
        <v>6682</v>
      </c>
      <c r="D559" s="858">
        <f>SUM(D560+D563+D566+D569+D572+D575+D578+D581)</f>
        <v>506000000</v>
      </c>
      <c r="E559" s="858">
        <f>SUM(E560+E563+E566+E569+E572+E575+E578+E581)</f>
        <v>506000000</v>
      </c>
      <c r="F559" s="1462">
        <f>E559/D559*100</f>
        <v>100</v>
      </c>
      <c r="G559" s="1726">
        <v>100</v>
      </c>
      <c r="H559" s="1638"/>
      <c r="J559" s="2093">
        <v>506000000</v>
      </c>
      <c r="K559" s="2093">
        <v>506000000</v>
      </c>
    </row>
    <row r="560" spans="1:11" s="1639" customFormat="1" ht="18.75" hidden="1" customHeight="1" x14ac:dyDescent="0.25">
      <c r="A560" s="1637"/>
      <c r="B560" s="2913"/>
      <c r="C560" s="3893" t="s">
        <v>4721</v>
      </c>
      <c r="D560" s="3726">
        <f>D561</f>
        <v>70000000</v>
      </c>
      <c r="E560" s="3726">
        <f>E561</f>
        <v>70000000</v>
      </c>
      <c r="F560" s="2261">
        <f>E560/D560*100</f>
        <v>100</v>
      </c>
      <c r="G560" s="3629">
        <v>100</v>
      </c>
      <c r="H560" s="1638"/>
      <c r="J560" s="2093"/>
      <c r="K560" s="2093"/>
    </row>
    <row r="561" spans="1:11" s="1639" customFormat="1" ht="13.5" hidden="1" customHeight="1" x14ac:dyDescent="0.25">
      <c r="A561" s="1637"/>
      <c r="B561" s="2913"/>
      <c r="C561" s="3861" t="s">
        <v>4722</v>
      </c>
      <c r="D561" s="813">
        <v>70000000</v>
      </c>
      <c r="E561" s="1238">
        <v>70000000</v>
      </c>
      <c r="F561" s="1717">
        <f>E561/D561*100</f>
        <v>100</v>
      </c>
      <c r="G561" s="3630">
        <v>100</v>
      </c>
      <c r="H561" s="1638"/>
      <c r="J561" s="2093"/>
      <c r="K561" s="2093"/>
    </row>
    <row r="562" spans="1:11" ht="12" hidden="1" customHeight="1" x14ac:dyDescent="0.25">
      <c r="B562" s="2913"/>
      <c r="C562" s="3861"/>
      <c r="D562" s="813"/>
      <c r="E562" s="3879"/>
      <c r="F562" s="3553"/>
      <c r="G562" s="3553"/>
      <c r="H562" s="535"/>
    </row>
    <row r="563" spans="1:11" s="1639" customFormat="1" ht="18" hidden="1" customHeight="1" x14ac:dyDescent="0.25">
      <c r="A563" s="1637"/>
      <c r="B563" s="2913"/>
      <c r="C563" s="3873" t="s">
        <v>4723</v>
      </c>
      <c r="D563" s="816">
        <f>D564</f>
        <v>80000000</v>
      </c>
      <c r="E563" s="816">
        <f>E564</f>
        <v>80000000</v>
      </c>
      <c r="F563" s="2261">
        <f>E563/D563*100</f>
        <v>100</v>
      </c>
      <c r="G563" s="3629">
        <v>100</v>
      </c>
      <c r="H563" s="1638"/>
      <c r="J563" s="2093"/>
      <c r="K563" s="2093"/>
    </row>
    <row r="564" spans="1:11" s="1639" customFormat="1" ht="17.25" hidden="1" customHeight="1" x14ac:dyDescent="0.25">
      <c r="A564" s="1637"/>
      <c r="B564" s="2913"/>
      <c r="C564" s="3861" t="s">
        <v>4724</v>
      </c>
      <c r="D564" s="813">
        <v>80000000</v>
      </c>
      <c r="E564" s="1238">
        <v>80000000</v>
      </c>
      <c r="F564" s="1717">
        <f>E564/D564*100</f>
        <v>100</v>
      </c>
      <c r="G564" s="3630">
        <v>100</v>
      </c>
      <c r="H564" s="1638"/>
      <c r="J564" s="2093"/>
      <c r="K564" s="2093"/>
    </row>
    <row r="565" spans="1:11" s="1639" customFormat="1" ht="10.5" hidden="1" customHeight="1" x14ac:dyDescent="0.25">
      <c r="A565" s="1637"/>
      <c r="B565" s="2913"/>
      <c r="C565" s="3861"/>
      <c r="D565" s="813"/>
      <c r="E565" s="3879"/>
      <c r="F565" s="3553"/>
      <c r="G565" s="3553"/>
      <c r="H565" s="1638"/>
      <c r="J565" s="2093"/>
      <c r="K565" s="2093"/>
    </row>
    <row r="566" spans="1:11" s="1639" customFormat="1" ht="17.25" hidden="1" customHeight="1" x14ac:dyDescent="0.25">
      <c r="A566" s="1637"/>
      <c r="B566" s="2913"/>
      <c r="C566" s="3873" t="s">
        <v>4725</v>
      </c>
      <c r="D566" s="816">
        <f>D567</f>
        <v>61000000</v>
      </c>
      <c r="E566" s="816">
        <f>E567</f>
        <v>61000000</v>
      </c>
      <c r="F566" s="2261">
        <f>E566/D566*100</f>
        <v>100</v>
      </c>
      <c r="G566" s="3629">
        <v>100</v>
      </c>
      <c r="H566" s="1638"/>
      <c r="J566" s="2093"/>
      <c r="K566" s="2093"/>
    </row>
    <row r="567" spans="1:11" s="1639" customFormat="1" ht="17.25" hidden="1" customHeight="1" x14ac:dyDescent="0.25">
      <c r="A567" s="1637"/>
      <c r="B567" s="2913"/>
      <c r="C567" s="3861" t="s">
        <v>4726</v>
      </c>
      <c r="D567" s="813">
        <v>61000000</v>
      </c>
      <c r="E567" s="1238">
        <v>61000000</v>
      </c>
      <c r="F567" s="1717">
        <f>E567/D567*100</f>
        <v>100</v>
      </c>
      <c r="G567" s="3630">
        <v>100</v>
      </c>
      <c r="H567" s="1638"/>
      <c r="J567" s="2093"/>
      <c r="K567" s="2093"/>
    </row>
    <row r="568" spans="1:11" s="1639" customFormat="1" ht="7.5" hidden="1" customHeight="1" x14ac:dyDescent="0.25">
      <c r="A568" s="1637"/>
      <c r="B568" s="2913"/>
      <c r="C568" s="3861"/>
      <c r="D568" s="813"/>
      <c r="E568" s="3879"/>
      <c r="F568" s="3553"/>
      <c r="G568" s="3553"/>
      <c r="H568" s="1638"/>
      <c r="J568" s="2093"/>
      <c r="K568" s="2093"/>
    </row>
    <row r="569" spans="1:11" s="1639" customFormat="1" ht="18" hidden="1" customHeight="1" x14ac:dyDescent="0.25">
      <c r="A569" s="1637"/>
      <c r="B569" s="2913"/>
      <c r="C569" s="3873" t="s">
        <v>6694</v>
      </c>
      <c r="D569" s="816">
        <f>D570</f>
        <v>60000000</v>
      </c>
      <c r="E569" s="816">
        <f>E570</f>
        <v>60000000</v>
      </c>
      <c r="F569" s="2261">
        <f>E569/D569*100</f>
        <v>100</v>
      </c>
      <c r="G569" s="3629">
        <v>100</v>
      </c>
      <c r="H569" s="1638"/>
      <c r="J569" s="2093"/>
      <c r="K569" s="2093"/>
    </row>
    <row r="570" spans="1:11" s="1639" customFormat="1" ht="15.75" hidden="1" customHeight="1" x14ac:dyDescent="0.25">
      <c r="A570" s="1637"/>
      <c r="B570" s="2913"/>
      <c r="C570" s="3861" t="s">
        <v>6695</v>
      </c>
      <c r="D570" s="813">
        <v>60000000</v>
      </c>
      <c r="E570" s="1238">
        <v>60000000</v>
      </c>
      <c r="F570" s="1717">
        <f>E570/D570*100</f>
        <v>100</v>
      </c>
      <c r="G570" s="3630">
        <v>100</v>
      </c>
      <c r="H570" s="1638"/>
      <c r="J570" s="2093"/>
      <c r="K570" s="2093"/>
    </row>
    <row r="571" spans="1:11" s="1639" customFormat="1" ht="12" hidden="1" customHeight="1" x14ac:dyDescent="0.25">
      <c r="A571" s="1637"/>
      <c r="B571" s="2913"/>
      <c r="C571" s="3861"/>
      <c r="D571" s="813"/>
      <c r="E571" s="3879"/>
      <c r="F571" s="3553"/>
      <c r="G571" s="3553"/>
      <c r="H571" s="1638"/>
      <c r="J571" s="2093"/>
      <c r="K571" s="2093"/>
    </row>
    <row r="572" spans="1:11" s="1639" customFormat="1" ht="15.75" hidden="1" customHeight="1" x14ac:dyDescent="0.25">
      <c r="A572" s="1637"/>
      <c r="B572" s="2913"/>
      <c r="C572" s="3873" t="s">
        <v>6696</v>
      </c>
      <c r="D572" s="816">
        <f>D573</f>
        <v>60000000</v>
      </c>
      <c r="E572" s="816">
        <f>E573</f>
        <v>60000000</v>
      </c>
      <c r="F572" s="2261">
        <f>E572/D572*100</f>
        <v>100</v>
      </c>
      <c r="G572" s="3629">
        <v>100</v>
      </c>
      <c r="H572" s="1638"/>
      <c r="J572" s="2093"/>
      <c r="K572" s="2093"/>
    </row>
    <row r="573" spans="1:11" s="1639" customFormat="1" ht="16.5" hidden="1" customHeight="1" x14ac:dyDescent="0.25">
      <c r="A573" s="1637"/>
      <c r="B573" s="2913"/>
      <c r="C573" s="3861" t="s">
        <v>6697</v>
      </c>
      <c r="D573" s="813">
        <v>60000000</v>
      </c>
      <c r="E573" s="1238">
        <v>60000000</v>
      </c>
      <c r="F573" s="1717">
        <f>E573/D573*100</f>
        <v>100</v>
      </c>
      <c r="G573" s="3630">
        <v>100</v>
      </c>
      <c r="H573" s="1638"/>
      <c r="J573" s="2093"/>
      <c r="K573" s="2093"/>
    </row>
    <row r="574" spans="1:11" s="1639" customFormat="1" ht="12" hidden="1" customHeight="1" x14ac:dyDescent="0.25">
      <c r="A574" s="1637"/>
      <c r="B574" s="2913"/>
      <c r="C574" s="3861"/>
      <c r="D574" s="813"/>
      <c r="E574" s="3879"/>
      <c r="F574" s="3553"/>
      <c r="G574" s="3553"/>
      <c r="H574" s="1638"/>
      <c r="J574" s="2093"/>
      <c r="K574" s="2093"/>
    </row>
    <row r="575" spans="1:11" s="1639" customFormat="1" ht="18.75" hidden="1" customHeight="1" x14ac:dyDescent="0.25">
      <c r="A575" s="1637"/>
      <c r="B575" s="2913"/>
      <c r="C575" s="3873" t="s">
        <v>6698</v>
      </c>
      <c r="D575" s="816">
        <f>D576</f>
        <v>60000000</v>
      </c>
      <c r="E575" s="816">
        <f>E576</f>
        <v>60000000</v>
      </c>
      <c r="F575" s="2261">
        <f>E575/D575*100</f>
        <v>100</v>
      </c>
      <c r="G575" s="3629">
        <v>100</v>
      </c>
      <c r="H575" s="1638"/>
      <c r="J575" s="2093"/>
      <c r="K575" s="2093"/>
    </row>
    <row r="576" spans="1:11" s="1639" customFormat="1" ht="15.75" hidden="1" customHeight="1" x14ac:dyDescent="0.25">
      <c r="A576" s="1637"/>
      <c r="B576" s="2913"/>
      <c r="C576" s="3861" t="s">
        <v>6699</v>
      </c>
      <c r="D576" s="813">
        <v>60000000</v>
      </c>
      <c r="E576" s="813">
        <v>60000000</v>
      </c>
      <c r="F576" s="1717">
        <f>E576/D576*100</f>
        <v>100</v>
      </c>
      <c r="G576" s="3630">
        <v>100</v>
      </c>
      <c r="H576" s="1638"/>
      <c r="J576" s="2093"/>
      <c r="K576" s="2093"/>
    </row>
    <row r="577" spans="1:11" s="1639" customFormat="1" ht="10.5" hidden="1" customHeight="1" x14ac:dyDescent="0.25">
      <c r="A577" s="1637"/>
      <c r="B577" s="2913"/>
      <c r="C577" s="3861"/>
      <c r="D577" s="813"/>
      <c r="E577" s="3879"/>
      <c r="F577" s="3553"/>
      <c r="G577" s="3553"/>
      <c r="H577" s="1638"/>
      <c r="J577" s="2093"/>
      <c r="K577" s="2093"/>
    </row>
    <row r="578" spans="1:11" s="1639" customFormat="1" ht="17.25" hidden="1" customHeight="1" x14ac:dyDescent="0.25">
      <c r="A578" s="1637"/>
      <c r="B578" s="2913"/>
      <c r="C578" s="3873" t="s">
        <v>6700</v>
      </c>
      <c r="D578" s="816">
        <f>D579</f>
        <v>70000000</v>
      </c>
      <c r="E578" s="816">
        <f>E579</f>
        <v>70000000</v>
      </c>
      <c r="F578" s="2261">
        <f>E578/D578*100</f>
        <v>100</v>
      </c>
      <c r="G578" s="3629">
        <v>100</v>
      </c>
      <c r="H578" s="1638"/>
      <c r="J578" s="2093"/>
      <c r="K578" s="2093"/>
    </row>
    <row r="579" spans="1:11" s="1639" customFormat="1" ht="12.75" hidden="1" customHeight="1" x14ac:dyDescent="0.25">
      <c r="A579" s="1637"/>
      <c r="B579" s="2913"/>
      <c r="C579" s="3861" t="s">
        <v>6701</v>
      </c>
      <c r="D579" s="813">
        <v>70000000</v>
      </c>
      <c r="E579" s="813">
        <v>70000000</v>
      </c>
      <c r="F579" s="1717">
        <f>E579/D579*100</f>
        <v>100</v>
      </c>
      <c r="G579" s="3630">
        <v>100</v>
      </c>
      <c r="H579" s="1638"/>
      <c r="J579" s="2093"/>
      <c r="K579" s="2093"/>
    </row>
    <row r="580" spans="1:11" s="1639" customFormat="1" ht="8.25" hidden="1" customHeight="1" x14ac:dyDescent="0.25">
      <c r="A580" s="1637"/>
      <c r="B580" s="2913"/>
      <c r="C580" s="3861"/>
      <c r="D580" s="2693"/>
      <c r="E580" s="3879"/>
      <c r="F580" s="3553"/>
      <c r="G580" s="3553"/>
      <c r="H580" s="1638"/>
      <c r="J580" s="2093"/>
      <c r="K580" s="2093"/>
    </row>
    <row r="581" spans="1:11" s="1639" customFormat="1" ht="14.25" hidden="1" customHeight="1" x14ac:dyDescent="0.25">
      <c r="A581" s="1637"/>
      <c r="B581" s="2913"/>
      <c r="C581" s="4116" t="s">
        <v>6702</v>
      </c>
      <c r="D581" s="816">
        <f>D582</f>
        <v>45000000</v>
      </c>
      <c r="E581" s="816">
        <f>E582</f>
        <v>45000000</v>
      </c>
      <c r="F581" s="2261">
        <f>E581/D581*100</f>
        <v>100</v>
      </c>
      <c r="G581" s="3629">
        <v>100</v>
      </c>
      <c r="H581" s="1638"/>
      <c r="J581" s="2093"/>
      <c r="K581" s="2093"/>
    </row>
    <row r="582" spans="1:11" s="1639" customFormat="1" ht="18" hidden="1" customHeight="1" x14ac:dyDescent="0.25">
      <c r="A582" s="1637"/>
      <c r="B582" s="2913"/>
      <c r="C582" s="4104" t="s">
        <v>6703</v>
      </c>
      <c r="D582" s="813">
        <v>45000000</v>
      </c>
      <c r="E582" s="813">
        <v>45000000</v>
      </c>
      <c r="F582" s="1717">
        <f>E582/D582*100</f>
        <v>100</v>
      </c>
      <c r="G582" s="971">
        <v>100</v>
      </c>
      <c r="H582" s="1638"/>
      <c r="J582" s="2093"/>
      <c r="K582" s="2093"/>
    </row>
    <row r="583" spans="1:11" ht="12.75" hidden="1" customHeight="1" x14ac:dyDescent="0.25">
      <c r="B583" s="2913"/>
      <c r="C583" s="3896"/>
      <c r="D583" s="2693"/>
      <c r="E583" s="1927"/>
      <c r="F583" s="3651"/>
      <c r="G583" s="3651"/>
      <c r="H583" s="535"/>
    </row>
    <row r="584" spans="1:11" ht="16.5" hidden="1" customHeight="1" x14ac:dyDescent="0.25">
      <c r="B584" s="5397"/>
      <c r="C584" s="3858" t="s">
        <v>6704</v>
      </c>
      <c r="D584" s="858">
        <f>SUM(D585+D588+D591+D594+D598)</f>
        <v>600576558</v>
      </c>
      <c r="E584" s="858">
        <f>SUM(E585+E588+E591+E594+E598)</f>
        <v>600576000</v>
      </c>
      <c r="F584" s="1462">
        <f>E584/D584*100</f>
        <v>99.999907089280697</v>
      </c>
      <c r="G584" s="1726">
        <v>99.999907089280697</v>
      </c>
      <c r="H584" s="535"/>
      <c r="J584" s="522">
        <v>600576558</v>
      </c>
      <c r="K584" s="522">
        <v>600576000</v>
      </c>
    </row>
    <row r="585" spans="1:11" s="1639" customFormat="1" ht="18.75" hidden="1" customHeight="1" x14ac:dyDescent="0.25">
      <c r="A585" s="1637"/>
      <c r="B585" s="2913"/>
      <c r="C585" s="3893" t="s">
        <v>1596</v>
      </c>
      <c r="D585" s="860">
        <f>D586</f>
        <v>70000000</v>
      </c>
      <c r="E585" s="860">
        <f>E586</f>
        <v>70000000</v>
      </c>
      <c r="F585" s="2261">
        <f>E585/D585*100</f>
        <v>100</v>
      </c>
      <c r="G585" s="2380">
        <v>100</v>
      </c>
      <c r="H585" s="1638"/>
      <c r="J585" s="2093"/>
      <c r="K585" s="2093"/>
    </row>
    <row r="586" spans="1:11" s="1639" customFormat="1" ht="18.75" hidden="1" customHeight="1" x14ac:dyDescent="0.25">
      <c r="A586" s="1637"/>
      <c r="B586" s="2913"/>
      <c r="C586" s="3861" t="s">
        <v>1597</v>
      </c>
      <c r="D586" s="813">
        <v>70000000</v>
      </c>
      <c r="E586" s="1238">
        <v>70000000</v>
      </c>
      <c r="F586" s="1717">
        <f>E586/D586*100</f>
        <v>100</v>
      </c>
      <c r="G586" s="3553">
        <v>100</v>
      </c>
      <c r="H586" s="1638"/>
      <c r="J586" s="2093"/>
      <c r="K586" s="2093"/>
    </row>
    <row r="587" spans="1:11" ht="10.5" hidden="1" customHeight="1" x14ac:dyDescent="0.25">
      <c r="B587" s="2913"/>
      <c r="C587" s="3861"/>
      <c r="D587" s="813"/>
      <c r="E587" s="3879"/>
      <c r="F587" s="3553"/>
      <c r="G587" s="3553"/>
      <c r="H587" s="535"/>
    </row>
    <row r="588" spans="1:11" s="1639" customFormat="1" ht="18" hidden="1" customHeight="1" x14ac:dyDescent="0.25">
      <c r="A588" s="1637"/>
      <c r="B588" s="2913"/>
      <c r="C588" s="3873" t="s">
        <v>1598</v>
      </c>
      <c r="D588" s="816">
        <f>D589</f>
        <v>130000000</v>
      </c>
      <c r="E588" s="816">
        <f>E589</f>
        <v>130000000</v>
      </c>
      <c r="F588" s="2261">
        <f>E588/D588*100</f>
        <v>100</v>
      </c>
      <c r="G588" s="2275">
        <v>100</v>
      </c>
      <c r="H588" s="1638"/>
      <c r="J588" s="2093"/>
      <c r="K588" s="2093"/>
    </row>
    <row r="589" spans="1:11" s="1639" customFormat="1" ht="15" hidden="1" customHeight="1" x14ac:dyDescent="0.25">
      <c r="A589" s="1637"/>
      <c r="B589" s="2913"/>
      <c r="C589" s="3861" t="s">
        <v>1655</v>
      </c>
      <c r="D589" s="813">
        <v>130000000</v>
      </c>
      <c r="E589" s="1238">
        <v>130000000</v>
      </c>
      <c r="F589" s="1717">
        <f>E589/D589*100</f>
        <v>100</v>
      </c>
      <c r="G589" s="3553">
        <v>100</v>
      </c>
      <c r="H589" s="1638"/>
      <c r="J589" s="2093"/>
      <c r="K589" s="2093"/>
    </row>
    <row r="590" spans="1:11" s="1639" customFormat="1" ht="6.75" hidden="1" customHeight="1" x14ac:dyDescent="0.25">
      <c r="A590" s="1637"/>
      <c r="B590" s="2913"/>
      <c r="C590" s="3861"/>
      <c r="D590" s="813"/>
      <c r="E590" s="3879"/>
      <c r="F590" s="3553"/>
      <c r="G590" s="3553"/>
      <c r="H590" s="1638"/>
      <c r="J590" s="2093"/>
      <c r="K590" s="2093"/>
    </row>
    <row r="591" spans="1:11" s="1639" customFormat="1" ht="20.25" hidden="1" customHeight="1" x14ac:dyDescent="0.25">
      <c r="A591" s="1637"/>
      <c r="B591" s="2913"/>
      <c r="C591" s="3873" t="s">
        <v>1599</v>
      </c>
      <c r="D591" s="816">
        <f>D592</f>
        <v>119826558</v>
      </c>
      <c r="E591" s="816">
        <f>E592</f>
        <v>119826000</v>
      </c>
      <c r="F591" s="2261">
        <f>E591/D591*100</f>
        <v>99.99953432693944</v>
      </c>
      <c r="G591" s="857">
        <v>99.99953432693944</v>
      </c>
      <c r="H591" s="1638"/>
      <c r="J591" s="2093"/>
      <c r="K591" s="2093"/>
    </row>
    <row r="592" spans="1:11" s="1639" customFormat="1" ht="12.75" hidden="1" customHeight="1" x14ac:dyDescent="0.25">
      <c r="A592" s="1637"/>
      <c r="B592" s="2913"/>
      <c r="C592" s="3861" t="s">
        <v>1600</v>
      </c>
      <c r="D592" s="813">
        <v>119826558</v>
      </c>
      <c r="E592" s="1238">
        <v>119826000</v>
      </c>
      <c r="F592" s="1717">
        <f>E592/D592*100</f>
        <v>99.99953432693944</v>
      </c>
      <c r="G592" s="971">
        <v>99.99953432693944</v>
      </c>
      <c r="H592" s="1638"/>
      <c r="J592" s="2093"/>
      <c r="K592" s="2093"/>
    </row>
    <row r="593" spans="1:11" s="1639" customFormat="1" ht="11.25" hidden="1" customHeight="1" x14ac:dyDescent="0.25">
      <c r="A593" s="1637"/>
      <c r="B593" s="2913"/>
      <c r="C593" s="3861"/>
      <c r="D593" s="813"/>
      <c r="E593" s="3879"/>
      <c r="F593" s="3553"/>
      <c r="G593" s="3553"/>
      <c r="H593" s="1638"/>
      <c r="J593" s="2093"/>
      <c r="K593" s="2093"/>
    </row>
    <row r="594" spans="1:11" s="1639" customFormat="1" ht="20.25" hidden="1" customHeight="1" x14ac:dyDescent="0.25">
      <c r="A594" s="1637"/>
      <c r="B594" s="2913"/>
      <c r="C594" s="3873" t="s">
        <v>6705</v>
      </c>
      <c r="D594" s="816">
        <f>SUM(D595:D596)</f>
        <v>200750000</v>
      </c>
      <c r="E594" s="816">
        <f>SUM(E595:E596)</f>
        <v>200750000</v>
      </c>
      <c r="F594" s="2261">
        <f>E594/D594*100</f>
        <v>100</v>
      </c>
      <c r="G594" s="2275">
        <v>100</v>
      </c>
      <c r="H594" s="1638"/>
      <c r="J594" s="2093"/>
      <c r="K594" s="2093"/>
    </row>
    <row r="595" spans="1:11" s="1639" customFormat="1" ht="17.25" hidden="1" customHeight="1" x14ac:dyDescent="0.25">
      <c r="A595" s="1637"/>
      <c r="B595" s="2913"/>
      <c r="C595" s="3861" t="s">
        <v>6706</v>
      </c>
      <c r="D595" s="813">
        <v>100750000</v>
      </c>
      <c r="E595" s="813">
        <v>100750000</v>
      </c>
      <c r="F595" s="1717">
        <f>E595/D595*100</f>
        <v>100</v>
      </c>
      <c r="G595" s="3553">
        <v>100</v>
      </c>
      <c r="H595" s="1638"/>
      <c r="J595" s="2093"/>
      <c r="K595" s="2093"/>
    </row>
    <row r="596" spans="1:11" s="1639" customFormat="1" ht="20.25" hidden="1" customHeight="1" x14ac:dyDescent="0.25">
      <c r="A596" s="1637"/>
      <c r="B596" s="2913"/>
      <c r="C596" s="3861" t="s">
        <v>6707</v>
      </c>
      <c r="D596" s="813">
        <v>100000000</v>
      </c>
      <c r="E596" s="813">
        <v>100000000</v>
      </c>
      <c r="F596" s="1717">
        <f>E596/D596*100</f>
        <v>100</v>
      </c>
      <c r="G596" s="971">
        <v>100</v>
      </c>
      <c r="H596" s="1638"/>
      <c r="J596" s="2093"/>
      <c r="K596" s="2093"/>
    </row>
    <row r="597" spans="1:11" s="1639" customFormat="1" ht="10.5" hidden="1" customHeight="1" x14ac:dyDescent="0.25">
      <c r="A597" s="1637"/>
      <c r="B597" s="2913"/>
      <c r="C597" s="3861"/>
      <c r="D597" s="2693"/>
      <c r="E597" s="3879"/>
      <c r="F597" s="3553"/>
      <c r="G597" s="3553"/>
      <c r="H597" s="1638"/>
      <c r="J597" s="2093"/>
      <c r="K597" s="2093"/>
    </row>
    <row r="598" spans="1:11" s="1639" customFormat="1" ht="16.5" hidden="1" customHeight="1" x14ac:dyDescent="0.25">
      <c r="A598" s="1637"/>
      <c r="B598" s="2913"/>
      <c r="C598" s="3873" t="s">
        <v>6708</v>
      </c>
      <c r="D598" s="816">
        <f>D599</f>
        <v>80000000</v>
      </c>
      <c r="E598" s="816">
        <f>E599</f>
        <v>80000000</v>
      </c>
      <c r="F598" s="2261">
        <f>E598/D598*100</f>
        <v>100</v>
      </c>
      <c r="G598" s="2275">
        <v>100</v>
      </c>
      <c r="H598" s="1638"/>
      <c r="J598" s="2093"/>
      <c r="K598" s="2093"/>
    </row>
    <row r="599" spans="1:11" s="1639" customFormat="1" ht="18" hidden="1" customHeight="1" x14ac:dyDescent="0.25">
      <c r="A599" s="1637"/>
      <c r="B599" s="2913"/>
      <c r="C599" s="3861" t="s">
        <v>6709</v>
      </c>
      <c r="D599" s="813">
        <v>80000000</v>
      </c>
      <c r="E599" s="813">
        <v>80000000</v>
      </c>
      <c r="F599" s="1717">
        <f>E599/D599*100</f>
        <v>100</v>
      </c>
      <c r="G599" s="3553">
        <v>100</v>
      </c>
      <c r="H599" s="1638"/>
      <c r="J599" s="2093"/>
      <c r="K599" s="2093"/>
    </row>
    <row r="600" spans="1:11" ht="6.75" hidden="1" customHeight="1" x14ac:dyDescent="0.25">
      <c r="B600" s="2913"/>
      <c r="C600" s="3861"/>
      <c r="D600" s="2693"/>
      <c r="E600" s="1927"/>
      <c r="F600" s="3553"/>
      <c r="G600" s="3553"/>
      <c r="H600" s="535"/>
    </row>
    <row r="601" spans="1:11" ht="18" hidden="1" customHeight="1" x14ac:dyDescent="0.25">
      <c r="B601" s="5397"/>
      <c r="C601" s="3858" t="s">
        <v>6710</v>
      </c>
      <c r="D601" s="858">
        <f>SUM(D602+D605+D608+D611+D614+D617+D620+D623)</f>
        <v>500665800</v>
      </c>
      <c r="E601" s="858">
        <f>SUM(E602+E605+E608+E611+E614+E617+E620+E623)</f>
        <v>315354000</v>
      </c>
      <c r="F601" s="1462">
        <f>E601/D601*100</f>
        <v>62.98692660852808</v>
      </c>
      <c r="G601" s="1726">
        <v>100</v>
      </c>
      <c r="H601" s="535"/>
      <c r="J601" s="522">
        <v>500665800</v>
      </c>
      <c r="K601" s="522">
        <v>315354000</v>
      </c>
    </row>
    <row r="602" spans="1:11" s="1639" customFormat="1" ht="17.25" hidden="1" customHeight="1" x14ac:dyDescent="0.25">
      <c r="A602" s="1637"/>
      <c r="B602" s="2913"/>
      <c r="C602" s="3893" t="s">
        <v>1601</v>
      </c>
      <c r="D602" s="3726">
        <f>D603</f>
        <v>17000000</v>
      </c>
      <c r="E602" s="3726">
        <f>E603</f>
        <v>17000000</v>
      </c>
      <c r="F602" s="2261">
        <f>E602/D602*100</f>
        <v>100</v>
      </c>
      <c r="G602" s="2380">
        <v>100</v>
      </c>
      <c r="H602" s="1638"/>
      <c r="J602" s="2093"/>
      <c r="K602" s="2093"/>
    </row>
    <row r="603" spans="1:11" s="1639" customFormat="1" ht="18" hidden="1" customHeight="1" x14ac:dyDescent="0.25">
      <c r="A603" s="1637"/>
      <c r="B603" s="2913"/>
      <c r="C603" s="3861" t="s">
        <v>6711</v>
      </c>
      <c r="D603" s="813">
        <v>17000000</v>
      </c>
      <c r="E603" s="1238">
        <v>17000000</v>
      </c>
      <c r="F603" s="1717">
        <f>E603/D603*100</f>
        <v>100</v>
      </c>
      <c r="G603" s="3553">
        <v>100</v>
      </c>
      <c r="H603" s="1638"/>
      <c r="J603" s="2093"/>
      <c r="K603" s="2093"/>
    </row>
    <row r="604" spans="1:11" ht="5.25" hidden="1" customHeight="1" x14ac:dyDescent="0.25">
      <c r="B604" s="2913"/>
      <c r="C604" s="3861"/>
      <c r="D604" s="2693"/>
      <c r="E604" s="3879"/>
      <c r="F604" s="3553"/>
      <c r="G604" s="3553"/>
      <c r="H604" s="535"/>
    </row>
    <row r="605" spans="1:11" s="1639" customFormat="1" ht="18.75" hidden="1" customHeight="1" x14ac:dyDescent="0.25">
      <c r="A605" s="1637"/>
      <c r="B605" s="2913"/>
      <c r="C605" s="3873" t="s">
        <v>1603</v>
      </c>
      <c r="D605" s="816">
        <f>D606</f>
        <v>130000000</v>
      </c>
      <c r="E605" s="816">
        <f>E606</f>
        <v>130000000</v>
      </c>
      <c r="F605" s="2261">
        <f>E605/D605*100</f>
        <v>100</v>
      </c>
      <c r="G605" s="2275">
        <v>100</v>
      </c>
      <c r="H605" s="1638"/>
      <c r="J605" s="2093"/>
      <c r="K605" s="2093"/>
    </row>
    <row r="606" spans="1:11" s="1639" customFormat="1" ht="15.75" hidden="1" customHeight="1" x14ac:dyDescent="0.25">
      <c r="A606" s="1637"/>
      <c r="B606" s="2913"/>
      <c r="C606" s="3861" t="s">
        <v>1896</v>
      </c>
      <c r="D606" s="813">
        <v>130000000</v>
      </c>
      <c r="E606" s="1238">
        <v>130000000</v>
      </c>
      <c r="F606" s="1717">
        <f>E606/D606*100</f>
        <v>100</v>
      </c>
      <c r="G606" s="3553">
        <v>100</v>
      </c>
      <c r="H606" s="1638"/>
      <c r="J606" s="2093"/>
      <c r="K606" s="2093"/>
    </row>
    <row r="607" spans="1:11" s="1639" customFormat="1" ht="12" hidden="1" customHeight="1" x14ac:dyDescent="0.25">
      <c r="A607" s="1637"/>
      <c r="B607" s="2913"/>
      <c r="C607" s="3861"/>
      <c r="D607" s="813"/>
      <c r="E607" s="3879"/>
      <c r="F607" s="3553"/>
      <c r="G607" s="3553"/>
      <c r="H607" s="1638"/>
      <c r="J607" s="2093"/>
      <c r="K607" s="2093"/>
    </row>
    <row r="608" spans="1:11" s="1639" customFormat="1" ht="15.75" hidden="1" customHeight="1" x14ac:dyDescent="0.25">
      <c r="A608" s="1637"/>
      <c r="B608" s="2913"/>
      <c r="C608" s="3873" t="s">
        <v>1604</v>
      </c>
      <c r="D608" s="816">
        <f>D609</f>
        <v>50000000</v>
      </c>
      <c r="E608" s="816">
        <f>E609</f>
        <v>50000000</v>
      </c>
      <c r="F608" s="2261">
        <f>E608/D608*100</f>
        <v>100</v>
      </c>
      <c r="G608" s="2275">
        <v>100</v>
      </c>
      <c r="H608" s="1638"/>
      <c r="J608" s="2093"/>
      <c r="K608" s="2093"/>
    </row>
    <row r="609" spans="1:11" s="1639" customFormat="1" ht="20.25" hidden="1" customHeight="1" x14ac:dyDescent="0.25">
      <c r="A609" s="1637"/>
      <c r="B609" s="2913"/>
      <c r="C609" s="3861" t="s">
        <v>1605</v>
      </c>
      <c r="D609" s="813">
        <v>50000000</v>
      </c>
      <c r="E609" s="1238">
        <v>50000000</v>
      </c>
      <c r="F609" s="1717">
        <f>E609/D609*100</f>
        <v>100</v>
      </c>
      <c r="G609" s="3553">
        <v>100</v>
      </c>
      <c r="H609" s="1638"/>
      <c r="J609" s="2093"/>
      <c r="K609" s="2093"/>
    </row>
    <row r="610" spans="1:11" s="1639" customFormat="1" ht="12" hidden="1" customHeight="1" x14ac:dyDescent="0.25">
      <c r="A610" s="1637"/>
      <c r="B610" s="2913"/>
      <c r="C610" s="3873"/>
      <c r="D610" s="816"/>
      <c r="E610" s="3879"/>
      <c r="F610" s="3553"/>
      <c r="G610" s="3553"/>
      <c r="H610" s="1638"/>
      <c r="J610" s="2093"/>
      <c r="K610" s="2093"/>
    </row>
    <row r="611" spans="1:11" s="1639" customFormat="1" ht="15.75" hidden="1" customHeight="1" x14ac:dyDescent="0.25">
      <c r="A611" s="1637"/>
      <c r="B611" s="2913"/>
      <c r="C611" s="3873" t="s">
        <v>1656</v>
      </c>
      <c r="D611" s="816">
        <f>D612</f>
        <v>60000000</v>
      </c>
      <c r="E611" s="816">
        <f>E612</f>
        <v>13000000</v>
      </c>
      <c r="F611" s="2261">
        <f>E611/D611*100</f>
        <v>21.666666666666668</v>
      </c>
      <c r="G611" s="2275">
        <v>100</v>
      </c>
      <c r="H611" s="1638"/>
      <c r="J611" s="2093"/>
      <c r="K611" s="2093"/>
    </row>
    <row r="612" spans="1:11" s="1639" customFormat="1" ht="21" hidden="1" customHeight="1" x14ac:dyDescent="0.25">
      <c r="A612" s="1637"/>
      <c r="B612" s="2913"/>
      <c r="C612" s="3861" t="s">
        <v>1657</v>
      </c>
      <c r="D612" s="813">
        <v>60000000</v>
      </c>
      <c r="E612" s="3879">
        <v>13000000</v>
      </c>
      <c r="F612" s="1717">
        <f>E612/D612*100</f>
        <v>21.666666666666668</v>
      </c>
      <c r="G612" s="3553">
        <v>100</v>
      </c>
      <c r="H612" s="1638"/>
      <c r="J612" s="2093"/>
      <c r="K612" s="2093"/>
    </row>
    <row r="613" spans="1:11" s="1639" customFormat="1" ht="10.5" hidden="1" customHeight="1" x14ac:dyDescent="0.25">
      <c r="A613" s="1637"/>
      <c r="B613" s="2913"/>
      <c r="C613" s="3861"/>
      <c r="D613" s="813"/>
      <c r="E613" s="3879"/>
      <c r="F613" s="3553"/>
      <c r="G613" s="3553"/>
      <c r="H613" s="1638"/>
      <c r="J613" s="2093"/>
      <c r="K613" s="2093"/>
    </row>
    <row r="614" spans="1:11" s="1639" customFormat="1" ht="18.75" hidden="1" customHeight="1" x14ac:dyDescent="0.25">
      <c r="A614" s="1637"/>
      <c r="B614" s="2913"/>
      <c r="C614" s="3873" t="s">
        <v>1658</v>
      </c>
      <c r="D614" s="816">
        <f>D615</f>
        <v>150000000</v>
      </c>
      <c r="E614" s="816">
        <f>E615</f>
        <v>24300000</v>
      </c>
      <c r="F614" s="2261">
        <f>E614/D614*100</f>
        <v>16.2</v>
      </c>
      <c r="G614" s="2275">
        <v>100</v>
      </c>
      <c r="H614" s="1638"/>
      <c r="J614" s="2093"/>
      <c r="K614" s="2093"/>
    </row>
    <row r="615" spans="1:11" s="1639" customFormat="1" ht="15" hidden="1" customHeight="1" x14ac:dyDescent="0.25">
      <c r="A615" s="1637"/>
      <c r="B615" s="2913"/>
      <c r="C615" s="3861" t="s">
        <v>6712</v>
      </c>
      <c r="D615" s="813">
        <v>150000000</v>
      </c>
      <c r="E615" s="1238">
        <v>24300000</v>
      </c>
      <c r="F615" s="1717">
        <f>E615/D615*100</f>
        <v>16.2</v>
      </c>
      <c r="G615" s="3553">
        <v>100</v>
      </c>
      <c r="H615" s="1638"/>
      <c r="J615" s="2093"/>
      <c r="K615" s="2093"/>
    </row>
    <row r="616" spans="1:11" s="1639" customFormat="1" ht="10.5" hidden="1" customHeight="1" x14ac:dyDescent="0.25">
      <c r="A616" s="1637"/>
      <c r="B616" s="2913"/>
      <c r="C616" s="3873"/>
      <c r="D616" s="813"/>
      <c r="E616" s="3879"/>
      <c r="F616" s="3553"/>
      <c r="G616" s="3553"/>
      <c r="H616" s="1638"/>
      <c r="J616" s="2093"/>
      <c r="K616" s="2093"/>
    </row>
    <row r="617" spans="1:11" s="1639" customFormat="1" ht="18.75" hidden="1" customHeight="1" x14ac:dyDescent="0.25">
      <c r="A617" s="1637"/>
      <c r="B617" s="2913"/>
      <c r="C617" s="3873" t="s">
        <v>1659</v>
      </c>
      <c r="D617" s="816">
        <f>D618</f>
        <v>42800000</v>
      </c>
      <c r="E617" s="816">
        <f>E618</f>
        <v>42800000</v>
      </c>
      <c r="F617" s="2261">
        <f>E617/D617*100</f>
        <v>100</v>
      </c>
      <c r="G617" s="2275">
        <v>100</v>
      </c>
      <c r="H617" s="1638"/>
      <c r="J617" s="2093"/>
      <c r="K617" s="2093"/>
    </row>
    <row r="618" spans="1:11" s="1639" customFormat="1" ht="17.25" hidden="1" customHeight="1" x14ac:dyDescent="0.25">
      <c r="A618" s="1637"/>
      <c r="B618" s="2913"/>
      <c r="C618" s="3861" t="s">
        <v>6713</v>
      </c>
      <c r="D618" s="813">
        <v>42800000</v>
      </c>
      <c r="E618" s="1238">
        <v>42800000</v>
      </c>
      <c r="F618" s="1717">
        <f>E618/D618*100</f>
        <v>100</v>
      </c>
      <c r="G618" s="3553">
        <v>100</v>
      </c>
      <c r="H618" s="1638"/>
      <c r="J618" s="2093"/>
      <c r="K618" s="2093"/>
    </row>
    <row r="619" spans="1:11" s="1639" customFormat="1" ht="10.5" hidden="1" customHeight="1" x14ac:dyDescent="0.25">
      <c r="A619" s="1637"/>
      <c r="B619" s="2913"/>
      <c r="C619" s="3873"/>
      <c r="D619" s="813"/>
      <c r="E619" s="3879"/>
      <c r="F619" s="3553"/>
      <c r="G619" s="3553"/>
      <c r="H619" s="1638"/>
      <c r="J619" s="2093"/>
      <c r="K619" s="2093"/>
    </row>
    <row r="620" spans="1:11" s="1639" customFormat="1" ht="20.25" hidden="1" customHeight="1" x14ac:dyDescent="0.25">
      <c r="A620" s="1637"/>
      <c r="B620" s="2913"/>
      <c r="C620" s="3873" t="s">
        <v>1660</v>
      </c>
      <c r="D620" s="816">
        <f>D621</f>
        <v>28161800</v>
      </c>
      <c r="E620" s="816">
        <f>E621</f>
        <v>15550000</v>
      </c>
      <c r="F620" s="2261">
        <f>E620/D620*100</f>
        <v>55.216640981755425</v>
      </c>
      <c r="G620" s="857">
        <v>100</v>
      </c>
      <c r="H620" s="1638"/>
      <c r="J620" s="2093"/>
      <c r="K620" s="2093"/>
    </row>
    <row r="621" spans="1:11" s="1639" customFormat="1" ht="23.25" hidden="1" customHeight="1" x14ac:dyDescent="0.25">
      <c r="A621" s="1637"/>
      <c r="B621" s="2913"/>
      <c r="C621" s="3861" t="s">
        <v>6714</v>
      </c>
      <c r="D621" s="813">
        <v>28161800</v>
      </c>
      <c r="E621" s="1238">
        <v>15550000</v>
      </c>
      <c r="F621" s="1717">
        <f>E621/D621*100</f>
        <v>55.216640981755425</v>
      </c>
      <c r="G621" s="971">
        <v>100</v>
      </c>
      <c r="H621" s="1638"/>
      <c r="J621" s="2093"/>
      <c r="K621" s="2093"/>
    </row>
    <row r="622" spans="1:11" s="1639" customFormat="1" ht="10.5" hidden="1" customHeight="1" x14ac:dyDescent="0.25">
      <c r="A622" s="1637"/>
      <c r="B622" s="2913"/>
      <c r="C622" s="3861"/>
      <c r="D622" s="813"/>
      <c r="E622" s="3879"/>
      <c r="F622" s="3553"/>
      <c r="G622" s="3553"/>
      <c r="H622" s="1638"/>
      <c r="J622" s="2093"/>
      <c r="K622" s="2093"/>
    </row>
    <row r="623" spans="1:11" s="1639" customFormat="1" ht="16.5" hidden="1" customHeight="1" x14ac:dyDescent="0.25">
      <c r="A623" s="1637"/>
      <c r="B623" s="2913"/>
      <c r="C623" s="3873" t="s">
        <v>1661</v>
      </c>
      <c r="D623" s="816">
        <f>D624</f>
        <v>22704000</v>
      </c>
      <c r="E623" s="816">
        <f>E624</f>
        <v>22704000</v>
      </c>
      <c r="F623" s="2261">
        <f>E623/D623*100</f>
        <v>100</v>
      </c>
      <c r="G623" s="2275">
        <v>100</v>
      </c>
      <c r="H623" s="1638"/>
      <c r="J623" s="2093"/>
      <c r="K623" s="2093"/>
    </row>
    <row r="624" spans="1:11" s="1639" customFormat="1" ht="13.5" hidden="1" customHeight="1" x14ac:dyDescent="0.25">
      <c r="A624" s="1637"/>
      <c r="B624" s="2913"/>
      <c r="C624" s="3861" t="s">
        <v>1662</v>
      </c>
      <c r="D624" s="813">
        <v>22704000</v>
      </c>
      <c r="E624" s="1238">
        <v>22704000</v>
      </c>
      <c r="F624" s="1717">
        <f>E624/D624*100</f>
        <v>100</v>
      </c>
      <c r="G624" s="3553">
        <v>100</v>
      </c>
      <c r="H624" s="1638"/>
      <c r="J624" s="2093"/>
      <c r="K624" s="2093"/>
    </row>
    <row r="625" spans="1:11" ht="14.25" hidden="1" customHeight="1" x14ac:dyDescent="0.25">
      <c r="B625" s="2913"/>
      <c r="C625" s="3861"/>
      <c r="D625" s="2693"/>
      <c r="E625" s="1927"/>
      <c r="F625" s="3553"/>
      <c r="G625" s="3553"/>
      <c r="H625" s="535"/>
    </row>
    <row r="626" spans="1:11" ht="16.5" hidden="1" customHeight="1" x14ac:dyDescent="0.25">
      <c r="B626" s="5397"/>
      <c r="C626" s="3858" t="s">
        <v>6715</v>
      </c>
      <c r="D626" s="858">
        <f>SUM(D627+D630+D633+D636+D639+D642+D645+D648)</f>
        <v>518234000</v>
      </c>
      <c r="E626" s="858">
        <f>SUM(E627+E630+E633+E636+E639+E642+E645+E648)</f>
        <v>518234000</v>
      </c>
      <c r="F626" s="1462">
        <f>E626/D626*100</f>
        <v>100</v>
      </c>
      <c r="G626" s="1726">
        <v>100</v>
      </c>
      <c r="H626" s="535"/>
      <c r="J626" s="522">
        <v>518234000</v>
      </c>
      <c r="K626" s="522">
        <v>518234000</v>
      </c>
    </row>
    <row r="627" spans="1:11" s="1639" customFormat="1" ht="18" hidden="1" customHeight="1" x14ac:dyDescent="0.25">
      <c r="A627" s="1637"/>
      <c r="B627" s="2912"/>
      <c r="C627" s="3893" t="s">
        <v>1606</v>
      </c>
      <c r="D627" s="1519">
        <v>23000000</v>
      </c>
      <c r="E627" s="1519">
        <v>23000000</v>
      </c>
      <c r="F627" s="2261">
        <f>E627/D627*100</f>
        <v>100</v>
      </c>
      <c r="G627" s="3691">
        <v>100</v>
      </c>
      <c r="H627" s="1638"/>
      <c r="J627" s="2093"/>
      <c r="K627" s="2093"/>
    </row>
    <row r="628" spans="1:11" s="1639" customFormat="1" ht="15" hidden="1" customHeight="1" x14ac:dyDescent="0.25">
      <c r="A628" s="1637"/>
      <c r="B628" s="5402"/>
      <c r="C628" s="3861" t="s">
        <v>4748</v>
      </c>
      <c r="D628" s="1538">
        <v>23000000</v>
      </c>
      <c r="E628" s="1238">
        <v>23000000</v>
      </c>
      <c r="F628" s="1717">
        <f>E628/D628*100</f>
        <v>100</v>
      </c>
      <c r="G628" s="2265">
        <v>100</v>
      </c>
      <c r="H628" s="1638"/>
      <c r="J628" s="2093"/>
      <c r="K628" s="2093"/>
    </row>
    <row r="629" spans="1:11" ht="6" hidden="1" customHeight="1" x14ac:dyDescent="0.25">
      <c r="B629" s="2913"/>
      <c r="C629" s="3890"/>
      <c r="D629" s="1538"/>
      <c r="E629" s="666"/>
      <c r="F629" s="1717"/>
      <c r="G629" s="1315"/>
      <c r="H629" s="535"/>
    </row>
    <row r="630" spans="1:11" s="1639" customFormat="1" ht="15.75" hidden="1" customHeight="1" x14ac:dyDescent="0.25">
      <c r="A630" s="1637"/>
      <c r="B630" s="2913"/>
      <c r="C630" s="4116" t="s">
        <v>1607</v>
      </c>
      <c r="D630" s="1539">
        <f>D631</f>
        <v>85000000</v>
      </c>
      <c r="E630" s="1539">
        <f>E631</f>
        <v>85000000</v>
      </c>
      <c r="F630" s="2261">
        <f>E630/D630*100</f>
        <v>100</v>
      </c>
      <c r="G630" s="2261">
        <v>100</v>
      </c>
      <c r="H630" s="1638"/>
      <c r="J630" s="2093"/>
      <c r="K630" s="2093"/>
    </row>
    <row r="631" spans="1:11" s="1639" customFormat="1" ht="17.25" hidden="1" customHeight="1" x14ac:dyDescent="0.25">
      <c r="A631" s="1637"/>
      <c r="B631" s="2913"/>
      <c r="C631" s="4104" t="s">
        <v>6716</v>
      </c>
      <c r="D631" s="1538">
        <v>85000000</v>
      </c>
      <c r="E631" s="1538">
        <v>85000000</v>
      </c>
      <c r="F631" s="1717">
        <f>E631/D631*100</f>
        <v>100</v>
      </c>
      <c r="G631" s="1717">
        <v>100</v>
      </c>
      <c r="H631" s="1638"/>
      <c r="J631" s="2093"/>
      <c r="K631" s="2093"/>
    </row>
    <row r="632" spans="1:11" s="1639" customFormat="1" ht="6" hidden="1" customHeight="1" x14ac:dyDescent="0.25">
      <c r="A632" s="1637"/>
      <c r="B632" s="2913"/>
      <c r="C632" s="3890"/>
      <c r="D632" s="1538"/>
      <c r="E632" s="666"/>
      <c r="F632" s="1717"/>
      <c r="G632" s="1315"/>
      <c r="H632" s="1638"/>
      <c r="J632" s="2093"/>
      <c r="K632" s="2093"/>
    </row>
    <row r="633" spans="1:11" s="1639" customFormat="1" ht="18.75" hidden="1" customHeight="1" x14ac:dyDescent="0.25">
      <c r="A633" s="1637"/>
      <c r="B633" s="2913"/>
      <c r="C633" s="4116" t="s">
        <v>1609</v>
      </c>
      <c r="D633" s="1539">
        <f>D634</f>
        <v>32000000</v>
      </c>
      <c r="E633" s="1539">
        <f>E634</f>
        <v>32000000</v>
      </c>
      <c r="F633" s="2261">
        <f>E633/D633*100</f>
        <v>100</v>
      </c>
      <c r="G633" s="2261">
        <v>100</v>
      </c>
      <c r="H633" s="1638"/>
      <c r="J633" s="2093"/>
      <c r="K633" s="2093"/>
    </row>
    <row r="634" spans="1:11" s="1639" customFormat="1" ht="15.75" hidden="1" customHeight="1" x14ac:dyDescent="0.25">
      <c r="A634" s="1637"/>
      <c r="B634" s="2913"/>
      <c r="C634" s="4104" t="s">
        <v>1610</v>
      </c>
      <c r="D634" s="1538">
        <v>32000000</v>
      </c>
      <c r="E634" s="1538">
        <v>32000000</v>
      </c>
      <c r="F634" s="1717">
        <f>E634/D634*100</f>
        <v>100</v>
      </c>
      <c r="G634" s="1717">
        <v>100</v>
      </c>
      <c r="H634" s="1638"/>
      <c r="J634" s="2093"/>
      <c r="K634" s="2093"/>
    </row>
    <row r="635" spans="1:11" s="1639" customFormat="1" ht="4.5" hidden="1" customHeight="1" x14ac:dyDescent="0.25">
      <c r="A635" s="1637"/>
      <c r="B635" s="2913"/>
      <c r="C635" s="3890"/>
      <c r="D635" s="1538"/>
      <c r="E635" s="666"/>
      <c r="F635" s="1717"/>
      <c r="G635" s="1315"/>
      <c r="H635" s="1638"/>
      <c r="J635" s="2093"/>
      <c r="K635" s="2093"/>
    </row>
    <row r="636" spans="1:11" s="1639" customFormat="1" ht="14.25" hidden="1" customHeight="1" x14ac:dyDescent="0.25">
      <c r="A636" s="1637"/>
      <c r="B636" s="2913"/>
      <c r="C636" s="4116" t="s">
        <v>4749</v>
      </c>
      <c r="D636" s="1539">
        <f>D637</f>
        <v>150770000</v>
      </c>
      <c r="E636" s="1539">
        <f>E637</f>
        <v>150770000</v>
      </c>
      <c r="F636" s="2261">
        <f>E636/D636*100</f>
        <v>100</v>
      </c>
      <c r="G636" s="2261">
        <v>100</v>
      </c>
      <c r="H636" s="1638"/>
      <c r="J636" s="2093"/>
      <c r="K636" s="2093"/>
    </row>
    <row r="637" spans="1:11" s="1639" customFormat="1" ht="16.5" hidden="1" customHeight="1" x14ac:dyDescent="0.25">
      <c r="A637" s="1637"/>
      <c r="B637" s="2913"/>
      <c r="C637" s="4104" t="s">
        <v>6717</v>
      </c>
      <c r="D637" s="1538">
        <v>150770000</v>
      </c>
      <c r="E637" s="1538">
        <v>150770000</v>
      </c>
      <c r="F637" s="1717">
        <f>E637/D637*100</f>
        <v>100</v>
      </c>
      <c r="G637" s="1717">
        <v>100</v>
      </c>
      <c r="H637" s="1638"/>
      <c r="J637" s="2093"/>
      <c r="K637" s="2093"/>
    </row>
    <row r="638" spans="1:11" s="1639" customFormat="1" ht="12" hidden="1" customHeight="1" x14ac:dyDescent="0.25">
      <c r="A638" s="1637"/>
      <c r="B638" s="2913"/>
      <c r="C638" s="3890"/>
      <c r="D638" s="1538"/>
      <c r="E638" s="666"/>
      <c r="F638" s="1717"/>
      <c r="G638" s="1315"/>
      <c r="H638" s="1638"/>
      <c r="J638" s="2093"/>
      <c r="K638" s="2093"/>
    </row>
    <row r="639" spans="1:11" s="1639" customFormat="1" ht="16.5" hidden="1" customHeight="1" x14ac:dyDescent="0.25">
      <c r="A639" s="1637"/>
      <c r="B639" s="2913"/>
      <c r="C639" s="4116" t="s">
        <v>6718</v>
      </c>
      <c r="D639" s="1539">
        <f>D640</f>
        <v>99750000</v>
      </c>
      <c r="E639" s="1539">
        <f>E640</f>
        <v>99750000</v>
      </c>
      <c r="F639" s="2261">
        <f>E639/D639*100</f>
        <v>100</v>
      </c>
      <c r="G639" s="2261">
        <v>100</v>
      </c>
      <c r="H639" s="1638"/>
      <c r="J639" s="2093"/>
      <c r="K639" s="2093"/>
    </row>
    <row r="640" spans="1:11" s="1639" customFormat="1" ht="17.25" hidden="1" customHeight="1" x14ac:dyDescent="0.25">
      <c r="A640" s="1637"/>
      <c r="B640" s="2913"/>
      <c r="C640" s="4104" t="s">
        <v>6719</v>
      </c>
      <c r="D640" s="1538">
        <v>99750000</v>
      </c>
      <c r="E640" s="1538">
        <v>99750000</v>
      </c>
      <c r="F640" s="1717">
        <f>E640/D640*100</f>
        <v>100</v>
      </c>
      <c r="G640" s="1717">
        <v>100</v>
      </c>
      <c r="H640" s="1638"/>
      <c r="J640" s="2093"/>
      <c r="K640" s="2093"/>
    </row>
    <row r="641" spans="1:11" s="1639" customFormat="1" ht="6.75" hidden="1" customHeight="1" x14ac:dyDescent="0.25">
      <c r="A641" s="1637"/>
      <c r="B641" s="2913"/>
      <c r="C641" s="3890"/>
      <c r="D641" s="1538"/>
      <c r="E641" s="666"/>
      <c r="F641" s="1717"/>
      <c r="G641" s="1315"/>
      <c r="H641" s="1638"/>
      <c r="J641" s="2093"/>
      <c r="K641" s="2093"/>
    </row>
    <row r="642" spans="1:11" s="1639" customFormat="1" ht="16.5" hidden="1" customHeight="1" x14ac:dyDescent="0.25">
      <c r="A642" s="1637"/>
      <c r="B642" s="2913"/>
      <c r="C642" s="4116" t="s">
        <v>6720</v>
      </c>
      <c r="D642" s="1539">
        <f>D643</f>
        <v>54768000</v>
      </c>
      <c r="E642" s="1539">
        <f>E643</f>
        <v>54768000</v>
      </c>
      <c r="F642" s="2261">
        <f>E642/D642*100</f>
        <v>100</v>
      </c>
      <c r="G642" s="2261">
        <v>100</v>
      </c>
      <c r="H642" s="1638"/>
      <c r="J642" s="2093"/>
      <c r="K642" s="2093"/>
    </row>
    <row r="643" spans="1:11" s="1639" customFormat="1" ht="15.75" hidden="1" customHeight="1" x14ac:dyDescent="0.25">
      <c r="A643" s="1637"/>
      <c r="B643" s="2913"/>
      <c r="C643" s="4104" t="s">
        <v>6721</v>
      </c>
      <c r="D643" s="1538">
        <v>54768000</v>
      </c>
      <c r="E643" s="1538">
        <v>54768000</v>
      </c>
      <c r="F643" s="1717">
        <f>E643/D643*100</f>
        <v>100</v>
      </c>
      <c r="G643" s="1717">
        <v>100</v>
      </c>
      <c r="H643" s="1638"/>
      <c r="J643" s="2093"/>
      <c r="K643" s="2093"/>
    </row>
    <row r="644" spans="1:11" s="1639" customFormat="1" ht="9" hidden="1" customHeight="1" x14ac:dyDescent="0.25">
      <c r="A644" s="1637"/>
      <c r="B644" s="2913"/>
      <c r="C644" s="3890"/>
      <c r="D644" s="1538"/>
      <c r="E644" s="666"/>
      <c r="F644" s="1717"/>
      <c r="G644" s="1315"/>
      <c r="H644" s="1638"/>
      <c r="J644" s="2093"/>
      <c r="K644" s="2093"/>
    </row>
    <row r="645" spans="1:11" s="1639" customFormat="1" ht="15.75" hidden="1" customHeight="1" x14ac:dyDescent="0.25">
      <c r="A645" s="1637"/>
      <c r="B645" s="2913"/>
      <c r="C645" s="4116" t="s">
        <v>6722</v>
      </c>
      <c r="D645" s="1539">
        <f>D646</f>
        <v>41596000</v>
      </c>
      <c r="E645" s="1539">
        <f>E646</f>
        <v>41596000</v>
      </c>
      <c r="F645" s="2261">
        <f>E645/D645*100</f>
        <v>100</v>
      </c>
      <c r="G645" s="2261">
        <v>100</v>
      </c>
      <c r="H645" s="1638"/>
      <c r="J645" s="2093"/>
      <c r="K645" s="2093"/>
    </row>
    <row r="646" spans="1:11" s="1639" customFormat="1" ht="15.75" hidden="1" customHeight="1" x14ac:dyDescent="0.25">
      <c r="A646" s="1637"/>
      <c r="B646" s="2913"/>
      <c r="C646" s="4104" t="s">
        <v>6723</v>
      </c>
      <c r="D646" s="1538">
        <v>41596000</v>
      </c>
      <c r="E646" s="1538">
        <v>41596000</v>
      </c>
      <c r="F646" s="1717">
        <f>E646/D646*100</f>
        <v>100</v>
      </c>
      <c r="G646" s="1717">
        <v>100</v>
      </c>
      <c r="H646" s="1638"/>
      <c r="J646" s="2093"/>
      <c r="K646" s="2093"/>
    </row>
    <row r="647" spans="1:11" s="1639" customFormat="1" ht="9.75" hidden="1" customHeight="1" x14ac:dyDescent="0.25">
      <c r="A647" s="1637"/>
      <c r="B647" s="2913"/>
      <c r="C647" s="4116"/>
      <c r="D647" s="1555"/>
      <c r="E647" s="666"/>
      <c r="F647" s="1717"/>
      <c r="G647" s="1315"/>
      <c r="H647" s="1638"/>
      <c r="J647" s="2093"/>
      <c r="K647" s="2093"/>
    </row>
    <row r="648" spans="1:11" s="1639" customFormat="1" ht="17.25" hidden="1" customHeight="1" x14ac:dyDescent="0.25">
      <c r="A648" s="1637"/>
      <c r="B648" s="2913"/>
      <c r="C648" s="4116" t="s">
        <v>6724</v>
      </c>
      <c r="D648" s="1539">
        <f>D649</f>
        <v>31350000</v>
      </c>
      <c r="E648" s="1539">
        <f>E649</f>
        <v>31350000</v>
      </c>
      <c r="F648" s="2261">
        <f>E648/D648*100</f>
        <v>100</v>
      </c>
      <c r="G648" s="2261">
        <v>100</v>
      </c>
      <c r="H648" s="1638"/>
      <c r="J648" s="2093"/>
      <c r="K648" s="2093"/>
    </row>
    <row r="649" spans="1:11" s="1639" customFormat="1" ht="17.25" hidden="1" customHeight="1" x14ac:dyDescent="0.25">
      <c r="A649" s="1637"/>
      <c r="B649" s="2913"/>
      <c r="C649" s="4104" t="s">
        <v>6725</v>
      </c>
      <c r="D649" s="1538">
        <v>31350000</v>
      </c>
      <c r="E649" s="1538">
        <v>31350000</v>
      </c>
      <c r="F649" s="1717">
        <f>E649/D649*100</f>
        <v>100</v>
      </c>
      <c r="G649" s="1717">
        <v>100</v>
      </c>
      <c r="H649" s="1638"/>
      <c r="J649" s="2093"/>
      <c r="K649" s="2093"/>
    </row>
    <row r="650" spans="1:11" s="1639" customFormat="1" ht="10.5" hidden="1" customHeight="1" x14ac:dyDescent="0.25">
      <c r="A650" s="1637"/>
      <c r="B650" s="2913"/>
      <c r="C650" s="3857"/>
      <c r="D650" s="1528"/>
      <c r="E650" s="969"/>
      <c r="F650" s="2265"/>
      <c r="G650" s="2279"/>
      <c r="H650" s="1638"/>
      <c r="J650" s="2093"/>
      <c r="K650" s="2093"/>
    </row>
    <row r="651" spans="1:11" ht="14.25" hidden="1" customHeight="1" x14ac:dyDescent="0.25">
      <c r="B651" s="5397"/>
      <c r="C651" s="3858" t="s">
        <v>6726</v>
      </c>
      <c r="D651" s="1518">
        <f>SUM(D652+D655+D658+D661+D664+D668+D672)</f>
        <v>448305000</v>
      </c>
      <c r="E651" s="1518">
        <f>SUM(E652+E655+E658+E661+E664+E668+E672)</f>
        <v>200000000</v>
      </c>
      <c r="F651" s="1462">
        <f>E651/D651*100</f>
        <v>44.612484803872363</v>
      </c>
      <c r="G651" s="2356">
        <f>SUM(G652+G655+G661)/7</f>
        <v>28.571428571428573</v>
      </c>
      <c r="H651" s="535"/>
      <c r="J651" s="522">
        <v>448305000</v>
      </c>
      <c r="K651" s="522">
        <v>200000000</v>
      </c>
    </row>
    <row r="652" spans="1:11" s="1639" customFormat="1" ht="15.75" hidden="1" customHeight="1" x14ac:dyDescent="0.25">
      <c r="A652" s="1637"/>
      <c r="B652" s="2913"/>
      <c r="C652" s="3893" t="s">
        <v>1611</v>
      </c>
      <c r="D652" s="1519">
        <f>D653</f>
        <v>55500000</v>
      </c>
      <c r="E652" s="1771">
        <v>0</v>
      </c>
      <c r="F652" s="3633">
        <v>0</v>
      </c>
      <c r="G652" s="3633">
        <v>0</v>
      </c>
      <c r="H652" s="1638"/>
      <c r="J652" s="2093"/>
      <c r="K652" s="2093"/>
    </row>
    <row r="653" spans="1:11" s="1639" customFormat="1" ht="16.5" hidden="1" customHeight="1" x14ac:dyDescent="0.25">
      <c r="A653" s="1637"/>
      <c r="B653" s="2913"/>
      <c r="C653" s="4104" t="s">
        <v>6727</v>
      </c>
      <c r="D653" s="5472">
        <v>55500000</v>
      </c>
      <c r="E653" s="3879">
        <v>0</v>
      </c>
      <c r="F653" s="3879">
        <v>0</v>
      </c>
      <c r="G653" s="3879">
        <v>0</v>
      </c>
      <c r="H653" s="1638"/>
      <c r="J653" s="2093"/>
      <c r="K653" s="2093"/>
    </row>
    <row r="654" spans="1:11" ht="11.25" hidden="1" customHeight="1" x14ac:dyDescent="0.25">
      <c r="B654" s="2913"/>
      <c r="C654" s="4104"/>
      <c r="D654" s="5472"/>
      <c r="E654" s="894"/>
      <c r="F654" s="1717"/>
      <c r="G654" s="1315"/>
      <c r="H654" s="535"/>
    </row>
    <row r="655" spans="1:11" s="1639" customFormat="1" ht="16.5" hidden="1" customHeight="1" x14ac:dyDescent="0.25">
      <c r="A655" s="1637"/>
      <c r="B655" s="2913"/>
      <c r="C655" s="4116" t="s">
        <v>1612</v>
      </c>
      <c r="D655" s="4511">
        <f>D656</f>
        <v>130000000</v>
      </c>
      <c r="E655" s="4511">
        <f>E656</f>
        <v>130000000</v>
      </c>
      <c r="F655" s="2261">
        <f>E655/D655*100</f>
        <v>100</v>
      </c>
      <c r="G655" s="2261">
        <v>100</v>
      </c>
      <c r="H655" s="1638"/>
      <c r="J655" s="2093"/>
      <c r="K655" s="2093"/>
    </row>
    <row r="656" spans="1:11" s="1639" customFormat="1" ht="16.5" hidden="1" customHeight="1" x14ac:dyDescent="0.25">
      <c r="A656" s="1637"/>
      <c r="B656" s="2913"/>
      <c r="C656" s="4104" t="s">
        <v>1663</v>
      </c>
      <c r="D656" s="819">
        <v>130000000</v>
      </c>
      <c r="E656" s="819">
        <v>130000000</v>
      </c>
      <c r="F656" s="1717">
        <f>E656/D656*100</f>
        <v>100</v>
      </c>
      <c r="G656" s="1717">
        <v>100</v>
      </c>
      <c r="H656" s="1638"/>
      <c r="J656" s="2093"/>
      <c r="K656" s="2093"/>
    </row>
    <row r="657" spans="1:11" s="1639" customFormat="1" ht="9.75" hidden="1" customHeight="1" x14ac:dyDescent="0.25">
      <c r="A657" s="1637"/>
      <c r="B657" s="2913"/>
      <c r="C657" s="4104"/>
      <c r="D657" s="5472"/>
      <c r="E657" s="3360"/>
      <c r="F657" s="1717"/>
      <c r="G657" s="1315"/>
      <c r="H657" s="1638"/>
      <c r="J657" s="2093"/>
      <c r="K657" s="2093"/>
    </row>
    <row r="658" spans="1:11" s="1639" customFormat="1" ht="18.75" hidden="1" customHeight="1" x14ac:dyDescent="0.25">
      <c r="A658" s="1637"/>
      <c r="B658" s="2913"/>
      <c r="C658" s="4116" t="s">
        <v>1617</v>
      </c>
      <c r="D658" s="4511">
        <f>D659</f>
        <v>60000000</v>
      </c>
      <c r="E658" s="1945">
        <v>0</v>
      </c>
      <c r="F658" s="857">
        <v>0</v>
      </c>
      <c r="G658" s="857">
        <v>0</v>
      </c>
      <c r="H658" s="1638"/>
      <c r="J658" s="2093"/>
      <c r="K658" s="2093"/>
    </row>
    <row r="659" spans="1:11" s="1639" customFormat="1" ht="16.5" hidden="1" customHeight="1" x14ac:dyDescent="0.25">
      <c r="A659" s="1637"/>
      <c r="B659" s="2913"/>
      <c r="C659" s="4104" t="s">
        <v>1618</v>
      </c>
      <c r="D659" s="819">
        <v>60000000</v>
      </c>
      <c r="E659" s="865">
        <v>0</v>
      </c>
      <c r="F659" s="798">
        <v>0</v>
      </c>
      <c r="G659" s="798">
        <v>0</v>
      </c>
      <c r="H659" s="1638"/>
      <c r="J659" s="2093"/>
      <c r="K659" s="2093"/>
    </row>
    <row r="660" spans="1:11" s="1639" customFormat="1" ht="11.25" hidden="1" customHeight="1" x14ac:dyDescent="0.25">
      <c r="A660" s="1637"/>
      <c r="B660" s="2913"/>
      <c r="C660" s="4104"/>
      <c r="D660" s="5472"/>
      <c r="E660" s="894"/>
      <c r="F660" s="1717"/>
      <c r="G660" s="1315"/>
      <c r="H660" s="1638"/>
      <c r="J660" s="2093"/>
      <c r="K660" s="2093"/>
    </row>
    <row r="661" spans="1:11" s="1639" customFormat="1" ht="16.5" hidden="1" customHeight="1" x14ac:dyDescent="0.25">
      <c r="A661" s="1637"/>
      <c r="B661" s="2913"/>
      <c r="C661" s="4116" t="s">
        <v>1619</v>
      </c>
      <c r="D661" s="4511">
        <f>D662</f>
        <v>70000000</v>
      </c>
      <c r="E661" s="4511">
        <f>E662</f>
        <v>70000000</v>
      </c>
      <c r="F661" s="2261">
        <f>E661/D661*100</f>
        <v>100</v>
      </c>
      <c r="G661" s="2261">
        <v>100</v>
      </c>
      <c r="H661" s="1638"/>
      <c r="J661" s="2093"/>
      <c r="K661" s="2093"/>
    </row>
    <row r="662" spans="1:11" s="1639" customFormat="1" ht="18.75" hidden="1" customHeight="1" x14ac:dyDescent="0.25">
      <c r="A662" s="1637"/>
      <c r="B662" s="2913"/>
      <c r="C662" s="4104" t="s">
        <v>1620</v>
      </c>
      <c r="D662" s="819">
        <v>70000000</v>
      </c>
      <c r="E662" s="819">
        <v>70000000</v>
      </c>
      <c r="F662" s="1717">
        <f>E662/D662*100</f>
        <v>100</v>
      </c>
      <c r="G662" s="1717">
        <v>100</v>
      </c>
      <c r="H662" s="1638"/>
      <c r="J662" s="2093"/>
      <c r="K662" s="2093"/>
    </row>
    <row r="663" spans="1:11" s="1639" customFormat="1" ht="8.25" hidden="1" customHeight="1" x14ac:dyDescent="0.25">
      <c r="A663" s="1637"/>
      <c r="B663" s="2913"/>
      <c r="C663" s="4104"/>
      <c r="D663" s="5472"/>
      <c r="E663" s="3360"/>
      <c r="F663" s="1717"/>
      <c r="G663" s="1315"/>
      <c r="H663" s="1638"/>
      <c r="J663" s="2093"/>
      <c r="K663" s="2093"/>
    </row>
    <row r="664" spans="1:11" s="1639" customFormat="1" ht="16.5" hidden="1" customHeight="1" x14ac:dyDescent="0.25">
      <c r="A664" s="1637"/>
      <c r="B664" s="2913"/>
      <c r="C664" s="4116" t="s">
        <v>1621</v>
      </c>
      <c r="D664" s="4511">
        <f>SUM(D665:D666)</f>
        <v>94290000</v>
      </c>
      <c r="E664" s="4056">
        <v>0</v>
      </c>
      <c r="F664" s="857">
        <v>0</v>
      </c>
      <c r="G664" s="857">
        <v>0</v>
      </c>
      <c r="H664" s="1638"/>
      <c r="J664" s="2093"/>
      <c r="K664" s="2093"/>
    </row>
    <row r="665" spans="1:11" s="1639" customFormat="1" ht="14.25" hidden="1" customHeight="1" x14ac:dyDescent="0.25">
      <c r="A665" s="1637"/>
      <c r="B665" s="2913"/>
      <c r="C665" s="4104" t="s">
        <v>1664</v>
      </c>
      <c r="D665" s="819">
        <v>43690000</v>
      </c>
      <c r="E665" s="865">
        <v>0</v>
      </c>
      <c r="F665" s="798">
        <v>0</v>
      </c>
      <c r="G665" s="798">
        <v>0</v>
      </c>
      <c r="H665" s="1638"/>
      <c r="J665" s="2093"/>
      <c r="K665" s="2093"/>
    </row>
    <row r="666" spans="1:11" s="1639" customFormat="1" ht="14.25" hidden="1" customHeight="1" x14ac:dyDescent="0.25">
      <c r="A666" s="1637"/>
      <c r="B666" s="2913"/>
      <c r="C666" s="4104" t="s">
        <v>6728</v>
      </c>
      <c r="D666" s="819">
        <v>50600000</v>
      </c>
      <c r="E666" s="865">
        <v>0</v>
      </c>
      <c r="F666" s="798">
        <v>0</v>
      </c>
      <c r="G666" s="798">
        <v>0</v>
      </c>
      <c r="H666" s="1638"/>
      <c r="J666" s="2093"/>
      <c r="K666" s="2093"/>
    </row>
    <row r="667" spans="1:11" s="1639" customFormat="1" ht="9.75" hidden="1" customHeight="1" x14ac:dyDescent="0.25">
      <c r="A667" s="1637"/>
      <c r="B667" s="2913"/>
      <c r="C667" s="4104"/>
      <c r="D667" s="5472"/>
      <c r="E667" s="809"/>
      <c r="F667" s="1451"/>
      <c r="G667" s="809"/>
      <c r="H667" s="1638"/>
      <c r="J667" s="2093"/>
      <c r="K667" s="2093"/>
    </row>
    <row r="668" spans="1:11" s="1639" customFormat="1" ht="21" hidden="1" customHeight="1" x14ac:dyDescent="0.25">
      <c r="A668" s="1637"/>
      <c r="B668" s="2913"/>
      <c r="C668" s="4116" t="s">
        <v>1622</v>
      </c>
      <c r="D668" s="4511">
        <f>SUM(D669:D670)</f>
        <v>32165000</v>
      </c>
      <c r="E668" s="1945">
        <v>0</v>
      </c>
      <c r="F668" s="857">
        <v>0</v>
      </c>
      <c r="G668" s="857">
        <v>0</v>
      </c>
      <c r="H668" s="1638"/>
      <c r="J668" s="2093"/>
      <c r="K668" s="2093"/>
    </row>
    <row r="669" spans="1:11" s="1639" customFormat="1" ht="16.5" hidden="1" customHeight="1" x14ac:dyDescent="0.25">
      <c r="A669" s="1637"/>
      <c r="B669" s="2913"/>
      <c r="C669" s="4104" t="s">
        <v>6729</v>
      </c>
      <c r="D669" s="819">
        <v>7165000</v>
      </c>
      <c r="E669" s="865">
        <v>0</v>
      </c>
      <c r="F669" s="798">
        <v>0</v>
      </c>
      <c r="G669" s="798">
        <v>0</v>
      </c>
      <c r="H669" s="1638"/>
      <c r="J669" s="2093"/>
      <c r="K669" s="2093"/>
    </row>
    <row r="670" spans="1:11" s="1639" customFormat="1" ht="16.5" hidden="1" customHeight="1" x14ac:dyDescent="0.25">
      <c r="A670" s="1637"/>
      <c r="B670" s="2913"/>
      <c r="C670" s="4104" t="s">
        <v>6730</v>
      </c>
      <c r="D670" s="819">
        <v>25000000</v>
      </c>
      <c r="E670" s="865">
        <v>0</v>
      </c>
      <c r="F670" s="798">
        <v>0</v>
      </c>
      <c r="G670" s="798">
        <v>0</v>
      </c>
      <c r="H670" s="1638"/>
      <c r="J670" s="2093"/>
      <c r="K670" s="2093"/>
    </row>
    <row r="671" spans="1:11" s="1639" customFormat="1" ht="11.25" hidden="1" customHeight="1" x14ac:dyDescent="0.25">
      <c r="A671" s="1637"/>
      <c r="B671" s="2913"/>
      <c r="C671" s="4104"/>
      <c r="D671" s="5472"/>
      <c r="E671" s="809"/>
      <c r="F671" s="1451"/>
      <c r="G671" s="809"/>
      <c r="H671" s="1638"/>
      <c r="J671" s="2093"/>
      <c r="K671" s="2093"/>
    </row>
    <row r="672" spans="1:11" s="1639" customFormat="1" ht="16.5" hidden="1" customHeight="1" x14ac:dyDescent="0.25">
      <c r="A672" s="1637"/>
      <c r="B672" s="2913"/>
      <c r="C672" s="4116" t="s">
        <v>6731</v>
      </c>
      <c r="D672" s="4511">
        <f>D673</f>
        <v>6350000</v>
      </c>
      <c r="E672" s="1966">
        <v>0</v>
      </c>
      <c r="F672" s="861">
        <v>0</v>
      </c>
      <c r="G672" s="861">
        <v>0</v>
      </c>
      <c r="H672" s="1638"/>
      <c r="J672" s="2093"/>
      <c r="K672" s="2093"/>
    </row>
    <row r="673" spans="1:11" s="1639" customFormat="1" ht="16.5" hidden="1" customHeight="1" x14ac:dyDescent="0.25">
      <c r="A673" s="1637"/>
      <c r="B673" s="2913"/>
      <c r="C673" s="4104" t="s">
        <v>6732</v>
      </c>
      <c r="D673" s="819">
        <v>6350000</v>
      </c>
      <c r="E673" s="865">
        <v>0</v>
      </c>
      <c r="F673" s="798">
        <v>0</v>
      </c>
      <c r="G673" s="798">
        <v>0</v>
      </c>
      <c r="H673" s="1638"/>
      <c r="J673" s="2093"/>
      <c r="K673" s="2093"/>
    </row>
    <row r="674" spans="1:11" ht="8.25" hidden="1" customHeight="1" x14ac:dyDescent="0.25">
      <c r="B674" s="2913"/>
      <c r="C674" s="3892"/>
      <c r="D674" s="5473"/>
      <c r="E674" s="973"/>
      <c r="F674" s="2283"/>
      <c r="G674" s="2282"/>
      <c r="H674" s="535"/>
    </row>
    <row r="675" spans="1:11" ht="16.5" hidden="1" customHeight="1" x14ac:dyDescent="0.25">
      <c r="B675" s="5397"/>
      <c r="C675" s="3858" t="s">
        <v>6733</v>
      </c>
      <c r="D675" s="863">
        <f>SUM(D676+D679+D682+D685+D688+D691+D695+D698)</f>
        <v>534525000</v>
      </c>
      <c r="E675" s="863">
        <f>SUM(E676+E679+E682+E685+E688+E691+E695+E698)</f>
        <v>533925000</v>
      </c>
      <c r="F675" s="1462">
        <f>E675/D675*100</f>
        <v>99.887750806791075</v>
      </c>
      <c r="G675" s="2356">
        <v>100</v>
      </c>
      <c r="H675" s="535"/>
      <c r="J675" s="522">
        <v>534525000</v>
      </c>
      <c r="K675" s="522">
        <v>533925000</v>
      </c>
    </row>
    <row r="676" spans="1:11" s="1639" customFormat="1" ht="16.5" hidden="1" customHeight="1" x14ac:dyDescent="0.25">
      <c r="A676" s="1637"/>
      <c r="B676" s="2913"/>
      <c r="C676" s="3893" t="s">
        <v>1623</v>
      </c>
      <c r="D676" s="3726">
        <f>D677</f>
        <v>50000000</v>
      </c>
      <c r="E676" s="3726">
        <f>E677</f>
        <v>50000000</v>
      </c>
      <c r="F676" s="2261">
        <f>E676/D676*100</f>
        <v>100</v>
      </c>
      <c r="G676" s="3691">
        <v>100</v>
      </c>
      <c r="H676" s="1638"/>
      <c r="J676" s="2093"/>
      <c r="K676" s="2093"/>
    </row>
    <row r="677" spans="1:11" s="1639" customFormat="1" ht="16.5" hidden="1" customHeight="1" x14ac:dyDescent="0.25">
      <c r="A677" s="1637"/>
      <c r="B677" s="2913"/>
      <c r="C677" s="3861" t="s">
        <v>6734</v>
      </c>
      <c r="D677" s="813">
        <v>50000000</v>
      </c>
      <c r="E677" s="813">
        <v>50000000</v>
      </c>
      <c r="F677" s="1717">
        <f>E677/D677*100</f>
        <v>100</v>
      </c>
      <c r="G677" s="1717">
        <v>100</v>
      </c>
      <c r="H677" s="1638"/>
      <c r="J677" s="2093"/>
      <c r="K677" s="2093"/>
    </row>
    <row r="678" spans="1:11" ht="8.25" hidden="1" customHeight="1" x14ac:dyDescent="0.25">
      <c r="B678" s="2913"/>
      <c r="C678" s="3861"/>
      <c r="D678" s="814"/>
      <c r="E678" s="666"/>
      <c r="F678" s="2281"/>
      <c r="G678" s="2285"/>
      <c r="H678" s="535"/>
    </row>
    <row r="679" spans="1:11" s="1639" customFormat="1" ht="16.5" hidden="1" customHeight="1" x14ac:dyDescent="0.25">
      <c r="A679" s="1637"/>
      <c r="B679" s="2913"/>
      <c r="C679" s="3873" t="s">
        <v>1624</v>
      </c>
      <c r="D679" s="5474">
        <f>D680</f>
        <v>148000000</v>
      </c>
      <c r="E679" s="5474">
        <f>E680</f>
        <v>147400000</v>
      </c>
      <c r="F679" s="2261">
        <f>E679/D679*100</f>
        <v>99.594594594594597</v>
      </c>
      <c r="G679" s="2512">
        <v>100</v>
      </c>
      <c r="H679" s="1638"/>
      <c r="J679" s="2093"/>
      <c r="K679" s="2093"/>
    </row>
    <row r="680" spans="1:11" s="1639" customFormat="1" ht="16.5" hidden="1" customHeight="1" x14ac:dyDescent="0.25">
      <c r="A680" s="1637"/>
      <c r="B680" s="2913"/>
      <c r="C680" s="3861" t="s">
        <v>6735</v>
      </c>
      <c r="D680" s="814">
        <v>148000000</v>
      </c>
      <c r="E680" s="1238">
        <v>147400000</v>
      </c>
      <c r="F680" s="1717">
        <f>E680/D680*100</f>
        <v>99.594594594594597</v>
      </c>
      <c r="G680" s="2281">
        <v>100</v>
      </c>
      <c r="H680" s="1638"/>
      <c r="J680" s="2093"/>
      <c r="K680" s="2093"/>
    </row>
    <row r="681" spans="1:11" s="1639" customFormat="1" ht="8.25" hidden="1" customHeight="1" x14ac:dyDescent="0.25">
      <c r="A681" s="1637"/>
      <c r="B681" s="2913"/>
      <c r="C681" s="3861"/>
      <c r="D681" s="814"/>
      <c r="E681" s="666"/>
      <c r="F681" s="1717"/>
      <c r="G681" s="2285"/>
      <c r="H681" s="1638"/>
      <c r="J681" s="2093"/>
      <c r="K681" s="2093"/>
    </row>
    <row r="682" spans="1:11" s="1639" customFormat="1" ht="17.25" hidden="1" customHeight="1" x14ac:dyDescent="0.25">
      <c r="A682" s="1637"/>
      <c r="B682" s="2913"/>
      <c r="C682" s="3873" t="s">
        <v>1613</v>
      </c>
      <c r="D682" s="5474">
        <f>D683</f>
        <v>70000000</v>
      </c>
      <c r="E682" s="5474">
        <f>E683</f>
        <v>70000000</v>
      </c>
      <c r="F682" s="2261">
        <f>E682/D682*100</f>
        <v>100</v>
      </c>
      <c r="G682" s="2512">
        <v>100</v>
      </c>
      <c r="H682" s="1638"/>
      <c r="J682" s="2093"/>
      <c r="K682" s="2093"/>
    </row>
    <row r="683" spans="1:11" s="1639" customFormat="1" ht="16.5" hidden="1" customHeight="1" x14ac:dyDescent="0.25">
      <c r="A683" s="1637"/>
      <c r="B683" s="2913"/>
      <c r="C683" s="3861" t="s">
        <v>1614</v>
      </c>
      <c r="D683" s="814">
        <v>70000000</v>
      </c>
      <c r="E683" s="813">
        <v>70000000</v>
      </c>
      <c r="F683" s="1717">
        <f>E683/D683*100</f>
        <v>100</v>
      </c>
      <c r="G683" s="2281">
        <v>100</v>
      </c>
      <c r="H683" s="1638"/>
      <c r="J683" s="2093"/>
      <c r="K683" s="2093"/>
    </row>
    <row r="684" spans="1:11" s="1639" customFormat="1" ht="9" hidden="1" customHeight="1" x14ac:dyDescent="0.25">
      <c r="A684" s="1637"/>
      <c r="B684" s="2913"/>
      <c r="C684" s="3861"/>
      <c r="D684" s="814"/>
      <c r="E684" s="666"/>
      <c r="F684" s="2281"/>
      <c r="G684" s="2285"/>
      <c r="H684" s="1638"/>
      <c r="J684" s="2093"/>
      <c r="K684" s="2093"/>
    </row>
    <row r="685" spans="1:11" s="1639" customFormat="1" ht="16.5" hidden="1" customHeight="1" x14ac:dyDescent="0.25">
      <c r="A685" s="1637"/>
      <c r="B685" s="2913"/>
      <c r="C685" s="3873" t="s">
        <v>1615</v>
      </c>
      <c r="D685" s="5474">
        <f>D686</f>
        <v>40000000</v>
      </c>
      <c r="E685" s="5474">
        <f>E686</f>
        <v>40000000</v>
      </c>
      <c r="F685" s="2261">
        <f>E685/D685*100</f>
        <v>100</v>
      </c>
      <c r="G685" s="2512">
        <v>100</v>
      </c>
      <c r="H685" s="1638"/>
      <c r="J685" s="2093"/>
      <c r="K685" s="2093"/>
    </row>
    <row r="686" spans="1:11" s="1639" customFormat="1" ht="17.25" hidden="1" customHeight="1" x14ac:dyDescent="0.25">
      <c r="A686" s="1637"/>
      <c r="B686" s="2913"/>
      <c r="C686" s="3861" t="s">
        <v>1616</v>
      </c>
      <c r="D686" s="814">
        <v>40000000</v>
      </c>
      <c r="E686" s="813">
        <v>40000000</v>
      </c>
      <c r="F686" s="1717">
        <f>E686/D686*100</f>
        <v>100</v>
      </c>
      <c r="G686" s="2281">
        <v>100</v>
      </c>
      <c r="H686" s="1638"/>
      <c r="J686" s="2093"/>
      <c r="K686" s="2093"/>
    </row>
    <row r="687" spans="1:11" s="1639" customFormat="1" ht="9.75" hidden="1" customHeight="1" x14ac:dyDescent="0.25">
      <c r="A687" s="1637"/>
      <c r="B687" s="2913"/>
      <c r="C687" s="3861"/>
      <c r="D687" s="814"/>
      <c r="E687" s="666"/>
      <c r="F687" s="1717"/>
      <c r="G687" s="2285"/>
      <c r="H687" s="1638"/>
      <c r="J687" s="2093"/>
      <c r="K687" s="2093"/>
    </row>
    <row r="688" spans="1:11" s="1639" customFormat="1" ht="16.5" hidden="1" customHeight="1" x14ac:dyDescent="0.25">
      <c r="A688" s="1637"/>
      <c r="B688" s="2913"/>
      <c r="C688" s="3873" t="s">
        <v>1625</v>
      </c>
      <c r="D688" s="5474">
        <f>D689</f>
        <v>60000000</v>
      </c>
      <c r="E688" s="816">
        <f>E689</f>
        <v>60000000</v>
      </c>
      <c r="F688" s="2261">
        <f>E688/D688*100</f>
        <v>100</v>
      </c>
      <c r="G688" s="2512">
        <v>100</v>
      </c>
      <c r="H688" s="1638"/>
      <c r="J688" s="2093"/>
      <c r="K688" s="2093"/>
    </row>
    <row r="689" spans="1:11" s="1639" customFormat="1" ht="16.5" hidden="1" customHeight="1" x14ac:dyDescent="0.25">
      <c r="A689" s="1637"/>
      <c r="B689" s="2913"/>
      <c r="C689" s="3861" t="s">
        <v>7352</v>
      </c>
      <c r="D689" s="814">
        <v>60000000</v>
      </c>
      <c r="E689" s="813">
        <v>60000000</v>
      </c>
      <c r="F689" s="1717">
        <f>E689/D689*100</f>
        <v>100</v>
      </c>
      <c r="G689" s="2281">
        <v>100</v>
      </c>
      <c r="H689" s="1638"/>
      <c r="J689" s="2093"/>
      <c r="K689" s="2093"/>
    </row>
    <row r="690" spans="1:11" s="1639" customFormat="1" ht="9.75" hidden="1" customHeight="1" x14ac:dyDescent="0.25">
      <c r="A690" s="1637"/>
      <c r="B690" s="2913"/>
      <c r="C690" s="3861"/>
      <c r="D690" s="814"/>
      <c r="E690" s="666"/>
      <c r="F690" s="1717"/>
      <c r="G690" s="2285"/>
      <c r="H690" s="1638"/>
      <c r="J690" s="2093"/>
      <c r="K690" s="2093"/>
    </row>
    <row r="691" spans="1:11" s="1639" customFormat="1" ht="21" hidden="1" customHeight="1" x14ac:dyDescent="0.25">
      <c r="A691" s="1637"/>
      <c r="B691" s="2913"/>
      <c r="C691" s="3873" t="s">
        <v>1626</v>
      </c>
      <c r="D691" s="5474">
        <f>SUM(D692:D693)</f>
        <v>120000000</v>
      </c>
      <c r="E691" s="816">
        <f>SUM(E692:E693)</f>
        <v>120000000</v>
      </c>
      <c r="F691" s="2261">
        <f>E691/D691*100</f>
        <v>100</v>
      </c>
      <c r="G691" s="2512">
        <v>100</v>
      </c>
      <c r="H691" s="1638"/>
      <c r="J691" s="2093"/>
      <c r="K691" s="2093"/>
    </row>
    <row r="692" spans="1:11" s="1639" customFormat="1" ht="16.5" hidden="1" customHeight="1" x14ac:dyDescent="0.25">
      <c r="A692" s="1637"/>
      <c r="B692" s="2913"/>
      <c r="C692" s="3861" t="s">
        <v>6736</v>
      </c>
      <c r="D692" s="814">
        <v>60000000</v>
      </c>
      <c r="E692" s="813">
        <v>60000000</v>
      </c>
      <c r="F692" s="1717">
        <f>E692/D692*100</f>
        <v>100</v>
      </c>
      <c r="G692" s="3630">
        <v>100</v>
      </c>
      <c r="H692" s="1638"/>
      <c r="J692" s="2093"/>
      <c r="K692" s="2093"/>
    </row>
    <row r="693" spans="1:11" s="1639" customFormat="1" ht="16.5" hidden="1" customHeight="1" x14ac:dyDescent="0.25">
      <c r="A693" s="1637"/>
      <c r="B693" s="2913"/>
      <c r="C693" s="3861" t="s">
        <v>6737</v>
      </c>
      <c r="D693" s="814">
        <v>60000000</v>
      </c>
      <c r="E693" s="813">
        <v>60000000</v>
      </c>
      <c r="F693" s="1717">
        <f>E693/D693*100</f>
        <v>100</v>
      </c>
      <c r="G693" s="2281">
        <v>100</v>
      </c>
      <c r="H693" s="1638"/>
      <c r="J693" s="2093"/>
      <c r="K693" s="2093"/>
    </row>
    <row r="694" spans="1:11" s="1639" customFormat="1" ht="9.75" hidden="1" customHeight="1" x14ac:dyDescent="0.25">
      <c r="A694" s="1637"/>
      <c r="B694" s="2913"/>
      <c r="C694" s="3861"/>
      <c r="D694" s="814"/>
      <c r="E694" s="813"/>
      <c r="F694" s="1717"/>
      <c r="G694" s="2285"/>
      <c r="H694" s="1638"/>
      <c r="J694" s="2093"/>
      <c r="K694" s="2093"/>
    </row>
    <row r="695" spans="1:11" s="1639" customFormat="1" ht="16.5" hidden="1" customHeight="1" x14ac:dyDescent="0.25">
      <c r="A695" s="1637"/>
      <c r="B695" s="2913"/>
      <c r="C695" s="3873" t="s">
        <v>6738</v>
      </c>
      <c r="D695" s="5474">
        <f>D696</f>
        <v>30000000</v>
      </c>
      <c r="E695" s="816">
        <f>E696</f>
        <v>30000000</v>
      </c>
      <c r="F695" s="2261">
        <f>E695/D695*100</f>
        <v>100</v>
      </c>
      <c r="G695" s="2512">
        <v>100</v>
      </c>
      <c r="H695" s="1638"/>
      <c r="J695" s="2093"/>
      <c r="K695" s="2093"/>
    </row>
    <row r="696" spans="1:11" s="1639" customFormat="1" ht="19.5" hidden="1" customHeight="1" x14ac:dyDescent="0.25">
      <c r="A696" s="1637"/>
      <c r="B696" s="2913"/>
      <c r="C696" s="3861" t="s">
        <v>6739</v>
      </c>
      <c r="D696" s="814">
        <v>30000000</v>
      </c>
      <c r="E696" s="813">
        <v>30000000</v>
      </c>
      <c r="F696" s="1717">
        <f>E696/D696*100</f>
        <v>100</v>
      </c>
      <c r="G696" s="2281">
        <v>100</v>
      </c>
      <c r="H696" s="1638"/>
      <c r="J696" s="2093"/>
      <c r="K696" s="2093"/>
    </row>
    <row r="697" spans="1:11" s="1639" customFormat="1" ht="10.5" hidden="1" customHeight="1" x14ac:dyDescent="0.25">
      <c r="A697" s="1637"/>
      <c r="B697" s="2913"/>
      <c r="C697" s="3861"/>
      <c r="D697" s="814"/>
      <c r="E697" s="814"/>
      <c r="F697" s="1717"/>
      <c r="G697" s="2285"/>
      <c r="H697" s="1638"/>
      <c r="J697" s="2093"/>
      <c r="K697" s="2093"/>
    </row>
    <row r="698" spans="1:11" s="1639" customFormat="1" ht="16.5" hidden="1" customHeight="1" x14ac:dyDescent="0.25">
      <c r="A698" s="1637"/>
      <c r="B698" s="2913"/>
      <c r="C698" s="3873" t="s">
        <v>1665</v>
      </c>
      <c r="D698" s="5474">
        <f>D699</f>
        <v>16525000</v>
      </c>
      <c r="E698" s="5474">
        <f>E699</f>
        <v>16525000</v>
      </c>
      <c r="F698" s="2261">
        <f>E698/D698*100</f>
        <v>100</v>
      </c>
      <c r="G698" s="2280">
        <v>100</v>
      </c>
      <c r="H698" s="1638"/>
      <c r="J698" s="2093"/>
      <c r="K698" s="2093"/>
    </row>
    <row r="699" spans="1:11" s="1639" customFormat="1" ht="16.5" hidden="1" customHeight="1" x14ac:dyDescent="0.25">
      <c r="A699" s="1637"/>
      <c r="B699" s="2913"/>
      <c r="C699" s="3861" t="s">
        <v>1666</v>
      </c>
      <c r="D699" s="814">
        <v>16525000</v>
      </c>
      <c r="E699" s="814">
        <v>16525000</v>
      </c>
      <c r="F699" s="1717">
        <f>E699/D699*100</f>
        <v>100</v>
      </c>
      <c r="G699" s="660">
        <v>100</v>
      </c>
      <c r="H699" s="1638"/>
      <c r="J699" s="2093"/>
      <c r="K699" s="2093"/>
    </row>
    <row r="700" spans="1:11" ht="11.25" hidden="1" customHeight="1" x14ac:dyDescent="0.25">
      <c r="B700" s="2913"/>
      <c r="C700" s="3894"/>
      <c r="D700" s="814"/>
      <c r="E700" s="973"/>
      <c r="F700" s="2283"/>
      <c r="G700" s="2285"/>
      <c r="H700" s="535"/>
    </row>
    <row r="701" spans="1:11" ht="17.25" hidden="1" customHeight="1" x14ac:dyDescent="0.25">
      <c r="B701" s="5397"/>
      <c r="C701" s="3858" t="s">
        <v>6740</v>
      </c>
      <c r="D701" s="1552">
        <f>SUM(D702+D705+D708+D711+D714+D717+D720+D724)</f>
        <v>599550000</v>
      </c>
      <c r="E701" s="1552">
        <f>SUM(E702+E705+E708+E711+E714+E717+E720+E724)</f>
        <v>353000000</v>
      </c>
      <c r="F701" s="1462">
        <f>E701/D701*100</f>
        <v>58.877491451922268</v>
      </c>
      <c r="G701" s="1726">
        <f>SUM(G705+G714+G717+G720+G724)/8</f>
        <v>56.25</v>
      </c>
      <c r="H701" s="535"/>
      <c r="J701" s="522">
        <v>599550000</v>
      </c>
      <c r="K701" s="522">
        <v>353000000</v>
      </c>
    </row>
    <row r="702" spans="1:11" s="1639" customFormat="1" ht="19.5" hidden="1" customHeight="1" x14ac:dyDescent="0.25">
      <c r="A702" s="1637"/>
      <c r="B702" s="2913"/>
      <c r="C702" s="3893" t="s">
        <v>1627</v>
      </c>
      <c r="D702" s="1556">
        <f>D703</f>
        <v>25000000</v>
      </c>
      <c r="E702" s="1013">
        <v>0</v>
      </c>
      <c r="F702" s="3632">
        <v>0</v>
      </c>
      <c r="G702" s="3632">
        <v>0</v>
      </c>
      <c r="H702" s="1638"/>
      <c r="J702" s="2093"/>
      <c r="K702" s="2093"/>
    </row>
    <row r="703" spans="1:11" s="1639" customFormat="1" ht="15.75" hidden="1" customHeight="1" x14ac:dyDescent="0.25">
      <c r="A703" s="1637"/>
      <c r="B703" s="2913"/>
      <c r="C703" s="4104" t="s">
        <v>6741</v>
      </c>
      <c r="D703" s="812">
        <v>25000000</v>
      </c>
      <c r="E703" s="1891">
        <v>0</v>
      </c>
      <c r="F703" s="3557">
        <v>0</v>
      </c>
      <c r="G703" s="3557">
        <v>0</v>
      </c>
      <c r="H703" s="1638"/>
      <c r="J703" s="2093"/>
      <c r="K703" s="2093"/>
    </row>
    <row r="704" spans="1:11" ht="10.5" hidden="1" customHeight="1" x14ac:dyDescent="0.25">
      <c r="B704" s="2913"/>
      <c r="C704" s="4104"/>
      <c r="D704" s="812"/>
      <c r="E704" s="1891"/>
      <c r="F704" s="1668"/>
      <c r="G704" s="1668"/>
      <c r="H704" s="535"/>
    </row>
    <row r="705" spans="1:11" s="1639" customFormat="1" ht="18.75" hidden="1" customHeight="1" x14ac:dyDescent="0.25">
      <c r="A705" s="1637"/>
      <c r="B705" s="2913"/>
      <c r="C705" s="4116" t="s">
        <v>1628</v>
      </c>
      <c r="D705" s="1557">
        <f>D706</f>
        <v>80000000</v>
      </c>
      <c r="E705" s="1557">
        <f>E706</f>
        <v>80000000</v>
      </c>
      <c r="F705" s="2261">
        <f>E705/D705*100</f>
        <v>100</v>
      </c>
      <c r="G705" s="3554">
        <v>100</v>
      </c>
      <c r="H705" s="1638"/>
      <c r="J705" s="2093"/>
      <c r="K705" s="2093"/>
    </row>
    <row r="706" spans="1:11" s="1639" customFormat="1" ht="16.5" hidden="1" customHeight="1" x14ac:dyDescent="0.25">
      <c r="A706" s="1637"/>
      <c r="B706" s="2913"/>
      <c r="C706" s="4104" t="s">
        <v>1667</v>
      </c>
      <c r="D706" s="812">
        <v>80000000</v>
      </c>
      <c r="E706" s="812">
        <v>80000000</v>
      </c>
      <c r="F706" s="1717">
        <f>E706/D706*100</f>
        <v>100</v>
      </c>
      <c r="G706" s="1668">
        <v>100</v>
      </c>
      <c r="H706" s="1638"/>
      <c r="J706" s="2093"/>
      <c r="K706" s="2093"/>
    </row>
    <row r="707" spans="1:11" s="1639" customFormat="1" ht="7.5" hidden="1" customHeight="1" x14ac:dyDescent="0.25">
      <c r="A707" s="1637"/>
      <c r="B707" s="2913"/>
      <c r="C707" s="4104"/>
      <c r="D707" s="812"/>
      <c r="E707" s="671"/>
      <c r="F707" s="2281"/>
      <c r="G707" s="2285"/>
      <c r="H707" s="1638"/>
      <c r="J707" s="2093"/>
      <c r="K707" s="2093"/>
    </row>
    <row r="708" spans="1:11" s="1639" customFormat="1" ht="21" hidden="1" customHeight="1" x14ac:dyDescent="0.25">
      <c r="A708" s="1637"/>
      <c r="B708" s="2913"/>
      <c r="C708" s="4116" t="s">
        <v>1629</v>
      </c>
      <c r="D708" s="1557">
        <f>D709</f>
        <v>60000000</v>
      </c>
      <c r="E708" s="4056">
        <v>0</v>
      </c>
      <c r="F708" s="3629">
        <v>0</v>
      </c>
      <c r="G708" s="3629">
        <v>0</v>
      </c>
      <c r="H708" s="1638"/>
      <c r="J708" s="2093"/>
      <c r="K708" s="2093"/>
    </row>
    <row r="709" spans="1:11" s="1639" customFormat="1" ht="14.25" hidden="1" customHeight="1" x14ac:dyDescent="0.25">
      <c r="A709" s="1637"/>
      <c r="B709" s="2913"/>
      <c r="C709" s="4104" t="s">
        <v>1630</v>
      </c>
      <c r="D709" s="812">
        <v>60000000</v>
      </c>
      <c r="E709" s="1891">
        <v>0</v>
      </c>
      <c r="F709" s="3557">
        <v>0</v>
      </c>
      <c r="G709" s="3557">
        <v>0</v>
      </c>
      <c r="H709" s="1638"/>
      <c r="J709" s="2093"/>
      <c r="K709" s="2093"/>
    </row>
    <row r="710" spans="1:11" s="1639" customFormat="1" ht="9" hidden="1" customHeight="1" x14ac:dyDescent="0.25">
      <c r="A710" s="1637"/>
      <c r="B710" s="2913"/>
      <c r="C710" s="3892"/>
      <c r="D710" s="1558"/>
      <c r="E710" s="868"/>
      <c r="F710" s="995"/>
      <c r="G710" s="868"/>
      <c r="H710" s="1638"/>
      <c r="J710" s="2093"/>
      <c r="K710" s="2093"/>
    </row>
    <row r="711" spans="1:11" s="1639" customFormat="1" ht="19.5" hidden="1" customHeight="1" x14ac:dyDescent="0.25">
      <c r="A711" s="1637"/>
      <c r="B711" s="2913"/>
      <c r="C711" s="4116" t="s">
        <v>1631</v>
      </c>
      <c r="D711" s="1557">
        <f>D712</f>
        <v>40000000</v>
      </c>
      <c r="E711" s="4056">
        <v>0</v>
      </c>
      <c r="F711" s="3629">
        <v>0</v>
      </c>
      <c r="G711" s="3629">
        <v>0</v>
      </c>
      <c r="H711" s="1638"/>
      <c r="J711" s="2093"/>
      <c r="K711" s="2093"/>
    </row>
    <row r="712" spans="1:11" s="1639" customFormat="1" ht="15" hidden="1" customHeight="1" x14ac:dyDescent="0.25">
      <c r="A712" s="1637"/>
      <c r="B712" s="2913"/>
      <c r="C712" s="4104" t="s">
        <v>1632</v>
      </c>
      <c r="D712" s="812">
        <v>40000000</v>
      </c>
      <c r="E712" s="1891">
        <v>0</v>
      </c>
      <c r="F712" s="3557">
        <v>0</v>
      </c>
      <c r="G712" s="3557">
        <v>0</v>
      </c>
      <c r="H712" s="1638"/>
      <c r="J712" s="2093"/>
      <c r="K712" s="2093"/>
    </row>
    <row r="713" spans="1:11" s="1639" customFormat="1" ht="7.5" hidden="1" customHeight="1" x14ac:dyDescent="0.25">
      <c r="A713" s="1637"/>
      <c r="B713" s="2913"/>
      <c r="C713" s="4104"/>
      <c r="D713" s="812"/>
      <c r="E713" s="666"/>
      <c r="F713" s="880"/>
      <c r="G713" s="666"/>
      <c r="H713" s="1638"/>
      <c r="J713" s="2093"/>
      <c r="K713" s="2093"/>
    </row>
    <row r="714" spans="1:11" s="1639" customFormat="1" ht="17.25" hidden="1" customHeight="1" x14ac:dyDescent="0.25">
      <c r="A714" s="1637"/>
      <c r="B714" s="2913"/>
      <c r="C714" s="4116" t="s">
        <v>1633</v>
      </c>
      <c r="D714" s="1557">
        <f>D715</f>
        <v>170000000</v>
      </c>
      <c r="E714" s="1557">
        <f>E715</f>
        <v>130000000</v>
      </c>
      <c r="F714" s="2261">
        <f>E714/D714*100</f>
        <v>76.470588235294116</v>
      </c>
      <c r="G714" s="3632">
        <v>100</v>
      </c>
      <c r="H714" s="1638"/>
      <c r="J714" s="2093"/>
      <c r="K714" s="2093"/>
    </row>
    <row r="715" spans="1:11" s="1639" customFormat="1" ht="17.25" hidden="1" customHeight="1" x14ac:dyDescent="0.25">
      <c r="A715" s="1637"/>
      <c r="B715" s="2913"/>
      <c r="C715" s="4104" t="s">
        <v>6742</v>
      </c>
      <c r="D715" s="812">
        <v>170000000</v>
      </c>
      <c r="E715" s="1891">
        <v>130000000</v>
      </c>
      <c r="F715" s="1717">
        <f>E715/D715*100</f>
        <v>76.470588235294116</v>
      </c>
      <c r="G715" s="3557">
        <v>100</v>
      </c>
      <c r="H715" s="1638"/>
      <c r="J715" s="2093"/>
      <c r="K715" s="2093"/>
    </row>
    <row r="716" spans="1:11" s="1639" customFormat="1" ht="4.5" hidden="1" customHeight="1" x14ac:dyDescent="0.25">
      <c r="A716" s="1637"/>
      <c r="B716" s="2913"/>
      <c r="C716" s="4104"/>
      <c r="D716" s="812"/>
      <c r="E716" s="666"/>
      <c r="F716" s="880"/>
      <c r="G716" s="666"/>
      <c r="H716" s="1638"/>
      <c r="J716" s="2093"/>
      <c r="K716" s="2093"/>
    </row>
    <row r="717" spans="1:11" s="1639" customFormat="1" ht="14.25" hidden="1" customHeight="1" x14ac:dyDescent="0.25">
      <c r="A717" s="1637"/>
      <c r="B717" s="2913"/>
      <c r="C717" s="4116" t="s">
        <v>1634</v>
      </c>
      <c r="D717" s="1557">
        <f>D718</f>
        <v>87550000</v>
      </c>
      <c r="E717" s="1557">
        <f>E718</f>
        <v>40000000</v>
      </c>
      <c r="F717" s="2261">
        <f>E717/D717*100</f>
        <v>45.688178183894919</v>
      </c>
      <c r="G717" s="3632">
        <v>100</v>
      </c>
      <c r="H717" s="1638"/>
      <c r="J717" s="2093"/>
      <c r="K717" s="2093"/>
    </row>
    <row r="718" spans="1:11" s="1639" customFormat="1" ht="14.25" hidden="1" customHeight="1" x14ac:dyDescent="0.25">
      <c r="A718" s="1637"/>
      <c r="B718" s="2913"/>
      <c r="C718" s="4104" t="s">
        <v>6743</v>
      </c>
      <c r="D718" s="812">
        <v>87550000</v>
      </c>
      <c r="E718" s="1891">
        <v>40000000</v>
      </c>
      <c r="F718" s="1717">
        <f>E718/D718*100</f>
        <v>45.688178183894919</v>
      </c>
      <c r="G718" s="3557">
        <v>100</v>
      </c>
      <c r="H718" s="1638"/>
      <c r="J718" s="2093"/>
      <c r="K718" s="2093"/>
    </row>
    <row r="719" spans="1:11" s="1639" customFormat="1" ht="12" hidden="1" customHeight="1" x14ac:dyDescent="0.25">
      <c r="A719" s="1637"/>
      <c r="B719" s="2913"/>
      <c r="C719" s="4104"/>
      <c r="D719" s="812"/>
      <c r="E719" s="894"/>
      <c r="F719" s="1717"/>
      <c r="G719" s="1315"/>
      <c r="H719" s="1638"/>
      <c r="J719" s="2093"/>
      <c r="K719" s="2093"/>
    </row>
    <row r="720" spans="1:11" s="1639" customFormat="1" ht="18" hidden="1" customHeight="1" x14ac:dyDescent="0.25">
      <c r="A720" s="1637"/>
      <c r="B720" s="2913"/>
      <c r="C720" s="4116" t="s">
        <v>6744</v>
      </c>
      <c r="D720" s="1557">
        <f>SUM(D721:D722)</f>
        <v>83000000</v>
      </c>
      <c r="E720" s="1557">
        <f>SUM(E721:E722)</f>
        <v>49000000</v>
      </c>
      <c r="F720" s="2261">
        <f>E720/D720*100</f>
        <v>59.036144578313255</v>
      </c>
      <c r="G720" s="2261">
        <f>SUM(G722)/2</f>
        <v>50</v>
      </c>
      <c r="H720" s="1638"/>
      <c r="J720" s="2093"/>
      <c r="K720" s="2093"/>
    </row>
    <row r="721" spans="1:11" s="1639" customFormat="1" ht="14.25" hidden="1" customHeight="1" x14ac:dyDescent="0.25">
      <c r="A721" s="1637"/>
      <c r="B721" s="2913"/>
      <c r="C721" s="4104" t="s">
        <v>6745</v>
      </c>
      <c r="D721" s="812">
        <v>20000000</v>
      </c>
      <c r="E721" s="1891">
        <v>0</v>
      </c>
      <c r="F721" s="3630">
        <v>0</v>
      </c>
      <c r="G721" s="3630">
        <v>0</v>
      </c>
      <c r="H721" s="1638"/>
      <c r="J721" s="2093"/>
      <c r="K721" s="2093"/>
    </row>
    <row r="722" spans="1:11" s="1639" customFormat="1" ht="16.5" hidden="1" customHeight="1" x14ac:dyDescent="0.25">
      <c r="A722" s="1637"/>
      <c r="B722" s="2913"/>
      <c r="C722" s="4104" t="s">
        <v>6746</v>
      </c>
      <c r="D722" s="812">
        <v>63000000</v>
      </c>
      <c r="E722" s="1238">
        <v>49000000</v>
      </c>
      <c r="F722" s="1717">
        <f>E722/D722*100</f>
        <v>77.777777777777786</v>
      </c>
      <c r="G722" s="1717">
        <v>100</v>
      </c>
      <c r="H722" s="1638"/>
      <c r="J722" s="2093"/>
      <c r="K722" s="2093"/>
    </row>
    <row r="723" spans="1:11" s="1639" customFormat="1" ht="8.25" hidden="1" customHeight="1" x14ac:dyDescent="0.25">
      <c r="A723" s="1637"/>
      <c r="B723" s="2913"/>
      <c r="C723" s="4104"/>
      <c r="D723" s="812"/>
      <c r="E723" s="3360"/>
      <c r="F723" s="1717"/>
      <c r="G723" s="1315"/>
      <c r="H723" s="1638"/>
      <c r="J723" s="2093"/>
      <c r="K723" s="2093"/>
    </row>
    <row r="724" spans="1:11" s="1639" customFormat="1" ht="18" hidden="1" customHeight="1" x14ac:dyDescent="0.25">
      <c r="A724" s="1637"/>
      <c r="B724" s="2913"/>
      <c r="C724" s="4116" t="s">
        <v>6747</v>
      </c>
      <c r="D724" s="1557">
        <f>D725</f>
        <v>54000000</v>
      </c>
      <c r="E724" s="1557">
        <f>E725</f>
        <v>54000000</v>
      </c>
      <c r="F724" s="2261">
        <f>E724/D724*100</f>
        <v>100</v>
      </c>
      <c r="G724" s="673">
        <v>100</v>
      </c>
      <c r="H724" s="1638"/>
      <c r="J724" s="2093"/>
      <c r="K724" s="2093"/>
    </row>
    <row r="725" spans="1:11" s="1639" customFormat="1" ht="14.25" hidden="1" customHeight="1" x14ac:dyDescent="0.25">
      <c r="A725" s="1637"/>
      <c r="B725" s="2913"/>
      <c r="C725" s="4104" t="s">
        <v>6748</v>
      </c>
      <c r="D725" s="812">
        <v>54000000</v>
      </c>
      <c r="E725" s="663">
        <v>54000000</v>
      </c>
      <c r="F725" s="1717">
        <f>E725/D725*100</f>
        <v>100</v>
      </c>
      <c r="G725" s="666">
        <v>100</v>
      </c>
      <c r="H725" s="1638"/>
      <c r="J725" s="2093"/>
      <c r="K725" s="2093"/>
    </row>
    <row r="726" spans="1:11" ht="14.25" hidden="1" customHeight="1" x14ac:dyDescent="0.25">
      <c r="B726" s="2913"/>
      <c r="C726" s="3894"/>
      <c r="D726" s="1561"/>
      <c r="E726" s="894"/>
      <c r="F726" s="1717"/>
      <c r="G726" s="1315"/>
      <c r="H726" s="535"/>
    </row>
    <row r="727" spans="1:11" s="1639" customFormat="1" ht="16.5" hidden="1" customHeight="1" x14ac:dyDescent="0.25">
      <c r="A727" s="1637"/>
      <c r="B727" s="5397"/>
      <c r="C727" s="3858" t="s">
        <v>6749</v>
      </c>
      <c r="D727" s="1552">
        <f>D728</f>
        <v>50000000</v>
      </c>
      <c r="E727" s="1552">
        <f>E728</f>
        <v>50000000</v>
      </c>
      <c r="F727" s="1462">
        <f>E727/D727*100</f>
        <v>100</v>
      </c>
      <c r="G727" s="3631">
        <v>100</v>
      </c>
      <c r="H727" s="1638"/>
      <c r="J727" s="2093">
        <v>50000000</v>
      </c>
      <c r="K727" s="2093">
        <v>50000000</v>
      </c>
    </row>
    <row r="728" spans="1:11" s="1639" customFormat="1" ht="14.25" hidden="1" customHeight="1" x14ac:dyDescent="0.25">
      <c r="A728" s="1637"/>
      <c r="B728" s="2913"/>
      <c r="C728" s="3893" t="s">
        <v>6750</v>
      </c>
      <c r="D728" s="1556">
        <f>D729</f>
        <v>50000000</v>
      </c>
      <c r="E728" s="1556">
        <f>E729</f>
        <v>50000000</v>
      </c>
      <c r="F728" s="2261">
        <f>E728/D728*100</f>
        <v>100</v>
      </c>
      <c r="G728" s="3633">
        <v>100</v>
      </c>
      <c r="H728" s="1638"/>
      <c r="J728" s="2093"/>
      <c r="K728" s="2093"/>
    </row>
    <row r="729" spans="1:11" s="1639" customFormat="1" ht="14.25" hidden="1" customHeight="1" x14ac:dyDescent="0.25">
      <c r="A729" s="1637"/>
      <c r="B729" s="2913"/>
      <c r="C729" s="4104" t="s">
        <v>6751</v>
      </c>
      <c r="D729" s="812">
        <v>50000000</v>
      </c>
      <c r="E729" s="3879">
        <v>50000000</v>
      </c>
      <c r="F729" s="1717">
        <f>E729/D729*100</f>
        <v>100</v>
      </c>
      <c r="G729" s="3630">
        <v>100</v>
      </c>
      <c r="H729" s="1638"/>
      <c r="J729" s="2093"/>
      <c r="K729" s="2093"/>
    </row>
    <row r="730" spans="1:11" ht="12" hidden="1" customHeight="1" x14ac:dyDescent="0.25">
      <c r="B730" s="2913"/>
      <c r="C730" s="3893"/>
      <c r="D730" s="1559"/>
      <c r="E730" s="788"/>
      <c r="F730" s="2281"/>
      <c r="G730" s="2285"/>
      <c r="H730" s="535"/>
    </row>
    <row r="731" spans="1:11" s="1639" customFormat="1" ht="15.75" hidden="1" customHeight="1" x14ac:dyDescent="0.25">
      <c r="A731" s="1637"/>
      <c r="B731" s="5397"/>
      <c r="C731" s="3858" t="s">
        <v>6752</v>
      </c>
      <c r="D731" s="1552">
        <f>D732</f>
        <v>200459600</v>
      </c>
      <c r="E731" s="1552">
        <f>E732</f>
        <v>200459600</v>
      </c>
      <c r="F731" s="1462">
        <f>E731/D731*100</f>
        <v>100</v>
      </c>
      <c r="G731" s="3631">
        <v>100</v>
      </c>
      <c r="H731" s="1638"/>
      <c r="J731" s="2093">
        <v>200459600</v>
      </c>
      <c r="K731" s="2093">
        <v>200459600</v>
      </c>
    </row>
    <row r="732" spans="1:11" s="1639" customFormat="1" ht="21" hidden="1" customHeight="1" x14ac:dyDescent="0.25">
      <c r="A732" s="1637"/>
      <c r="B732" s="2913"/>
      <c r="C732" s="3893" t="s">
        <v>6753</v>
      </c>
      <c r="D732" s="1556">
        <f>D733</f>
        <v>200459600</v>
      </c>
      <c r="E732" s="1556">
        <f>E733</f>
        <v>200459600</v>
      </c>
      <c r="F732" s="2261">
        <f>E732/D732*100</f>
        <v>100</v>
      </c>
      <c r="G732" s="3633">
        <v>100</v>
      </c>
      <c r="H732" s="1638"/>
      <c r="J732" s="2093"/>
      <c r="K732" s="2093"/>
    </row>
    <row r="733" spans="1:11" s="1639" customFormat="1" ht="17.25" hidden="1" customHeight="1" x14ac:dyDescent="0.25">
      <c r="A733" s="1637"/>
      <c r="B733" s="2913"/>
      <c r="C733" s="4104" t="s">
        <v>6754</v>
      </c>
      <c r="D733" s="812">
        <v>200459600</v>
      </c>
      <c r="E733" s="1238">
        <v>200459600</v>
      </c>
      <c r="F733" s="1717">
        <f>E733/D733*100</f>
        <v>100</v>
      </c>
      <c r="G733" s="3630">
        <v>100</v>
      </c>
      <c r="H733" s="1638"/>
      <c r="J733" s="2093"/>
      <c r="K733" s="2093"/>
    </row>
    <row r="734" spans="1:11" ht="12" hidden="1" customHeight="1" x14ac:dyDescent="0.25">
      <c r="B734" s="2913"/>
      <c r="C734" s="3892"/>
      <c r="D734" s="1556"/>
      <c r="E734" s="3360"/>
      <c r="F734" s="2373"/>
      <c r="G734" s="1315"/>
      <c r="H734" s="535"/>
    </row>
    <row r="735" spans="1:11" s="1639" customFormat="1" ht="16.5" hidden="1" customHeight="1" x14ac:dyDescent="0.25">
      <c r="A735" s="1637"/>
      <c r="B735" s="5397"/>
      <c r="C735" s="3858" t="s">
        <v>6755</v>
      </c>
      <c r="D735" s="1552">
        <f>D736</f>
        <v>198849400</v>
      </c>
      <c r="E735" s="1552">
        <f>E736</f>
        <v>198849400</v>
      </c>
      <c r="F735" s="1462">
        <f>E735/D735*100</f>
        <v>100</v>
      </c>
      <c r="G735" s="1726">
        <v>100</v>
      </c>
      <c r="H735" s="1638"/>
      <c r="J735" s="2093">
        <v>198849400</v>
      </c>
      <c r="K735" s="2093">
        <v>198849400</v>
      </c>
    </row>
    <row r="736" spans="1:11" s="1639" customFormat="1" ht="21" hidden="1" customHeight="1" x14ac:dyDescent="0.25">
      <c r="A736" s="1637"/>
      <c r="B736" s="2913"/>
      <c r="C736" s="3893" t="s">
        <v>6756</v>
      </c>
      <c r="D736" s="1556">
        <f>D737</f>
        <v>198849400</v>
      </c>
      <c r="E736" s="1556">
        <f>E737</f>
        <v>198849400</v>
      </c>
      <c r="F736" s="2261">
        <f>E736/D736*100</f>
        <v>100</v>
      </c>
      <c r="G736" s="3554">
        <v>100</v>
      </c>
      <c r="H736" s="1638"/>
      <c r="J736" s="2093"/>
      <c r="K736" s="2093"/>
    </row>
    <row r="737" spans="1:11" s="1639" customFormat="1" ht="14.25" hidden="1" customHeight="1" x14ac:dyDescent="0.25">
      <c r="A737" s="1637"/>
      <c r="B737" s="2913"/>
      <c r="C737" s="4104" t="s">
        <v>6757</v>
      </c>
      <c r="D737" s="812">
        <v>198849400</v>
      </c>
      <c r="E737" s="1238">
        <v>198849400</v>
      </c>
      <c r="F737" s="1717">
        <f>E737/D737*100</f>
        <v>100</v>
      </c>
      <c r="G737" s="1668">
        <v>100</v>
      </c>
      <c r="H737" s="1638"/>
      <c r="J737" s="2093"/>
      <c r="K737" s="2093"/>
    </row>
    <row r="738" spans="1:11" ht="12" hidden="1" customHeight="1" x14ac:dyDescent="0.25">
      <c r="B738" s="2913"/>
      <c r="C738" s="3893"/>
      <c r="D738" s="1559"/>
      <c r="E738" s="969"/>
      <c r="F738" s="2281"/>
      <c r="G738" s="2285"/>
      <c r="H738" s="535"/>
    </row>
    <row r="739" spans="1:11" s="1639" customFormat="1" ht="16.5" hidden="1" customHeight="1" x14ac:dyDescent="0.25">
      <c r="A739" s="1637"/>
      <c r="B739" s="5397"/>
      <c r="C739" s="3858" t="s">
        <v>6758</v>
      </c>
      <c r="D739" s="1552">
        <f>D740</f>
        <v>200459600</v>
      </c>
      <c r="E739" s="1552">
        <f>E740</f>
        <v>200459600</v>
      </c>
      <c r="F739" s="1462">
        <f>E739/D739*100</f>
        <v>100</v>
      </c>
      <c r="G739" s="2356">
        <v>100</v>
      </c>
      <c r="H739" s="1638"/>
      <c r="J739" s="2093">
        <v>200459600</v>
      </c>
      <c r="K739" s="2093">
        <v>200459600</v>
      </c>
    </row>
    <row r="740" spans="1:11" s="1639" customFormat="1" ht="14.25" hidden="1" customHeight="1" x14ac:dyDescent="0.25">
      <c r="A740" s="1637"/>
      <c r="B740" s="2913"/>
      <c r="C740" s="3893" t="s">
        <v>6759</v>
      </c>
      <c r="D740" s="1556">
        <v>200459600</v>
      </c>
      <c r="E740" s="1556">
        <v>200459600</v>
      </c>
      <c r="F740" s="2261">
        <f>E740/D740*100</f>
        <v>100</v>
      </c>
      <c r="G740" s="2562">
        <v>100</v>
      </c>
      <c r="H740" s="1638"/>
      <c r="J740" s="2093"/>
      <c r="K740" s="2093"/>
    </row>
    <row r="741" spans="1:11" s="1639" customFormat="1" ht="14.25" hidden="1" customHeight="1" x14ac:dyDescent="0.25">
      <c r="A741" s="1637"/>
      <c r="B741" s="2913"/>
      <c r="C741" s="4104" t="s">
        <v>6760</v>
      </c>
      <c r="D741" s="812">
        <v>200459600</v>
      </c>
      <c r="E741" s="1238">
        <v>200459600</v>
      </c>
      <c r="F741" s="1717">
        <f>E741/D741*100</f>
        <v>100</v>
      </c>
      <c r="G741" s="1717">
        <v>100</v>
      </c>
      <c r="H741" s="1638"/>
      <c r="J741" s="2093"/>
      <c r="K741" s="2093"/>
    </row>
    <row r="742" spans="1:11" ht="12" hidden="1" customHeight="1" x14ac:dyDescent="0.25">
      <c r="B742" s="2913"/>
      <c r="C742" s="3894"/>
      <c r="D742" s="1561"/>
      <c r="E742" s="969"/>
      <c r="F742" s="2281"/>
      <c r="G742" s="2285"/>
      <c r="H742" s="535"/>
    </row>
    <row r="743" spans="1:11" s="1639" customFormat="1" ht="16.5" hidden="1" customHeight="1" x14ac:dyDescent="0.25">
      <c r="A743" s="1637"/>
      <c r="B743" s="5397"/>
      <c r="C743" s="3858" t="s">
        <v>6761</v>
      </c>
      <c r="D743" s="1552">
        <f>D744</f>
        <v>200459600</v>
      </c>
      <c r="E743" s="1552">
        <f>E744</f>
        <v>200459600</v>
      </c>
      <c r="F743" s="1462">
        <f>E743/D743*100</f>
        <v>100</v>
      </c>
      <c r="G743" s="3631">
        <v>100</v>
      </c>
      <c r="H743" s="1638"/>
      <c r="J743" s="2093">
        <v>200459600</v>
      </c>
      <c r="K743" s="2093">
        <v>200459600</v>
      </c>
    </row>
    <row r="744" spans="1:11" s="1639" customFormat="1" ht="21.75" hidden="1" customHeight="1" x14ac:dyDescent="0.25">
      <c r="A744" s="1637"/>
      <c r="B744" s="2913"/>
      <c r="C744" s="3893" t="s">
        <v>1668</v>
      </c>
      <c r="D744" s="1556">
        <v>200459600</v>
      </c>
      <c r="E744" s="1556">
        <v>200459600</v>
      </c>
      <c r="F744" s="2261">
        <f>E744/D744*100</f>
        <v>100</v>
      </c>
      <c r="G744" s="3633">
        <v>100</v>
      </c>
      <c r="H744" s="1638"/>
      <c r="J744" s="2093"/>
      <c r="K744" s="2093"/>
    </row>
    <row r="745" spans="1:11" s="1639" customFormat="1" ht="16.5" hidden="1" customHeight="1" x14ac:dyDescent="0.25">
      <c r="A745" s="1637"/>
      <c r="B745" s="2913"/>
      <c r="C745" s="4104" t="s">
        <v>1669</v>
      </c>
      <c r="D745" s="812">
        <v>200459600</v>
      </c>
      <c r="E745" s="3879">
        <v>200459600</v>
      </c>
      <c r="F745" s="1717">
        <f>E745/D745*100</f>
        <v>100</v>
      </c>
      <c r="G745" s="3630">
        <v>100</v>
      </c>
      <c r="H745" s="1638"/>
      <c r="J745" s="2093"/>
      <c r="K745" s="2093"/>
    </row>
    <row r="746" spans="1:11" ht="12" hidden="1" customHeight="1" x14ac:dyDescent="0.25">
      <c r="B746" s="2913"/>
      <c r="C746" s="3892"/>
      <c r="D746" s="1558"/>
      <c r="E746" s="868"/>
      <c r="F746" s="995"/>
      <c r="G746" s="868"/>
      <c r="H746" s="535"/>
    </row>
    <row r="747" spans="1:11" s="1639" customFormat="1" ht="15.75" hidden="1" customHeight="1" x14ac:dyDescent="0.25">
      <c r="A747" s="1637"/>
      <c r="B747" s="5397"/>
      <c r="C747" s="3858" t="s">
        <v>6762</v>
      </c>
      <c r="D747" s="1552">
        <f>D748</f>
        <v>150259000</v>
      </c>
      <c r="E747" s="1552">
        <f>E748</f>
        <v>150259000</v>
      </c>
      <c r="F747" s="1462">
        <f>E747/D747*100</f>
        <v>100</v>
      </c>
      <c r="G747" s="3631">
        <v>100</v>
      </c>
      <c r="H747" s="1638"/>
      <c r="J747" s="2093">
        <v>150259000</v>
      </c>
      <c r="K747" s="2093">
        <v>150259000</v>
      </c>
    </row>
    <row r="748" spans="1:11" s="1639" customFormat="1" ht="19.5" hidden="1" customHeight="1" x14ac:dyDescent="0.25">
      <c r="A748" s="1637"/>
      <c r="B748" s="2913"/>
      <c r="C748" s="3893" t="s">
        <v>1670</v>
      </c>
      <c r="D748" s="1556">
        <f>D749</f>
        <v>150259000</v>
      </c>
      <c r="E748" s="1556">
        <f>E749</f>
        <v>150259000</v>
      </c>
      <c r="F748" s="2261">
        <f>E748/D748*100</f>
        <v>100</v>
      </c>
      <c r="G748" s="3633">
        <v>100</v>
      </c>
      <c r="H748" s="1638"/>
      <c r="J748" s="2093"/>
      <c r="K748" s="2093"/>
    </row>
    <row r="749" spans="1:11" s="1639" customFormat="1" ht="14.25" hidden="1" customHeight="1" x14ac:dyDescent="0.25">
      <c r="A749" s="1637"/>
      <c r="B749" s="2913"/>
      <c r="C749" s="4104" t="s">
        <v>1671</v>
      </c>
      <c r="D749" s="812">
        <v>150259000</v>
      </c>
      <c r="E749" s="3879">
        <v>150259000</v>
      </c>
      <c r="F749" s="1717">
        <f>E749/D749*100</f>
        <v>100</v>
      </c>
      <c r="G749" s="3630">
        <v>100</v>
      </c>
      <c r="H749" s="1638"/>
      <c r="J749" s="2093"/>
      <c r="K749" s="2093"/>
    </row>
    <row r="750" spans="1:11" ht="12" hidden="1" customHeight="1" x14ac:dyDescent="0.25">
      <c r="B750" s="2913"/>
      <c r="C750" s="3893"/>
      <c r="D750" s="1559"/>
      <c r="E750" s="788"/>
      <c r="F750" s="2281"/>
      <c r="G750" s="2285"/>
      <c r="H750" s="535"/>
    </row>
    <row r="751" spans="1:11" s="1639" customFormat="1" ht="18" hidden="1" customHeight="1" x14ac:dyDescent="0.25">
      <c r="A751" s="1637"/>
      <c r="B751" s="5397"/>
      <c r="C751" s="3858" t="s">
        <v>6763</v>
      </c>
      <c r="D751" s="1552">
        <f>D752</f>
        <v>200459600</v>
      </c>
      <c r="E751" s="1552">
        <f>E752</f>
        <v>200459600</v>
      </c>
      <c r="F751" s="1462">
        <f>E751/D751*100</f>
        <v>100</v>
      </c>
      <c r="G751" s="3631">
        <v>100</v>
      </c>
      <c r="H751" s="1638"/>
      <c r="J751" s="2093">
        <v>200459600</v>
      </c>
      <c r="K751" s="2093">
        <v>200459600</v>
      </c>
    </row>
    <row r="752" spans="1:11" s="1639" customFormat="1" ht="18.75" hidden="1" customHeight="1" x14ac:dyDescent="0.25">
      <c r="A752" s="1637"/>
      <c r="B752" s="2913"/>
      <c r="C752" s="3893" t="s">
        <v>1672</v>
      </c>
      <c r="D752" s="1562">
        <v>200459600</v>
      </c>
      <c r="E752" s="1562">
        <v>200459600</v>
      </c>
      <c r="F752" s="2261">
        <f>E752/D752*100</f>
        <v>100</v>
      </c>
      <c r="G752" s="3633">
        <v>100</v>
      </c>
      <c r="H752" s="1638"/>
      <c r="J752" s="2093"/>
      <c r="K752" s="2093"/>
    </row>
    <row r="753" spans="1:11" s="1639" customFormat="1" ht="16.5" hidden="1" customHeight="1" x14ac:dyDescent="0.25">
      <c r="A753" s="1637"/>
      <c r="B753" s="2913"/>
      <c r="C753" s="4104" t="s">
        <v>1673</v>
      </c>
      <c r="D753" s="1563">
        <v>200459600</v>
      </c>
      <c r="E753" s="3879">
        <v>200459600</v>
      </c>
      <c r="F753" s="1717">
        <f>E753/D753*100</f>
        <v>100</v>
      </c>
      <c r="G753" s="3630">
        <v>100</v>
      </c>
      <c r="H753" s="1638"/>
      <c r="J753" s="2093"/>
      <c r="K753" s="2093"/>
    </row>
    <row r="754" spans="1:11" ht="7.5" hidden="1" customHeight="1" x14ac:dyDescent="0.25">
      <c r="B754" s="2913"/>
      <c r="C754" s="4116"/>
      <c r="D754" s="1560"/>
      <c r="E754" s="894"/>
      <c r="F754" s="1717"/>
      <c r="G754" s="1315"/>
      <c r="H754" s="535"/>
    </row>
    <row r="755" spans="1:11" s="2123" customFormat="1" ht="17.25" hidden="1" customHeight="1" x14ac:dyDescent="0.25">
      <c r="A755" s="2120"/>
      <c r="B755" s="5406"/>
      <c r="C755" s="3913" t="s">
        <v>6764</v>
      </c>
      <c r="D755" s="5475">
        <f>D756</f>
        <v>241463600</v>
      </c>
      <c r="E755" s="5475">
        <f>E756</f>
        <v>241463600</v>
      </c>
      <c r="F755" s="1462">
        <f>E755/D755*100</f>
        <v>100</v>
      </c>
      <c r="G755" s="3631">
        <v>100</v>
      </c>
      <c r="H755" s="2122"/>
      <c r="J755" s="2145">
        <v>241463600</v>
      </c>
      <c r="K755" s="2145">
        <v>241463600</v>
      </c>
    </row>
    <row r="756" spans="1:11" s="2123" customFormat="1" hidden="1" x14ac:dyDescent="0.25">
      <c r="A756" s="2120"/>
      <c r="B756" s="5407"/>
      <c r="C756" s="3968" t="s">
        <v>1674</v>
      </c>
      <c r="D756" s="5476">
        <f>D757</f>
        <v>241463600</v>
      </c>
      <c r="E756" s="4512">
        <f>E757</f>
        <v>241463600</v>
      </c>
      <c r="F756" s="2261">
        <f>E756/D756*100</f>
        <v>100</v>
      </c>
      <c r="G756" s="3633">
        <v>100</v>
      </c>
      <c r="H756" s="2122"/>
      <c r="J756" s="2145"/>
      <c r="K756" s="2145"/>
    </row>
    <row r="757" spans="1:11" s="2123" customFormat="1" ht="14.25" hidden="1" customHeight="1" x14ac:dyDescent="0.25">
      <c r="A757" s="2120"/>
      <c r="B757" s="5407"/>
      <c r="C757" s="4118" t="s">
        <v>1675</v>
      </c>
      <c r="D757" s="1565">
        <v>241463600</v>
      </c>
      <c r="E757" s="3879">
        <v>241463600</v>
      </c>
      <c r="F757" s="1717">
        <f>E757/D757*100</f>
        <v>100</v>
      </c>
      <c r="G757" s="3630">
        <v>100</v>
      </c>
      <c r="H757" s="2122"/>
      <c r="J757" s="2145"/>
      <c r="K757" s="2145"/>
    </row>
    <row r="758" spans="1:11" ht="13.5" hidden="1" customHeight="1" x14ac:dyDescent="0.25">
      <c r="B758" s="2913"/>
      <c r="C758" s="3873"/>
      <c r="D758" s="1564"/>
      <c r="E758" s="788"/>
      <c r="F758" s="2281"/>
      <c r="G758" s="2285"/>
      <c r="H758" s="535"/>
    </row>
    <row r="759" spans="1:11" s="4099" customFormat="1" ht="18" hidden="1" customHeight="1" x14ac:dyDescent="0.25">
      <c r="A759" s="4101"/>
      <c r="B759" s="5397"/>
      <c r="C759" s="3858" t="s">
        <v>6765</v>
      </c>
      <c r="D759" s="1552">
        <f>D760</f>
        <v>200459600</v>
      </c>
      <c r="E759" s="1552">
        <f>E760</f>
        <v>200459600</v>
      </c>
      <c r="F759" s="1462">
        <f>E759/D759*100</f>
        <v>100</v>
      </c>
      <c r="G759" s="2356">
        <v>100</v>
      </c>
      <c r="H759" s="4109"/>
      <c r="J759" s="522">
        <v>200459600</v>
      </c>
      <c r="K759" s="522">
        <v>200459600</v>
      </c>
    </row>
    <row r="760" spans="1:11" s="4099" customFormat="1" ht="15.75" hidden="1" customHeight="1" x14ac:dyDescent="0.25">
      <c r="A760" s="4101"/>
      <c r="B760" s="2913"/>
      <c r="C760" s="3968" t="s">
        <v>1676</v>
      </c>
      <c r="D760" s="1556">
        <f>D761</f>
        <v>200459600</v>
      </c>
      <c r="E760" s="1556">
        <f>E761</f>
        <v>200459600</v>
      </c>
      <c r="F760" s="2512">
        <f>E760/D760*100</f>
        <v>100</v>
      </c>
      <c r="G760" s="3691">
        <v>100</v>
      </c>
      <c r="H760" s="4109"/>
      <c r="J760" s="522"/>
      <c r="K760" s="522"/>
    </row>
    <row r="761" spans="1:11" s="4099" customFormat="1" ht="15.75" hidden="1" customHeight="1" x14ac:dyDescent="0.25">
      <c r="A761" s="4101"/>
      <c r="B761" s="2913"/>
      <c r="C761" s="4118" t="s">
        <v>1677</v>
      </c>
      <c r="D761" s="812">
        <v>200459600</v>
      </c>
      <c r="E761" s="666">
        <v>200459600</v>
      </c>
      <c r="F761" s="1717">
        <f>E761/D761*100</f>
        <v>100</v>
      </c>
      <c r="G761" s="1717">
        <v>100</v>
      </c>
      <c r="H761" s="4109"/>
      <c r="J761" s="522"/>
      <c r="K761" s="522"/>
    </row>
    <row r="762" spans="1:11" s="4099" customFormat="1" ht="15.75" hidden="1" customHeight="1" x14ac:dyDescent="0.25">
      <c r="A762" s="4101"/>
      <c r="B762" s="2913"/>
      <c r="C762" s="3893"/>
      <c r="D762" s="1559"/>
      <c r="E762" s="969"/>
      <c r="F762" s="2265"/>
      <c r="G762" s="2279"/>
      <c r="H762" s="4109"/>
      <c r="J762" s="522"/>
      <c r="K762" s="522"/>
    </row>
    <row r="763" spans="1:11" s="4099" customFormat="1" ht="18.75" hidden="1" customHeight="1" x14ac:dyDescent="0.25">
      <c r="A763" s="4101"/>
      <c r="B763" s="5397"/>
      <c r="C763" s="3858" t="s">
        <v>6766</v>
      </c>
      <c r="D763" s="1552">
        <f>D764</f>
        <v>198849400</v>
      </c>
      <c r="E763" s="1552">
        <f>E764</f>
        <v>198849400</v>
      </c>
      <c r="F763" s="1462">
        <f>E763/D763*100</f>
        <v>100</v>
      </c>
      <c r="G763" s="2356">
        <v>100</v>
      </c>
      <c r="H763" s="4109"/>
      <c r="J763" s="522">
        <v>198849400</v>
      </c>
      <c r="K763" s="522">
        <v>198849400</v>
      </c>
    </row>
    <row r="764" spans="1:11" s="4099" customFormat="1" ht="15.75" hidden="1" customHeight="1" x14ac:dyDescent="0.25">
      <c r="A764" s="4101"/>
      <c r="B764" s="2913"/>
      <c r="C764" s="3893" t="s">
        <v>1678</v>
      </c>
      <c r="D764" s="1556">
        <f>D765</f>
        <v>198849400</v>
      </c>
      <c r="E764" s="1556">
        <f>E765</f>
        <v>198849400</v>
      </c>
      <c r="F764" s="2512">
        <f>E764/D764*100</f>
        <v>100</v>
      </c>
      <c r="G764" s="3691">
        <v>100</v>
      </c>
      <c r="H764" s="4109"/>
      <c r="J764" s="522"/>
      <c r="K764" s="522"/>
    </row>
    <row r="765" spans="1:11" s="3387" customFormat="1" ht="15" hidden="1" customHeight="1" x14ac:dyDescent="0.25">
      <c r="A765" s="3587"/>
      <c r="B765" s="5401"/>
      <c r="C765" s="4104" t="s">
        <v>1679</v>
      </c>
      <c r="D765" s="812">
        <v>198849400</v>
      </c>
      <c r="E765" s="666">
        <v>198849400</v>
      </c>
      <c r="F765" s="1717">
        <f>E765/D765*100</f>
        <v>100</v>
      </c>
      <c r="G765" s="1717">
        <v>100</v>
      </c>
      <c r="H765" s="3590"/>
      <c r="J765" s="3700"/>
      <c r="K765" s="3700"/>
    </row>
    <row r="766" spans="1:11" s="4099" customFormat="1" ht="15.75" hidden="1" customHeight="1" x14ac:dyDescent="0.25">
      <c r="A766" s="4101"/>
      <c r="B766" s="2913"/>
      <c r="C766" s="3893"/>
      <c r="D766" s="1559"/>
      <c r="E766" s="969"/>
      <c r="F766" s="2265"/>
      <c r="G766" s="2279"/>
      <c r="H766" s="4109"/>
      <c r="J766" s="522"/>
      <c r="K766" s="522"/>
    </row>
    <row r="767" spans="1:11" s="4099" customFormat="1" ht="15.75" hidden="1" customHeight="1" x14ac:dyDescent="0.25">
      <c r="A767" s="4101"/>
      <c r="B767" s="5397"/>
      <c r="C767" s="3858" t="s">
        <v>6767</v>
      </c>
      <c r="D767" s="1552">
        <f>D768</f>
        <v>315500000</v>
      </c>
      <c r="E767" s="1552">
        <f>E768</f>
        <v>314400000</v>
      </c>
      <c r="F767" s="1462">
        <f>E767/D767*100</f>
        <v>99.651347068145796</v>
      </c>
      <c r="G767" s="2356">
        <v>100</v>
      </c>
      <c r="H767" s="4109"/>
      <c r="J767" s="522">
        <v>315500000</v>
      </c>
      <c r="K767" s="522">
        <v>314400000</v>
      </c>
    </row>
    <row r="768" spans="1:11" s="4099" customFormat="1" ht="15.75" hidden="1" customHeight="1" x14ac:dyDescent="0.25">
      <c r="A768" s="4101"/>
      <c r="B768" s="2913"/>
      <c r="C768" s="3893" t="s">
        <v>6768</v>
      </c>
      <c r="D768" s="1556">
        <f>SUM(D769:D770)</f>
        <v>315500000</v>
      </c>
      <c r="E768" s="1556">
        <f>SUM(E769:E770)</f>
        <v>314400000</v>
      </c>
      <c r="F768" s="2512">
        <f>E768/D768*100</f>
        <v>99.651347068145796</v>
      </c>
      <c r="G768" s="3691">
        <v>100</v>
      </c>
      <c r="H768" s="4109"/>
      <c r="J768" s="522"/>
      <c r="K768" s="522"/>
    </row>
    <row r="769" spans="1:11" s="4099" customFormat="1" ht="15.75" hidden="1" customHeight="1" x14ac:dyDescent="0.25">
      <c r="A769" s="4101"/>
      <c r="B769" s="2913"/>
      <c r="C769" s="4104" t="s">
        <v>6769</v>
      </c>
      <c r="D769" s="812">
        <v>152300000</v>
      </c>
      <c r="E769" s="666">
        <v>152300000</v>
      </c>
      <c r="F769" s="1717">
        <f>E769/D769*100</f>
        <v>100</v>
      </c>
      <c r="G769" s="1717">
        <v>100</v>
      </c>
      <c r="H769" s="4109"/>
      <c r="J769" s="522"/>
      <c r="K769" s="522"/>
    </row>
    <row r="770" spans="1:11" s="4099" customFormat="1" ht="15.75" hidden="1" customHeight="1" x14ac:dyDescent="0.25">
      <c r="A770" s="4101"/>
      <c r="B770" s="2913"/>
      <c r="C770" s="4104" t="s">
        <v>6770</v>
      </c>
      <c r="D770" s="812">
        <v>163200000</v>
      </c>
      <c r="E770" s="666">
        <v>162100000</v>
      </c>
      <c r="F770" s="1717">
        <f>E770/D770*100</f>
        <v>99.325980392156865</v>
      </c>
      <c r="G770" s="1717">
        <v>100</v>
      </c>
      <c r="H770" s="4109"/>
      <c r="J770" s="522"/>
      <c r="K770" s="522"/>
    </row>
    <row r="771" spans="1:11" s="4099" customFormat="1" ht="13.5" hidden="1" customHeight="1" x14ac:dyDescent="0.25">
      <c r="A771" s="4101"/>
      <c r="B771" s="2913"/>
      <c r="C771" s="3893"/>
      <c r="D771" s="1559"/>
      <c r="E771" s="969"/>
      <c r="F771" s="2265"/>
      <c r="G771" s="2279"/>
      <c r="H771" s="4109"/>
      <c r="J771" s="522"/>
      <c r="K771" s="522"/>
    </row>
    <row r="772" spans="1:11" s="4099" customFormat="1" ht="28.5" hidden="1" customHeight="1" x14ac:dyDescent="0.25">
      <c r="A772" s="4101"/>
      <c r="B772" s="5397"/>
      <c r="C772" s="3858" t="s">
        <v>6771</v>
      </c>
      <c r="D772" s="1552">
        <f>SUM(D773+D776+D781+D786)</f>
        <v>810095100</v>
      </c>
      <c r="E772" s="1552">
        <f>SUM(E773+E776+E781+E786)</f>
        <v>803763440</v>
      </c>
      <c r="F772" s="1462">
        <f>E772/D772*100</f>
        <v>99.218405345248968</v>
      </c>
      <c r="G772" s="2356">
        <v>100</v>
      </c>
      <c r="H772" s="4109"/>
      <c r="J772" s="522">
        <v>810095100</v>
      </c>
      <c r="K772" s="522">
        <v>803763440</v>
      </c>
    </row>
    <row r="773" spans="1:11" s="4099" customFormat="1" ht="21" hidden="1" customHeight="1" x14ac:dyDescent="0.25">
      <c r="A773" s="4101"/>
      <c r="B773" s="2913"/>
      <c r="C773" s="3893" t="s">
        <v>6772</v>
      </c>
      <c r="D773" s="1556">
        <f>D774</f>
        <v>21800000</v>
      </c>
      <c r="E773" s="1556">
        <f>E774</f>
        <v>21800000</v>
      </c>
      <c r="F773" s="2512">
        <f>E773/D773*100</f>
        <v>100</v>
      </c>
      <c r="G773" s="3691">
        <v>100</v>
      </c>
      <c r="H773" s="4109"/>
      <c r="J773" s="522"/>
      <c r="K773" s="522"/>
    </row>
    <row r="774" spans="1:11" s="4099" customFormat="1" ht="26.25" hidden="1" customHeight="1" x14ac:dyDescent="0.25">
      <c r="A774" s="4101"/>
      <c r="B774" s="2913"/>
      <c r="C774" s="4104" t="s">
        <v>6773</v>
      </c>
      <c r="D774" s="812">
        <v>21800000</v>
      </c>
      <c r="E774" s="666">
        <v>21800000</v>
      </c>
      <c r="F774" s="1717">
        <f>E774/D774*100</f>
        <v>100</v>
      </c>
      <c r="G774" s="1717">
        <v>100</v>
      </c>
      <c r="H774" s="4109"/>
      <c r="J774" s="522"/>
      <c r="K774" s="522"/>
    </row>
    <row r="775" spans="1:11" s="4099" customFormat="1" ht="10.5" hidden="1" customHeight="1" x14ac:dyDescent="0.25">
      <c r="A775" s="4101"/>
      <c r="B775" s="2913"/>
      <c r="C775" s="4116"/>
      <c r="D775" s="1560"/>
      <c r="E775" s="894"/>
      <c r="F775" s="1717"/>
      <c r="G775" s="1315"/>
      <c r="H775" s="4109"/>
      <c r="J775" s="522"/>
      <c r="K775" s="522"/>
    </row>
    <row r="776" spans="1:11" s="4099" customFormat="1" ht="18" hidden="1" customHeight="1" x14ac:dyDescent="0.25">
      <c r="A776" s="4101"/>
      <c r="B776" s="2913"/>
      <c r="C776" s="4116" t="s">
        <v>6774</v>
      </c>
      <c r="D776" s="1557">
        <f>SUM(D777:D779)</f>
        <v>237858000</v>
      </c>
      <c r="E776" s="1557">
        <f>SUM(E777:E779)</f>
        <v>233996440</v>
      </c>
      <c r="F776" s="2261">
        <f>E776/D776*100</f>
        <v>98.376527171673857</v>
      </c>
      <c r="G776" s="2261">
        <v>100</v>
      </c>
      <c r="H776" s="4109"/>
      <c r="J776" s="522"/>
      <c r="K776" s="522"/>
    </row>
    <row r="777" spans="1:11" s="4099" customFormat="1" ht="15.75" hidden="1" customHeight="1" x14ac:dyDescent="0.25">
      <c r="A777" s="4101"/>
      <c r="B777" s="2913"/>
      <c r="C777" s="4104" t="s">
        <v>6775</v>
      </c>
      <c r="D777" s="812">
        <v>60440000</v>
      </c>
      <c r="E777" s="666">
        <v>60440000</v>
      </c>
      <c r="F777" s="1717">
        <f>E777/D777*100</f>
        <v>100</v>
      </c>
      <c r="G777" s="1717">
        <v>100</v>
      </c>
      <c r="H777" s="4109"/>
      <c r="J777" s="522"/>
      <c r="K777" s="522"/>
    </row>
    <row r="778" spans="1:11" s="4099" customFormat="1" ht="15.75" hidden="1" customHeight="1" x14ac:dyDescent="0.25">
      <c r="A778" s="4101"/>
      <c r="B778" s="2913"/>
      <c r="C778" s="4104" t="s">
        <v>6776</v>
      </c>
      <c r="D778" s="812">
        <v>62610000</v>
      </c>
      <c r="E778" s="666">
        <v>58748440</v>
      </c>
      <c r="F778" s="1717">
        <f>E778/D778*100</f>
        <v>93.832359048075389</v>
      </c>
      <c r="G778" s="1717">
        <v>100</v>
      </c>
      <c r="H778" s="4109"/>
      <c r="J778" s="522"/>
      <c r="K778" s="522"/>
    </row>
    <row r="779" spans="1:11" s="4099" customFormat="1" ht="15.75" hidden="1" customHeight="1" x14ac:dyDescent="0.25">
      <c r="A779" s="4101"/>
      <c r="B779" s="2913"/>
      <c r="C779" s="4104" t="s">
        <v>6777</v>
      </c>
      <c r="D779" s="812">
        <v>114808000</v>
      </c>
      <c r="E779" s="666">
        <v>114808000</v>
      </c>
      <c r="F779" s="1717">
        <f>E779/D779*100</f>
        <v>100</v>
      </c>
      <c r="G779" s="1717">
        <v>100</v>
      </c>
      <c r="H779" s="4109"/>
      <c r="J779" s="522"/>
      <c r="K779" s="522"/>
    </row>
    <row r="780" spans="1:11" s="4099" customFormat="1" ht="10.5" hidden="1" customHeight="1" x14ac:dyDescent="0.25">
      <c r="A780" s="4101"/>
      <c r="B780" s="2913"/>
      <c r="C780" s="4116"/>
      <c r="D780" s="1560"/>
      <c r="E780" s="894"/>
      <c r="F780" s="1717"/>
      <c r="G780" s="1315"/>
      <c r="H780" s="4109"/>
      <c r="J780" s="522"/>
      <c r="K780" s="522"/>
    </row>
    <row r="781" spans="1:11" s="4099" customFormat="1" ht="20.25" hidden="1" customHeight="1" x14ac:dyDescent="0.25">
      <c r="A781" s="4101"/>
      <c r="B781" s="2913"/>
      <c r="C781" s="4116" t="s">
        <v>6778</v>
      </c>
      <c r="D781" s="1557">
        <f>SUM(D782:D784)</f>
        <v>290184800</v>
      </c>
      <c r="E781" s="1557">
        <f>SUM(E782:E784)</f>
        <v>287914700</v>
      </c>
      <c r="F781" s="2261">
        <f>E781/D781*100</f>
        <v>99.217705407037172</v>
      </c>
      <c r="G781" s="2261">
        <v>100</v>
      </c>
      <c r="H781" s="4109"/>
      <c r="J781" s="522"/>
      <c r="K781" s="522"/>
    </row>
    <row r="782" spans="1:11" s="4099" customFormat="1" ht="15.75" hidden="1" customHeight="1" x14ac:dyDescent="0.25">
      <c r="A782" s="4101"/>
      <c r="B782" s="2913"/>
      <c r="C782" s="4104" t="s">
        <v>6779</v>
      </c>
      <c r="D782" s="812">
        <v>64610000</v>
      </c>
      <c r="E782" s="666">
        <v>64399900</v>
      </c>
      <c r="F782" s="1717">
        <f>E782/D782*100</f>
        <v>99.67481813960687</v>
      </c>
      <c r="G782" s="1717">
        <v>100</v>
      </c>
      <c r="H782" s="4109"/>
      <c r="J782" s="522"/>
      <c r="K782" s="522"/>
    </row>
    <row r="783" spans="1:11" s="4099" customFormat="1" ht="15.75" hidden="1" customHeight="1" x14ac:dyDescent="0.25">
      <c r="A783" s="4101"/>
      <c r="B783" s="2913"/>
      <c r="C783" s="4104" t="s">
        <v>6780</v>
      </c>
      <c r="D783" s="812">
        <v>149674800</v>
      </c>
      <c r="E783" s="666">
        <v>149674800</v>
      </c>
      <c r="F783" s="1717">
        <f>E783/D783*100</f>
        <v>100</v>
      </c>
      <c r="G783" s="1717">
        <v>100</v>
      </c>
      <c r="H783" s="4109"/>
      <c r="J783" s="522"/>
      <c r="K783" s="522"/>
    </row>
    <row r="784" spans="1:11" s="4099" customFormat="1" ht="15.75" hidden="1" customHeight="1" x14ac:dyDescent="0.25">
      <c r="A784" s="4101"/>
      <c r="B784" s="2913"/>
      <c r="C784" s="4104" t="s">
        <v>6781</v>
      </c>
      <c r="D784" s="812">
        <v>75900000</v>
      </c>
      <c r="E784" s="666">
        <v>73840000</v>
      </c>
      <c r="F784" s="1717">
        <f>E784/D784*100</f>
        <v>97.285902503293812</v>
      </c>
      <c r="G784" s="1717">
        <v>100</v>
      </c>
      <c r="H784" s="4109"/>
      <c r="J784" s="522"/>
      <c r="K784" s="522"/>
    </row>
    <row r="785" spans="1:11" s="4099" customFormat="1" ht="11.25" hidden="1" customHeight="1" x14ac:dyDescent="0.25">
      <c r="A785" s="4101"/>
      <c r="B785" s="2913"/>
      <c r="C785" s="4116"/>
      <c r="D785" s="1560"/>
      <c r="E785" s="894"/>
      <c r="F785" s="1717"/>
      <c r="G785" s="1315"/>
      <c r="H785" s="4109"/>
      <c r="J785" s="522"/>
      <c r="K785" s="522"/>
    </row>
    <row r="786" spans="1:11" s="4099" customFormat="1" ht="20.25" hidden="1" customHeight="1" x14ac:dyDescent="0.25">
      <c r="A786" s="4101"/>
      <c r="B786" s="2913"/>
      <c r="C786" s="4116" t="s">
        <v>6782</v>
      </c>
      <c r="D786" s="1557">
        <f>SUM(D787:D789)</f>
        <v>260252300</v>
      </c>
      <c r="E786" s="1557">
        <f>SUM(E787:E789)</f>
        <v>260052300</v>
      </c>
      <c r="F786" s="2261">
        <f>E786/D786*100</f>
        <v>99.923151495683229</v>
      </c>
      <c r="G786" s="2261">
        <v>100</v>
      </c>
      <c r="H786" s="4109"/>
      <c r="J786" s="522"/>
      <c r="K786" s="522"/>
    </row>
    <row r="787" spans="1:11" s="4099" customFormat="1" ht="15.75" hidden="1" customHeight="1" x14ac:dyDescent="0.25">
      <c r="A787" s="4101"/>
      <c r="B787" s="2913"/>
      <c r="C787" s="4104" t="s">
        <v>6783</v>
      </c>
      <c r="D787" s="812">
        <v>88037800</v>
      </c>
      <c r="E787" s="666">
        <v>87837800</v>
      </c>
      <c r="F787" s="1717">
        <f>E787/D787*100</f>
        <v>99.772824854778293</v>
      </c>
      <c r="G787" s="1717">
        <v>100</v>
      </c>
      <c r="H787" s="4109"/>
      <c r="J787" s="522"/>
      <c r="K787" s="522"/>
    </row>
    <row r="788" spans="1:11" s="4099" customFormat="1" ht="28.5" hidden="1" customHeight="1" x14ac:dyDescent="0.25">
      <c r="A788" s="4101"/>
      <c r="B788" s="2913"/>
      <c r="C788" s="4104" t="s">
        <v>6784</v>
      </c>
      <c r="D788" s="812">
        <v>151945000</v>
      </c>
      <c r="E788" s="666">
        <v>151945000</v>
      </c>
      <c r="F788" s="1717">
        <f>E788/D788*100</f>
        <v>100</v>
      </c>
      <c r="G788" s="1717">
        <v>100</v>
      </c>
      <c r="H788" s="4109"/>
      <c r="J788" s="522"/>
      <c r="K788" s="522"/>
    </row>
    <row r="789" spans="1:11" s="4099" customFormat="1" ht="15.75" hidden="1" customHeight="1" x14ac:dyDescent="0.25">
      <c r="A789" s="4101"/>
      <c r="B789" s="2913"/>
      <c r="C789" s="4104" t="s">
        <v>6785</v>
      </c>
      <c r="D789" s="812">
        <v>20269500</v>
      </c>
      <c r="E789" s="666">
        <v>20269500</v>
      </c>
      <c r="F789" s="1717">
        <f>E789/D789*100</f>
        <v>100</v>
      </c>
      <c r="G789" s="1717">
        <v>100</v>
      </c>
      <c r="H789" s="4109"/>
      <c r="J789" s="522"/>
      <c r="K789" s="522"/>
    </row>
    <row r="790" spans="1:11" s="4099" customFormat="1" ht="15.75" hidden="1" customHeight="1" x14ac:dyDescent="0.25">
      <c r="A790" s="4101"/>
      <c r="B790" s="2913"/>
      <c r="C790" s="3873"/>
      <c r="D790" s="1564"/>
      <c r="E790" s="788"/>
      <c r="F790" s="2281"/>
      <c r="G790" s="2285"/>
      <c r="H790" s="4109"/>
      <c r="J790" s="522"/>
      <c r="K790" s="522"/>
    </row>
    <row r="791" spans="1:11" s="4099" customFormat="1" ht="15.75" hidden="1" customHeight="1" x14ac:dyDescent="0.25">
      <c r="A791" s="4101"/>
      <c r="B791" s="5397"/>
      <c r="C791" s="3858" t="s">
        <v>6786</v>
      </c>
      <c r="D791" s="1552">
        <f>SUM(D792+D795)</f>
        <v>773134000</v>
      </c>
      <c r="E791" s="1552">
        <f>SUM(E792+E795)</f>
        <v>765634000</v>
      </c>
      <c r="F791" s="1462">
        <f>E791/D791*100</f>
        <v>99.029922367920705</v>
      </c>
      <c r="G791" s="2356">
        <v>100</v>
      </c>
      <c r="H791" s="4109"/>
      <c r="J791" s="522">
        <v>773134000</v>
      </c>
      <c r="K791" s="522">
        <v>765634000</v>
      </c>
    </row>
    <row r="792" spans="1:11" s="4099" customFormat="1" ht="21" hidden="1" customHeight="1" x14ac:dyDescent="0.25">
      <c r="A792" s="4101"/>
      <c r="B792" s="2913"/>
      <c r="C792" s="3881" t="s">
        <v>6787</v>
      </c>
      <c r="D792" s="1567">
        <f>D793</f>
        <v>70584000</v>
      </c>
      <c r="E792" s="1567">
        <f>E793</f>
        <v>70584000</v>
      </c>
      <c r="F792" s="2512">
        <f>E792/D792*100</f>
        <v>100</v>
      </c>
      <c r="G792" s="2562">
        <v>100</v>
      </c>
      <c r="H792" s="4109"/>
      <c r="J792" s="522"/>
      <c r="K792" s="522"/>
    </row>
    <row r="793" spans="1:11" s="4099" customFormat="1" ht="15.75" hidden="1" customHeight="1" x14ac:dyDescent="0.25">
      <c r="A793" s="4101"/>
      <c r="B793" s="2913"/>
      <c r="C793" s="4104" t="s">
        <v>6788</v>
      </c>
      <c r="D793" s="812">
        <v>70584000</v>
      </c>
      <c r="E793" s="666">
        <v>70584000</v>
      </c>
      <c r="F793" s="1717">
        <f>E793/D793*100</f>
        <v>100</v>
      </c>
      <c r="G793" s="1717">
        <v>100</v>
      </c>
      <c r="H793" s="4109"/>
      <c r="J793" s="522"/>
      <c r="K793" s="522"/>
    </row>
    <row r="794" spans="1:11" s="4099" customFormat="1" ht="11.25" hidden="1" customHeight="1" x14ac:dyDescent="0.25">
      <c r="A794" s="4101"/>
      <c r="B794" s="2913"/>
      <c r="C794" s="4116"/>
      <c r="D794" s="1560"/>
      <c r="E794" s="894"/>
      <c r="F794" s="1717"/>
      <c r="G794" s="1315"/>
      <c r="H794" s="4109"/>
      <c r="J794" s="522"/>
      <c r="K794" s="522"/>
    </row>
    <row r="795" spans="1:11" s="4099" customFormat="1" ht="27" hidden="1" customHeight="1" x14ac:dyDescent="0.25">
      <c r="A795" s="4101"/>
      <c r="B795" s="2913"/>
      <c r="C795" s="4116" t="s">
        <v>6789</v>
      </c>
      <c r="D795" s="1557">
        <f>SUM(D796:D797)</f>
        <v>702550000</v>
      </c>
      <c r="E795" s="1557">
        <f>SUM(E796:E797)</f>
        <v>695050000</v>
      </c>
      <c r="F795" s="2261">
        <f>E795/D795*100</f>
        <v>98.932460323108671</v>
      </c>
      <c r="G795" s="2261">
        <v>100</v>
      </c>
      <c r="H795" s="4109"/>
      <c r="J795" s="522"/>
      <c r="K795" s="522"/>
    </row>
    <row r="796" spans="1:11" s="4099" customFormat="1" ht="18" hidden="1" customHeight="1" x14ac:dyDescent="0.25">
      <c r="A796" s="4101"/>
      <c r="B796" s="2913"/>
      <c r="C796" s="4104" t="s">
        <v>6790</v>
      </c>
      <c r="D796" s="812">
        <v>324300000</v>
      </c>
      <c r="E796" s="666">
        <v>319300000</v>
      </c>
      <c r="F796" s="1717">
        <f>E796/D796*100</f>
        <v>98.458217699660807</v>
      </c>
      <c r="G796" s="1717">
        <v>100</v>
      </c>
      <c r="H796" s="4109"/>
      <c r="J796" s="522"/>
      <c r="K796" s="522"/>
    </row>
    <row r="797" spans="1:11" s="4099" customFormat="1" ht="18" hidden="1" customHeight="1" x14ac:dyDescent="0.25">
      <c r="A797" s="4101"/>
      <c r="B797" s="2913"/>
      <c r="C797" s="4104" t="s">
        <v>6791</v>
      </c>
      <c r="D797" s="812">
        <v>378250000</v>
      </c>
      <c r="E797" s="666">
        <v>375750000</v>
      </c>
      <c r="F797" s="1717">
        <f>E797/D797*100</f>
        <v>99.339061467283543</v>
      </c>
      <c r="G797" s="1717">
        <v>100</v>
      </c>
      <c r="H797" s="4109"/>
      <c r="J797" s="522"/>
      <c r="K797" s="522"/>
    </row>
    <row r="798" spans="1:11" s="4099" customFormat="1" ht="15.75" hidden="1" customHeight="1" x14ac:dyDescent="0.25">
      <c r="A798" s="4101"/>
      <c r="B798" s="2913"/>
      <c r="C798" s="3873"/>
      <c r="D798" s="1564"/>
      <c r="E798" s="788"/>
      <c r="F798" s="2281"/>
      <c r="G798" s="2285"/>
      <c r="H798" s="536"/>
      <c r="J798" s="522"/>
      <c r="K798" s="522"/>
    </row>
    <row r="799" spans="1:11" s="4099" customFormat="1" ht="19.5" hidden="1" customHeight="1" x14ac:dyDescent="0.25">
      <c r="A799" s="4101"/>
      <c r="B799" s="5397"/>
      <c r="C799" s="3858" t="s">
        <v>6792</v>
      </c>
      <c r="D799" s="1552">
        <f>D800</f>
        <v>689750000</v>
      </c>
      <c r="E799" s="1552">
        <f>E800</f>
        <v>665795400</v>
      </c>
      <c r="F799" s="1462">
        <f t="shared" ref="F799:F804" si="12">E799/D799*100</f>
        <v>96.527060529177234</v>
      </c>
      <c r="G799" s="2356">
        <v>100</v>
      </c>
      <c r="H799" s="4109"/>
      <c r="J799" s="522">
        <v>689750000</v>
      </c>
      <c r="K799" s="522">
        <v>665795400</v>
      </c>
    </row>
    <row r="800" spans="1:11" s="4099" customFormat="1" ht="15.75" hidden="1" customHeight="1" x14ac:dyDescent="0.25">
      <c r="A800" s="4101"/>
      <c r="B800" s="2913"/>
      <c r="C800" s="3881" t="s">
        <v>6793</v>
      </c>
      <c r="D800" s="1567">
        <f>SUM(D801:D804)</f>
        <v>689750000</v>
      </c>
      <c r="E800" s="1567">
        <f>SUM(E801:E804)</f>
        <v>665795400</v>
      </c>
      <c r="F800" s="2512">
        <f t="shared" si="12"/>
        <v>96.527060529177234</v>
      </c>
      <c r="G800" s="2562">
        <v>100</v>
      </c>
      <c r="H800" s="4109"/>
      <c r="J800" s="522"/>
      <c r="K800" s="522"/>
    </row>
    <row r="801" spans="1:11" s="4099" customFormat="1" ht="15.75" hidden="1" customHeight="1" x14ac:dyDescent="0.25">
      <c r="A801" s="4101"/>
      <c r="B801" s="2913"/>
      <c r="C801" s="4104" t="s">
        <v>6794</v>
      </c>
      <c r="D801" s="812">
        <v>245950000</v>
      </c>
      <c r="E801" s="666">
        <v>245949200</v>
      </c>
      <c r="F801" s="1717">
        <f t="shared" si="12"/>
        <v>99.999674730636315</v>
      </c>
      <c r="G801" s="1717">
        <v>100</v>
      </c>
      <c r="H801" s="4109"/>
      <c r="J801" s="522"/>
      <c r="K801" s="522"/>
    </row>
    <row r="802" spans="1:11" s="4099" customFormat="1" ht="15.75" hidden="1" customHeight="1" x14ac:dyDescent="0.25">
      <c r="A802" s="4101"/>
      <c r="B802" s="2913"/>
      <c r="C802" s="4104" t="s">
        <v>6795</v>
      </c>
      <c r="D802" s="812">
        <v>143800000</v>
      </c>
      <c r="E802" s="666">
        <v>143794500</v>
      </c>
      <c r="F802" s="1717">
        <f t="shared" si="12"/>
        <v>99.996175243393608</v>
      </c>
      <c r="G802" s="1717">
        <v>100</v>
      </c>
      <c r="H802" s="4109"/>
      <c r="J802" s="522"/>
      <c r="K802" s="522"/>
    </row>
    <row r="803" spans="1:11" s="4099" customFormat="1" ht="15.75" hidden="1" customHeight="1" x14ac:dyDescent="0.25">
      <c r="A803" s="4101"/>
      <c r="B803" s="2913"/>
      <c r="C803" s="4104" t="s">
        <v>6796</v>
      </c>
      <c r="D803" s="812">
        <v>100000000</v>
      </c>
      <c r="E803" s="666">
        <v>76104000</v>
      </c>
      <c r="F803" s="1717">
        <f t="shared" si="12"/>
        <v>76.103999999999999</v>
      </c>
      <c r="G803" s="1717">
        <v>100</v>
      </c>
      <c r="H803" s="4109"/>
      <c r="J803" s="522"/>
      <c r="K803" s="522"/>
    </row>
    <row r="804" spans="1:11" s="4099" customFormat="1" ht="15.75" hidden="1" customHeight="1" x14ac:dyDescent="0.25">
      <c r="A804" s="4101"/>
      <c r="B804" s="2913"/>
      <c r="C804" s="4104" t="s">
        <v>6797</v>
      </c>
      <c r="D804" s="812">
        <v>200000000</v>
      </c>
      <c r="E804" s="666">
        <v>199947700</v>
      </c>
      <c r="F804" s="1717">
        <f t="shared" si="12"/>
        <v>99.973849999999999</v>
      </c>
      <c r="G804" s="1717">
        <v>100</v>
      </c>
      <c r="H804" s="4109"/>
      <c r="J804" s="522"/>
      <c r="K804" s="522"/>
    </row>
    <row r="805" spans="1:11" s="4099" customFormat="1" ht="15.75" hidden="1" customHeight="1" x14ac:dyDescent="0.25">
      <c r="A805" s="4101"/>
      <c r="B805" s="2913"/>
      <c r="C805" s="3873"/>
      <c r="D805" s="1564"/>
      <c r="E805" s="788"/>
      <c r="F805" s="2281"/>
      <c r="G805" s="2285"/>
      <c r="H805" s="4109"/>
      <c r="J805" s="522"/>
      <c r="K805" s="522"/>
    </row>
    <row r="806" spans="1:11" s="4099" customFormat="1" ht="15.75" hidden="1" customHeight="1" x14ac:dyDescent="0.25">
      <c r="A806" s="4101"/>
      <c r="B806" s="5397"/>
      <c r="C806" s="3858" t="s">
        <v>6798</v>
      </c>
      <c r="D806" s="1552">
        <f>D807</f>
        <v>872600000</v>
      </c>
      <c r="E806" s="1552">
        <f>E807</f>
        <v>418969700</v>
      </c>
      <c r="F806" s="1462">
        <f>E806/D806*100</f>
        <v>48.013946825578728</v>
      </c>
      <c r="G806" s="2356">
        <f>SUM(G807)/1</f>
        <v>33.333333333333336</v>
      </c>
      <c r="H806" s="4109"/>
      <c r="J806" s="522">
        <v>872600000</v>
      </c>
      <c r="K806" s="522">
        <v>418969700</v>
      </c>
    </row>
    <row r="807" spans="1:11" s="4099" customFormat="1" ht="15.75" hidden="1" customHeight="1" x14ac:dyDescent="0.25">
      <c r="A807" s="4101"/>
      <c r="B807" s="2913"/>
      <c r="C807" s="3881" t="s">
        <v>6799</v>
      </c>
      <c r="D807" s="1567">
        <f>SUM(D808:D810)</f>
        <v>872600000</v>
      </c>
      <c r="E807" s="1567">
        <f>SUM(E808:E810)</f>
        <v>418969700</v>
      </c>
      <c r="F807" s="2512">
        <f>E807/D807*100</f>
        <v>48.013946825578728</v>
      </c>
      <c r="G807" s="2562">
        <f>SUM(G808:G810)/3</f>
        <v>33.333333333333336</v>
      </c>
      <c r="H807" s="4110"/>
      <c r="J807" s="522"/>
      <c r="K807" s="522"/>
    </row>
    <row r="808" spans="1:11" s="4099" customFormat="1" ht="15.75" hidden="1" customHeight="1" x14ac:dyDescent="0.25">
      <c r="A808" s="4101"/>
      <c r="B808" s="2913"/>
      <c r="C808" s="4104" t="s">
        <v>6800</v>
      </c>
      <c r="D808" s="812">
        <v>91200000</v>
      </c>
      <c r="E808" s="1891">
        <v>0</v>
      </c>
      <c r="F808" s="3630">
        <v>0</v>
      </c>
      <c r="G808" s="3630">
        <v>0</v>
      </c>
      <c r="H808" s="4109"/>
      <c r="J808" s="522"/>
      <c r="K808" s="522"/>
    </row>
    <row r="809" spans="1:11" s="4099" customFormat="1" ht="15.75" hidden="1" customHeight="1" x14ac:dyDescent="0.25">
      <c r="A809" s="4101"/>
      <c r="B809" s="2913"/>
      <c r="C809" s="4104" t="s">
        <v>6801</v>
      </c>
      <c r="D809" s="812">
        <v>488850000</v>
      </c>
      <c r="E809" s="666">
        <v>418969700</v>
      </c>
      <c r="F809" s="1717">
        <f>E809/D809*100</f>
        <v>85.705165183594147</v>
      </c>
      <c r="G809" s="1717">
        <v>100</v>
      </c>
      <c r="H809" s="4109"/>
      <c r="J809" s="522"/>
      <c r="K809" s="522"/>
    </row>
    <row r="810" spans="1:11" s="4099" customFormat="1" ht="15.75" hidden="1" customHeight="1" x14ac:dyDescent="0.25">
      <c r="A810" s="4101"/>
      <c r="B810" s="2913"/>
      <c r="C810" s="4104" t="s">
        <v>6802</v>
      </c>
      <c r="D810" s="812">
        <v>292550000</v>
      </c>
      <c r="E810" s="1891">
        <v>0</v>
      </c>
      <c r="F810" s="3630">
        <v>0</v>
      </c>
      <c r="G810" s="3630">
        <v>0</v>
      </c>
      <c r="H810" s="4109"/>
      <c r="J810" s="522"/>
      <c r="K810" s="522"/>
    </row>
    <row r="811" spans="1:11" s="4099" customFormat="1" ht="11.25" hidden="1" customHeight="1" x14ac:dyDescent="0.25">
      <c r="A811" s="4101"/>
      <c r="B811" s="2913"/>
      <c r="C811" s="4016"/>
      <c r="D811" s="4513"/>
      <c r="E811" s="973"/>
      <c r="F811" s="2283"/>
      <c r="G811" s="2282"/>
      <c r="H811" s="4109"/>
      <c r="J811" s="522"/>
      <c r="K811" s="522"/>
    </row>
    <row r="812" spans="1:11" ht="17.25" hidden="1" customHeight="1" x14ac:dyDescent="0.25">
      <c r="B812" s="5397"/>
      <c r="C812" s="3858" t="s">
        <v>6803</v>
      </c>
      <c r="D812" s="1552">
        <f>D813</f>
        <v>35133148939</v>
      </c>
      <c r="E812" s="1552">
        <f>E813</f>
        <v>33408148939</v>
      </c>
      <c r="F812" s="1462">
        <f t="shared" ref="F812:F817" si="13">E812/D812*100</f>
        <v>95.090107058165955</v>
      </c>
      <c r="G812" s="2356">
        <v>100</v>
      </c>
      <c r="H812" s="535"/>
      <c r="J812" s="522">
        <v>35133148939</v>
      </c>
      <c r="K812" s="522">
        <v>33408148939</v>
      </c>
    </row>
    <row r="813" spans="1:11" ht="17.25" hidden="1" customHeight="1" x14ac:dyDescent="0.25">
      <c r="B813" s="2913"/>
      <c r="C813" s="3893" t="s">
        <v>6804</v>
      </c>
      <c r="D813" s="1556">
        <f>SUM(D814:D817)</f>
        <v>35133148939</v>
      </c>
      <c r="E813" s="1556">
        <f>SUM(E814:E817)</f>
        <v>33408148939</v>
      </c>
      <c r="F813" s="2512">
        <f t="shared" si="13"/>
        <v>95.090107058165955</v>
      </c>
      <c r="G813" s="3691">
        <v>100</v>
      </c>
      <c r="H813" s="535"/>
    </row>
    <row r="814" spans="1:11" s="1639" customFormat="1" ht="16.5" hidden="1" customHeight="1" x14ac:dyDescent="0.25">
      <c r="A814" s="1637"/>
      <c r="B814" s="2913"/>
      <c r="C814" s="4104" t="s">
        <v>6805</v>
      </c>
      <c r="D814" s="1565">
        <v>7392000000</v>
      </c>
      <c r="E814" s="1238">
        <v>6901000000</v>
      </c>
      <c r="F814" s="1717">
        <f t="shared" si="13"/>
        <v>93.35768398268398</v>
      </c>
      <c r="G814" s="1717">
        <v>100</v>
      </c>
      <c r="H814" s="1638"/>
      <c r="J814" s="2093"/>
      <c r="K814" s="2093"/>
    </row>
    <row r="815" spans="1:11" s="1639" customFormat="1" ht="13.5" hidden="1" customHeight="1" x14ac:dyDescent="0.25">
      <c r="A815" s="1637"/>
      <c r="B815" s="2913"/>
      <c r="C815" s="4104" t="s">
        <v>6806</v>
      </c>
      <c r="D815" s="812">
        <v>2800000000</v>
      </c>
      <c r="E815" s="1238">
        <v>2800000000</v>
      </c>
      <c r="F815" s="1717">
        <f t="shared" si="13"/>
        <v>100</v>
      </c>
      <c r="G815" s="1717">
        <v>100</v>
      </c>
      <c r="H815" s="1638"/>
      <c r="J815" s="2093"/>
      <c r="K815" s="2093"/>
    </row>
    <row r="816" spans="1:11" s="1639" customFormat="1" ht="18" hidden="1" customHeight="1" x14ac:dyDescent="0.25">
      <c r="A816" s="1637"/>
      <c r="B816" s="2913"/>
      <c r="C816" s="4104" t="s">
        <v>6807</v>
      </c>
      <c r="D816" s="812">
        <v>16434000000</v>
      </c>
      <c r="E816" s="1238">
        <v>15200000000</v>
      </c>
      <c r="F816" s="1717">
        <f t="shared" si="13"/>
        <v>92.491176828526221</v>
      </c>
      <c r="G816" s="1717">
        <v>100</v>
      </c>
      <c r="H816" s="1638"/>
      <c r="J816" s="2093"/>
      <c r="K816" s="2093"/>
    </row>
    <row r="817" spans="1:14" s="1639" customFormat="1" ht="14.25" hidden="1" customHeight="1" x14ac:dyDescent="0.25">
      <c r="A817" s="1637"/>
      <c r="B817" s="2913"/>
      <c r="C817" s="4104" t="s">
        <v>6808</v>
      </c>
      <c r="D817" s="1429">
        <v>8507148939</v>
      </c>
      <c r="E817" s="663">
        <v>8507148939</v>
      </c>
      <c r="F817" s="1717">
        <f t="shared" si="13"/>
        <v>100</v>
      </c>
      <c r="G817" s="1717">
        <v>100</v>
      </c>
      <c r="H817" s="1638"/>
      <c r="J817" s="2093"/>
      <c r="K817" s="2093"/>
    </row>
    <row r="818" spans="1:14" ht="12" hidden="1" customHeight="1" x14ac:dyDescent="0.25">
      <c r="B818" s="2913"/>
      <c r="C818" s="3861"/>
      <c r="D818" s="1563"/>
      <c r="E818" s="1094"/>
      <c r="F818" s="1717"/>
      <c r="G818" s="1717"/>
      <c r="H818" s="535"/>
    </row>
    <row r="819" spans="1:14" s="266" customFormat="1" ht="17.25" customHeight="1" x14ac:dyDescent="0.25">
      <c r="A819" s="353"/>
      <c r="B819" s="5408"/>
      <c r="C819" s="2747" t="s">
        <v>601</v>
      </c>
      <c r="D819" s="4529">
        <f>SUM(D821+D887+D955+D959+D969+D979+D1008+D1015+D1065+D1082+D1086+D1104+D1114+D1131+D1138+D1174+D1189+D1218+D1231+D1238+D1247+D1251+D1268)</f>
        <v>165387155000</v>
      </c>
      <c r="E819" s="4529">
        <f>SUM(E821+E887+E955+E959+E969+E979+E1008+E1015+E1065+E1082+E1086+E1104+E1114+E1131+E1138+E1174+E1189+E1218+E1231+E1238+E1247+E1251+E1268)</f>
        <v>147311574792</v>
      </c>
      <c r="F819" s="5477">
        <f>E819/D819*100</f>
        <v>89.070747236688362</v>
      </c>
      <c r="G819" s="5478">
        <f>SUM(G821+G887+G955+G959+G969+G979+G1008+G1015+G1065+G1082+G1086+G1104+G1114+G1131+G1138+G1174+G1189+G1218+G1231+G1238+G1247+G1251+G1268)/23</f>
        <v>96.622613008971697</v>
      </c>
      <c r="H819" s="2076"/>
      <c r="J819" s="2126">
        <v>165387155000</v>
      </c>
      <c r="K819" s="2126">
        <v>147311574792</v>
      </c>
    </row>
    <row r="820" spans="1:14" s="2017" customFormat="1" ht="9" hidden="1" customHeight="1" x14ac:dyDescent="0.25">
      <c r="A820" s="4522"/>
      <c r="B820" s="5409"/>
      <c r="C820" s="3977"/>
      <c r="D820" s="4524"/>
      <c r="E820" s="4524"/>
      <c r="F820" s="1468"/>
      <c r="G820" s="5288"/>
      <c r="H820" s="4526"/>
      <c r="J820" s="2130"/>
      <c r="K820" s="2130"/>
    </row>
    <row r="821" spans="1:14" s="2074" customFormat="1" ht="17.25" hidden="1" customHeight="1" x14ac:dyDescent="0.25">
      <c r="B821" s="5410"/>
      <c r="C821" s="3900" t="s">
        <v>238</v>
      </c>
      <c r="D821" s="1568">
        <f>SUM(D822+D825+D831+D849+D856+D859+D864+D870+D880)</f>
        <v>31340248366</v>
      </c>
      <c r="E821" s="1568">
        <f>SUM(E822+E825+E831+E849+E856+E859+E864+E870+E880)</f>
        <v>29427929510</v>
      </c>
      <c r="F821" s="2752">
        <f>E821/D821*100</f>
        <v>93.898201336289944</v>
      </c>
      <c r="G821" s="5479">
        <f>SUM(G822+G825+G831+G849+G856+G859+G864+G870+G880)/9</f>
        <v>98.861111111111114</v>
      </c>
      <c r="H821" s="2076"/>
      <c r="J821" s="2127">
        <v>32845725035</v>
      </c>
      <c r="K821" s="2127">
        <v>29427929510</v>
      </c>
      <c r="L821" s="4442">
        <f>K821/J821*100%</f>
        <v>0.89594397683844584</v>
      </c>
      <c r="M821" s="4442">
        <v>0.98861111111111122</v>
      </c>
      <c r="N821" s="4443"/>
    </row>
    <row r="822" spans="1:14" s="2074" customFormat="1" ht="14.25" hidden="1" customHeight="1" x14ac:dyDescent="0.25">
      <c r="B822" s="5411"/>
      <c r="C822" s="4299" t="s">
        <v>870</v>
      </c>
      <c r="D822" s="1554">
        <f>D823</f>
        <v>337500000</v>
      </c>
      <c r="E822" s="1554">
        <f>E823</f>
        <v>337500000</v>
      </c>
      <c r="F822" s="877">
        <f>E822/D822*100</f>
        <v>100</v>
      </c>
      <c r="G822" s="877">
        <v>100</v>
      </c>
      <c r="H822" s="2076"/>
      <c r="J822" s="2127">
        <v>535000000</v>
      </c>
      <c r="K822" s="2127"/>
    </row>
    <row r="823" spans="1:14" s="2074" customFormat="1" ht="16.5" hidden="1" customHeight="1" x14ac:dyDescent="0.25">
      <c r="B823" s="5411"/>
      <c r="C823" s="3856" t="s">
        <v>1029</v>
      </c>
      <c r="D823" s="1126">
        <v>337500000</v>
      </c>
      <c r="E823" s="878">
        <v>337500000</v>
      </c>
      <c r="F823" s="878">
        <f>E823/D823*100</f>
        <v>100</v>
      </c>
      <c r="G823" s="878">
        <v>100</v>
      </c>
      <c r="H823" s="2076"/>
      <c r="J823" s="2127"/>
      <c r="K823" s="2127"/>
    </row>
    <row r="824" spans="1:14" s="2074" customFormat="1" ht="6" hidden="1" customHeight="1" x14ac:dyDescent="0.25">
      <c r="B824" s="5411"/>
      <c r="C824" s="4104"/>
      <c r="D824" s="1548"/>
      <c r="E824" s="878"/>
      <c r="F824" s="1717"/>
      <c r="G824" s="2338"/>
      <c r="H824" s="2076"/>
      <c r="J824" s="2127"/>
      <c r="K824" s="2127"/>
    </row>
    <row r="825" spans="1:14" s="2074" customFormat="1" ht="15" hidden="1" customHeight="1" x14ac:dyDescent="0.25">
      <c r="B825" s="5411"/>
      <c r="C825" s="4103" t="s">
        <v>1030</v>
      </c>
      <c r="D825" s="1549">
        <f>SUM(D826:D829)</f>
        <v>1098400000</v>
      </c>
      <c r="E825" s="1549">
        <f>SUM(E826:E829)</f>
        <v>1079986200</v>
      </c>
      <c r="F825" s="877">
        <f>E825/D825*100</f>
        <v>98.323579752367067</v>
      </c>
      <c r="G825" s="2484">
        <v>100</v>
      </c>
      <c r="H825" s="2076"/>
      <c r="J825" s="2127"/>
      <c r="K825" s="2127"/>
    </row>
    <row r="826" spans="1:14" s="2074" customFormat="1" ht="14.25" hidden="1" customHeight="1" x14ac:dyDescent="0.25">
      <c r="B826" s="5411"/>
      <c r="C826" s="3856" t="s">
        <v>1031</v>
      </c>
      <c r="D826" s="1126">
        <v>427970000</v>
      </c>
      <c r="E826" s="878">
        <v>426065000</v>
      </c>
      <c r="F826" s="878">
        <f>E826/D826*100</f>
        <v>99.55487534172957</v>
      </c>
      <c r="G826" s="2338">
        <v>100</v>
      </c>
      <c r="H826" s="2076"/>
      <c r="J826" s="2127"/>
      <c r="K826" s="2127"/>
    </row>
    <row r="827" spans="1:14" s="2074" customFormat="1" ht="17.25" hidden="1" customHeight="1" x14ac:dyDescent="0.25">
      <c r="B827" s="5411"/>
      <c r="C827" s="3856" t="s">
        <v>1005</v>
      </c>
      <c r="D827" s="1126">
        <v>175000000</v>
      </c>
      <c r="E827" s="878">
        <v>174690000</v>
      </c>
      <c r="F827" s="878">
        <f>E827/D827*100</f>
        <v>99.822857142857146</v>
      </c>
      <c r="G827" s="2338">
        <v>100</v>
      </c>
      <c r="H827" s="2076"/>
      <c r="J827" s="2127"/>
      <c r="K827" s="2127"/>
    </row>
    <row r="828" spans="1:14" s="2074" customFormat="1" ht="15" hidden="1" customHeight="1" x14ac:dyDescent="0.25">
      <c r="B828" s="5411"/>
      <c r="C828" s="3856" t="s">
        <v>1032</v>
      </c>
      <c r="D828" s="1126">
        <v>204775000</v>
      </c>
      <c r="E828" s="878">
        <v>198255000</v>
      </c>
      <c r="F828" s="878">
        <f>E828/D828*100</f>
        <v>96.816017580271023</v>
      </c>
      <c r="G828" s="2338">
        <v>100</v>
      </c>
      <c r="H828" s="2076"/>
      <c r="J828" s="2127"/>
      <c r="K828" s="2127"/>
    </row>
    <row r="829" spans="1:14" s="2074" customFormat="1" ht="28.5" hidden="1" customHeight="1" x14ac:dyDescent="0.25">
      <c r="B829" s="5411"/>
      <c r="C829" s="5480" t="s">
        <v>1033</v>
      </c>
      <c r="D829" s="1126">
        <v>290655000</v>
      </c>
      <c r="E829" s="878">
        <v>280976200</v>
      </c>
      <c r="F829" s="878">
        <f>E829/D829*100</f>
        <v>96.670003956580828</v>
      </c>
      <c r="G829" s="2338">
        <v>100</v>
      </c>
      <c r="H829" s="2076"/>
      <c r="J829" s="2127"/>
      <c r="K829" s="2127"/>
    </row>
    <row r="830" spans="1:14" s="2074" customFormat="1" ht="9" hidden="1" customHeight="1" x14ac:dyDescent="0.25">
      <c r="B830" s="5411"/>
      <c r="C830" s="4104"/>
      <c r="D830" s="1548"/>
      <c r="E830" s="878"/>
      <c r="F830" s="1717"/>
      <c r="G830" s="2338"/>
      <c r="H830" s="2076"/>
      <c r="J830" s="2127"/>
      <c r="K830" s="2127"/>
    </row>
    <row r="831" spans="1:14" s="2074" customFormat="1" ht="17.25" hidden="1" customHeight="1" x14ac:dyDescent="0.25">
      <c r="B831" s="5411"/>
      <c r="C831" s="4299" t="s">
        <v>366</v>
      </c>
      <c r="D831" s="1549">
        <f>SUM(D832:D847)</f>
        <v>13460486406</v>
      </c>
      <c r="E831" s="1549">
        <f>SUM(E832:E847)</f>
        <v>13318849600</v>
      </c>
      <c r="F831" s="877">
        <f t="shared" ref="F831:F847" si="14">E831/D831*100</f>
        <v>98.9477586342135</v>
      </c>
      <c r="G831" s="2484">
        <v>100</v>
      </c>
      <c r="H831" s="2076"/>
      <c r="J831" s="2127"/>
      <c r="K831" s="2127"/>
    </row>
    <row r="832" spans="1:14" s="2074" customFormat="1" ht="14.25" hidden="1" customHeight="1" x14ac:dyDescent="0.25">
      <c r="B832" s="5411"/>
      <c r="C832" s="4104" t="s">
        <v>1034</v>
      </c>
      <c r="D832" s="879">
        <v>6560942264</v>
      </c>
      <c r="E832" s="878">
        <v>6548704000</v>
      </c>
      <c r="F832" s="878">
        <f t="shared" si="14"/>
        <v>99.813467890623713</v>
      </c>
      <c r="G832" s="2338">
        <v>100</v>
      </c>
      <c r="H832" s="2076"/>
      <c r="J832" s="2127"/>
      <c r="K832" s="2127"/>
    </row>
    <row r="833" spans="2:11" s="2074" customFormat="1" ht="13.5" hidden="1" customHeight="1" x14ac:dyDescent="0.25">
      <c r="B833" s="5411"/>
      <c r="C833" s="5480" t="s">
        <v>1035</v>
      </c>
      <c r="D833" s="880">
        <v>668750000</v>
      </c>
      <c r="E833" s="878">
        <v>667100000</v>
      </c>
      <c r="F833" s="878">
        <f t="shared" si="14"/>
        <v>99.753271028037389</v>
      </c>
      <c r="G833" s="2338">
        <v>100</v>
      </c>
      <c r="H833" s="2076"/>
      <c r="J833" s="2127"/>
      <c r="K833" s="2127"/>
    </row>
    <row r="834" spans="2:11" s="2074" customFormat="1" ht="14.25" hidden="1" customHeight="1" x14ac:dyDescent="0.25">
      <c r="B834" s="5411"/>
      <c r="C834" s="4104" t="s">
        <v>1036</v>
      </c>
      <c r="D834" s="880">
        <v>214500000</v>
      </c>
      <c r="E834" s="878">
        <v>212750000</v>
      </c>
      <c r="F834" s="878">
        <f t="shared" si="14"/>
        <v>99.184149184149177</v>
      </c>
      <c r="G834" s="2338">
        <v>100</v>
      </c>
      <c r="H834" s="2076"/>
      <c r="J834" s="2127"/>
      <c r="K834" s="2127"/>
    </row>
    <row r="835" spans="2:11" s="2074" customFormat="1" ht="13.5" hidden="1" customHeight="1" x14ac:dyDescent="0.25">
      <c r="B835" s="5411"/>
      <c r="C835" s="5480" t="s">
        <v>1037</v>
      </c>
      <c r="D835" s="880">
        <v>218350000</v>
      </c>
      <c r="E835" s="878">
        <v>217600000</v>
      </c>
      <c r="F835" s="878">
        <f t="shared" si="14"/>
        <v>99.656514769864899</v>
      </c>
      <c r="G835" s="2338">
        <v>100</v>
      </c>
      <c r="H835" s="2076"/>
      <c r="J835" s="2127"/>
      <c r="K835" s="2127"/>
    </row>
    <row r="836" spans="2:11" s="2074" customFormat="1" ht="13.5" hidden="1" customHeight="1" x14ac:dyDescent="0.25">
      <c r="B836" s="5411"/>
      <c r="C836" s="4104" t="s">
        <v>2146</v>
      </c>
      <c r="D836" s="879">
        <v>1184688842</v>
      </c>
      <c r="E836" s="878">
        <v>1166530000</v>
      </c>
      <c r="F836" s="878">
        <f t="shared" si="14"/>
        <v>98.467205788032558</v>
      </c>
      <c r="G836" s="2338">
        <v>100</v>
      </c>
      <c r="H836" s="2076"/>
      <c r="J836" s="2127"/>
      <c r="K836" s="2127"/>
    </row>
    <row r="837" spans="2:11" s="2074" customFormat="1" ht="13.5" hidden="1" customHeight="1" x14ac:dyDescent="0.25">
      <c r="B837" s="5411"/>
      <c r="C837" s="4104" t="s">
        <v>1039</v>
      </c>
      <c r="D837" s="879">
        <v>549450000</v>
      </c>
      <c r="E837" s="878">
        <v>544100000</v>
      </c>
      <c r="F837" s="878">
        <f t="shared" si="14"/>
        <v>99.026299026299029</v>
      </c>
      <c r="G837" s="2338">
        <v>100</v>
      </c>
      <c r="H837" s="2076"/>
      <c r="J837" s="2127"/>
      <c r="K837" s="2127"/>
    </row>
    <row r="838" spans="2:11" s="2074" customFormat="1" ht="13.5" hidden="1" customHeight="1" x14ac:dyDescent="0.25">
      <c r="B838" s="5411"/>
      <c r="C838" s="4104" t="s">
        <v>1040</v>
      </c>
      <c r="D838" s="879">
        <v>445154000</v>
      </c>
      <c r="E838" s="878">
        <v>438596200</v>
      </c>
      <c r="F838" s="878">
        <f t="shared" si="14"/>
        <v>98.526846888941805</v>
      </c>
      <c r="G838" s="2338">
        <v>100</v>
      </c>
      <c r="H838" s="2076"/>
      <c r="J838" s="2127"/>
      <c r="K838" s="2127"/>
    </row>
    <row r="839" spans="2:11" s="2074" customFormat="1" ht="18.75" hidden="1" customHeight="1" x14ac:dyDescent="0.25">
      <c r="B839" s="5411"/>
      <c r="C839" s="4104" t="s">
        <v>1041</v>
      </c>
      <c r="D839" s="879">
        <v>327495000</v>
      </c>
      <c r="E839" s="878">
        <v>316347800</v>
      </c>
      <c r="F839" s="878">
        <f t="shared" si="14"/>
        <v>96.596222843096839</v>
      </c>
      <c r="G839" s="2338">
        <v>100</v>
      </c>
      <c r="H839" s="2076"/>
      <c r="J839" s="2127"/>
      <c r="K839" s="2127"/>
    </row>
    <row r="840" spans="2:11" s="2074" customFormat="1" ht="13.5" hidden="1" customHeight="1" x14ac:dyDescent="0.25">
      <c r="B840" s="5411"/>
      <c r="C840" s="4104" t="s">
        <v>1042</v>
      </c>
      <c r="D840" s="879">
        <v>949832500</v>
      </c>
      <c r="E840" s="878">
        <v>919050500</v>
      </c>
      <c r="F840" s="878">
        <f t="shared" si="14"/>
        <v>96.759218072660175</v>
      </c>
      <c r="G840" s="2338">
        <v>100</v>
      </c>
      <c r="H840" s="2076"/>
      <c r="J840" s="2127"/>
      <c r="K840" s="2127"/>
    </row>
    <row r="841" spans="2:11" s="2074" customFormat="1" ht="13.5" hidden="1" customHeight="1" x14ac:dyDescent="0.25">
      <c r="B841" s="5411"/>
      <c r="C841" s="4104" t="s">
        <v>1043</v>
      </c>
      <c r="D841" s="879">
        <v>169100000</v>
      </c>
      <c r="E841" s="1616">
        <v>169100000</v>
      </c>
      <c r="F841" s="878">
        <f t="shared" si="14"/>
        <v>100</v>
      </c>
      <c r="G841" s="2338">
        <v>100</v>
      </c>
      <c r="H841" s="2076"/>
      <c r="J841" s="2127"/>
      <c r="K841" s="2127"/>
    </row>
    <row r="842" spans="2:11" s="2074" customFormat="1" ht="13.5" hidden="1" customHeight="1" x14ac:dyDescent="0.25">
      <c r="B842" s="5411"/>
      <c r="C842" s="4104" t="s">
        <v>1044</v>
      </c>
      <c r="D842" s="879">
        <v>780022800</v>
      </c>
      <c r="E842" s="878">
        <v>759097200</v>
      </c>
      <c r="F842" s="878">
        <f t="shared" si="14"/>
        <v>97.317309186346861</v>
      </c>
      <c r="G842" s="2338">
        <v>100</v>
      </c>
      <c r="H842" s="2076"/>
      <c r="J842" s="2127"/>
      <c r="K842" s="2127"/>
    </row>
    <row r="843" spans="2:11" s="2074" customFormat="1" ht="13.5" hidden="1" customHeight="1" x14ac:dyDescent="0.25">
      <c r="B843" s="5411"/>
      <c r="C843" s="4104" t="s">
        <v>1045</v>
      </c>
      <c r="D843" s="879">
        <v>732940500</v>
      </c>
      <c r="E843" s="878">
        <v>731536900</v>
      </c>
      <c r="F843" s="878">
        <f t="shared" si="14"/>
        <v>99.808497415547365</v>
      </c>
      <c r="G843" s="2338">
        <v>100</v>
      </c>
      <c r="H843" s="2076"/>
      <c r="J843" s="2127"/>
      <c r="K843" s="2127"/>
    </row>
    <row r="844" spans="2:11" s="2074" customFormat="1" ht="13.5" hidden="1" customHeight="1" x14ac:dyDescent="0.25">
      <c r="B844" s="5411"/>
      <c r="C844" s="4104" t="s">
        <v>1046</v>
      </c>
      <c r="D844" s="879">
        <v>202200000</v>
      </c>
      <c r="E844" s="878">
        <v>176567800</v>
      </c>
      <c r="F844" s="878">
        <f t="shared" si="14"/>
        <v>87.323343224530163</v>
      </c>
      <c r="G844" s="2338">
        <v>100</v>
      </c>
      <c r="H844" s="2076"/>
      <c r="J844" s="2127"/>
      <c r="K844" s="2127"/>
    </row>
    <row r="845" spans="2:11" s="2074" customFormat="1" ht="13.5" hidden="1" customHeight="1" x14ac:dyDescent="0.25">
      <c r="B845" s="5411"/>
      <c r="C845" s="5480" t="s">
        <v>1047</v>
      </c>
      <c r="D845" s="880">
        <v>113300500</v>
      </c>
      <c r="E845" s="878">
        <v>111300500</v>
      </c>
      <c r="F845" s="878">
        <f t="shared" si="14"/>
        <v>98.234782723818512</v>
      </c>
      <c r="G845" s="2338">
        <v>100</v>
      </c>
      <c r="H845" s="2076"/>
      <c r="J845" s="2127"/>
      <c r="K845" s="2127"/>
    </row>
    <row r="846" spans="2:11" s="2074" customFormat="1" ht="13.5" hidden="1" customHeight="1" x14ac:dyDescent="0.25">
      <c r="B846" s="5411"/>
      <c r="C846" s="3856" t="s">
        <v>1048</v>
      </c>
      <c r="D846" s="880">
        <v>162900000</v>
      </c>
      <c r="E846" s="878">
        <v>159608700</v>
      </c>
      <c r="F846" s="878">
        <f t="shared" si="14"/>
        <v>97.979558011049733</v>
      </c>
      <c r="G846" s="2338">
        <v>100</v>
      </c>
      <c r="H846" s="2076"/>
      <c r="J846" s="2127"/>
      <c r="K846" s="2127"/>
    </row>
    <row r="847" spans="2:11" s="2074" customFormat="1" ht="13.5" hidden="1" customHeight="1" x14ac:dyDescent="0.25">
      <c r="B847" s="5411"/>
      <c r="C847" s="5480" t="s">
        <v>1049</v>
      </c>
      <c r="D847" s="880">
        <v>180860000</v>
      </c>
      <c r="E847" s="878">
        <v>180860000</v>
      </c>
      <c r="F847" s="878">
        <f t="shared" si="14"/>
        <v>100</v>
      </c>
      <c r="G847" s="2338">
        <v>100</v>
      </c>
      <c r="H847" s="2076"/>
      <c r="J847" s="2127"/>
      <c r="K847" s="2127"/>
    </row>
    <row r="848" spans="2:11" s="2074" customFormat="1" ht="9.75" hidden="1" customHeight="1" x14ac:dyDescent="0.25">
      <c r="B848" s="5411"/>
      <c r="C848" s="4104"/>
      <c r="D848" s="1569"/>
      <c r="E848" s="878"/>
      <c r="F848" s="1717"/>
      <c r="G848" s="2338"/>
      <c r="H848" s="2076"/>
      <c r="J848" s="2127"/>
      <c r="K848" s="2127"/>
    </row>
    <row r="849" spans="2:11" s="2074" customFormat="1" ht="15" hidden="1" customHeight="1" x14ac:dyDescent="0.25">
      <c r="B849" s="5411"/>
      <c r="C849" s="4299" t="s">
        <v>367</v>
      </c>
      <c r="D849" s="1414">
        <f>SUM(D850:D854)</f>
        <v>4465514000</v>
      </c>
      <c r="E849" s="1414">
        <f>SUM(E850:E854)</f>
        <v>4032607600</v>
      </c>
      <c r="F849" s="877">
        <f t="shared" ref="F849:F854" si="15">E849/D849*100</f>
        <v>90.305563928363014</v>
      </c>
      <c r="G849" s="2484">
        <v>100</v>
      </c>
      <c r="H849" s="2076"/>
      <c r="J849" s="2127"/>
      <c r="K849" s="2127"/>
    </row>
    <row r="850" spans="2:11" s="2074" customFormat="1" ht="13.5" hidden="1" customHeight="1" x14ac:dyDescent="0.25">
      <c r="B850" s="5411"/>
      <c r="C850" s="3856" t="s">
        <v>1050</v>
      </c>
      <c r="D850" s="1492">
        <v>170760000</v>
      </c>
      <c r="E850" s="878">
        <v>168430000</v>
      </c>
      <c r="F850" s="878">
        <f t="shared" si="15"/>
        <v>98.635511829468257</v>
      </c>
      <c r="G850" s="2338">
        <v>100</v>
      </c>
      <c r="H850" s="2076"/>
      <c r="J850" s="2127"/>
      <c r="K850" s="2127"/>
    </row>
    <row r="851" spans="2:11" s="2074" customFormat="1" ht="13.5" hidden="1" customHeight="1" x14ac:dyDescent="0.25">
      <c r="B851" s="5411"/>
      <c r="C851" s="3856" t="s">
        <v>1051</v>
      </c>
      <c r="D851" s="1492">
        <v>2572979000</v>
      </c>
      <c r="E851" s="878">
        <v>2300000000</v>
      </c>
      <c r="F851" s="878">
        <f t="shared" si="15"/>
        <v>89.390546910798733</v>
      </c>
      <c r="G851" s="2338">
        <v>100</v>
      </c>
      <c r="H851" s="2076"/>
      <c r="J851" s="2127"/>
      <c r="K851" s="2127"/>
    </row>
    <row r="852" spans="2:11" s="2074" customFormat="1" ht="13.5" hidden="1" customHeight="1" x14ac:dyDescent="0.25">
      <c r="B852" s="5411"/>
      <c r="C852" s="3856" t="s">
        <v>1052</v>
      </c>
      <c r="D852" s="1492">
        <v>375095000</v>
      </c>
      <c r="E852" s="878">
        <v>367252600</v>
      </c>
      <c r="F852" s="878">
        <f t="shared" si="15"/>
        <v>97.909222996840811</v>
      </c>
      <c r="G852" s="2338">
        <v>100</v>
      </c>
      <c r="H852" s="2076"/>
      <c r="J852" s="2127"/>
      <c r="K852" s="2127"/>
    </row>
    <row r="853" spans="2:11" s="2074" customFormat="1" ht="13.5" hidden="1" customHeight="1" x14ac:dyDescent="0.25">
      <c r="B853" s="5411"/>
      <c r="C853" s="3856" t="s">
        <v>1053</v>
      </c>
      <c r="D853" s="1492">
        <v>585400000</v>
      </c>
      <c r="E853" s="878">
        <v>453655000</v>
      </c>
      <c r="F853" s="878">
        <f t="shared" si="15"/>
        <v>77.494875298940897</v>
      </c>
      <c r="G853" s="2338">
        <v>100</v>
      </c>
      <c r="H853" s="2076"/>
      <c r="J853" s="2127"/>
      <c r="K853" s="2127"/>
    </row>
    <row r="854" spans="2:11" s="2074" customFormat="1" ht="13.5" hidden="1" customHeight="1" x14ac:dyDescent="0.25">
      <c r="B854" s="5411"/>
      <c r="C854" s="3856" t="s">
        <v>1054</v>
      </c>
      <c r="D854" s="1492">
        <v>761280000</v>
      </c>
      <c r="E854" s="878">
        <v>743270000</v>
      </c>
      <c r="F854" s="878">
        <f t="shared" si="15"/>
        <v>97.63424758301808</v>
      </c>
      <c r="G854" s="2338">
        <v>100</v>
      </c>
      <c r="H854" s="2076"/>
      <c r="J854" s="2127"/>
      <c r="K854" s="2127"/>
    </row>
    <row r="855" spans="2:11" s="2074" customFormat="1" ht="9.75" hidden="1" customHeight="1" x14ac:dyDescent="0.25">
      <c r="B855" s="5411"/>
      <c r="C855" s="4104"/>
      <c r="D855" s="1569"/>
      <c r="E855" s="878"/>
      <c r="F855" s="1717"/>
      <c r="G855" s="2338"/>
      <c r="H855" s="2076"/>
      <c r="J855" s="2127"/>
      <c r="K855" s="2127"/>
    </row>
    <row r="856" spans="2:11" s="2074" customFormat="1" ht="14.25" hidden="1" customHeight="1" x14ac:dyDescent="0.25">
      <c r="B856" s="5411"/>
      <c r="C856" s="4299" t="s">
        <v>1055</v>
      </c>
      <c r="D856" s="1417">
        <f>D857</f>
        <v>112800000</v>
      </c>
      <c r="E856" s="1417">
        <f>E857</f>
        <v>112750000</v>
      </c>
      <c r="F856" s="877">
        <f>E856/D856*100</f>
        <v>99.955673758865245</v>
      </c>
      <c r="G856" s="877">
        <v>100</v>
      </c>
      <c r="H856" s="2076"/>
      <c r="J856" s="2127"/>
      <c r="K856" s="2127"/>
    </row>
    <row r="857" spans="2:11" s="2074" customFormat="1" ht="15" hidden="1" customHeight="1" x14ac:dyDescent="0.25">
      <c r="B857" s="5411"/>
      <c r="C857" s="3856" t="s">
        <v>1056</v>
      </c>
      <c r="D857" s="1418">
        <v>112800000</v>
      </c>
      <c r="E857" s="878">
        <v>112750000</v>
      </c>
      <c r="F857" s="878">
        <f>E857/D857*100</f>
        <v>99.955673758865245</v>
      </c>
      <c r="G857" s="2293">
        <v>100</v>
      </c>
      <c r="H857" s="2076"/>
      <c r="J857" s="2127"/>
      <c r="K857" s="2127"/>
    </row>
    <row r="858" spans="2:11" s="2074" customFormat="1" ht="10.5" hidden="1" customHeight="1" x14ac:dyDescent="0.25">
      <c r="B858" s="5411"/>
      <c r="C858" s="3991"/>
      <c r="D858" s="730"/>
      <c r="E858" s="877"/>
      <c r="F858" s="2176"/>
      <c r="G858" s="2176"/>
      <c r="H858" s="2076"/>
      <c r="J858" s="2127"/>
      <c r="K858" s="2127"/>
    </row>
    <row r="859" spans="2:11" s="2074" customFormat="1" ht="16.5" hidden="1" customHeight="1" x14ac:dyDescent="0.25">
      <c r="B859" s="5411"/>
      <c r="C859" s="3911" t="s">
        <v>1057</v>
      </c>
      <c r="D859" s="1415">
        <f>SUM(D860:D862)</f>
        <v>1955415000</v>
      </c>
      <c r="E859" s="1415">
        <f>SUM(E860:E862)</f>
        <v>1940502200</v>
      </c>
      <c r="F859" s="877">
        <f>E859/D859*100</f>
        <v>99.237358821528929</v>
      </c>
      <c r="G859" s="2176">
        <v>100</v>
      </c>
      <c r="H859" s="2076"/>
      <c r="J859" s="2127"/>
      <c r="K859" s="2127"/>
    </row>
    <row r="860" spans="2:11" s="2074" customFormat="1" ht="14.25" hidden="1" customHeight="1" x14ac:dyDescent="0.25">
      <c r="B860" s="5411"/>
      <c r="C860" s="3908" t="s">
        <v>1058</v>
      </c>
      <c r="D860" s="880">
        <v>133090000</v>
      </c>
      <c r="E860" s="878">
        <v>132165000</v>
      </c>
      <c r="F860" s="878">
        <f>E860/D860*100</f>
        <v>99.304981591404314</v>
      </c>
      <c r="G860" s="2338">
        <v>100</v>
      </c>
      <c r="H860" s="2076"/>
      <c r="J860" s="2127"/>
      <c r="K860" s="2127"/>
    </row>
    <row r="861" spans="2:11" s="2074" customFormat="1" ht="15.75" hidden="1" customHeight="1" x14ac:dyDescent="0.25">
      <c r="B861" s="5411"/>
      <c r="C861" s="3908" t="s">
        <v>1059</v>
      </c>
      <c r="D861" s="880">
        <v>1677940000</v>
      </c>
      <c r="E861" s="1818">
        <v>1664627200</v>
      </c>
      <c r="F861" s="878">
        <f>E861/D861*100</f>
        <v>99.206598567290854</v>
      </c>
      <c r="G861" s="2338">
        <v>100</v>
      </c>
      <c r="H861" s="2076"/>
      <c r="J861" s="2127"/>
      <c r="K861" s="2127"/>
    </row>
    <row r="862" spans="2:11" s="2074" customFormat="1" ht="12.75" hidden="1" customHeight="1" x14ac:dyDescent="0.25">
      <c r="B862" s="5411"/>
      <c r="C862" s="3908" t="s">
        <v>1060</v>
      </c>
      <c r="D862" s="880">
        <v>144385000</v>
      </c>
      <c r="E862" s="878">
        <v>143710000</v>
      </c>
      <c r="F862" s="878">
        <f>E862/D862*100</f>
        <v>99.532499913425909</v>
      </c>
      <c r="G862" s="2338">
        <v>100</v>
      </c>
      <c r="H862" s="2076"/>
      <c r="J862" s="2127"/>
      <c r="K862" s="2127"/>
    </row>
    <row r="863" spans="2:11" s="2074" customFormat="1" ht="12" hidden="1" customHeight="1" x14ac:dyDescent="0.25">
      <c r="B863" s="5411"/>
      <c r="C863" s="4172"/>
      <c r="D863" s="4120"/>
      <c r="E863" s="878"/>
      <c r="F863" s="1717"/>
      <c r="G863" s="2338"/>
      <c r="H863" s="2076"/>
      <c r="J863" s="2127"/>
      <c r="K863" s="2127"/>
    </row>
    <row r="864" spans="2:11" s="2074" customFormat="1" ht="15" hidden="1" customHeight="1" x14ac:dyDescent="0.25">
      <c r="B864" s="5411"/>
      <c r="C864" s="4103" t="s">
        <v>1061</v>
      </c>
      <c r="D864" s="1416">
        <f>SUM(D865:D868)</f>
        <v>4269324160</v>
      </c>
      <c r="E864" s="1416">
        <f>SUM(E865:E868)</f>
        <v>4017988910</v>
      </c>
      <c r="F864" s="877">
        <f>E864/D864*100</f>
        <v>94.112996798069332</v>
      </c>
      <c r="G864" s="2484">
        <v>100</v>
      </c>
      <c r="H864" s="2076"/>
      <c r="J864" s="2127"/>
      <c r="K864" s="2127"/>
    </row>
    <row r="865" spans="2:11" s="2074" customFormat="1" ht="13.5" hidden="1" customHeight="1" x14ac:dyDescent="0.25">
      <c r="B865" s="5411"/>
      <c r="C865" s="3856" t="s">
        <v>1062</v>
      </c>
      <c r="D865" s="1492">
        <v>1055707500</v>
      </c>
      <c r="E865" s="878">
        <v>1019707500</v>
      </c>
      <c r="F865" s="878">
        <f>E865/D865*100</f>
        <v>96.589964549839806</v>
      </c>
      <c r="G865" s="2338">
        <v>100</v>
      </c>
      <c r="H865" s="2076"/>
      <c r="J865" s="2127"/>
      <c r="K865" s="2127"/>
    </row>
    <row r="866" spans="2:11" s="2074" customFormat="1" ht="13.5" hidden="1" customHeight="1" x14ac:dyDescent="0.25">
      <c r="B866" s="5411"/>
      <c r="C866" s="3856" t="s">
        <v>1063</v>
      </c>
      <c r="D866" s="1492">
        <v>1532364570</v>
      </c>
      <c r="E866" s="878">
        <v>1506794920</v>
      </c>
      <c r="F866" s="878">
        <f>E866/D866*100</f>
        <v>98.331359879979473</v>
      </c>
      <c r="G866" s="2338">
        <v>100</v>
      </c>
      <c r="H866" s="2076"/>
      <c r="J866" s="2127"/>
      <c r="K866" s="2127"/>
    </row>
    <row r="867" spans="2:11" s="2074" customFormat="1" ht="15.75" hidden="1" customHeight="1" x14ac:dyDescent="0.25">
      <c r="B867" s="5411"/>
      <c r="C867" s="3856" t="s">
        <v>1064</v>
      </c>
      <c r="D867" s="1492">
        <v>413113750</v>
      </c>
      <c r="E867" s="878">
        <v>409211150</v>
      </c>
      <c r="F867" s="878">
        <f>E867/D867*100</f>
        <v>99.055320719777541</v>
      </c>
      <c r="G867" s="2338">
        <v>100</v>
      </c>
      <c r="H867" s="2076"/>
      <c r="J867" s="2127"/>
      <c r="K867" s="2127"/>
    </row>
    <row r="868" spans="2:11" s="2074" customFormat="1" ht="12.75" hidden="1" customHeight="1" x14ac:dyDescent="0.25">
      <c r="B868" s="5411"/>
      <c r="C868" s="3856" t="s">
        <v>1065</v>
      </c>
      <c r="D868" s="1492">
        <v>1268138340</v>
      </c>
      <c r="E868" s="878">
        <v>1082275340</v>
      </c>
      <c r="F868" s="878">
        <f>E868/D868*100</f>
        <v>85.343633723746564</v>
      </c>
      <c r="G868" s="2338">
        <v>100</v>
      </c>
      <c r="H868" s="2076"/>
      <c r="J868" s="2127"/>
      <c r="K868" s="2127"/>
    </row>
    <row r="869" spans="2:11" s="2074" customFormat="1" ht="8.25" hidden="1" customHeight="1" x14ac:dyDescent="0.25">
      <c r="B869" s="5411"/>
      <c r="C869" s="3991"/>
      <c r="D869" s="730"/>
      <c r="E869" s="1381"/>
      <c r="F869" s="2261"/>
      <c r="G869" s="2484"/>
      <c r="H869" s="2076"/>
      <c r="J869" s="2127"/>
      <c r="K869" s="2127"/>
    </row>
    <row r="870" spans="2:11" s="2074" customFormat="1" ht="17.25" hidden="1" customHeight="1" x14ac:dyDescent="0.25">
      <c r="B870" s="5411"/>
      <c r="C870" s="4103" t="s">
        <v>272</v>
      </c>
      <c r="D870" s="1416">
        <f>SUM(D871:D878)</f>
        <v>3048980000</v>
      </c>
      <c r="E870" s="1416">
        <f>SUM(E871:E878)</f>
        <v>2433148000</v>
      </c>
      <c r="F870" s="877">
        <f t="shared" ref="F870:F878" si="16">E870/D870*100</f>
        <v>79.80203215501578</v>
      </c>
      <c r="G870" s="2484">
        <f>SUM(G871:G878)/8</f>
        <v>93.75</v>
      </c>
      <c r="H870" s="2076"/>
      <c r="J870" s="2127"/>
      <c r="K870" s="2127"/>
    </row>
    <row r="871" spans="2:11" s="2074" customFormat="1" ht="12.75" hidden="1" customHeight="1" x14ac:dyDescent="0.25">
      <c r="B871" s="5411"/>
      <c r="C871" s="4006" t="s">
        <v>1066</v>
      </c>
      <c r="D871" s="1412">
        <v>185970000</v>
      </c>
      <c r="E871" s="878">
        <v>175089800</v>
      </c>
      <c r="F871" s="878">
        <f t="shared" si="16"/>
        <v>94.149486476313385</v>
      </c>
      <c r="G871" s="2338">
        <v>100</v>
      </c>
      <c r="H871" s="2076"/>
      <c r="J871" s="2127"/>
      <c r="K871" s="2127"/>
    </row>
    <row r="872" spans="2:11" s="2074" customFormat="1" ht="14.25" hidden="1" customHeight="1" x14ac:dyDescent="0.25">
      <c r="B872" s="5411"/>
      <c r="C872" s="5480" t="s">
        <v>1067</v>
      </c>
      <c r="D872" s="1492">
        <v>8000000</v>
      </c>
      <c r="E872" s="878">
        <v>8000000</v>
      </c>
      <c r="F872" s="878">
        <f t="shared" si="16"/>
        <v>100</v>
      </c>
      <c r="G872" s="878">
        <v>100</v>
      </c>
      <c r="H872" s="2076"/>
      <c r="J872" s="2127"/>
      <c r="K872" s="2127"/>
    </row>
    <row r="873" spans="2:11" s="2074" customFormat="1" ht="12.75" hidden="1" customHeight="1" x14ac:dyDescent="0.25">
      <c r="B873" s="5411"/>
      <c r="C873" s="3856" t="s">
        <v>1068</v>
      </c>
      <c r="D873" s="1492">
        <v>675800000</v>
      </c>
      <c r="E873" s="878">
        <v>336490000</v>
      </c>
      <c r="F873" s="878">
        <f t="shared" si="16"/>
        <v>49.791358390056232</v>
      </c>
      <c r="G873" s="2338">
        <v>50</v>
      </c>
      <c r="H873" s="2076"/>
      <c r="J873" s="2127"/>
      <c r="K873" s="2127"/>
    </row>
    <row r="874" spans="2:11" s="2074" customFormat="1" ht="14.25" hidden="1" customHeight="1" x14ac:dyDescent="0.25">
      <c r="B874" s="5411"/>
      <c r="C874" s="3856" t="s">
        <v>1069</v>
      </c>
      <c r="D874" s="1492">
        <v>743000000</v>
      </c>
      <c r="E874" s="1818">
        <v>719000000</v>
      </c>
      <c r="F874" s="878">
        <f t="shared" si="16"/>
        <v>96.769851951547778</v>
      </c>
      <c r="G874" s="2338">
        <v>100</v>
      </c>
      <c r="H874" s="2076"/>
      <c r="J874" s="2127"/>
      <c r="K874" s="2127"/>
    </row>
    <row r="875" spans="2:11" s="2074" customFormat="1" ht="13.5" hidden="1" customHeight="1" x14ac:dyDescent="0.25">
      <c r="B875" s="5411"/>
      <c r="C875" s="3856" t="s">
        <v>1070</v>
      </c>
      <c r="D875" s="1492">
        <v>720000000</v>
      </c>
      <c r="E875" s="878">
        <v>480000000</v>
      </c>
      <c r="F875" s="878">
        <f t="shared" si="16"/>
        <v>66.666666666666657</v>
      </c>
      <c r="G875" s="2338">
        <v>100</v>
      </c>
      <c r="H875" s="2076"/>
      <c r="J875" s="2127"/>
      <c r="K875" s="2127"/>
    </row>
    <row r="876" spans="2:11" s="2074" customFormat="1" ht="27.75" hidden="1" customHeight="1" x14ac:dyDescent="0.25">
      <c r="B876" s="5411"/>
      <c r="C876" s="4104" t="s">
        <v>1071</v>
      </c>
      <c r="D876" s="880">
        <v>117900000</v>
      </c>
      <c r="E876" s="882">
        <v>117900000</v>
      </c>
      <c r="F876" s="878">
        <f t="shared" si="16"/>
        <v>100</v>
      </c>
      <c r="G876" s="2338">
        <v>100</v>
      </c>
      <c r="H876" s="2076"/>
      <c r="J876" s="2127"/>
      <c r="K876" s="2127"/>
    </row>
    <row r="877" spans="2:11" s="2074" customFormat="1" ht="14.25" hidden="1" customHeight="1" x14ac:dyDescent="0.25">
      <c r="B877" s="5411"/>
      <c r="C877" s="4104" t="s">
        <v>1072</v>
      </c>
      <c r="D877" s="1492">
        <v>424800000</v>
      </c>
      <c r="E877" s="1818">
        <v>424675000</v>
      </c>
      <c r="F877" s="878">
        <f t="shared" si="16"/>
        <v>99.970574387947266</v>
      </c>
      <c r="G877" s="2338">
        <v>100</v>
      </c>
      <c r="H877" s="2076"/>
      <c r="J877" s="2127"/>
      <c r="K877" s="2127"/>
    </row>
    <row r="878" spans="2:11" s="2074" customFormat="1" ht="14.25" hidden="1" customHeight="1" x14ac:dyDescent="0.25">
      <c r="B878" s="5411"/>
      <c r="C878" s="3899" t="s">
        <v>1073</v>
      </c>
      <c r="D878" s="1412">
        <v>173510000</v>
      </c>
      <c r="E878" s="883">
        <v>171993200</v>
      </c>
      <c r="F878" s="878">
        <f t="shared" si="16"/>
        <v>99.125814074116775</v>
      </c>
      <c r="G878" s="2338">
        <v>100</v>
      </c>
      <c r="H878" s="2076"/>
      <c r="J878" s="2127"/>
      <c r="K878" s="2127"/>
    </row>
    <row r="879" spans="2:11" s="2074" customFormat="1" ht="9.75" hidden="1" customHeight="1" x14ac:dyDescent="0.25">
      <c r="B879" s="5411"/>
      <c r="C879" s="4104"/>
      <c r="D879" s="1569"/>
      <c r="E879" s="878"/>
      <c r="F879" s="2293"/>
      <c r="G879" s="2293"/>
      <c r="H879" s="2076"/>
      <c r="J879" s="2127"/>
      <c r="K879" s="2127"/>
    </row>
    <row r="880" spans="2:11" s="2074" customFormat="1" ht="15.75" hidden="1" customHeight="1" x14ac:dyDescent="0.25">
      <c r="B880" s="5411"/>
      <c r="C880" s="4299" t="s">
        <v>1074</v>
      </c>
      <c r="D880" s="1417">
        <f>SUM(D881:D885)</f>
        <v>2591828800</v>
      </c>
      <c r="E880" s="1417">
        <f>SUM(E881:E885)</f>
        <v>2154597000</v>
      </c>
      <c r="F880" s="877">
        <f t="shared" ref="F880:F885" si="17">E880/D880*100</f>
        <v>83.130374969210934</v>
      </c>
      <c r="G880" s="2176">
        <f>SUM(G881:G885)/5</f>
        <v>96</v>
      </c>
      <c r="H880" s="2076"/>
      <c r="J880" s="2127"/>
      <c r="K880" s="2127"/>
    </row>
    <row r="881" spans="2:11" s="2074" customFormat="1" ht="15.75" hidden="1" customHeight="1" x14ac:dyDescent="0.25">
      <c r="B881" s="5411"/>
      <c r="C881" s="3908" t="s">
        <v>1075</v>
      </c>
      <c r="D881" s="1492">
        <v>20000000</v>
      </c>
      <c r="E881" s="878">
        <v>19413200</v>
      </c>
      <c r="F881" s="878">
        <f t="shared" si="17"/>
        <v>97.066000000000003</v>
      </c>
      <c r="G881" s="2293">
        <v>100</v>
      </c>
      <c r="H881" s="2076"/>
      <c r="J881" s="2127"/>
      <c r="K881" s="2127"/>
    </row>
    <row r="882" spans="2:11" s="2074" customFormat="1" ht="14.25" hidden="1" customHeight="1" x14ac:dyDescent="0.25">
      <c r="B882" s="5411"/>
      <c r="C882" s="5480" t="s">
        <v>1076</v>
      </c>
      <c r="D882" s="1492">
        <v>665600000</v>
      </c>
      <c r="E882" s="878">
        <v>488875300</v>
      </c>
      <c r="F882" s="878">
        <f t="shared" si="17"/>
        <v>73.448813100961544</v>
      </c>
      <c r="G882" s="2293">
        <v>80</v>
      </c>
      <c r="H882" s="2076"/>
      <c r="J882" s="2127"/>
      <c r="K882" s="2127"/>
    </row>
    <row r="883" spans="2:11" s="2074" customFormat="1" ht="12.75" hidden="1" customHeight="1" x14ac:dyDescent="0.25">
      <c r="B883" s="5411"/>
      <c r="C883" s="3856" t="s">
        <v>1077</v>
      </c>
      <c r="D883" s="1492">
        <v>222850000</v>
      </c>
      <c r="E883" s="878">
        <v>222850000</v>
      </c>
      <c r="F883" s="878">
        <f t="shared" si="17"/>
        <v>100</v>
      </c>
      <c r="G883" s="878">
        <v>100</v>
      </c>
      <c r="H883" s="2076"/>
      <c r="J883" s="2127"/>
      <c r="K883" s="2127"/>
    </row>
    <row r="884" spans="2:11" s="2074" customFormat="1" ht="14.25" hidden="1" customHeight="1" x14ac:dyDescent="0.25">
      <c r="B884" s="5411"/>
      <c r="C884" s="4104" t="s">
        <v>1078</v>
      </c>
      <c r="D884" s="1418">
        <v>46528800</v>
      </c>
      <c r="E884" s="1848">
        <v>46528800</v>
      </c>
      <c r="F884" s="878">
        <f t="shared" si="17"/>
        <v>100</v>
      </c>
      <c r="G884" s="878">
        <v>100</v>
      </c>
      <c r="H884" s="2076"/>
      <c r="J884" s="2127"/>
      <c r="K884" s="2127"/>
    </row>
    <row r="885" spans="2:11" s="2074" customFormat="1" ht="15.75" hidden="1" customHeight="1" x14ac:dyDescent="0.25">
      <c r="B885" s="5411"/>
      <c r="C885" s="5480" t="s">
        <v>1079</v>
      </c>
      <c r="D885" s="880">
        <v>1636850000</v>
      </c>
      <c r="E885" s="878">
        <v>1376929700</v>
      </c>
      <c r="F885" s="878">
        <f t="shared" si="17"/>
        <v>84.120701347099612</v>
      </c>
      <c r="G885" s="878">
        <v>100</v>
      </c>
      <c r="H885" s="2076"/>
      <c r="J885" s="2127"/>
      <c r="K885" s="2127"/>
    </row>
    <row r="886" spans="2:11" s="2074" customFormat="1" ht="7.5" hidden="1" customHeight="1" x14ac:dyDescent="0.25">
      <c r="B886" s="5411"/>
      <c r="C886" s="3861"/>
      <c r="D886" s="1570"/>
      <c r="E886" s="882"/>
      <c r="F886" s="2281"/>
      <c r="G886" s="2314"/>
      <c r="H886" s="2076"/>
      <c r="J886" s="2127"/>
      <c r="K886" s="2127"/>
    </row>
    <row r="887" spans="2:11" s="2074" customFormat="1" ht="17.25" hidden="1" customHeight="1" x14ac:dyDescent="0.25">
      <c r="B887" s="5410"/>
      <c r="C887" s="5481" t="s">
        <v>248</v>
      </c>
      <c r="D887" s="1571">
        <f>D888+D891+D895+D909+D912+D915+D920+D923+D927+D933+D940+D944+D949+D952</f>
        <v>10965047510</v>
      </c>
      <c r="E887" s="1571">
        <f>E888+E891+E895+E909+E912+E915+E920+E923+E927+E933+E940+E944+E949+E952</f>
        <v>9985666925</v>
      </c>
      <c r="F887" s="1462">
        <f>E887/D887*100</f>
        <v>91.068159220406329</v>
      </c>
      <c r="G887" s="2315">
        <f>SUM(G888+G891+G895+G909+G912+G915+G920+G923+G927+G933+G940+G944+G949+G952)/14</f>
        <v>98.790476190476184</v>
      </c>
      <c r="H887" s="2076"/>
      <c r="J887" s="4444">
        <v>10965047510</v>
      </c>
      <c r="K887" s="4444">
        <v>9985666925</v>
      </c>
    </row>
    <row r="888" spans="2:11" s="2074" customFormat="1" ht="19.5" hidden="1" customHeight="1" x14ac:dyDescent="0.25">
      <c r="B888" s="5411"/>
      <c r="C888" s="4299" t="s">
        <v>262</v>
      </c>
      <c r="D888" s="1417">
        <f>D889</f>
        <v>26680000</v>
      </c>
      <c r="E888" s="1417">
        <f>E889</f>
        <v>26440000</v>
      </c>
      <c r="F888" s="2299">
        <f>E888/D888*100</f>
        <v>99.100449775112438</v>
      </c>
      <c r="G888" s="884">
        <v>100</v>
      </c>
      <c r="H888" s="2076"/>
      <c r="J888" s="2127"/>
      <c r="K888" s="2127"/>
    </row>
    <row r="889" spans="2:11" s="2074" customFormat="1" ht="15.75" hidden="1" customHeight="1" x14ac:dyDescent="0.25">
      <c r="B889" s="5411"/>
      <c r="C889" s="3856" t="s">
        <v>1080</v>
      </c>
      <c r="D889" s="1492">
        <v>26680000</v>
      </c>
      <c r="E889" s="878">
        <v>26440000</v>
      </c>
      <c r="F889" s="878">
        <f>E889/D889*100</f>
        <v>99.100449775112438</v>
      </c>
      <c r="G889" s="878">
        <v>100</v>
      </c>
      <c r="H889" s="2076"/>
      <c r="J889" s="2127"/>
      <c r="K889" s="2127"/>
    </row>
    <row r="890" spans="2:11" s="2074" customFormat="1" ht="9.75" hidden="1" customHeight="1" x14ac:dyDescent="0.25">
      <c r="B890" s="5411"/>
      <c r="C890" s="3991"/>
      <c r="D890" s="730"/>
      <c r="E890" s="878"/>
      <c r="F890" s="2281"/>
      <c r="G890" s="2338"/>
      <c r="H890" s="2076"/>
      <c r="J890" s="2127"/>
      <c r="K890" s="2127"/>
    </row>
    <row r="891" spans="2:11" s="2074" customFormat="1" ht="14.25" hidden="1" customHeight="1" x14ac:dyDescent="0.25">
      <c r="B891" s="5411"/>
      <c r="C891" s="4299" t="s">
        <v>290</v>
      </c>
      <c r="D891" s="1416">
        <f>D892+D893</f>
        <v>379125000</v>
      </c>
      <c r="E891" s="1416">
        <f>E892+E893</f>
        <v>99075000</v>
      </c>
      <c r="F891" s="1166">
        <f>E891/D891*100</f>
        <v>26.132542037586546</v>
      </c>
      <c r="G891" s="2484">
        <v>100</v>
      </c>
      <c r="H891" s="2076"/>
      <c r="J891" s="2127"/>
      <c r="K891" s="2127"/>
    </row>
    <row r="892" spans="2:11" s="2074" customFormat="1" ht="16.5" hidden="1" customHeight="1" x14ac:dyDescent="0.25">
      <c r="B892" s="5411"/>
      <c r="C892" s="3856" t="s">
        <v>1081</v>
      </c>
      <c r="D892" s="1492">
        <v>26575000</v>
      </c>
      <c r="E892" s="1846">
        <v>26575000</v>
      </c>
      <c r="F892" s="878">
        <f>E892/D892*100</f>
        <v>100</v>
      </c>
      <c r="G892" s="2338">
        <v>100</v>
      </c>
      <c r="H892" s="2076"/>
      <c r="J892" s="2127"/>
      <c r="K892" s="2127"/>
    </row>
    <row r="893" spans="2:11" s="2074" customFormat="1" ht="14.25" hidden="1" customHeight="1" x14ac:dyDescent="0.25">
      <c r="B893" s="5411"/>
      <c r="C893" s="3856" t="s">
        <v>284</v>
      </c>
      <c r="D893" s="1492">
        <v>352550000</v>
      </c>
      <c r="E893" s="878">
        <v>72500000</v>
      </c>
      <c r="F893" s="878">
        <f>E893/D893*100</f>
        <v>20.564458941994044</v>
      </c>
      <c r="G893" s="2338">
        <v>100</v>
      </c>
      <c r="H893" s="2076"/>
      <c r="J893" s="2127"/>
      <c r="K893" s="2127"/>
    </row>
    <row r="894" spans="2:11" s="2074" customFormat="1" ht="9" hidden="1" customHeight="1" x14ac:dyDescent="0.25">
      <c r="B894" s="5411"/>
      <c r="C894" s="3856"/>
      <c r="D894" s="1492"/>
      <c r="E894" s="878"/>
      <c r="F894" s="1717"/>
      <c r="G894" s="2338"/>
      <c r="H894" s="2076"/>
      <c r="J894" s="2127"/>
      <c r="K894" s="2127"/>
    </row>
    <row r="895" spans="2:11" s="2074" customFormat="1" ht="16.5" hidden="1" customHeight="1" x14ac:dyDescent="0.25">
      <c r="B895" s="5411"/>
      <c r="C895" s="4103" t="s">
        <v>291</v>
      </c>
      <c r="D895" s="1416">
        <f>SUM(D896:D907)</f>
        <v>2770723934</v>
      </c>
      <c r="E895" s="1416">
        <f>SUM(E896:E907)</f>
        <v>2578108034</v>
      </c>
      <c r="F895" s="1173">
        <f t="shared" ref="F895:F907" si="18">E895/D895*100</f>
        <v>93.048174246579421</v>
      </c>
      <c r="G895" s="2484">
        <f>SUM(G896:G907)/12</f>
        <v>94.916666666666671</v>
      </c>
      <c r="H895" s="2076"/>
      <c r="J895" s="2127">
        <v>2770723934</v>
      </c>
      <c r="K895" s="2127">
        <v>2578108034</v>
      </c>
    </row>
    <row r="896" spans="2:11" s="2074" customFormat="1" ht="15.75" hidden="1" customHeight="1" x14ac:dyDescent="0.25">
      <c r="B896" s="5411"/>
      <c r="C896" s="3856" t="s">
        <v>1082</v>
      </c>
      <c r="D896" s="1492">
        <v>99039000</v>
      </c>
      <c r="E896" s="878">
        <v>79739000</v>
      </c>
      <c r="F896" s="878">
        <f t="shared" si="18"/>
        <v>80.512727309443761</v>
      </c>
      <c r="G896" s="878">
        <v>100</v>
      </c>
      <c r="H896" s="2076"/>
      <c r="J896" s="2127"/>
      <c r="K896" s="2127"/>
    </row>
    <row r="897" spans="2:11" s="2074" customFormat="1" ht="14.25" hidden="1" customHeight="1" x14ac:dyDescent="0.25">
      <c r="B897" s="5411"/>
      <c r="C897" s="5480" t="s">
        <v>1083</v>
      </c>
      <c r="D897" s="1418">
        <v>63622120</v>
      </c>
      <c r="E897" s="878">
        <v>60622120</v>
      </c>
      <c r="F897" s="878">
        <f t="shared" si="18"/>
        <v>95.284658857642597</v>
      </c>
      <c r="G897" s="878">
        <v>100</v>
      </c>
      <c r="H897" s="2076"/>
      <c r="J897" s="2127"/>
      <c r="K897" s="2127"/>
    </row>
    <row r="898" spans="2:11" s="2074" customFormat="1" ht="15.75" hidden="1" customHeight="1" x14ac:dyDescent="0.25">
      <c r="B898" s="5411"/>
      <c r="C898" s="4104" t="s">
        <v>1084</v>
      </c>
      <c r="D898" s="880">
        <v>465388000</v>
      </c>
      <c r="E898" s="878">
        <v>447920000</v>
      </c>
      <c r="F898" s="878">
        <f t="shared" si="18"/>
        <v>96.246572752198162</v>
      </c>
      <c r="G898" s="2338">
        <v>97</v>
      </c>
      <c r="H898" s="2076"/>
      <c r="J898" s="2127"/>
      <c r="K898" s="2127"/>
    </row>
    <row r="899" spans="2:11" s="2074" customFormat="1" ht="14.25" hidden="1" customHeight="1" x14ac:dyDescent="0.25">
      <c r="B899" s="5411"/>
      <c r="C899" s="4104" t="s">
        <v>1085</v>
      </c>
      <c r="D899" s="880">
        <v>247084000</v>
      </c>
      <c r="E899" s="878">
        <v>247084000</v>
      </c>
      <c r="F899" s="878">
        <f t="shared" si="18"/>
        <v>100</v>
      </c>
      <c r="G899" s="2338">
        <v>100</v>
      </c>
      <c r="H899" s="2076"/>
      <c r="J899" s="2127"/>
      <c r="K899" s="2127"/>
    </row>
    <row r="900" spans="2:11" s="2074" customFormat="1" ht="14.25" hidden="1" customHeight="1" x14ac:dyDescent="0.25">
      <c r="B900" s="5411"/>
      <c r="C900" s="4104" t="s">
        <v>1086</v>
      </c>
      <c r="D900" s="880">
        <v>177785314</v>
      </c>
      <c r="E900" s="878">
        <v>170305314</v>
      </c>
      <c r="F900" s="878">
        <f t="shared" si="18"/>
        <v>95.792678353623742</v>
      </c>
      <c r="G900" s="2338">
        <v>100</v>
      </c>
      <c r="H900" s="2076"/>
      <c r="J900" s="2127"/>
      <c r="K900" s="2127"/>
    </row>
    <row r="901" spans="2:11" s="2074" customFormat="1" ht="14.25" hidden="1" customHeight="1" x14ac:dyDescent="0.25">
      <c r="B901" s="5411"/>
      <c r="C901" s="4104" t="s">
        <v>1087</v>
      </c>
      <c r="D901" s="880">
        <v>230155000</v>
      </c>
      <c r="E901" s="878">
        <v>182250000</v>
      </c>
      <c r="F901" s="878">
        <f t="shared" si="18"/>
        <v>79.185766114140463</v>
      </c>
      <c r="G901" s="2338">
        <v>80</v>
      </c>
      <c r="H901" s="2076"/>
      <c r="J901" s="2127"/>
      <c r="K901" s="2127"/>
    </row>
    <row r="902" spans="2:11" s="2074" customFormat="1" ht="13.5" hidden="1" customHeight="1" x14ac:dyDescent="0.25">
      <c r="B902" s="5411"/>
      <c r="C902" s="4104" t="s">
        <v>1088</v>
      </c>
      <c r="D902" s="880">
        <v>250990000</v>
      </c>
      <c r="E902" s="878">
        <v>250990000</v>
      </c>
      <c r="F902" s="878">
        <f t="shared" si="18"/>
        <v>100</v>
      </c>
      <c r="G902" s="2338">
        <v>100</v>
      </c>
      <c r="H902" s="2076"/>
      <c r="J902" s="2127"/>
      <c r="K902" s="2127"/>
    </row>
    <row r="903" spans="2:11" s="2074" customFormat="1" ht="12.75" hidden="1" customHeight="1" x14ac:dyDescent="0.25">
      <c r="B903" s="5411"/>
      <c r="C903" s="4104" t="s">
        <v>1089</v>
      </c>
      <c r="D903" s="880">
        <v>220700000</v>
      </c>
      <c r="E903" s="878">
        <v>220700000</v>
      </c>
      <c r="F903" s="878">
        <f t="shared" si="18"/>
        <v>100</v>
      </c>
      <c r="G903" s="2338">
        <v>100</v>
      </c>
      <c r="H903" s="2076"/>
      <c r="J903" s="2127"/>
      <c r="K903" s="2127"/>
    </row>
    <row r="904" spans="2:11" s="2074" customFormat="1" ht="13.5" hidden="1" customHeight="1" x14ac:dyDescent="0.25">
      <c r="B904" s="5411"/>
      <c r="C904" s="4104" t="s">
        <v>1090</v>
      </c>
      <c r="D904" s="880">
        <v>183397000</v>
      </c>
      <c r="E904" s="878">
        <v>162075000</v>
      </c>
      <c r="F904" s="878">
        <f t="shared" si="18"/>
        <v>88.37385562468306</v>
      </c>
      <c r="G904" s="2338">
        <v>89</v>
      </c>
      <c r="H904" s="2076"/>
      <c r="J904" s="2127"/>
      <c r="K904" s="2127"/>
    </row>
    <row r="905" spans="2:11" s="2074" customFormat="1" ht="15" hidden="1" customHeight="1" x14ac:dyDescent="0.25">
      <c r="B905" s="5411"/>
      <c r="C905" s="4104" t="s">
        <v>1091</v>
      </c>
      <c r="D905" s="880">
        <v>251278000</v>
      </c>
      <c r="E905" s="878">
        <v>199113000</v>
      </c>
      <c r="F905" s="878">
        <f t="shared" si="18"/>
        <v>79.240124483639633</v>
      </c>
      <c r="G905" s="2338">
        <v>80</v>
      </c>
      <c r="H905" s="2076"/>
      <c r="J905" s="2127"/>
      <c r="K905" s="2127"/>
    </row>
    <row r="906" spans="2:11" s="2074" customFormat="1" ht="13.5" hidden="1" customHeight="1" x14ac:dyDescent="0.25">
      <c r="B906" s="5411"/>
      <c r="C906" s="4104" t="s">
        <v>1092</v>
      </c>
      <c r="D906" s="880">
        <v>280372500</v>
      </c>
      <c r="E906" s="878">
        <v>261216600</v>
      </c>
      <c r="F906" s="878">
        <f t="shared" si="18"/>
        <v>93.167696546558602</v>
      </c>
      <c r="G906" s="2338">
        <v>94</v>
      </c>
      <c r="H906" s="2076"/>
      <c r="J906" s="2127"/>
      <c r="K906" s="2127"/>
    </row>
    <row r="907" spans="2:11" s="2074" customFormat="1" ht="13.5" hidden="1" customHeight="1" x14ac:dyDescent="0.25">
      <c r="B907" s="5411"/>
      <c r="C907" s="4104" t="s">
        <v>1093</v>
      </c>
      <c r="D907" s="880">
        <v>300913000</v>
      </c>
      <c r="E907" s="878">
        <v>296093000</v>
      </c>
      <c r="F907" s="878">
        <f t="shared" si="18"/>
        <v>98.39820811995493</v>
      </c>
      <c r="G907" s="2338">
        <v>99</v>
      </c>
      <c r="H907" s="2076"/>
      <c r="J907" s="2127"/>
      <c r="K907" s="2127"/>
    </row>
    <row r="908" spans="2:11" s="2074" customFormat="1" ht="10.5" hidden="1" customHeight="1" x14ac:dyDescent="0.25">
      <c r="B908" s="5411"/>
      <c r="C908" s="3857"/>
      <c r="D908" s="731"/>
      <c r="E908" s="878"/>
      <c r="F908" s="2281"/>
      <c r="G908" s="2338"/>
      <c r="H908" s="2076"/>
      <c r="J908" s="2127"/>
      <c r="K908" s="2127"/>
    </row>
    <row r="909" spans="2:11" s="2074" customFormat="1" ht="18" hidden="1" customHeight="1" x14ac:dyDescent="0.25">
      <c r="B909" s="5411"/>
      <c r="C909" s="4103" t="s">
        <v>1013</v>
      </c>
      <c r="D909" s="1416">
        <f>D910</f>
        <v>139050000</v>
      </c>
      <c r="E909" s="1416">
        <f>E910</f>
        <v>137672500</v>
      </c>
      <c r="F909" s="1166">
        <f>E909/D909*100</f>
        <v>99.009349154980214</v>
      </c>
      <c r="G909" s="2484">
        <v>100</v>
      </c>
      <c r="H909" s="2076"/>
      <c r="J909" s="2127"/>
      <c r="K909" s="2127"/>
    </row>
    <row r="910" spans="2:11" s="2074" customFormat="1" ht="14.25" hidden="1" customHeight="1" x14ac:dyDescent="0.25">
      <c r="B910" s="5411"/>
      <c r="C910" s="5480" t="s">
        <v>1094</v>
      </c>
      <c r="D910" s="885">
        <v>139050000</v>
      </c>
      <c r="E910" s="878">
        <v>137672500</v>
      </c>
      <c r="F910" s="878">
        <f>E910/D910*100</f>
        <v>99.009349154980214</v>
      </c>
      <c r="G910" s="2338">
        <v>100</v>
      </c>
      <c r="H910" s="2076"/>
      <c r="J910" s="2127"/>
      <c r="K910" s="2127"/>
    </row>
    <row r="911" spans="2:11" s="2074" customFormat="1" ht="7.5" hidden="1" customHeight="1" x14ac:dyDescent="0.25">
      <c r="B911" s="5411"/>
      <c r="C911" s="3991"/>
      <c r="D911" s="730"/>
      <c r="E911" s="878"/>
      <c r="F911" s="1717"/>
      <c r="G911" s="2338"/>
      <c r="H911" s="2076"/>
      <c r="J911" s="2127"/>
      <c r="K911" s="2127"/>
    </row>
    <row r="912" spans="2:11" s="2074" customFormat="1" ht="18" hidden="1" customHeight="1" x14ac:dyDescent="0.25">
      <c r="B912" s="5411"/>
      <c r="C912" s="4299" t="s">
        <v>1095</v>
      </c>
      <c r="D912" s="1417">
        <f>D913</f>
        <v>78000000</v>
      </c>
      <c r="E912" s="1417">
        <f>E913</f>
        <v>78000000</v>
      </c>
      <c r="F912" s="1166">
        <f>E912/D912*100</f>
        <v>100</v>
      </c>
      <c r="G912" s="1415">
        <v>100</v>
      </c>
      <c r="H912" s="2076"/>
      <c r="J912" s="2127"/>
      <c r="K912" s="2127"/>
    </row>
    <row r="913" spans="2:11" s="2074" customFormat="1" ht="13.5" hidden="1" customHeight="1" x14ac:dyDescent="0.25">
      <c r="B913" s="5411"/>
      <c r="C913" s="3856" t="s">
        <v>1096</v>
      </c>
      <c r="D913" s="1492">
        <v>78000000</v>
      </c>
      <c r="E913" s="878">
        <v>78000000</v>
      </c>
      <c r="F913" s="878">
        <f>E913/D913*100</f>
        <v>100</v>
      </c>
      <c r="G913" s="880">
        <v>100</v>
      </c>
      <c r="H913" s="2076"/>
      <c r="J913" s="2127"/>
      <c r="K913" s="2127"/>
    </row>
    <row r="914" spans="2:11" s="2074" customFormat="1" ht="4.5" hidden="1" customHeight="1" x14ac:dyDescent="0.25">
      <c r="B914" s="5411"/>
      <c r="C914" s="3991"/>
      <c r="D914" s="730"/>
      <c r="E914" s="878"/>
      <c r="F914" s="1717"/>
      <c r="G914" s="2338"/>
      <c r="H914" s="2076"/>
      <c r="J914" s="2127"/>
      <c r="K914" s="2127"/>
    </row>
    <row r="915" spans="2:11" s="2074" customFormat="1" ht="18" hidden="1" customHeight="1" x14ac:dyDescent="0.25">
      <c r="B915" s="5411"/>
      <c r="C915" s="4299" t="s">
        <v>1097</v>
      </c>
      <c r="D915" s="1417">
        <f>D916+D917+D918</f>
        <v>275975000</v>
      </c>
      <c r="E915" s="1417">
        <f>E916+E917+E918</f>
        <v>275457300</v>
      </c>
      <c r="F915" s="1166">
        <f>E915/D915*100</f>
        <v>99.812410544433376</v>
      </c>
      <c r="G915" s="2484">
        <v>100</v>
      </c>
      <c r="H915" s="2076"/>
      <c r="J915" s="2127"/>
      <c r="K915" s="2127"/>
    </row>
    <row r="916" spans="2:11" s="2074" customFormat="1" ht="15" hidden="1" customHeight="1" x14ac:dyDescent="0.25">
      <c r="B916" s="5411"/>
      <c r="C916" s="3856" t="s">
        <v>1098</v>
      </c>
      <c r="D916" s="880">
        <v>84825000</v>
      </c>
      <c r="E916" s="878">
        <v>84692500</v>
      </c>
      <c r="F916" s="878">
        <f>E916/D916*100</f>
        <v>99.843796050692603</v>
      </c>
      <c r="G916" s="2338">
        <v>100</v>
      </c>
      <c r="H916" s="2076"/>
      <c r="J916" s="2127"/>
      <c r="K916" s="2127"/>
    </row>
    <row r="917" spans="2:11" s="2074" customFormat="1" ht="14.25" hidden="1" customHeight="1" x14ac:dyDescent="0.25">
      <c r="B917" s="5411"/>
      <c r="C917" s="3856" t="s">
        <v>1099</v>
      </c>
      <c r="D917" s="1492">
        <v>106950000</v>
      </c>
      <c r="E917" s="878">
        <v>106664800</v>
      </c>
      <c r="F917" s="878">
        <f>E917/D917*100</f>
        <v>99.733333333333334</v>
      </c>
      <c r="G917" s="2338">
        <v>100</v>
      </c>
      <c r="H917" s="2076"/>
      <c r="J917" s="2127"/>
      <c r="K917" s="2127"/>
    </row>
    <row r="918" spans="2:11" s="2074" customFormat="1" ht="15.75" hidden="1" customHeight="1" x14ac:dyDescent="0.25">
      <c r="B918" s="5411"/>
      <c r="C918" s="3856" t="s">
        <v>1100</v>
      </c>
      <c r="D918" s="1492">
        <v>84200000</v>
      </c>
      <c r="E918" s="878">
        <v>84100000</v>
      </c>
      <c r="F918" s="878">
        <f>E918/D918*100</f>
        <v>99.881235154394304</v>
      </c>
      <c r="G918" s="2338">
        <v>100</v>
      </c>
      <c r="H918" s="2076"/>
      <c r="J918" s="2127"/>
      <c r="K918" s="2127"/>
    </row>
    <row r="919" spans="2:11" s="2074" customFormat="1" ht="6.75" hidden="1" customHeight="1" x14ac:dyDescent="0.25">
      <c r="B919" s="5411"/>
      <c r="C919" s="3991"/>
      <c r="D919" s="730"/>
      <c r="E919" s="878"/>
      <c r="F919" s="1717"/>
      <c r="G919" s="2338"/>
      <c r="H919" s="2076"/>
      <c r="J919" s="2127"/>
      <c r="K919" s="2127"/>
    </row>
    <row r="920" spans="2:11" s="2074" customFormat="1" ht="17.25" hidden="1" customHeight="1" x14ac:dyDescent="0.25">
      <c r="B920" s="5411"/>
      <c r="C920" s="4103" t="s">
        <v>1101</v>
      </c>
      <c r="D920" s="1416">
        <f>D921</f>
        <v>150669810</v>
      </c>
      <c r="E920" s="1416">
        <f>E921</f>
        <v>138624800</v>
      </c>
      <c r="F920" s="1166">
        <f>E920/D920*100</f>
        <v>92.005691120205171</v>
      </c>
      <c r="G920" s="2484">
        <v>95</v>
      </c>
      <c r="H920" s="2076"/>
      <c r="J920" s="2127"/>
      <c r="K920" s="2127"/>
    </row>
    <row r="921" spans="2:11" s="2074" customFormat="1" ht="27.75" hidden="1" customHeight="1" x14ac:dyDescent="0.25">
      <c r="B921" s="5411"/>
      <c r="C921" s="5480" t="s">
        <v>1102</v>
      </c>
      <c r="D921" s="886">
        <v>150669810</v>
      </c>
      <c r="E921" s="878">
        <v>138624800</v>
      </c>
      <c r="F921" s="878">
        <f>E921/D921*100</f>
        <v>92.005691120205171</v>
      </c>
      <c r="G921" s="2338">
        <v>95</v>
      </c>
      <c r="H921" s="2076"/>
      <c r="J921" s="2127"/>
      <c r="K921" s="2127"/>
    </row>
    <row r="922" spans="2:11" s="2074" customFormat="1" ht="9.75" hidden="1" customHeight="1" x14ac:dyDescent="0.25">
      <c r="B922" s="5411"/>
      <c r="C922" s="3991"/>
      <c r="D922" s="730"/>
      <c r="E922" s="878"/>
      <c r="F922" s="1717"/>
      <c r="G922" s="2338"/>
      <c r="H922" s="2076"/>
      <c r="J922" s="2127"/>
      <c r="K922" s="2127"/>
    </row>
    <row r="923" spans="2:11" s="2074" customFormat="1" ht="15.75" hidden="1" customHeight="1" x14ac:dyDescent="0.25">
      <c r="B923" s="5411"/>
      <c r="C923" s="4103" t="s">
        <v>1103</v>
      </c>
      <c r="D923" s="1416">
        <f>D924+D925</f>
        <v>190200000</v>
      </c>
      <c r="E923" s="1416">
        <f>E924+E925</f>
        <v>189871500</v>
      </c>
      <c r="F923" s="1166">
        <f>E923/D923*100</f>
        <v>99.827287066246058</v>
      </c>
      <c r="G923" s="2484">
        <v>100</v>
      </c>
      <c r="H923" s="2076"/>
      <c r="J923" s="2127"/>
      <c r="K923" s="2127"/>
    </row>
    <row r="924" spans="2:11" s="2074" customFormat="1" ht="15.75" hidden="1" customHeight="1" x14ac:dyDescent="0.25">
      <c r="B924" s="5411"/>
      <c r="C924" s="3856" t="s">
        <v>1104</v>
      </c>
      <c r="D924" s="880">
        <v>135700000</v>
      </c>
      <c r="E924" s="878">
        <v>135700000</v>
      </c>
      <c r="F924" s="878">
        <f>E924/D924*100</f>
        <v>100</v>
      </c>
      <c r="G924" s="2338">
        <v>100</v>
      </c>
      <c r="H924" s="2076"/>
      <c r="J924" s="2127"/>
      <c r="K924" s="2127"/>
    </row>
    <row r="925" spans="2:11" s="2074" customFormat="1" ht="17.25" hidden="1" customHeight="1" x14ac:dyDescent="0.25">
      <c r="B925" s="5411"/>
      <c r="C925" s="5480" t="s">
        <v>1105</v>
      </c>
      <c r="D925" s="1412">
        <v>54500000</v>
      </c>
      <c r="E925" s="878">
        <v>54171500</v>
      </c>
      <c r="F925" s="878">
        <f>E925/D925*100</f>
        <v>99.397247706422021</v>
      </c>
      <c r="G925" s="2338">
        <v>100</v>
      </c>
      <c r="H925" s="2076"/>
      <c r="J925" s="2127"/>
      <c r="K925" s="2127"/>
    </row>
    <row r="926" spans="2:11" s="2074" customFormat="1" ht="8.25" hidden="1" customHeight="1" x14ac:dyDescent="0.25">
      <c r="B926" s="5411"/>
      <c r="C926" s="3991"/>
      <c r="D926" s="730"/>
      <c r="E926" s="878"/>
      <c r="F926" s="1717"/>
      <c r="G926" s="2338"/>
      <c r="H926" s="2076"/>
      <c r="J926" s="2127"/>
      <c r="K926" s="2127"/>
    </row>
    <row r="927" spans="2:11" s="2074" customFormat="1" ht="15.75" hidden="1" customHeight="1" x14ac:dyDescent="0.25">
      <c r="B927" s="5411"/>
      <c r="C927" s="4299" t="s">
        <v>1106</v>
      </c>
      <c r="D927" s="1417">
        <f>SUM(D928:D931)</f>
        <v>431465000</v>
      </c>
      <c r="E927" s="1417">
        <f>SUM(E928:E931)</f>
        <v>418190000</v>
      </c>
      <c r="F927" s="1173">
        <f>E927/D927*100</f>
        <v>96.923273034892759</v>
      </c>
      <c r="G927" s="2484">
        <f>SUM(G928:G931)/4</f>
        <v>98.75</v>
      </c>
      <c r="H927" s="2076"/>
      <c r="J927" s="2127"/>
      <c r="K927" s="2127"/>
    </row>
    <row r="928" spans="2:11" s="2074" customFormat="1" ht="14.25" hidden="1" customHeight="1" x14ac:dyDescent="0.25">
      <c r="B928" s="5411"/>
      <c r="C928" s="3856" t="s">
        <v>1107</v>
      </c>
      <c r="D928" s="1492">
        <v>226725000</v>
      </c>
      <c r="E928" s="878">
        <v>213450000</v>
      </c>
      <c r="F928" s="878">
        <f>E928/D928*100</f>
        <v>94.144889182930868</v>
      </c>
      <c r="G928" s="2338">
        <v>95</v>
      </c>
      <c r="H928" s="2076"/>
      <c r="J928" s="2127"/>
      <c r="K928" s="2127"/>
    </row>
    <row r="929" spans="2:11" s="2074" customFormat="1" ht="13.5" hidden="1" customHeight="1" x14ac:dyDescent="0.25">
      <c r="B929" s="5411"/>
      <c r="C929" s="3856" t="s">
        <v>1108</v>
      </c>
      <c r="D929" s="1492">
        <v>65840000</v>
      </c>
      <c r="E929" s="878">
        <v>65840000</v>
      </c>
      <c r="F929" s="878">
        <f>E929/D929*100</f>
        <v>100</v>
      </c>
      <c r="G929" s="2338">
        <v>100</v>
      </c>
      <c r="H929" s="2076"/>
      <c r="J929" s="2127"/>
      <c r="K929" s="2127"/>
    </row>
    <row r="930" spans="2:11" s="2074" customFormat="1" ht="15.75" hidden="1" customHeight="1" x14ac:dyDescent="0.25">
      <c r="B930" s="5411"/>
      <c r="C930" s="5482" t="s">
        <v>1109</v>
      </c>
      <c r="D930" s="1418">
        <v>68600000</v>
      </c>
      <c r="E930" s="878">
        <v>68600000</v>
      </c>
      <c r="F930" s="878">
        <f>E930/D930*100</f>
        <v>100</v>
      </c>
      <c r="G930" s="2338">
        <v>100</v>
      </c>
      <c r="H930" s="2076"/>
      <c r="J930" s="2127"/>
      <c r="K930" s="2127"/>
    </row>
    <row r="931" spans="2:11" s="2074" customFormat="1" ht="14.25" hidden="1" customHeight="1" x14ac:dyDescent="0.25">
      <c r="B931" s="5411"/>
      <c r="C931" s="5480" t="s">
        <v>1110</v>
      </c>
      <c r="D931" s="1412">
        <v>70300000</v>
      </c>
      <c r="E931" s="1852">
        <v>70300000</v>
      </c>
      <c r="F931" s="878">
        <f>E931/D931*100</f>
        <v>100</v>
      </c>
      <c r="G931" s="2338">
        <v>100</v>
      </c>
      <c r="H931" s="2076"/>
      <c r="J931" s="2127"/>
      <c r="K931" s="2127"/>
    </row>
    <row r="932" spans="2:11" s="2074" customFormat="1" ht="12" hidden="1" customHeight="1" x14ac:dyDescent="0.25">
      <c r="B932" s="5411"/>
      <c r="C932" s="3991"/>
      <c r="D932" s="730"/>
      <c r="E932" s="878"/>
      <c r="F932" s="2281"/>
      <c r="G932" s="2338"/>
      <c r="H932" s="2076"/>
      <c r="J932" s="2127"/>
      <c r="K932" s="2127"/>
    </row>
    <row r="933" spans="2:11" s="2070" customFormat="1" ht="16.5" hidden="1" customHeight="1" x14ac:dyDescent="0.25">
      <c r="B933" s="2913"/>
      <c r="C933" s="4103" t="s">
        <v>1111</v>
      </c>
      <c r="D933" s="1416">
        <f>SUM(D934:D938)</f>
        <v>712720600</v>
      </c>
      <c r="E933" s="1416">
        <f>SUM(E934:E938)</f>
        <v>635346791</v>
      </c>
      <c r="F933" s="1166">
        <f t="shared" ref="F933:F938" si="19">E933/D933*100</f>
        <v>89.143879242440875</v>
      </c>
      <c r="G933" s="877">
        <f>SUM(G934:G938)/5</f>
        <v>94.4</v>
      </c>
      <c r="H933" s="2077"/>
      <c r="J933" s="2085"/>
      <c r="K933" s="2085"/>
    </row>
    <row r="934" spans="2:11" s="2074" customFormat="1" ht="14.25" hidden="1" customHeight="1" x14ac:dyDescent="0.25">
      <c r="B934" s="5411"/>
      <c r="C934" s="3856" t="s">
        <v>1112</v>
      </c>
      <c r="D934" s="1492">
        <v>134700000</v>
      </c>
      <c r="E934" s="878">
        <v>130952200</v>
      </c>
      <c r="F934" s="878">
        <f t="shared" si="19"/>
        <v>97.217668893838166</v>
      </c>
      <c r="G934" s="878">
        <v>100</v>
      </c>
      <c r="H934" s="2076"/>
      <c r="J934" s="2127"/>
      <c r="K934" s="2127"/>
    </row>
    <row r="935" spans="2:11" s="2074" customFormat="1" ht="12.75" hidden="1" customHeight="1" x14ac:dyDescent="0.25">
      <c r="B935" s="5411"/>
      <c r="C935" s="3856" t="s">
        <v>1113</v>
      </c>
      <c r="D935" s="1492">
        <v>187175600</v>
      </c>
      <c r="E935" s="878">
        <v>159074900</v>
      </c>
      <c r="F935" s="878">
        <f t="shared" si="19"/>
        <v>84.986985483150576</v>
      </c>
      <c r="G935" s="878">
        <v>100</v>
      </c>
      <c r="H935" s="2076"/>
      <c r="J935" s="2127"/>
      <c r="K935" s="2127"/>
    </row>
    <row r="936" spans="2:11" s="2074" customFormat="1" ht="13.5" hidden="1" customHeight="1" x14ac:dyDescent="0.25">
      <c r="B936" s="5411"/>
      <c r="C936" s="3856" t="s">
        <v>1114</v>
      </c>
      <c r="D936" s="1492">
        <v>104145000</v>
      </c>
      <c r="E936" s="878">
        <v>104145000</v>
      </c>
      <c r="F936" s="878">
        <f t="shared" si="19"/>
        <v>100</v>
      </c>
      <c r="G936" s="878">
        <v>100</v>
      </c>
      <c r="H936" s="2076"/>
      <c r="J936" s="2127"/>
      <c r="K936" s="2127"/>
    </row>
    <row r="937" spans="2:11" s="2074" customFormat="1" ht="14.25" hidden="1" customHeight="1" x14ac:dyDescent="0.25">
      <c r="B937" s="5411"/>
      <c r="C937" s="3856" t="s">
        <v>1115</v>
      </c>
      <c r="D937" s="1492">
        <v>162200000</v>
      </c>
      <c r="E937" s="878">
        <v>116674691</v>
      </c>
      <c r="F937" s="878">
        <f t="shared" si="19"/>
        <v>71.932608508014795</v>
      </c>
      <c r="G937" s="878">
        <v>72</v>
      </c>
      <c r="H937" s="2076"/>
      <c r="J937" s="2127"/>
      <c r="K937" s="2127"/>
    </row>
    <row r="938" spans="2:11" s="2074" customFormat="1" ht="14.25" hidden="1" customHeight="1" x14ac:dyDescent="0.25">
      <c r="B938" s="5411"/>
      <c r="C938" s="3856" t="s">
        <v>1127</v>
      </c>
      <c r="D938" s="1492">
        <v>124500000</v>
      </c>
      <c r="E938" s="878">
        <v>124500000</v>
      </c>
      <c r="F938" s="878">
        <f t="shared" si="19"/>
        <v>100</v>
      </c>
      <c r="G938" s="878">
        <v>100</v>
      </c>
      <c r="H938" s="2076"/>
      <c r="J938" s="2127"/>
      <c r="K938" s="2127"/>
    </row>
    <row r="939" spans="2:11" s="2074" customFormat="1" ht="12" hidden="1" customHeight="1" x14ac:dyDescent="0.25">
      <c r="B939" s="5411"/>
      <c r="C939" s="4104"/>
      <c r="D939" s="730"/>
      <c r="E939" s="878"/>
      <c r="F939" s="2281"/>
      <c r="G939" s="2338"/>
      <c r="H939" s="2076"/>
      <c r="J939" s="2127"/>
      <c r="K939" s="2127"/>
    </row>
    <row r="940" spans="2:11" s="2074" customFormat="1" ht="15.75" hidden="1" customHeight="1" x14ac:dyDescent="0.25">
      <c r="B940" s="5411"/>
      <c r="C940" s="4103" t="s">
        <v>1116</v>
      </c>
      <c r="D940" s="1416">
        <f>D941+D942</f>
        <v>415300000</v>
      </c>
      <c r="E940" s="1416">
        <f>E941+E942</f>
        <v>382700000</v>
      </c>
      <c r="F940" s="1166">
        <f>E940/D940*100</f>
        <v>92.150252829280049</v>
      </c>
      <c r="G940" s="2484">
        <v>100</v>
      </c>
      <c r="H940" s="2076"/>
      <c r="J940" s="2127"/>
      <c r="K940" s="2127"/>
    </row>
    <row r="941" spans="2:11" s="2074" customFormat="1" ht="16.5" hidden="1" customHeight="1" x14ac:dyDescent="0.25">
      <c r="B941" s="5411"/>
      <c r="C941" s="3856" t="s">
        <v>1117</v>
      </c>
      <c r="D941" s="1492">
        <v>75100000</v>
      </c>
      <c r="E941" s="1846">
        <v>75100000</v>
      </c>
      <c r="F941" s="878">
        <f>E941/D941*100</f>
        <v>100</v>
      </c>
      <c r="G941" s="2338">
        <v>100</v>
      </c>
      <c r="H941" s="2076"/>
      <c r="J941" s="2127"/>
      <c r="K941" s="2127"/>
    </row>
    <row r="942" spans="2:11" s="2074" customFormat="1" ht="15" hidden="1" customHeight="1" x14ac:dyDescent="0.25">
      <c r="B942" s="5411"/>
      <c r="C942" s="5480" t="s">
        <v>1118</v>
      </c>
      <c r="D942" s="1412">
        <v>340200000</v>
      </c>
      <c r="E942" s="878">
        <v>307600000</v>
      </c>
      <c r="F942" s="878">
        <f>E942/D942*100</f>
        <v>90.417401528512642</v>
      </c>
      <c r="G942" s="2338">
        <v>100</v>
      </c>
      <c r="H942" s="2076"/>
      <c r="J942" s="2127"/>
      <c r="K942" s="2127"/>
    </row>
    <row r="943" spans="2:11" s="2074" customFormat="1" ht="12" hidden="1" customHeight="1" x14ac:dyDescent="0.25">
      <c r="B943" s="5411"/>
      <c r="C943" s="3991"/>
      <c r="D943" s="730"/>
      <c r="E943" s="878"/>
      <c r="F943" s="1717"/>
      <c r="G943" s="2338"/>
      <c r="H943" s="2076"/>
      <c r="J943" s="2127"/>
      <c r="K943" s="2127"/>
    </row>
    <row r="944" spans="2:11" s="2074" customFormat="1" ht="29.25" hidden="1" customHeight="1" x14ac:dyDescent="0.25">
      <c r="B944" s="5411"/>
      <c r="C944" s="4299" t="s">
        <v>1119</v>
      </c>
      <c r="D944" s="811">
        <f>SUM(D945:D947)</f>
        <v>5197518166</v>
      </c>
      <c r="E944" s="811">
        <f>SUM(E945:E947)</f>
        <v>4832711000</v>
      </c>
      <c r="F944" s="1166">
        <f>E944/D944*100</f>
        <v>92.981127639217959</v>
      </c>
      <c r="G944" s="2484">
        <v>100</v>
      </c>
      <c r="H944" s="2076"/>
      <c r="J944" s="2127"/>
      <c r="K944" s="2127"/>
    </row>
    <row r="945" spans="1:11" s="2074" customFormat="1" ht="15.75" hidden="1" customHeight="1" x14ac:dyDescent="0.25">
      <c r="B945" s="5411"/>
      <c r="C945" s="3856" t="s">
        <v>1120</v>
      </c>
      <c r="D945" s="1492">
        <v>4016518166</v>
      </c>
      <c r="E945" s="878">
        <v>3769516000</v>
      </c>
      <c r="F945" s="878">
        <f>E945/D945*100</f>
        <v>93.850341121549405</v>
      </c>
      <c r="G945" s="2338">
        <v>100</v>
      </c>
      <c r="H945" s="2076"/>
      <c r="J945" s="2127"/>
      <c r="K945" s="2127"/>
    </row>
    <row r="946" spans="1:11" s="2074" customFormat="1" ht="16.5" hidden="1" customHeight="1" x14ac:dyDescent="0.25">
      <c r="B946" s="5411"/>
      <c r="C946" s="3856" t="s">
        <v>1121</v>
      </c>
      <c r="D946" s="1492">
        <v>126000000</v>
      </c>
      <c r="E946" s="878">
        <v>126000000</v>
      </c>
      <c r="F946" s="878">
        <f>E946/D946*100</f>
        <v>100</v>
      </c>
      <c r="G946" s="2338">
        <v>100</v>
      </c>
      <c r="H946" s="2076"/>
      <c r="J946" s="2127"/>
      <c r="K946" s="2127"/>
    </row>
    <row r="947" spans="1:11" s="2074" customFormat="1" ht="17.25" hidden="1" customHeight="1" x14ac:dyDescent="0.25">
      <c r="B947" s="5411"/>
      <c r="C947" s="3856" t="s">
        <v>1332</v>
      </c>
      <c r="D947" s="1492">
        <v>1055000000</v>
      </c>
      <c r="E947" s="878">
        <v>937195000</v>
      </c>
      <c r="F947" s="878">
        <f>E947/D947*100</f>
        <v>88.833649289099526</v>
      </c>
      <c r="G947" s="2338">
        <v>100</v>
      </c>
      <c r="H947" s="2076"/>
      <c r="J947" s="2127"/>
      <c r="K947" s="2127"/>
    </row>
    <row r="948" spans="1:11" s="2074" customFormat="1" ht="7.5" hidden="1" customHeight="1" x14ac:dyDescent="0.25">
      <c r="B948" s="5411"/>
      <c r="C948" s="3991"/>
      <c r="D948" s="730"/>
      <c r="E948" s="878"/>
      <c r="F948" s="1717"/>
      <c r="G948" s="2338"/>
      <c r="H948" s="2076"/>
      <c r="J948" s="2127"/>
      <c r="K948" s="2127"/>
    </row>
    <row r="949" spans="1:11" s="2074" customFormat="1" ht="15.75" hidden="1" customHeight="1" x14ac:dyDescent="0.25">
      <c r="B949" s="5411"/>
      <c r="C949" s="4103" t="s">
        <v>1122</v>
      </c>
      <c r="D949" s="1416">
        <f>D950</f>
        <v>40500000</v>
      </c>
      <c r="E949" s="1416">
        <f>E950</f>
        <v>38000000</v>
      </c>
      <c r="F949" s="1166">
        <f>E949/D949*100</f>
        <v>93.827160493827151</v>
      </c>
      <c r="G949" s="877">
        <v>100</v>
      </c>
      <c r="H949" s="2076"/>
      <c r="J949" s="2127"/>
      <c r="K949" s="2127"/>
    </row>
    <row r="950" spans="1:11" s="2074" customFormat="1" ht="15.75" hidden="1" customHeight="1" x14ac:dyDescent="0.25">
      <c r="B950" s="5411"/>
      <c r="C950" s="3856" t="s">
        <v>1123</v>
      </c>
      <c r="D950" s="1492">
        <v>40500000</v>
      </c>
      <c r="E950" s="878">
        <v>38000000</v>
      </c>
      <c r="F950" s="878">
        <f>E950/D950*100</f>
        <v>93.827160493827151</v>
      </c>
      <c r="G950" s="878">
        <v>100</v>
      </c>
      <c r="H950" s="2076"/>
      <c r="J950" s="2127"/>
      <c r="K950" s="2127"/>
    </row>
    <row r="951" spans="1:11" s="2074" customFormat="1" ht="12" hidden="1" customHeight="1" x14ac:dyDescent="0.25">
      <c r="B951" s="5411"/>
      <c r="C951" s="3991"/>
      <c r="D951" s="730"/>
      <c r="E951" s="878"/>
      <c r="F951" s="1167"/>
      <c r="G951" s="878"/>
      <c r="H951" s="2076"/>
      <c r="J951" s="2127"/>
      <c r="K951" s="2127"/>
    </row>
    <row r="952" spans="1:11" s="2074" customFormat="1" ht="17.25" hidden="1" customHeight="1" x14ac:dyDescent="0.25">
      <c r="B952" s="5411"/>
      <c r="C952" s="4299" t="s">
        <v>1124</v>
      </c>
      <c r="D952" s="1417">
        <f>SUM(D953:D953)</f>
        <v>157120000</v>
      </c>
      <c r="E952" s="1417">
        <f>SUM(E953:E953)</f>
        <v>155470000</v>
      </c>
      <c r="F952" s="1166">
        <f>E952/D952*100</f>
        <v>98.949847250509166</v>
      </c>
      <c r="G952" s="877">
        <v>100</v>
      </c>
      <c r="H952" s="2076"/>
      <c r="J952" s="2127"/>
      <c r="K952" s="2127"/>
    </row>
    <row r="953" spans="1:11" s="2074" customFormat="1" ht="21.75" hidden="1" customHeight="1" x14ac:dyDescent="0.25">
      <c r="B953" s="5411"/>
      <c r="C953" s="3908" t="s">
        <v>1125</v>
      </c>
      <c r="D953" s="880">
        <v>157120000</v>
      </c>
      <c r="E953" s="878">
        <v>155470000</v>
      </c>
      <c r="F953" s="878">
        <f>E953/D953*100</f>
        <v>98.949847250509166</v>
      </c>
      <c r="G953" s="878">
        <v>100</v>
      </c>
      <c r="H953" s="2076"/>
      <c r="J953" s="2127"/>
      <c r="K953" s="2127"/>
    </row>
    <row r="954" spans="1:11" s="266" customFormat="1" ht="9.75" hidden="1" customHeight="1" x14ac:dyDescent="0.25">
      <c r="A954" s="353"/>
      <c r="B954" s="5411"/>
      <c r="C954" s="3861"/>
      <c r="D954" s="1570"/>
      <c r="E954" s="887"/>
      <c r="F954" s="2265"/>
      <c r="G954" s="3290"/>
      <c r="H954" s="354"/>
      <c r="J954" s="2126"/>
      <c r="K954" s="2126"/>
    </row>
    <row r="955" spans="1:11" s="2074" customFormat="1" ht="18" hidden="1" customHeight="1" x14ac:dyDescent="0.25">
      <c r="B955" s="5410"/>
      <c r="C955" s="3994" t="s">
        <v>315</v>
      </c>
      <c r="D955" s="1571">
        <f>D956</f>
        <v>6140993880</v>
      </c>
      <c r="E955" s="1571">
        <f>E956</f>
        <v>6115372738</v>
      </c>
      <c r="F955" s="1462">
        <f>E955/D955*100</f>
        <v>99.582785091458192</v>
      </c>
      <c r="G955" s="2315">
        <v>100</v>
      </c>
      <c r="H955" s="2076"/>
      <c r="J955" s="2127">
        <v>6140993880</v>
      </c>
      <c r="K955" s="2127">
        <v>6115372738</v>
      </c>
    </row>
    <row r="956" spans="1:11" s="2074" customFormat="1" ht="18" hidden="1" customHeight="1" x14ac:dyDescent="0.25">
      <c r="B956" s="5411"/>
      <c r="C956" s="4299" t="s">
        <v>316</v>
      </c>
      <c r="D956" s="1461">
        <f>D957</f>
        <v>6140993880</v>
      </c>
      <c r="E956" s="1461">
        <f>E957</f>
        <v>6115372738</v>
      </c>
      <c r="F956" s="1461">
        <f>E956/D956*100</f>
        <v>99.582785091458192</v>
      </c>
      <c r="G956" s="2261">
        <v>100</v>
      </c>
      <c r="H956" s="2076"/>
      <c r="J956" s="2127"/>
      <c r="K956" s="2127"/>
    </row>
    <row r="957" spans="1:11" s="2074" customFormat="1" ht="17.25" hidden="1" customHeight="1" x14ac:dyDescent="0.25">
      <c r="B957" s="5411"/>
      <c r="C957" s="3856" t="s">
        <v>1126</v>
      </c>
      <c r="D957" s="1572">
        <v>6140993880</v>
      </c>
      <c r="E957" s="878">
        <v>6115372738</v>
      </c>
      <c r="F957" s="885">
        <f>E957/D957*100</f>
        <v>99.582785091458192</v>
      </c>
      <c r="G957" s="2338">
        <v>100</v>
      </c>
      <c r="H957" s="2076"/>
      <c r="J957" s="2127"/>
      <c r="K957" s="2127"/>
    </row>
    <row r="958" spans="1:11" s="266" customFormat="1" ht="12" hidden="1" customHeight="1" x14ac:dyDescent="0.25">
      <c r="A958" s="353"/>
      <c r="B958" s="5411"/>
      <c r="C958" s="3861"/>
      <c r="D958" s="1570"/>
      <c r="E958" s="882"/>
      <c r="F958" s="2281"/>
      <c r="G958" s="2314"/>
      <c r="H958" s="354"/>
      <c r="J958" s="2126"/>
      <c r="K958" s="2126"/>
    </row>
    <row r="959" spans="1:11" s="2074" customFormat="1" ht="29.25" hidden="1" customHeight="1" x14ac:dyDescent="0.25">
      <c r="B959" s="5410"/>
      <c r="C959" s="3994" t="s">
        <v>1128</v>
      </c>
      <c r="D959" s="1462">
        <f>D960+D963+D966</f>
        <v>18191566440</v>
      </c>
      <c r="E959" s="1462">
        <f>E960+E963+E966</f>
        <v>17889820000</v>
      </c>
      <c r="F959" s="1462">
        <f>E959/D959*100</f>
        <v>98.341283907599546</v>
      </c>
      <c r="G959" s="2315">
        <v>100</v>
      </c>
      <c r="H959" s="2076"/>
      <c r="J959" s="2127">
        <v>18191566440</v>
      </c>
      <c r="K959" s="2127">
        <v>17889820000</v>
      </c>
    </row>
    <row r="960" spans="1:11" s="2074" customFormat="1" ht="18" hidden="1" customHeight="1" x14ac:dyDescent="0.25">
      <c r="B960" s="5411"/>
      <c r="C960" s="4299" t="s">
        <v>301</v>
      </c>
      <c r="D960" s="1417">
        <f>D961</f>
        <v>3003970000</v>
      </c>
      <c r="E960" s="1417">
        <f>E961</f>
        <v>2924630000</v>
      </c>
      <c r="F960" s="1461">
        <f>E960/D960*100</f>
        <v>97.358828483639982</v>
      </c>
      <c r="G960" s="2481">
        <v>100</v>
      </c>
      <c r="H960" s="2076"/>
      <c r="J960" s="2127"/>
      <c r="K960" s="2127"/>
    </row>
    <row r="961" spans="1:11" s="2074" customFormat="1" ht="16.5" hidden="1" customHeight="1" x14ac:dyDescent="0.25">
      <c r="B961" s="5411"/>
      <c r="C961" s="3908" t="s">
        <v>1129</v>
      </c>
      <c r="D961" s="1492">
        <v>3003970000</v>
      </c>
      <c r="E961" s="1818">
        <v>2924630000</v>
      </c>
      <c r="F961" s="885">
        <f>E961/D961*100</f>
        <v>97.358828483639982</v>
      </c>
      <c r="G961" s="3285">
        <v>100</v>
      </c>
      <c r="H961" s="2076"/>
      <c r="J961" s="2127"/>
      <c r="K961" s="2127"/>
    </row>
    <row r="962" spans="1:11" s="2074" customFormat="1" ht="11.25" hidden="1" customHeight="1" x14ac:dyDescent="0.25">
      <c r="B962" s="5411"/>
      <c r="C962" s="3911"/>
      <c r="D962" s="730"/>
      <c r="E962" s="878"/>
      <c r="F962" s="2373"/>
      <c r="G962" s="2338"/>
      <c r="H962" s="2076"/>
      <c r="J962" s="2127"/>
      <c r="K962" s="2127"/>
    </row>
    <row r="963" spans="1:11" s="2074" customFormat="1" ht="19.5" hidden="1" customHeight="1" x14ac:dyDescent="0.25">
      <c r="B963" s="5411"/>
      <c r="C963" s="3911" t="s">
        <v>1130</v>
      </c>
      <c r="D963" s="1417">
        <f>D964</f>
        <v>6511220000</v>
      </c>
      <c r="E963" s="1417">
        <f>E964</f>
        <v>6423140000</v>
      </c>
      <c r="F963" s="1166">
        <f>E963/D963*100</f>
        <v>98.647258117526363</v>
      </c>
      <c r="G963" s="2484">
        <v>100</v>
      </c>
      <c r="H963" s="2076"/>
      <c r="J963" s="2127"/>
      <c r="K963" s="2127"/>
    </row>
    <row r="964" spans="1:11" s="2074" customFormat="1" ht="14.25" hidden="1" customHeight="1" x14ac:dyDescent="0.25">
      <c r="B964" s="5411"/>
      <c r="C964" s="3908" t="s">
        <v>1131</v>
      </c>
      <c r="D964" s="1492">
        <v>6511220000</v>
      </c>
      <c r="E964" s="1818">
        <v>6423140000</v>
      </c>
      <c r="F964" s="878">
        <f>E964/D964*100</f>
        <v>98.647258117526363</v>
      </c>
      <c r="G964" s="2338">
        <v>100</v>
      </c>
      <c r="H964" s="2076"/>
      <c r="J964" s="2127"/>
      <c r="K964" s="2127"/>
    </row>
    <row r="965" spans="1:11" s="2074" customFormat="1" ht="12" hidden="1" customHeight="1" x14ac:dyDescent="0.25">
      <c r="B965" s="5411"/>
      <c r="C965" s="4172"/>
      <c r="D965" s="730"/>
      <c r="E965" s="878"/>
      <c r="F965" s="2373"/>
      <c r="G965" s="2338"/>
      <c r="H965" s="2076"/>
      <c r="J965" s="2127"/>
      <c r="K965" s="2127"/>
    </row>
    <row r="966" spans="1:11" s="2074" customFormat="1" ht="16.5" hidden="1" customHeight="1" x14ac:dyDescent="0.25">
      <c r="B966" s="5411"/>
      <c r="C966" s="4103" t="s">
        <v>1132</v>
      </c>
      <c r="D966" s="1417">
        <f>D967</f>
        <v>8676376440</v>
      </c>
      <c r="E966" s="1417">
        <f>E967</f>
        <v>8542050000</v>
      </c>
      <c r="F966" s="1166">
        <f>E966/D966*100</f>
        <v>98.451814061677581</v>
      </c>
      <c r="G966" s="2484">
        <v>100</v>
      </c>
      <c r="H966" s="2076"/>
      <c r="J966" s="2127"/>
      <c r="K966" s="2127"/>
    </row>
    <row r="967" spans="1:11" s="2074" customFormat="1" ht="15.75" hidden="1" customHeight="1" x14ac:dyDescent="0.25">
      <c r="B967" s="5411"/>
      <c r="C967" s="3908" t="s">
        <v>1133</v>
      </c>
      <c r="D967" s="1412">
        <v>8676376440</v>
      </c>
      <c r="E967" s="1818">
        <v>8542050000</v>
      </c>
      <c r="F967" s="878">
        <f>E967/D967*100</f>
        <v>98.451814061677581</v>
      </c>
      <c r="G967" s="2338">
        <v>100</v>
      </c>
      <c r="H967" s="2076"/>
      <c r="J967" s="2127"/>
      <c r="K967" s="2127"/>
    </row>
    <row r="968" spans="1:11" s="266" customFormat="1" ht="12" hidden="1" customHeight="1" x14ac:dyDescent="0.25">
      <c r="A968" s="353"/>
      <c r="B968" s="5411"/>
      <c r="C968" s="3861"/>
      <c r="D968" s="1570"/>
      <c r="E968" s="882"/>
      <c r="F968" s="2281"/>
      <c r="G968" s="2314"/>
      <c r="H968" s="354"/>
      <c r="J968" s="2126"/>
      <c r="K968" s="2126"/>
    </row>
    <row r="969" spans="1:11" s="2074" customFormat="1" ht="17.25" hidden="1" customHeight="1" x14ac:dyDescent="0.25">
      <c r="B969" s="5410"/>
      <c r="C969" s="3994" t="s">
        <v>317</v>
      </c>
      <c r="D969" s="1571">
        <f>D970+D973+D976</f>
        <v>785097000</v>
      </c>
      <c r="E969" s="1571">
        <f>E970+E973+E976</f>
        <v>769897000</v>
      </c>
      <c r="F969" s="1462">
        <f>E969/D969*100</f>
        <v>98.06393350121067</v>
      </c>
      <c r="G969" s="888">
        <v>100</v>
      </c>
      <c r="H969" s="2076"/>
      <c r="J969" s="2127"/>
      <c r="K969" s="2127"/>
    </row>
    <row r="970" spans="1:11" s="2074" customFormat="1" ht="16.5" hidden="1" customHeight="1" x14ac:dyDescent="0.25">
      <c r="B970" s="5411"/>
      <c r="C970" s="4299" t="s">
        <v>1134</v>
      </c>
      <c r="D970" s="1417">
        <f>D971</f>
        <v>286012500</v>
      </c>
      <c r="E970" s="1417">
        <f>E971</f>
        <v>280312500</v>
      </c>
      <c r="F970" s="1461">
        <f>E970/D970*100</f>
        <v>98.00708011013505</v>
      </c>
      <c r="G970" s="890">
        <v>100</v>
      </c>
      <c r="H970" s="2076"/>
      <c r="J970" s="2127"/>
      <c r="K970" s="2127"/>
    </row>
    <row r="971" spans="1:11" s="2074" customFormat="1" ht="18" hidden="1" customHeight="1" x14ac:dyDescent="0.25">
      <c r="B971" s="5411"/>
      <c r="C971" s="3856" t="s">
        <v>1135</v>
      </c>
      <c r="D971" s="1492">
        <v>286012500</v>
      </c>
      <c r="E971" s="878">
        <v>280312500</v>
      </c>
      <c r="F971" s="885">
        <f>E971/D971*100</f>
        <v>98.00708011013505</v>
      </c>
      <c r="G971" s="878">
        <v>100</v>
      </c>
      <c r="H971" s="2076"/>
      <c r="J971" s="2127"/>
      <c r="K971" s="2127"/>
    </row>
    <row r="972" spans="1:11" s="2074" customFormat="1" ht="7.5" hidden="1" customHeight="1" x14ac:dyDescent="0.25">
      <c r="B972" s="5411"/>
      <c r="C972" s="3991"/>
      <c r="D972" s="730"/>
      <c r="E972" s="878"/>
      <c r="F972" s="2373"/>
      <c r="G972" s="878"/>
      <c r="H972" s="2076"/>
      <c r="J972" s="2127"/>
      <c r="K972" s="2127"/>
    </row>
    <row r="973" spans="1:11" s="2074" customFormat="1" ht="15.75" hidden="1" customHeight="1" x14ac:dyDescent="0.25">
      <c r="B973" s="5411"/>
      <c r="C973" s="4299" t="s">
        <v>1891</v>
      </c>
      <c r="D973" s="1414">
        <f>D974</f>
        <v>284759500</v>
      </c>
      <c r="E973" s="1414">
        <f>E974</f>
        <v>277259500</v>
      </c>
      <c r="F973" s="1166">
        <f>E973/D973*100</f>
        <v>97.366198493816711</v>
      </c>
      <c r="G973" s="877">
        <v>100</v>
      </c>
      <c r="H973" s="2076"/>
      <c r="J973" s="2127"/>
      <c r="K973" s="2127"/>
    </row>
    <row r="974" spans="1:11" s="2074" customFormat="1" ht="30" hidden="1" customHeight="1" x14ac:dyDescent="0.25">
      <c r="B974" s="5411"/>
      <c r="C974" s="3856" t="s">
        <v>1335</v>
      </c>
      <c r="D974" s="880">
        <v>284759500</v>
      </c>
      <c r="E974" s="878">
        <v>277259500</v>
      </c>
      <c r="F974" s="878">
        <f>E974/D974*100</f>
        <v>97.366198493816711</v>
      </c>
      <c r="G974" s="878">
        <v>100</v>
      </c>
      <c r="H974" s="2076"/>
      <c r="J974" s="2127"/>
      <c r="K974" s="2127"/>
    </row>
    <row r="975" spans="1:11" s="2074" customFormat="1" ht="8.25" hidden="1" customHeight="1" x14ac:dyDescent="0.25">
      <c r="B975" s="5411"/>
      <c r="C975" s="3989"/>
      <c r="D975" s="730"/>
      <c r="E975" s="878"/>
      <c r="F975" s="878"/>
      <c r="G975" s="878"/>
      <c r="H975" s="2076"/>
      <c r="J975" s="2127"/>
      <c r="K975" s="2127"/>
    </row>
    <row r="976" spans="1:11" s="2074" customFormat="1" ht="16.5" hidden="1" customHeight="1" x14ac:dyDescent="0.25">
      <c r="B976" s="5411"/>
      <c r="C976" s="4103" t="s">
        <v>1136</v>
      </c>
      <c r="D976" s="1417">
        <f>D977</f>
        <v>214325000</v>
      </c>
      <c r="E976" s="1417">
        <f>E977</f>
        <v>212325000</v>
      </c>
      <c r="F976" s="1166">
        <f>E976/D976*100</f>
        <v>99.066837746413157</v>
      </c>
      <c r="G976" s="877">
        <v>100</v>
      </c>
      <c r="H976" s="2076"/>
      <c r="J976" s="2127"/>
      <c r="K976" s="2127"/>
    </row>
    <row r="977" spans="1:11" s="2074" customFormat="1" ht="16.5" hidden="1" customHeight="1" x14ac:dyDescent="0.25">
      <c r="B977" s="5411"/>
      <c r="C977" s="5480" t="s">
        <v>1137</v>
      </c>
      <c r="D977" s="1492">
        <v>214325000</v>
      </c>
      <c r="E977" s="878">
        <v>212325000</v>
      </c>
      <c r="F977" s="878">
        <f>E977/D977*100</f>
        <v>99.066837746413157</v>
      </c>
      <c r="G977" s="878">
        <v>100</v>
      </c>
      <c r="H977" s="2076"/>
      <c r="J977" s="2127"/>
      <c r="K977" s="2127"/>
    </row>
    <row r="978" spans="1:11" s="266" customFormat="1" ht="12" hidden="1" customHeight="1" x14ac:dyDescent="0.25">
      <c r="A978" s="353"/>
      <c r="B978" s="5411"/>
      <c r="C978" s="3861"/>
      <c r="D978" s="1570"/>
      <c r="E978" s="882"/>
      <c r="F978" s="2281"/>
      <c r="G978" s="2314"/>
      <c r="H978" s="354"/>
      <c r="J978" s="2126"/>
      <c r="K978" s="2126"/>
    </row>
    <row r="979" spans="1:11" s="266" customFormat="1" ht="17.25" hidden="1" customHeight="1" x14ac:dyDescent="0.25">
      <c r="A979" s="353"/>
      <c r="B979" s="5410"/>
      <c r="C979" s="3858" t="s">
        <v>2392</v>
      </c>
      <c r="D979" s="1571">
        <f>SUM(D980+D985+D988+D996+D999+D1002+D1005)</f>
        <v>3678499750</v>
      </c>
      <c r="E979" s="1571">
        <f>SUM(E980+E985+E988+E996+E999+E1002+E1005)</f>
        <v>3562789868</v>
      </c>
      <c r="F979" s="1462">
        <f>E979/D979*100</f>
        <v>96.854427351802869</v>
      </c>
      <c r="G979" s="2315">
        <f>SUM(G980+G985+G988+G996+G999+G1002+G1005)/7</f>
        <v>95.238095238095255</v>
      </c>
      <c r="H979" s="354"/>
      <c r="J979" s="2126">
        <v>3678499750</v>
      </c>
      <c r="K979" s="2126">
        <v>3562789868</v>
      </c>
    </row>
    <row r="980" spans="1:11" s="2074" customFormat="1" ht="31.5" hidden="1" customHeight="1" x14ac:dyDescent="0.25">
      <c r="B980" s="5411"/>
      <c r="C980" s="3911" t="s">
        <v>1138</v>
      </c>
      <c r="D980" s="811">
        <f>SUM(D981:D983)</f>
        <v>332251670</v>
      </c>
      <c r="E980" s="811">
        <f>SUM(E981:E983)</f>
        <v>282326670</v>
      </c>
      <c r="F980" s="1461">
        <f>E980/D980*100</f>
        <v>84.973739936356068</v>
      </c>
      <c r="G980" s="4358">
        <f>SUM(G981:G983)/3</f>
        <v>66.666666666666671</v>
      </c>
      <c r="H980" s="2076"/>
      <c r="J980" s="2127"/>
      <c r="K980" s="2127"/>
    </row>
    <row r="981" spans="1:11" s="2074" customFormat="1" ht="30" hidden="1" customHeight="1" x14ac:dyDescent="0.25">
      <c r="B981" s="5411"/>
      <c r="C981" s="3908" t="s">
        <v>1139</v>
      </c>
      <c r="D981" s="880">
        <v>241876670</v>
      </c>
      <c r="E981" s="878">
        <v>233526670</v>
      </c>
      <c r="F981" s="885">
        <f>E981/D981*100</f>
        <v>96.547827452726224</v>
      </c>
      <c r="G981" s="2338">
        <v>100</v>
      </c>
      <c r="H981" s="2076"/>
      <c r="J981" s="2127"/>
      <c r="K981" s="2127"/>
    </row>
    <row r="982" spans="1:11" s="2074" customFormat="1" ht="18.75" hidden="1" customHeight="1" x14ac:dyDescent="0.25">
      <c r="B982" s="5411"/>
      <c r="C982" s="3909" t="s">
        <v>1140</v>
      </c>
      <c r="D982" s="886">
        <v>48800000</v>
      </c>
      <c r="E982" s="878">
        <v>48800000</v>
      </c>
      <c r="F982" s="885">
        <f>E982/D982*100</f>
        <v>100</v>
      </c>
      <c r="G982" s="878">
        <v>100</v>
      </c>
      <c r="H982" s="2076"/>
      <c r="J982" s="2127"/>
      <c r="K982" s="2127"/>
    </row>
    <row r="983" spans="1:11" s="2074" customFormat="1" ht="16.5" hidden="1" customHeight="1" x14ac:dyDescent="0.25">
      <c r="B983" s="5411"/>
      <c r="C983" s="3909" t="s">
        <v>1141</v>
      </c>
      <c r="D983" s="880">
        <v>41575000</v>
      </c>
      <c r="E983" s="878">
        <v>0</v>
      </c>
      <c r="F983" s="878">
        <v>0</v>
      </c>
      <c r="G983" s="878">
        <v>0</v>
      </c>
      <c r="H983" s="2076"/>
      <c r="J983" s="2127"/>
      <c r="K983" s="2127"/>
    </row>
    <row r="984" spans="1:11" s="2074" customFormat="1" ht="9.75" hidden="1" customHeight="1" x14ac:dyDescent="0.25">
      <c r="B984" s="5411"/>
      <c r="C984" s="3991"/>
      <c r="D984" s="730"/>
      <c r="E984" s="878"/>
      <c r="F984" s="2373"/>
      <c r="G984" s="2338"/>
      <c r="H984" s="2076"/>
      <c r="J984" s="2127"/>
      <c r="K984" s="2127"/>
    </row>
    <row r="985" spans="1:11" s="2074" customFormat="1" ht="17.25" hidden="1" customHeight="1" x14ac:dyDescent="0.25">
      <c r="B985" s="5411"/>
      <c r="C985" s="4103" t="s">
        <v>318</v>
      </c>
      <c r="D985" s="1416">
        <f>D986</f>
        <v>671880000</v>
      </c>
      <c r="E985" s="1416">
        <f>E986</f>
        <v>668160000</v>
      </c>
      <c r="F985" s="1166">
        <f>E985/D985*100</f>
        <v>99.446329701732452</v>
      </c>
      <c r="G985" s="2484">
        <v>100</v>
      </c>
      <c r="H985" s="2076"/>
      <c r="J985" s="2127"/>
      <c r="K985" s="2127"/>
    </row>
    <row r="986" spans="1:11" s="2074" customFormat="1" ht="17.25" hidden="1" customHeight="1" x14ac:dyDescent="0.25">
      <c r="B986" s="5411"/>
      <c r="C986" s="3856" t="s">
        <v>319</v>
      </c>
      <c r="D986" s="1492">
        <v>671880000</v>
      </c>
      <c r="E986" s="878">
        <v>668160000</v>
      </c>
      <c r="F986" s="878">
        <f>E986/D986*100</f>
        <v>99.446329701732452</v>
      </c>
      <c r="G986" s="2293">
        <v>100</v>
      </c>
      <c r="H986" s="2076"/>
      <c r="J986" s="2127" t="s">
        <v>6185</v>
      </c>
      <c r="K986" s="2127"/>
    </row>
    <row r="987" spans="1:11" s="2074" customFormat="1" ht="12" hidden="1" customHeight="1" x14ac:dyDescent="0.25">
      <c r="B987" s="5411"/>
      <c r="C987" s="3991"/>
      <c r="D987" s="730"/>
      <c r="E987" s="877"/>
      <c r="F987" s="2176"/>
      <c r="G987" s="2176"/>
      <c r="H987" s="2076"/>
      <c r="J987" s="2127"/>
      <c r="K987" s="2127"/>
    </row>
    <row r="988" spans="1:11" s="2074" customFormat="1" ht="16.5" hidden="1" customHeight="1" x14ac:dyDescent="0.25">
      <c r="B988" s="5411"/>
      <c r="C988" s="4103" t="s">
        <v>1142</v>
      </c>
      <c r="D988" s="1416">
        <f>SUM(D989:D994)</f>
        <v>1709818080</v>
      </c>
      <c r="E988" s="1416">
        <f>SUM(E989:E994)</f>
        <v>1706699500</v>
      </c>
      <c r="F988" s="1166">
        <f t="shared" ref="F988:F994" si="20">E988/D988*100</f>
        <v>99.817607496582326</v>
      </c>
      <c r="G988" s="2176">
        <v>100</v>
      </c>
      <c r="H988" s="2076"/>
      <c r="J988" s="2127"/>
      <c r="K988" s="2127"/>
    </row>
    <row r="989" spans="1:11" s="2074" customFormat="1" ht="30.75" hidden="1" customHeight="1" x14ac:dyDescent="0.25">
      <c r="B989" s="5411"/>
      <c r="C989" s="3856" t="s">
        <v>1143</v>
      </c>
      <c r="D989" s="880">
        <v>71920000</v>
      </c>
      <c r="E989" s="878">
        <v>71920000</v>
      </c>
      <c r="F989" s="878">
        <f t="shared" si="20"/>
        <v>100</v>
      </c>
      <c r="G989" s="878">
        <v>100</v>
      </c>
      <c r="H989" s="2076"/>
      <c r="J989" s="2127"/>
      <c r="K989" s="2127"/>
    </row>
    <row r="990" spans="1:11" s="2074" customFormat="1" ht="32.25" hidden="1" customHeight="1" x14ac:dyDescent="0.25">
      <c r="B990" s="5411"/>
      <c r="C990" s="3856" t="s">
        <v>1144</v>
      </c>
      <c r="D990" s="880">
        <v>45800000</v>
      </c>
      <c r="E990" s="878">
        <v>45800000</v>
      </c>
      <c r="F990" s="878">
        <f t="shared" si="20"/>
        <v>100</v>
      </c>
      <c r="G990" s="878">
        <v>100</v>
      </c>
      <c r="H990" s="2076"/>
      <c r="J990" s="2127"/>
      <c r="K990" s="2127"/>
    </row>
    <row r="991" spans="1:11" s="2074" customFormat="1" ht="27" hidden="1" customHeight="1" x14ac:dyDescent="0.25">
      <c r="B991" s="5411"/>
      <c r="C991" s="3856" t="s">
        <v>1145</v>
      </c>
      <c r="D991" s="880">
        <v>1261830000</v>
      </c>
      <c r="E991" s="1818">
        <v>1259612000</v>
      </c>
      <c r="F991" s="878">
        <f t="shared" si="20"/>
        <v>99.824223548338523</v>
      </c>
      <c r="G991" s="878">
        <v>100</v>
      </c>
      <c r="H991" s="2076"/>
      <c r="J991" s="2127"/>
      <c r="K991" s="2127"/>
    </row>
    <row r="992" spans="1:11" s="2074" customFormat="1" ht="14.25" hidden="1" customHeight="1" x14ac:dyDescent="0.25">
      <c r="B992" s="5411"/>
      <c r="C992" s="3856" t="s">
        <v>1146</v>
      </c>
      <c r="D992" s="1492">
        <v>97618080</v>
      </c>
      <c r="E992" s="878">
        <v>97617500</v>
      </c>
      <c r="F992" s="878">
        <f t="shared" si="20"/>
        <v>99.999405847769182</v>
      </c>
      <c r="G992" s="878">
        <v>100</v>
      </c>
      <c r="H992" s="2076"/>
      <c r="J992" s="2127"/>
      <c r="K992" s="2127"/>
    </row>
    <row r="993" spans="1:11" s="2074" customFormat="1" ht="18" hidden="1" customHeight="1" x14ac:dyDescent="0.25">
      <c r="B993" s="5411"/>
      <c r="C993" s="3856" t="s">
        <v>1147</v>
      </c>
      <c r="D993" s="1492">
        <v>140150000</v>
      </c>
      <c r="E993" s="878">
        <v>139250000</v>
      </c>
      <c r="F993" s="878">
        <f t="shared" si="20"/>
        <v>99.357830895469135</v>
      </c>
      <c r="G993" s="878">
        <v>100</v>
      </c>
      <c r="H993" s="2076"/>
      <c r="J993" s="2127"/>
      <c r="K993" s="2127"/>
    </row>
    <row r="994" spans="1:11" s="2074" customFormat="1" ht="16.5" hidden="1" customHeight="1" x14ac:dyDescent="0.25">
      <c r="B994" s="5411"/>
      <c r="C994" s="3856" t="s">
        <v>1148</v>
      </c>
      <c r="D994" s="1492">
        <v>92500000</v>
      </c>
      <c r="E994" s="1846">
        <v>92500000</v>
      </c>
      <c r="F994" s="878">
        <f t="shared" si="20"/>
        <v>100</v>
      </c>
      <c r="G994" s="878">
        <v>100</v>
      </c>
      <c r="H994" s="2076"/>
      <c r="J994" s="2127"/>
      <c r="K994" s="2127"/>
    </row>
    <row r="995" spans="1:11" s="2074" customFormat="1" ht="12" hidden="1" customHeight="1" x14ac:dyDescent="0.25">
      <c r="B995" s="5411"/>
      <c r="C995" s="4104"/>
      <c r="D995" s="1569"/>
      <c r="E995" s="882"/>
      <c r="F995" s="2281"/>
      <c r="G995" s="2314"/>
      <c r="H995" s="2076"/>
      <c r="J995" s="2127"/>
      <c r="K995" s="2127"/>
    </row>
    <row r="996" spans="1:11" s="2074" customFormat="1" ht="15.75" hidden="1" customHeight="1" x14ac:dyDescent="0.25">
      <c r="B996" s="5411"/>
      <c r="C996" s="4103" t="s">
        <v>1149</v>
      </c>
      <c r="D996" s="1416">
        <f>D997</f>
        <v>625300000</v>
      </c>
      <c r="E996" s="1416">
        <f>E997</f>
        <v>600154600</v>
      </c>
      <c r="F996" s="1166">
        <f>E996/D996*100</f>
        <v>95.978666240204703</v>
      </c>
      <c r="G996" s="2484">
        <v>100</v>
      </c>
      <c r="H996" s="2076"/>
      <c r="J996" s="2127"/>
      <c r="K996" s="2127"/>
    </row>
    <row r="997" spans="1:11" s="2074" customFormat="1" ht="16.5" hidden="1" customHeight="1" x14ac:dyDescent="0.25">
      <c r="B997" s="5411"/>
      <c r="C997" s="3856" t="s">
        <v>1150</v>
      </c>
      <c r="D997" s="1492">
        <v>625300000</v>
      </c>
      <c r="E997" s="878">
        <v>600154600</v>
      </c>
      <c r="F997" s="878">
        <f>E997/D997*100</f>
        <v>95.978666240204703</v>
      </c>
      <c r="G997" s="2338">
        <v>100</v>
      </c>
      <c r="H997" s="2076"/>
      <c r="J997" s="2127"/>
      <c r="K997" s="2127"/>
    </row>
    <row r="998" spans="1:11" s="266" customFormat="1" ht="12" hidden="1" customHeight="1" x14ac:dyDescent="0.25">
      <c r="A998" s="353"/>
      <c r="B998" s="5411"/>
      <c r="C998" s="3991"/>
      <c r="D998" s="730"/>
      <c r="E998" s="878"/>
      <c r="F998" s="1717"/>
      <c r="G998" s="2338"/>
      <c r="H998" s="354"/>
      <c r="J998" s="2126"/>
      <c r="K998" s="2126"/>
    </row>
    <row r="999" spans="1:11" s="2074" customFormat="1" ht="15" hidden="1" customHeight="1" x14ac:dyDescent="0.25">
      <c r="B999" s="5411"/>
      <c r="C999" s="3911" t="s">
        <v>1151</v>
      </c>
      <c r="D999" s="1416">
        <f>D1000</f>
        <v>39750000</v>
      </c>
      <c r="E999" s="1416">
        <f>E1000</f>
        <v>39750000</v>
      </c>
      <c r="F999" s="1166">
        <f>E999/D999*100</f>
        <v>100</v>
      </c>
      <c r="G999" s="877">
        <v>100</v>
      </c>
      <c r="H999" s="2076"/>
      <c r="J999" s="2127"/>
      <c r="K999" s="2127"/>
    </row>
    <row r="1000" spans="1:11" s="2074" customFormat="1" ht="14.25" hidden="1" customHeight="1" x14ac:dyDescent="0.25">
      <c r="B1000" s="5411"/>
      <c r="C1000" s="3908" t="s">
        <v>1152</v>
      </c>
      <c r="D1000" s="1492">
        <v>39750000</v>
      </c>
      <c r="E1000" s="878">
        <v>39750000</v>
      </c>
      <c r="F1000" s="878">
        <f>E1000/D1000*100</f>
        <v>100</v>
      </c>
      <c r="G1000" s="878">
        <v>100</v>
      </c>
      <c r="H1000" s="2076"/>
      <c r="J1000" s="2127"/>
      <c r="K1000" s="2127"/>
    </row>
    <row r="1001" spans="1:11" s="2074" customFormat="1" ht="12" hidden="1" customHeight="1" x14ac:dyDescent="0.25">
      <c r="B1001" s="5411"/>
      <c r="C1001" s="3991"/>
      <c r="D1001" s="730"/>
      <c r="E1001" s="878"/>
      <c r="F1001" s="880"/>
      <c r="G1001" s="1121"/>
      <c r="H1001" s="2076"/>
      <c r="J1001" s="2127"/>
      <c r="K1001" s="2127"/>
    </row>
    <row r="1002" spans="1:11" s="2074" customFormat="1" ht="14.25" hidden="1" customHeight="1" x14ac:dyDescent="0.25">
      <c r="B1002" s="5411"/>
      <c r="C1002" s="4103" t="s">
        <v>1153</v>
      </c>
      <c r="D1002" s="1416">
        <f>D1003</f>
        <v>145000000</v>
      </c>
      <c r="E1002" s="1416">
        <f>E1003</f>
        <v>112399098</v>
      </c>
      <c r="F1002" s="1166">
        <f>E1002/D1002*100</f>
        <v>77.516619310344822</v>
      </c>
      <c r="G1002" s="2484">
        <v>100</v>
      </c>
      <c r="H1002" s="2076"/>
      <c r="J1002" s="2127"/>
      <c r="K1002" s="2127"/>
    </row>
    <row r="1003" spans="1:11" s="2074" customFormat="1" ht="15" hidden="1" customHeight="1" x14ac:dyDescent="0.25">
      <c r="B1003" s="5411"/>
      <c r="C1003" s="3856" t="s">
        <v>1154</v>
      </c>
      <c r="D1003" s="1492">
        <v>145000000</v>
      </c>
      <c r="E1003" s="878">
        <v>112399098</v>
      </c>
      <c r="F1003" s="878">
        <f>E1003/D1003*100</f>
        <v>77.516619310344822</v>
      </c>
      <c r="G1003" s="2338">
        <v>100</v>
      </c>
      <c r="H1003" s="2076"/>
      <c r="J1003" s="2127"/>
      <c r="K1003" s="2127"/>
    </row>
    <row r="1004" spans="1:11" s="2074" customFormat="1" ht="12" hidden="1" customHeight="1" x14ac:dyDescent="0.25">
      <c r="B1004" s="5411"/>
      <c r="C1004" s="3991"/>
      <c r="D1004" s="730"/>
      <c r="E1004" s="878"/>
      <c r="F1004" s="1717"/>
      <c r="G1004" s="2338"/>
      <c r="H1004" s="2076"/>
      <c r="J1004" s="2127"/>
      <c r="K1004" s="2127"/>
    </row>
    <row r="1005" spans="1:11" s="2074" customFormat="1" ht="14.25" hidden="1" customHeight="1" x14ac:dyDescent="0.25">
      <c r="B1005" s="5411"/>
      <c r="C1005" s="4103" t="s">
        <v>1155</v>
      </c>
      <c r="D1005" s="1416">
        <f>D1006</f>
        <v>154500000</v>
      </c>
      <c r="E1005" s="1416">
        <f>E1006</f>
        <v>153300000</v>
      </c>
      <c r="F1005" s="1166">
        <f>E1005/D1005*100</f>
        <v>99.22330097087378</v>
      </c>
      <c r="G1005" s="2484">
        <v>100</v>
      </c>
      <c r="H1005" s="2076"/>
      <c r="J1005" s="2127"/>
      <c r="K1005" s="2127"/>
    </row>
    <row r="1006" spans="1:11" s="2074" customFormat="1" ht="12.75" hidden="1" customHeight="1" x14ac:dyDescent="0.25">
      <c r="B1006" s="5411"/>
      <c r="C1006" s="3908" t="s">
        <v>1156</v>
      </c>
      <c r="D1006" s="1492">
        <v>154500000</v>
      </c>
      <c r="E1006" s="878">
        <v>153300000</v>
      </c>
      <c r="F1006" s="878">
        <f>E1006/D1006*100</f>
        <v>99.22330097087378</v>
      </c>
      <c r="G1006" s="2338">
        <v>100</v>
      </c>
      <c r="H1006" s="2076"/>
      <c r="J1006" s="2127"/>
      <c r="K1006" s="2127"/>
    </row>
    <row r="1007" spans="1:11" s="2074" customFormat="1" ht="12" hidden="1" customHeight="1" x14ac:dyDescent="0.25">
      <c r="B1007" s="5411"/>
      <c r="C1007" s="3894"/>
      <c r="D1007" s="1573"/>
      <c r="E1007" s="887"/>
      <c r="F1007" s="2265"/>
      <c r="G1007" s="2314"/>
      <c r="H1007" s="2076"/>
      <c r="J1007" s="2127"/>
      <c r="K1007" s="2127"/>
    </row>
    <row r="1008" spans="1:11" s="2074" customFormat="1" ht="17.25" hidden="1" customHeight="1" x14ac:dyDescent="0.25">
      <c r="B1008" s="5410"/>
      <c r="C1008" s="3858" t="s">
        <v>320</v>
      </c>
      <c r="D1008" s="1571">
        <f>SUM(D1009+D1012)</f>
        <v>600000000</v>
      </c>
      <c r="E1008" s="1571">
        <f>SUM(E1009+E1012)</f>
        <v>595140000</v>
      </c>
      <c r="F1008" s="1462">
        <f>E1008/D1008*100</f>
        <v>99.19</v>
      </c>
      <c r="G1008" s="2315">
        <v>100</v>
      </c>
      <c r="H1008" s="2076"/>
      <c r="J1008" s="2127"/>
      <c r="K1008" s="2127"/>
    </row>
    <row r="1009" spans="1:11" s="2074" customFormat="1" ht="18.75" hidden="1" customHeight="1" x14ac:dyDescent="0.25">
      <c r="B1009" s="5411"/>
      <c r="C1009" s="4299" t="s">
        <v>321</v>
      </c>
      <c r="D1009" s="1417">
        <f>D1010</f>
        <v>208628265</v>
      </c>
      <c r="E1009" s="1417">
        <f>E1010</f>
        <v>208550000</v>
      </c>
      <c r="F1009" s="1461">
        <f>E1009/D1009*100</f>
        <v>99.962485907650148</v>
      </c>
      <c r="G1009" s="2316">
        <v>100</v>
      </c>
      <c r="H1009" s="2076"/>
      <c r="J1009" s="2127"/>
      <c r="K1009" s="2127"/>
    </row>
    <row r="1010" spans="1:11" s="2074" customFormat="1" ht="14.25" hidden="1" customHeight="1" x14ac:dyDescent="0.25">
      <c r="B1010" s="5411"/>
      <c r="C1010" s="3856" t="s">
        <v>322</v>
      </c>
      <c r="D1010" s="1492">
        <v>208628265</v>
      </c>
      <c r="E1010" s="1818">
        <v>208550000</v>
      </c>
      <c r="F1010" s="885">
        <f>E1010/D1010*100</f>
        <v>99.962485907650148</v>
      </c>
      <c r="G1010" s="2338">
        <v>100</v>
      </c>
      <c r="H1010" s="2076"/>
      <c r="J1010" s="2127"/>
      <c r="K1010" s="2127"/>
    </row>
    <row r="1011" spans="1:11" s="2074" customFormat="1" ht="12" hidden="1" customHeight="1" x14ac:dyDescent="0.25">
      <c r="B1011" s="5411"/>
      <c r="C1011" s="3991"/>
      <c r="D1011" s="730"/>
      <c r="E1011" s="878"/>
      <c r="F1011" s="1717"/>
      <c r="G1011" s="2338"/>
      <c r="H1011" s="2076"/>
      <c r="J1011" s="2127"/>
      <c r="K1011" s="2127"/>
    </row>
    <row r="1012" spans="1:11" s="2074" customFormat="1" ht="18" hidden="1" customHeight="1" x14ac:dyDescent="0.25">
      <c r="B1012" s="5411"/>
      <c r="C1012" s="4299" t="s">
        <v>323</v>
      </c>
      <c r="D1012" s="1417">
        <f>D1013</f>
        <v>391371735</v>
      </c>
      <c r="E1012" s="1417">
        <f>E1013</f>
        <v>386590000</v>
      </c>
      <c r="F1012" s="1166">
        <f>E1012/D1012*100</f>
        <v>98.778211461796033</v>
      </c>
      <c r="G1012" s="2484">
        <v>100</v>
      </c>
      <c r="H1012" s="2076"/>
      <c r="J1012" s="2127"/>
      <c r="K1012" s="2127"/>
    </row>
    <row r="1013" spans="1:11" s="2074" customFormat="1" ht="16.5" hidden="1" customHeight="1" x14ac:dyDescent="0.25">
      <c r="B1013" s="5411"/>
      <c r="C1013" s="3856" t="s">
        <v>1157</v>
      </c>
      <c r="D1013" s="1492">
        <v>391371735</v>
      </c>
      <c r="E1013" s="1818">
        <v>386590000</v>
      </c>
      <c r="F1013" s="878">
        <f>E1013/D1013*100</f>
        <v>98.778211461796033</v>
      </c>
      <c r="G1013" s="2338">
        <v>100</v>
      </c>
      <c r="H1013" s="2076"/>
      <c r="J1013" s="2127"/>
      <c r="K1013" s="2127"/>
    </row>
    <row r="1014" spans="1:11" s="266" customFormat="1" ht="12" hidden="1" customHeight="1" x14ac:dyDescent="0.25">
      <c r="A1014" s="353"/>
      <c r="B1014" s="5411"/>
      <c r="C1014" s="3861"/>
      <c r="D1014" s="1570"/>
      <c r="E1014" s="882"/>
      <c r="F1014" s="2281"/>
      <c r="G1014" s="2314"/>
      <c r="H1014" s="354"/>
      <c r="J1014" s="2126"/>
      <c r="K1014" s="2126"/>
    </row>
    <row r="1015" spans="1:11" s="2074" customFormat="1" ht="30" hidden="1" customHeight="1" x14ac:dyDescent="0.25">
      <c r="B1015" s="5410"/>
      <c r="C1015" s="3994" t="s">
        <v>2073</v>
      </c>
      <c r="D1015" s="1462">
        <f>SUM(D1016+D1020+D1029+D1032+D1035+D1038+D1042+D1045+D1050+D1053+D1056+D1059+D1062)</f>
        <v>3674159982</v>
      </c>
      <c r="E1015" s="1462">
        <f>SUM(E1016+E1020+E1029+E1032+E1035+E1038+E1042+E1045+E1050+E1053+E1056+E1059+E1062)</f>
        <v>3670659982</v>
      </c>
      <c r="F1015" s="1462">
        <f>E1015/D1015*100</f>
        <v>99.90474013061089</v>
      </c>
      <c r="G1015" s="2317">
        <v>100</v>
      </c>
      <c r="H1015" s="2076"/>
      <c r="J1015" s="2127"/>
      <c r="K1015" s="2127"/>
    </row>
    <row r="1016" spans="1:11" s="2074" customFormat="1" ht="17.25" hidden="1" customHeight="1" x14ac:dyDescent="0.25">
      <c r="B1016" s="5411"/>
      <c r="C1016" s="4299" t="s">
        <v>1158</v>
      </c>
      <c r="D1016" s="1461">
        <f>D1017+D1018</f>
        <v>279175000</v>
      </c>
      <c r="E1016" s="1461">
        <f>E1017+E1018</f>
        <v>277475000</v>
      </c>
      <c r="F1016" s="1461">
        <f>E1016/D1016*100</f>
        <v>99.391062953344672</v>
      </c>
      <c r="G1016" s="2318">
        <v>100</v>
      </c>
      <c r="H1016" s="2076"/>
      <c r="J1016" s="2127"/>
      <c r="K1016" s="2127"/>
    </row>
    <row r="1017" spans="1:11" s="2074" customFormat="1" ht="17.25" hidden="1" customHeight="1" x14ac:dyDescent="0.25">
      <c r="B1017" s="5411"/>
      <c r="C1017" s="4104" t="s">
        <v>1159</v>
      </c>
      <c r="D1017" s="1412">
        <v>89000000</v>
      </c>
      <c r="E1017" s="878">
        <v>87600000</v>
      </c>
      <c r="F1017" s="885">
        <f>E1017/D1017*100</f>
        <v>98.426966292134836</v>
      </c>
      <c r="G1017" s="2293">
        <v>100</v>
      </c>
      <c r="H1017" s="2076"/>
      <c r="J1017" s="2127"/>
      <c r="K1017" s="2127"/>
    </row>
    <row r="1018" spans="1:11" s="2074" customFormat="1" ht="15" hidden="1" customHeight="1" x14ac:dyDescent="0.25">
      <c r="B1018" s="5411"/>
      <c r="C1018" s="5480" t="s">
        <v>1160</v>
      </c>
      <c r="D1018" s="1492">
        <v>190175000</v>
      </c>
      <c r="E1018" s="878">
        <v>189875000</v>
      </c>
      <c r="F1018" s="885">
        <f>E1018/D1018*100</f>
        <v>99.842250558695937</v>
      </c>
      <c r="G1018" s="2293">
        <v>100</v>
      </c>
      <c r="H1018" s="2076"/>
      <c r="J1018" s="2127"/>
      <c r="K1018" s="2127"/>
    </row>
    <row r="1019" spans="1:11" s="2074" customFormat="1" ht="12" hidden="1" customHeight="1" x14ac:dyDescent="0.25">
      <c r="B1019" s="5411"/>
      <c r="C1019" s="3991"/>
      <c r="D1019" s="730"/>
      <c r="E1019" s="878"/>
      <c r="F1019" s="2293"/>
      <c r="G1019" s="2293"/>
      <c r="H1019" s="2076"/>
      <c r="J1019" s="2127"/>
      <c r="K1019" s="2127"/>
    </row>
    <row r="1020" spans="1:11" s="2074" customFormat="1" ht="21.75" hidden="1" customHeight="1" x14ac:dyDescent="0.25">
      <c r="B1020" s="5411"/>
      <c r="C1020" s="4068" t="s">
        <v>1161</v>
      </c>
      <c r="D1020" s="1417">
        <f>SUM(D1021:D1027)</f>
        <v>1163669982</v>
      </c>
      <c r="E1020" s="1417">
        <f>SUM(E1021:E1027)</f>
        <v>1163269982</v>
      </c>
      <c r="F1020" s="1166">
        <f t="shared" ref="F1020:F1027" si="21">E1020/D1020*100</f>
        <v>99.965625993091905</v>
      </c>
      <c r="G1020" s="2176">
        <v>100</v>
      </c>
      <c r="H1020" s="2076"/>
      <c r="J1020" s="2127"/>
      <c r="K1020" s="2127"/>
    </row>
    <row r="1021" spans="1:11" s="2074" customFormat="1" ht="26.25" hidden="1" customHeight="1" x14ac:dyDescent="0.25">
      <c r="B1021" s="5411"/>
      <c r="C1021" s="5480" t="s">
        <v>1162</v>
      </c>
      <c r="D1021" s="886">
        <v>197925000</v>
      </c>
      <c r="E1021" s="671">
        <v>197925000</v>
      </c>
      <c r="F1021" s="878">
        <f t="shared" si="21"/>
        <v>100</v>
      </c>
      <c r="G1021" s="2293">
        <v>100</v>
      </c>
      <c r="H1021" s="2076"/>
      <c r="J1021" s="2127"/>
      <c r="K1021" s="2127"/>
    </row>
    <row r="1022" spans="1:11" s="2074" customFormat="1" ht="27" hidden="1" customHeight="1" x14ac:dyDescent="0.25">
      <c r="B1022" s="5411"/>
      <c r="C1022" s="3856" t="s">
        <v>1163</v>
      </c>
      <c r="D1022" s="880">
        <v>202825000</v>
      </c>
      <c r="E1022" s="878">
        <v>202825000</v>
      </c>
      <c r="F1022" s="878">
        <f t="shared" si="21"/>
        <v>100</v>
      </c>
      <c r="G1022" s="2293">
        <v>100</v>
      </c>
      <c r="H1022" s="2076"/>
      <c r="J1022" s="2127"/>
      <c r="K1022" s="2127"/>
    </row>
    <row r="1023" spans="1:11" s="2074" customFormat="1" ht="15.75" hidden="1" customHeight="1" x14ac:dyDescent="0.25">
      <c r="B1023" s="5411"/>
      <c r="C1023" s="5480" t="s">
        <v>1164</v>
      </c>
      <c r="D1023" s="1412">
        <v>183535000</v>
      </c>
      <c r="E1023" s="878">
        <v>183435000</v>
      </c>
      <c r="F1023" s="878">
        <f t="shared" si="21"/>
        <v>99.945514479527063</v>
      </c>
      <c r="G1023" s="2293">
        <v>100</v>
      </c>
      <c r="H1023" s="2076"/>
      <c r="J1023" s="2127"/>
      <c r="K1023" s="2127"/>
    </row>
    <row r="1024" spans="1:11" s="2074" customFormat="1" ht="15.75" hidden="1" customHeight="1" x14ac:dyDescent="0.25">
      <c r="B1024" s="5411"/>
      <c r="C1024" s="3856" t="s">
        <v>1165</v>
      </c>
      <c r="D1024" s="1492">
        <v>107934982</v>
      </c>
      <c r="E1024" s="878">
        <v>107934982</v>
      </c>
      <c r="F1024" s="878">
        <f t="shared" si="21"/>
        <v>100</v>
      </c>
      <c r="G1024" s="2293">
        <v>100</v>
      </c>
      <c r="H1024" s="2076"/>
      <c r="J1024" s="2127"/>
      <c r="K1024" s="2127"/>
    </row>
    <row r="1025" spans="2:11" s="2074" customFormat="1" ht="16.5" hidden="1" customHeight="1" x14ac:dyDescent="0.25">
      <c r="B1025" s="5411"/>
      <c r="C1025" s="3856" t="s">
        <v>1167</v>
      </c>
      <c r="D1025" s="1492">
        <v>202570000</v>
      </c>
      <c r="E1025" s="878">
        <v>202470000</v>
      </c>
      <c r="F1025" s="878">
        <f t="shared" si="21"/>
        <v>99.950634348620227</v>
      </c>
      <c r="G1025" s="2293">
        <v>100</v>
      </c>
      <c r="H1025" s="2076"/>
      <c r="J1025" s="2127"/>
      <c r="K1025" s="2127"/>
    </row>
    <row r="1026" spans="2:11" s="2074" customFormat="1" ht="16.5" hidden="1" customHeight="1" x14ac:dyDescent="0.25">
      <c r="B1026" s="5411"/>
      <c r="C1026" s="3856" t="s">
        <v>1166</v>
      </c>
      <c r="D1026" s="1492">
        <v>159430000</v>
      </c>
      <c r="E1026" s="878">
        <v>159430000</v>
      </c>
      <c r="F1026" s="878">
        <f t="shared" si="21"/>
        <v>100</v>
      </c>
      <c r="G1026" s="2293">
        <v>100</v>
      </c>
      <c r="H1026" s="2076"/>
      <c r="J1026" s="2127"/>
      <c r="K1026" s="2127"/>
    </row>
    <row r="1027" spans="2:11" s="2074" customFormat="1" ht="17.25" hidden="1" customHeight="1" x14ac:dyDescent="0.25">
      <c r="B1027" s="5411"/>
      <c r="C1027" s="3856" t="s">
        <v>1168</v>
      </c>
      <c r="D1027" s="1492">
        <v>109450000</v>
      </c>
      <c r="E1027" s="878">
        <v>109250000</v>
      </c>
      <c r="F1027" s="878">
        <f t="shared" si="21"/>
        <v>99.817268158976702</v>
      </c>
      <c r="G1027" s="2293">
        <v>100</v>
      </c>
      <c r="H1027" s="2076"/>
      <c r="J1027" s="2127"/>
      <c r="K1027" s="2127"/>
    </row>
    <row r="1028" spans="2:11" s="2074" customFormat="1" ht="9.75" hidden="1" customHeight="1" x14ac:dyDescent="0.25">
      <c r="B1028" s="5411"/>
      <c r="C1028" s="3991"/>
      <c r="D1028" s="730"/>
      <c r="E1028" s="878"/>
      <c r="F1028" s="2293"/>
      <c r="G1028" s="2293"/>
      <c r="H1028" s="2076"/>
      <c r="J1028" s="2127"/>
      <c r="K1028" s="2127"/>
    </row>
    <row r="1029" spans="2:11" s="2074" customFormat="1" ht="15.75" hidden="1" customHeight="1" x14ac:dyDescent="0.25">
      <c r="B1029" s="5411"/>
      <c r="C1029" s="4103" t="s">
        <v>1169</v>
      </c>
      <c r="D1029" s="1416">
        <f>D1030</f>
        <v>136730000</v>
      </c>
      <c r="E1029" s="1416">
        <f>E1030</f>
        <v>136730000</v>
      </c>
      <c r="F1029" s="1166">
        <f>E1029/D1029*100</f>
        <v>100</v>
      </c>
      <c r="G1029" s="877">
        <v>100</v>
      </c>
      <c r="H1029" s="2076"/>
      <c r="J1029" s="2127"/>
      <c r="K1029" s="2127"/>
    </row>
    <row r="1030" spans="2:11" s="2074" customFormat="1" ht="15.75" hidden="1" customHeight="1" x14ac:dyDescent="0.25">
      <c r="B1030" s="5411"/>
      <c r="C1030" s="5480" t="s">
        <v>1170</v>
      </c>
      <c r="D1030" s="1412">
        <v>136730000</v>
      </c>
      <c r="E1030" s="878">
        <v>136730000</v>
      </c>
      <c r="F1030" s="878">
        <f>E1030/D1030*100</f>
        <v>100</v>
      </c>
      <c r="G1030" s="878">
        <v>100</v>
      </c>
      <c r="H1030" s="2076"/>
      <c r="J1030" s="2127"/>
      <c r="K1030" s="2127"/>
    </row>
    <row r="1031" spans="2:11" s="2074" customFormat="1" ht="9.75" hidden="1" customHeight="1" x14ac:dyDescent="0.25">
      <c r="B1031" s="5411"/>
      <c r="C1031" s="4116"/>
      <c r="D1031" s="1463"/>
      <c r="E1031" s="878"/>
      <c r="F1031" s="1167"/>
      <c r="G1031" s="878"/>
      <c r="H1031" s="2076"/>
      <c r="J1031" s="2127"/>
      <c r="K1031" s="2127"/>
    </row>
    <row r="1032" spans="2:11" s="2074" customFormat="1" ht="17.25" hidden="1" customHeight="1" x14ac:dyDescent="0.25">
      <c r="B1032" s="5411"/>
      <c r="C1032" s="4299" t="s">
        <v>1171</v>
      </c>
      <c r="D1032" s="1417">
        <f>D1033</f>
        <v>159430000</v>
      </c>
      <c r="E1032" s="1417">
        <f>E1033</f>
        <v>159230000</v>
      </c>
      <c r="F1032" s="1166">
        <f>E1032/D1032*100</f>
        <v>99.874553095402376</v>
      </c>
      <c r="G1032" s="877">
        <v>100</v>
      </c>
      <c r="H1032" s="2076"/>
      <c r="J1032" s="2127"/>
      <c r="K1032" s="2127"/>
    </row>
    <row r="1033" spans="2:11" s="2074" customFormat="1" ht="29.25" hidden="1" customHeight="1" x14ac:dyDescent="0.25">
      <c r="B1033" s="5411"/>
      <c r="C1033" s="3856" t="s">
        <v>1172</v>
      </c>
      <c r="D1033" s="880">
        <v>159430000</v>
      </c>
      <c r="E1033" s="878">
        <v>159230000</v>
      </c>
      <c r="F1033" s="878">
        <f>E1033/D1033*100</f>
        <v>99.874553095402376</v>
      </c>
      <c r="G1033" s="878">
        <v>100</v>
      </c>
      <c r="H1033" s="2076"/>
      <c r="J1033" s="2127"/>
      <c r="K1033" s="2127"/>
    </row>
    <row r="1034" spans="2:11" s="2074" customFormat="1" ht="5.25" hidden="1" customHeight="1" x14ac:dyDescent="0.25">
      <c r="B1034" s="5411"/>
      <c r="C1034" s="3991"/>
      <c r="D1034" s="730"/>
      <c r="E1034" s="878"/>
      <c r="F1034" s="1167"/>
      <c r="G1034" s="878"/>
      <c r="H1034" s="2076"/>
      <c r="J1034" s="2127"/>
      <c r="K1034" s="2127"/>
    </row>
    <row r="1035" spans="2:11" s="2074" customFormat="1" ht="17.25" hidden="1" customHeight="1" x14ac:dyDescent="0.25">
      <c r="B1035" s="5411"/>
      <c r="C1035" s="4299" t="s">
        <v>324</v>
      </c>
      <c r="D1035" s="1417">
        <f>D1036</f>
        <v>39200000</v>
      </c>
      <c r="E1035" s="1417">
        <f>E1036</f>
        <v>39200000</v>
      </c>
      <c r="F1035" s="1166">
        <f>E1035/D1035*100</f>
        <v>100</v>
      </c>
      <c r="G1035" s="877">
        <v>100</v>
      </c>
      <c r="H1035" s="2076"/>
      <c r="J1035" s="2127"/>
      <c r="K1035" s="2127"/>
    </row>
    <row r="1036" spans="2:11" s="2074" customFormat="1" ht="16.5" hidden="1" customHeight="1" x14ac:dyDescent="0.25">
      <c r="B1036" s="5411"/>
      <c r="C1036" s="3856" t="s">
        <v>325</v>
      </c>
      <c r="D1036" s="880">
        <v>39200000</v>
      </c>
      <c r="E1036" s="878">
        <v>39200000</v>
      </c>
      <c r="F1036" s="878">
        <f>E1036/D1036*100</f>
        <v>100</v>
      </c>
      <c r="G1036" s="878">
        <v>100</v>
      </c>
      <c r="H1036" s="2076"/>
      <c r="J1036" s="2127"/>
      <c r="K1036" s="2127"/>
    </row>
    <row r="1037" spans="2:11" s="2074" customFormat="1" ht="8.25" hidden="1" customHeight="1" x14ac:dyDescent="0.25">
      <c r="B1037" s="5411"/>
      <c r="C1037" s="3991"/>
      <c r="D1037" s="730"/>
      <c r="E1037" s="878"/>
      <c r="F1037" s="2293"/>
      <c r="G1037" s="2293"/>
      <c r="H1037" s="2076"/>
      <c r="J1037" s="2127"/>
      <c r="K1037" s="2127"/>
    </row>
    <row r="1038" spans="2:11" s="2074" customFormat="1" ht="15" hidden="1" customHeight="1" x14ac:dyDescent="0.25">
      <c r="B1038" s="5411"/>
      <c r="C1038" s="4299" t="s">
        <v>1173</v>
      </c>
      <c r="D1038" s="1574">
        <f>D1039+D1040</f>
        <v>335250000</v>
      </c>
      <c r="E1038" s="1574">
        <f>E1039+E1040</f>
        <v>335250000</v>
      </c>
      <c r="F1038" s="1166">
        <f>E1038/D1038*100</f>
        <v>100</v>
      </c>
      <c r="G1038" s="2176">
        <v>100</v>
      </c>
      <c r="H1038" s="2076"/>
      <c r="J1038" s="2127"/>
      <c r="K1038" s="2127"/>
    </row>
    <row r="1039" spans="2:11" s="2074" customFormat="1" ht="17.25" hidden="1" customHeight="1" x14ac:dyDescent="0.25">
      <c r="B1039" s="5411"/>
      <c r="C1039" s="5480" t="s">
        <v>1174</v>
      </c>
      <c r="D1039" s="1412">
        <v>171350000</v>
      </c>
      <c r="E1039" s="1846">
        <v>171350000</v>
      </c>
      <c r="F1039" s="878">
        <f>E1039/D1039*100</f>
        <v>100</v>
      </c>
      <c r="G1039" s="2293">
        <v>100</v>
      </c>
      <c r="H1039" s="2076"/>
      <c r="J1039" s="2127"/>
      <c r="K1039" s="2127"/>
    </row>
    <row r="1040" spans="2:11" s="2074" customFormat="1" ht="14.25" hidden="1" customHeight="1" x14ac:dyDescent="0.25">
      <c r="B1040" s="5411"/>
      <c r="C1040" s="5480" t="s">
        <v>1175</v>
      </c>
      <c r="D1040" s="880">
        <v>163900000</v>
      </c>
      <c r="E1040" s="666">
        <v>163900000</v>
      </c>
      <c r="F1040" s="878">
        <f>E1040/D1040*100</f>
        <v>100</v>
      </c>
      <c r="G1040" s="2293">
        <v>100</v>
      </c>
      <c r="H1040" s="2076"/>
      <c r="J1040" s="2127"/>
      <c r="K1040" s="2127"/>
    </row>
    <row r="1041" spans="2:11" s="2074" customFormat="1" ht="9" hidden="1" customHeight="1" x14ac:dyDescent="0.25">
      <c r="B1041" s="5411"/>
      <c r="C1041" s="3991"/>
      <c r="D1041" s="730"/>
      <c r="E1041" s="878"/>
      <c r="F1041" s="2293"/>
      <c r="G1041" s="2293"/>
      <c r="H1041" s="2076"/>
      <c r="J1041" s="2127"/>
      <c r="K1041" s="2127"/>
    </row>
    <row r="1042" spans="2:11" s="2074" customFormat="1" ht="18.75" hidden="1" customHeight="1" x14ac:dyDescent="0.25">
      <c r="B1042" s="5411"/>
      <c r="C1042" s="4299" t="s">
        <v>1176</v>
      </c>
      <c r="D1042" s="1417">
        <f>D1043</f>
        <v>199625000</v>
      </c>
      <c r="E1042" s="1417">
        <f>E1043</f>
        <v>199625000</v>
      </c>
      <c r="F1042" s="1166">
        <f>E1042/D1042*100</f>
        <v>100</v>
      </c>
      <c r="G1042" s="877">
        <v>100</v>
      </c>
      <c r="H1042" s="2076"/>
      <c r="J1042" s="2127"/>
      <c r="K1042" s="2127"/>
    </row>
    <row r="1043" spans="2:11" s="2074" customFormat="1" ht="15.75" hidden="1" customHeight="1" x14ac:dyDescent="0.25">
      <c r="B1043" s="5411"/>
      <c r="C1043" s="5480" t="s">
        <v>1177</v>
      </c>
      <c r="D1043" s="880">
        <v>199625000</v>
      </c>
      <c r="E1043" s="878">
        <v>199625000</v>
      </c>
      <c r="F1043" s="878">
        <f>E1043/D1043*100</f>
        <v>100</v>
      </c>
      <c r="G1043" s="878">
        <v>100</v>
      </c>
      <c r="H1043" s="2076"/>
      <c r="J1043" s="2127"/>
      <c r="K1043" s="2127"/>
    </row>
    <row r="1044" spans="2:11" s="2074" customFormat="1" ht="12" hidden="1" customHeight="1" x14ac:dyDescent="0.25">
      <c r="B1044" s="5411"/>
      <c r="C1044" s="3991"/>
      <c r="D1044" s="730"/>
      <c r="E1044" s="877"/>
      <c r="F1044" s="2176"/>
      <c r="G1044" s="2176"/>
      <c r="H1044" s="2076"/>
      <c r="J1044" s="2127"/>
      <c r="K1044" s="2127"/>
    </row>
    <row r="1045" spans="2:11" s="2074" customFormat="1" ht="16.5" hidden="1" customHeight="1" x14ac:dyDescent="0.25">
      <c r="B1045" s="5411"/>
      <c r="C1045" s="3910" t="s">
        <v>1178</v>
      </c>
      <c r="D1045" s="1417">
        <f>SUM(D1046:D1048)</f>
        <v>547580000</v>
      </c>
      <c r="E1045" s="1417">
        <f>SUM(E1046:E1048)</f>
        <v>547080000</v>
      </c>
      <c r="F1045" s="1166">
        <f>E1045/D1045*100</f>
        <v>99.908689141312692</v>
      </c>
      <c r="G1045" s="2176">
        <v>100</v>
      </c>
      <c r="H1045" s="2076"/>
      <c r="J1045" s="2127"/>
      <c r="K1045" s="2127"/>
    </row>
    <row r="1046" spans="2:11" s="2074" customFormat="1" ht="17.25" hidden="1" customHeight="1" x14ac:dyDescent="0.25">
      <c r="B1046" s="5411"/>
      <c r="C1046" s="3669" t="s">
        <v>1179</v>
      </c>
      <c r="D1046" s="1572">
        <v>148280000</v>
      </c>
      <c r="E1046" s="878">
        <v>147880000</v>
      </c>
      <c r="F1046" s="878">
        <f>E1046/D1046*100</f>
        <v>99.730240086323178</v>
      </c>
      <c r="G1046" s="878">
        <v>100</v>
      </c>
      <c r="H1046" s="2076"/>
      <c r="J1046" s="2127"/>
      <c r="K1046" s="2127"/>
    </row>
    <row r="1047" spans="2:11" s="2074" customFormat="1" ht="12.75" hidden="1" customHeight="1" x14ac:dyDescent="0.25">
      <c r="B1047" s="5411"/>
      <c r="C1047" s="3856" t="s">
        <v>1180</v>
      </c>
      <c r="D1047" s="880">
        <v>181525000</v>
      </c>
      <c r="E1047" s="878">
        <v>181425000</v>
      </c>
      <c r="F1047" s="878">
        <f>E1047/D1047*100</f>
        <v>99.944911169260436</v>
      </c>
      <c r="G1047" s="878">
        <v>100</v>
      </c>
      <c r="H1047" s="2076"/>
      <c r="J1047" s="2127"/>
      <c r="K1047" s="2127"/>
    </row>
    <row r="1048" spans="2:11" s="2074" customFormat="1" ht="12.75" hidden="1" customHeight="1" x14ac:dyDescent="0.25">
      <c r="B1048" s="5411"/>
      <c r="C1048" s="3892" t="s">
        <v>1181</v>
      </c>
      <c r="D1048" s="1412">
        <v>217775000</v>
      </c>
      <c r="E1048" s="1852">
        <v>217775000</v>
      </c>
      <c r="F1048" s="878">
        <f>E1048/D1048*100</f>
        <v>100</v>
      </c>
      <c r="G1048" s="878">
        <v>100</v>
      </c>
      <c r="H1048" s="2076"/>
      <c r="J1048" s="2127"/>
      <c r="K1048" s="2127"/>
    </row>
    <row r="1049" spans="2:11" s="2074" customFormat="1" ht="12" hidden="1" customHeight="1" x14ac:dyDescent="0.25">
      <c r="B1049" s="5411"/>
      <c r="C1049" s="4103"/>
      <c r="D1049" s="729"/>
      <c r="E1049" s="878"/>
      <c r="F1049" s="2293"/>
      <c r="G1049" s="2293"/>
      <c r="H1049" s="2076"/>
      <c r="J1049" s="2127"/>
      <c r="K1049" s="2127"/>
    </row>
    <row r="1050" spans="2:11" s="2074" customFormat="1" ht="26.25" hidden="1" customHeight="1" x14ac:dyDescent="0.25">
      <c r="B1050" s="5411"/>
      <c r="C1050" s="4103" t="s">
        <v>1182</v>
      </c>
      <c r="D1050" s="1415">
        <f>D1051</f>
        <v>95900000</v>
      </c>
      <c r="E1050" s="1415">
        <f>E1051</f>
        <v>95800000</v>
      </c>
      <c r="F1050" s="1166">
        <f>E1050/D1050*100</f>
        <v>99.895724713242956</v>
      </c>
      <c r="G1050" s="877">
        <v>100</v>
      </c>
      <c r="H1050" s="2076"/>
      <c r="J1050" s="2127"/>
      <c r="K1050" s="2127"/>
    </row>
    <row r="1051" spans="2:11" s="2074" customFormat="1" ht="16.5" hidden="1" customHeight="1" x14ac:dyDescent="0.25">
      <c r="B1051" s="5411"/>
      <c r="C1051" s="4104" t="s">
        <v>1183</v>
      </c>
      <c r="D1051" s="1492">
        <v>95900000</v>
      </c>
      <c r="E1051" s="878">
        <v>95800000</v>
      </c>
      <c r="F1051" s="878">
        <f>E1051/D1051*100</f>
        <v>99.895724713242956</v>
      </c>
      <c r="G1051" s="878">
        <v>100</v>
      </c>
      <c r="H1051" s="2076"/>
      <c r="J1051" s="2127"/>
      <c r="K1051" s="2127"/>
    </row>
    <row r="1052" spans="2:11" s="2074" customFormat="1" ht="9.75" hidden="1" customHeight="1" x14ac:dyDescent="0.25">
      <c r="B1052" s="5411"/>
      <c r="C1052" s="4116"/>
      <c r="D1052" s="730"/>
      <c r="E1052" s="895"/>
      <c r="F1052" s="2319"/>
      <c r="G1052" s="2319"/>
      <c r="H1052" s="2076"/>
      <c r="J1052" s="2127"/>
      <c r="K1052" s="2127"/>
    </row>
    <row r="1053" spans="2:11" s="2074" customFormat="1" ht="19.5" hidden="1" customHeight="1" x14ac:dyDescent="0.25">
      <c r="B1053" s="5411"/>
      <c r="C1053" s="3911" t="s">
        <v>1184</v>
      </c>
      <c r="D1053" s="1416">
        <f>D1054</f>
        <v>183775000</v>
      </c>
      <c r="E1053" s="1416">
        <f>E1054</f>
        <v>183775000</v>
      </c>
      <c r="F1053" s="1166">
        <f>E1053/D1053*100</f>
        <v>100</v>
      </c>
      <c r="G1053" s="877">
        <v>100</v>
      </c>
      <c r="H1053" s="2076"/>
      <c r="J1053" s="2127"/>
      <c r="K1053" s="2127"/>
    </row>
    <row r="1054" spans="2:11" s="2074" customFormat="1" ht="24.75" hidden="1" customHeight="1" x14ac:dyDescent="0.25">
      <c r="B1054" s="5411"/>
      <c r="C1054" s="3908" t="s">
        <v>1185</v>
      </c>
      <c r="D1054" s="2711">
        <v>183775000</v>
      </c>
      <c r="E1054" s="878">
        <v>183775000</v>
      </c>
      <c r="F1054" s="878">
        <f>E1054/D1054*100</f>
        <v>100</v>
      </c>
      <c r="G1054" s="878">
        <v>100</v>
      </c>
      <c r="H1054" s="2076"/>
      <c r="J1054" s="2127"/>
      <c r="K1054" s="2127"/>
    </row>
    <row r="1055" spans="2:11" s="2074" customFormat="1" ht="12" hidden="1" customHeight="1" x14ac:dyDescent="0.25">
      <c r="B1055" s="5411"/>
      <c r="C1055" s="4172"/>
      <c r="D1055" s="730"/>
      <c r="E1055" s="877"/>
      <c r="F1055" s="2176"/>
      <c r="G1055" s="2176"/>
      <c r="H1055" s="2076"/>
      <c r="J1055" s="2127"/>
      <c r="K1055" s="2127"/>
    </row>
    <row r="1056" spans="2:11" s="2074" customFormat="1" ht="18" hidden="1" customHeight="1" x14ac:dyDescent="0.25">
      <c r="B1056" s="5411"/>
      <c r="C1056" s="4103" t="s">
        <v>1186</v>
      </c>
      <c r="D1056" s="1416">
        <f>D1057</f>
        <v>208000000</v>
      </c>
      <c r="E1056" s="1416">
        <f>E1057</f>
        <v>207600000</v>
      </c>
      <c r="F1056" s="1166">
        <f>E1056/D1056*100</f>
        <v>99.807692307692307</v>
      </c>
      <c r="G1056" s="2176">
        <v>100</v>
      </c>
      <c r="H1056" s="2076"/>
      <c r="J1056" s="2127"/>
      <c r="K1056" s="2127"/>
    </row>
    <row r="1057" spans="1:11" s="2074" customFormat="1" ht="15" hidden="1" customHeight="1" x14ac:dyDescent="0.25">
      <c r="B1057" s="5411"/>
      <c r="C1057" s="3669" t="s">
        <v>1187</v>
      </c>
      <c r="D1057" s="1492">
        <v>208000000</v>
      </c>
      <c r="E1057" s="878">
        <v>207600000</v>
      </c>
      <c r="F1057" s="878">
        <f>E1057/D1057*100</f>
        <v>99.807692307692307</v>
      </c>
      <c r="G1057" s="2293">
        <v>100</v>
      </c>
      <c r="H1057" s="2076"/>
      <c r="J1057" s="2127"/>
      <c r="K1057" s="2127"/>
    </row>
    <row r="1058" spans="1:11" s="2074" customFormat="1" ht="12" hidden="1" customHeight="1" x14ac:dyDescent="0.25">
      <c r="B1058" s="5411"/>
      <c r="C1058" s="3991"/>
      <c r="D1058" s="730"/>
      <c r="E1058" s="878"/>
      <c r="F1058" s="2293"/>
      <c r="G1058" s="2293"/>
      <c r="H1058" s="2076"/>
      <c r="J1058" s="2127"/>
      <c r="K1058" s="2127"/>
    </row>
    <row r="1059" spans="1:11" s="2074" customFormat="1" ht="27" hidden="1" customHeight="1" x14ac:dyDescent="0.25">
      <c r="B1059" s="5411"/>
      <c r="C1059" s="4103" t="s">
        <v>1188</v>
      </c>
      <c r="D1059" s="1415">
        <f>D1060</f>
        <v>130250000</v>
      </c>
      <c r="E1059" s="1415">
        <f>E1060</f>
        <v>130250000</v>
      </c>
      <c r="F1059" s="1166">
        <f>E1059/D1059*100</f>
        <v>100</v>
      </c>
      <c r="G1059" s="877">
        <v>100</v>
      </c>
      <c r="H1059" s="2076"/>
      <c r="J1059" s="2127"/>
      <c r="K1059" s="2127"/>
    </row>
    <row r="1060" spans="1:11" s="2074" customFormat="1" ht="33" hidden="1" customHeight="1" x14ac:dyDescent="0.25">
      <c r="B1060" s="5411"/>
      <c r="C1060" s="3856" t="s">
        <v>1189</v>
      </c>
      <c r="D1060" s="880">
        <v>130250000</v>
      </c>
      <c r="E1060" s="878">
        <v>130250000</v>
      </c>
      <c r="F1060" s="878">
        <f>E1060/D1060*100</f>
        <v>100</v>
      </c>
      <c r="G1060" s="878">
        <v>100</v>
      </c>
      <c r="H1060" s="2076"/>
      <c r="J1060" s="2127"/>
      <c r="K1060" s="2127"/>
    </row>
    <row r="1061" spans="1:11" s="2074" customFormat="1" ht="12" hidden="1" customHeight="1" x14ac:dyDescent="0.25">
      <c r="B1061" s="5411"/>
      <c r="C1061" s="4172"/>
      <c r="D1061" s="731"/>
      <c r="E1061" s="883"/>
      <c r="F1061" s="2297"/>
      <c r="G1061" s="2297"/>
      <c r="H1061" s="2076"/>
      <c r="J1061" s="2127"/>
      <c r="K1061" s="2127"/>
    </row>
    <row r="1062" spans="1:11" s="2074" customFormat="1" ht="15" hidden="1" customHeight="1" x14ac:dyDescent="0.25">
      <c r="B1062" s="5411"/>
      <c r="C1062" s="3911" t="s">
        <v>1190</v>
      </c>
      <c r="D1062" s="1416">
        <f>D1063</f>
        <v>195575000</v>
      </c>
      <c r="E1062" s="1416">
        <f>E1063</f>
        <v>195375000</v>
      </c>
      <c r="F1062" s="1166">
        <f>E1062/D1062*100</f>
        <v>99.897737440879453</v>
      </c>
      <c r="G1062" s="2176">
        <v>100</v>
      </c>
      <c r="H1062" s="2076"/>
      <c r="J1062" s="2127"/>
      <c r="K1062" s="2127"/>
    </row>
    <row r="1063" spans="1:11" s="2074" customFormat="1" ht="18.75" hidden="1" customHeight="1" x14ac:dyDescent="0.25">
      <c r="B1063" s="5411"/>
      <c r="C1063" s="4104" t="s">
        <v>1191</v>
      </c>
      <c r="D1063" s="1412">
        <v>195575000</v>
      </c>
      <c r="E1063" s="882">
        <v>195375000</v>
      </c>
      <c r="F1063" s="878">
        <f>E1063/D1063*100</f>
        <v>99.897737440879453</v>
      </c>
      <c r="G1063" s="2296">
        <v>100</v>
      </c>
      <c r="H1063" s="2076"/>
      <c r="J1063" s="2127"/>
      <c r="K1063" s="2127"/>
    </row>
    <row r="1064" spans="1:11" s="266" customFormat="1" ht="9.75" hidden="1" customHeight="1" x14ac:dyDescent="0.25">
      <c r="A1064" s="353"/>
      <c r="B1064" s="5411"/>
      <c r="C1064" s="3861"/>
      <c r="D1064" s="1570"/>
      <c r="E1064" s="882"/>
      <c r="F1064" s="2281"/>
      <c r="G1064" s="2314"/>
      <c r="H1064" s="354"/>
      <c r="J1064" s="2126"/>
      <c r="K1064" s="2126"/>
    </row>
    <row r="1065" spans="1:11" s="2074" customFormat="1" ht="20.25" hidden="1" customHeight="1" x14ac:dyDescent="0.25">
      <c r="B1065" s="5410"/>
      <c r="C1065" s="3858" t="s">
        <v>326</v>
      </c>
      <c r="D1065" s="1571">
        <f>SUM(D1066+D1069+D1073+D1076+D1079)</f>
        <v>3370935635</v>
      </c>
      <c r="E1065" s="1571">
        <f>SUM(E1066+E1069+E1073+E1076+E1079)</f>
        <v>2914629168</v>
      </c>
      <c r="F1065" s="1462">
        <f>E1065/D1065*100</f>
        <v>86.463506978233951</v>
      </c>
      <c r="G1065" s="2315">
        <v>100</v>
      </c>
      <c r="H1065" s="2076"/>
      <c r="J1065" s="2127"/>
      <c r="K1065" s="2127"/>
    </row>
    <row r="1066" spans="1:11" s="2074" customFormat="1" ht="16.5" hidden="1" customHeight="1" x14ac:dyDescent="0.25">
      <c r="B1066" s="5411"/>
      <c r="C1066" s="5483" t="s">
        <v>1192</v>
      </c>
      <c r="D1066" s="1575">
        <f>D1067</f>
        <v>540050000</v>
      </c>
      <c r="E1066" s="1575">
        <f>E1067</f>
        <v>329850000</v>
      </c>
      <c r="F1066" s="1415">
        <f>E1066/D1066*100</f>
        <v>61.077677992778447</v>
      </c>
      <c r="G1066" s="2176">
        <v>100</v>
      </c>
      <c r="H1066" s="2076"/>
      <c r="J1066" s="2127"/>
      <c r="K1066" s="2127"/>
    </row>
    <row r="1067" spans="1:11" s="2074" customFormat="1" ht="15.75" hidden="1" customHeight="1" x14ac:dyDescent="0.25">
      <c r="B1067" s="5411"/>
      <c r="C1067" s="3856" t="s">
        <v>1193</v>
      </c>
      <c r="D1067" s="1492">
        <v>540050000</v>
      </c>
      <c r="E1067" s="883">
        <v>329850000</v>
      </c>
      <c r="F1067" s="880">
        <f>E1067/D1067*100</f>
        <v>61.077677992778447</v>
      </c>
      <c r="G1067" s="2297">
        <v>100</v>
      </c>
      <c r="H1067" s="2076"/>
      <c r="J1067" s="2127"/>
      <c r="K1067" s="2127"/>
    </row>
    <row r="1068" spans="1:11" s="2074" customFormat="1" ht="12" hidden="1" customHeight="1" x14ac:dyDescent="0.25">
      <c r="B1068" s="5411"/>
      <c r="C1068" s="3991"/>
      <c r="D1068" s="730"/>
      <c r="E1068" s="878"/>
      <c r="F1068" s="880"/>
      <c r="G1068" s="2338"/>
      <c r="H1068" s="2076"/>
      <c r="J1068" s="2127"/>
      <c r="K1068" s="2127"/>
    </row>
    <row r="1069" spans="1:11" s="2074" customFormat="1" ht="18" hidden="1" customHeight="1" x14ac:dyDescent="0.25">
      <c r="B1069" s="5411"/>
      <c r="C1069" s="4103" t="s">
        <v>1194</v>
      </c>
      <c r="D1069" s="1416">
        <f>D1070+D1071</f>
        <v>953210000</v>
      </c>
      <c r="E1069" s="1416">
        <f>E1070+E1071</f>
        <v>877436168</v>
      </c>
      <c r="F1069" s="1415">
        <f>E1069/D1069*100</f>
        <v>92.050667533911735</v>
      </c>
      <c r="G1069" s="2484">
        <v>100</v>
      </c>
      <c r="H1069" s="2076"/>
      <c r="J1069" s="2127"/>
      <c r="K1069" s="2127"/>
    </row>
    <row r="1070" spans="1:11" s="2074" customFormat="1" ht="17.25" hidden="1" customHeight="1" x14ac:dyDescent="0.25">
      <c r="B1070" s="5411"/>
      <c r="C1070" s="4104" t="s">
        <v>1195</v>
      </c>
      <c r="D1070" s="1492">
        <v>449035000</v>
      </c>
      <c r="E1070" s="1818">
        <v>421763668</v>
      </c>
      <c r="F1070" s="880">
        <f>E1070/D1070*100</f>
        <v>93.926680102887303</v>
      </c>
      <c r="G1070" s="2338">
        <v>100</v>
      </c>
      <c r="H1070" s="2076"/>
      <c r="J1070" s="2127"/>
      <c r="K1070" s="2127"/>
    </row>
    <row r="1071" spans="1:11" s="2074" customFormat="1" ht="15" hidden="1" customHeight="1" x14ac:dyDescent="0.25">
      <c r="B1071" s="5411"/>
      <c r="C1071" s="3856" t="s">
        <v>1196</v>
      </c>
      <c r="D1071" s="880">
        <v>504175000</v>
      </c>
      <c r="E1071" s="780">
        <v>455672500</v>
      </c>
      <c r="F1071" s="880">
        <f>E1071/D1071*100</f>
        <v>90.3798284325879</v>
      </c>
      <c r="G1071" s="2338">
        <v>100</v>
      </c>
      <c r="H1071" s="2076"/>
      <c r="J1071" s="2127"/>
      <c r="K1071" s="2127"/>
    </row>
    <row r="1072" spans="1:11" s="2074" customFormat="1" ht="8.25" hidden="1" customHeight="1" x14ac:dyDescent="0.25">
      <c r="B1072" s="5411"/>
      <c r="C1072" s="4172"/>
      <c r="D1072" s="1463"/>
      <c r="E1072" s="878"/>
      <c r="F1072" s="1717"/>
      <c r="G1072" s="2338"/>
      <c r="H1072" s="2076"/>
      <c r="J1072" s="2127"/>
      <c r="K1072" s="2127"/>
    </row>
    <row r="1073" spans="1:11" s="2074" customFormat="1" ht="30" hidden="1" customHeight="1" x14ac:dyDescent="0.25">
      <c r="B1073" s="5411"/>
      <c r="C1073" s="4299" t="s">
        <v>1197</v>
      </c>
      <c r="D1073" s="811">
        <f>SUM(D1074:D1074)</f>
        <v>855015000</v>
      </c>
      <c r="E1073" s="811">
        <f>SUM(E1074:E1074)</f>
        <v>690915000</v>
      </c>
      <c r="F1073" s="1415">
        <f>E1073/D1073*100</f>
        <v>80.807354256942858</v>
      </c>
      <c r="G1073" s="2484">
        <v>100</v>
      </c>
      <c r="H1073" s="2076"/>
      <c r="J1073" s="2127"/>
      <c r="K1073" s="2127"/>
    </row>
    <row r="1074" spans="1:11" s="2074" customFormat="1" ht="18" hidden="1" customHeight="1" x14ac:dyDescent="0.25">
      <c r="B1074" s="5411"/>
      <c r="C1074" s="3856" t="s">
        <v>1198</v>
      </c>
      <c r="D1074" s="1492">
        <v>855015000</v>
      </c>
      <c r="E1074" s="878">
        <v>690915000</v>
      </c>
      <c r="F1074" s="880">
        <f>E1074/D1074*100</f>
        <v>80.807354256942858</v>
      </c>
      <c r="G1074" s="2338">
        <v>100</v>
      </c>
      <c r="H1074" s="2076"/>
      <c r="J1074" s="2127"/>
      <c r="K1074" s="2127"/>
    </row>
    <row r="1075" spans="1:11" s="2074" customFormat="1" ht="6.75" hidden="1" customHeight="1" x14ac:dyDescent="0.25">
      <c r="B1075" s="5411"/>
      <c r="C1075" s="3991"/>
      <c r="D1075" s="1463"/>
      <c r="E1075" s="878"/>
      <c r="F1075" s="880"/>
      <c r="G1075" s="2338"/>
      <c r="H1075" s="2076"/>
      <c r="J1075" s="2127"/>
      <c r="K1075" s="2127"/>
    </row>
    <row r="1076" spans="1:11" s="2074" customFormat="1" ht="16.5" hidden="1" customHeight="1" x14ac:dyDescent="0.25">
      <c r="B1076" s="5411"/>
      <c r="C1076" s="3911" t="s">
        <v>1199</v>
      </c>
      <c r="D1076" s="1416">
        <f>D1077</f>
        <v>525260639</v>
      </c>
      <c r="E1076" s="1416">
        <f>E1077</f>
        <v>519029000</v>
      </c>
      <c r="F1076" s="1415">
        <f>E1076/D1076*100</f>
        <v>98.813610132321372</v>
      </c>
      <c r="G1076" s="2176">
        <v>100</v>
      </c>
      <c r="H1076" s="2076"/>
      <c r="J1076" s="2127"/>
      <c r="K1076" s="2127"/>
    </row>
    <row r="1077" spans="1:11" s="2074" customFormat="1" ht="18" hidden="1" customHeight="1" x14ac:dyDescent="0.25">
      <c r="B1077" s="5411"/>
      <c r="C1077" s="4104" t="s">
        <v>1336</v>
      </c>
      <c r="D1077" s="1492">
        <v>525260639</v>
      </c>
      <c r="E1077" s="883">
        <v>519029000</v>
      </c>
      <c r="F1077" s="880">
        <f>E1077/D1077*100</f>
        <v>98.813610132321372</v>
      </c>
      <c r="G1077" s="2297">
        <v>100</v>
      </c>
      <c r="H1077" s="2076"/>
      <c r="J1077" s="2127"/>
      <c r="K1077" s="2127"/>
    </row>
    <row r="1078" spans="1:11" s="2074" customFormat="1" ht="8.25" hidden="1" customHeight="1" x14ac:dyDescent="0.25">
      <c r="B1078" s="5411"/>
      <c r="C1078" s="3991"/>
      <c r="D1078" s="730"/>
      <c r="E1078" s="882"/>
      <c r="F1078" s="880"/>
      <c r="G1078" s="2314"/>
      <c r="H1078" s="2076"/>
      <c r="J1078" s="2127"/>
      <c r="K1078" s="2127"/>
    </row>
    <row r="1079" spans="1:11" s="2074" customFormat="1" ht="17.25" hidden="1" customHeight="1" x14ac:dyDescent="0.25">
      <c r="B1079" s="5411"/>
      <c r="C1079" s="4103" t="s">
        <v>1200</v>
      </c>
      <c r="D1079" s="1416">
        <f>SUM(D1080:D1080)</f>
        <v>497399996</v>
      </c>
      <c r="E1079" s="1416">
        <f>SUM(E1080:E1080)</f>
        <v>497399000</v>
      </c>
      <c r="F1079" s="1415">
        <f>E1079/D1079*100</f>
        <v>99.999799758743862</v>
      </c>
      <c r="G1079" s="2176">
        <v>100</v>
      </c>
      <c r="H1079" s="2076"/>
      <c r="J1079" s="2127"/>
      <c r="K1079" s="2127"/>
    </row>
    <row r="1080" spans="1:11" s="2074" customFormat="1" ht="18" hidden="1" customHeight="1" x14ac:dyDescent="0.25">
      <c r="B1080" s="5411"/>
      <c r="C1080" s="4006" t="s">
        <v>1201</v>
      </c>
      <c r="D1080" s="1492">
        <v>497399996</v>
      </c>
      <c r="E1080" s="883">
        <v>497399000</v>
      </c>
      <c r="F1080" s="880">
        <f>E1080/D1080*100</f>
        <v>99.999799758743862</v>
      </c>
      <c r="G1080" s="2297">
        <v>100</v>
      </c>
      <c r="H1080" s="2076"/>
      <c r="J1080" s="2127"/>
      <c r="K1080" s="2127"/>
    </row>
    <row r="1081" spans="1:11" s="2074" customFormat="1" ht="8.25" hidden="1" customHeight="1" x14ac:dyDescent="0.25">
      <c r="B1081" s="5411"/>
      <c r="C1081" s="4172"/>
      <c r="D1081" s="1313"/>
      <c r="E1081" s="896"/>
      <c r="F1081" s="2323"/>
      <c r="G1081" s="2323"/>
      <c r="H1081" s="2076"/>
      <c r="J1081" s="2127"/>
      <c r="K1081" s="2127"/>
    </row>
    <row r="1082" spans="1:11" s="2074" customFormat="1" ht="16.5" hidden="1" customHeight="1" x14ac:dyDescent="0.25">
      <c r="B1082" s="5410"/>
      <c r="C1082" s="3994" t="s">
        <v>327</v>
      </c>
      <c r="D1082" s="1571">
        <f>D1083</f>
        <v>2032243470</v>
      </c>
      <c r="E1082" s="1571">
        <f>E1083</f>
        <v>1984650920</v>
      </c>
      <c r="F1082" s="1462">
        <f>E1082/D1082*100</f>
        <v>97.65812754708962</v>
      </c>
      <c r="G1082" s="2317">
        <v>100</v>
      </c>
      <c r="H1082" s="2076"/>
      <c r="J1082" s="2127"/>
      <c r="K1082" s="2127"/>
    </row>
    <row r="1083" spans="1:11" s="2074" customFormat="1" ht="18" hidden="1" customHeight="1" x14ac:dyDescent="0.25">
      <c r="B1083" s="5411"/>
      <c r="C1083" s="4299" t="s">
        <v>328</v>
      </c>
      <c r="D1083" s="1417">
        <f>D1084</f>
        <v>2032243470</v>
      </c>
      <c r="E1083" s="1417">
        <f>E1084</f>
        <v>1984650920</v>
      </c>
      <c r="F1083" s="1415">
        <f>E1083/D1083*100</f>
        <v>97.65812754708962</v>
      </c>
      <c r="G1083" s="2318">
        <v>100</v>
      </c>
      <c r="H1083" s="2076"/>
      <c r="J1083" s="2127"/>
      <c r="K1083" s="2127"/>
    </row>
    <row r="1084" spans="1:11" s="2074" customFormat="1" ht="16.5" hidden="1" customHeight="1" x14ac:dyDescent="0.25">
      <c r="B1084" s="5411"/>
      <c r="C1084" s="3856" t="s">
        <v>1202</v>
      </c>
      <c r="D1084" s="880">
        <v>2032243470</v>
      </c>
      <c r="E1084" s="878">
        <v>1984650920</v>
      </c>
      <c r="F1084" s="880">
        <f>E1084/D1084*100</f>
        <v>97.65812754708962</v>
      </c>
      <c r="G1084" s="2293">
        <v>100</v>
      </c>
      <c r="H1084" s="2076"/>
      <c r="J1084" s="2127"/>
      <c r="K1084" s="2127"/>
    </row>
    <row r="1085" spans="1:11" s="266" customFormat="1" ht="12" hidden="1" customHeight="1" x14ac:dyDescent="0.25">
      <c r="A1085" s="353"/>
      <c r="B1085" s="5411"/>
      <c r="C1085" s="3892"/>
      <c r="D1085" s="1550"/>
      <c r="E1085" s="898"/>
      <c r="F1085" s="2283"/>
      <c r="G1085" s="3751"/>
      <c r="H1085" s="354"/>
      <c r="J1085" s="2126"/>
      <c r="K1085" s="2126"/>
    </row>
    <row r="1086" spans="1:11" s="2074" customFormat="1" ht="13.5" hidden="1" customHeight="1" x14ac:dyDescent="0.25">
      <c r="B1086" s="5410"/>
      <c r="C1086" s="3858" t="s">
        <v>329</v>
      </c>
      <c r="D1086" s="1546">
        <f>SUM(D1087+D1091+D1094+D1098+D1101)</f>
        <v>3450333676</v>
      </c>
      <c r="E1086" s="1546">
        <f>SUM(E1087+E1091+E1094+E1098+E1101)</f>
        <v>3308955734</v>
      </c>
      <c r="F1086" s="1462">
        <f>E1086/D1086*100</f>
        <v>95.902484939836299</v>
      </c>
      <c r="G1086" s="2315">
        <v>100</v>
      </c>
      <c r="H1086" s="2076"/>
      <c r="J1086" s="2127"/>
      <c r="K1086" s="2127"/>
    </row>
    <row r="1087" spans="1:11" s="2074" customFormat="1" ht="18" hidden="1" customHeight="1" x14ac:dyDescent="0.25">
      <c r="B1087" s="5411"/>
      <c r="C1087" s="5484" t="s">
        <v>330</v>
      </c>
      <c r="D1087" s="1417">
        <f>D1088+D1089</f>
        <v>649029222</v>
      </c>
      <c r="E1087" s="1575">
        <f>E1088+E1089</f>
        <v>626425375</v>
      </c>
      <c r="F1087" s="1415">
        <f>E1087/D1087*100</f>
        <v>96.517283623941353</v>
      </c>
      <c r="G1087" s="4358">
        <v>100</v>
      </c>
      <c r="H1087" s="2076"/>
      <c r="J1087" s="2127"/>
      <c r="K1087" s="2127"/>
    </row>
    <row r="1088" spans="1:11" s="2074" customFormat="1" ht="14.25" hidden="1" customHeight="1" x14ac:dyDescent="0.25">
      <c r="B1088" s="5411"/>
      <c r="C1088" s="5480" t="s">
        <v>1203</v>
      </c>
      <c r="D1088" s="880">
        <v>309214000</v>
      </c>
      <c r="E1088" s="883">
        <v>308999900</v>
      </c>
      <c r="F1088" s="880">
        <f>E1088/D1088*100</f>
        <v>99.930759926782102</v>
      </c>
      <c r="G1088" s="3285">
        <v>100</v>
      </c>
      <c r="H1088" s="2076"/>
      <c r="J1088" s="2127"/>
      <c r="K1088" s="2127"/>
    </row>
    <row r="1089" spans="1:11" s="2074" customFormat="1" ht="17.25" hidden="1" customHeight="1" x14ac:dyDescent="0.25">
      <c r="B1089" s="5411"/>
      <c r="C1089" s="3856" t="s">
        <v>1204</v>
      </c>
      <c r="D1089" s="880">
        <v>339815222</v>
      </c>
      <c r="E1089" s="883">
        <v>317425475</v>
      </c>
      <c r="F1089" s="880">
        <f>E1089/D1089*100</f>
        <v>93.411199513599186</v>
      </c>
      <c r="G1089" s="883">
        <v>100</v>
      </c>
      <c r="H1089" s="2076"/>
      <c r="J1089" s="2127"/>
      <c r="K1089" s="2127"/>
    </row>
    <row r="1090" spans="1:11" s="2074" customFormat="1" ht="9.75" hidden="1" customHeight="1" x14ac:dyDescent="0.25">
      <c r="B1090" s="5411"/>
      <c r="C1090" s="3991"/>
      <c r="D1090" s="1576"/>
      <c r="E1090" s="1381"/>
      <c r="F1090" s="880"/>
      <c r="G1090" s="2484"/>
      <c r="H1090" s="2076"/>
      <c r="J1090" s="2127"/>
      <c r="K1090" s="2127"/>
    </row>
    <row r="1091" spans="1:11" s="2074" customFormat="1" ht="20.25" hidden="1" customHeight="1" x14ac:dyDescent="0.25">
      <c r="B1091" s="5411"/>
      <c r="C1091" s="4103" t="s">
        <v>1205</v>
      </c>
      <c r="D1091" s="1416">
        <f>D1092</f>
        <v>361096300</v>
      </c>
      <c r="E1091" s="1417">
        <f>E1092</f>
        <v>355776300</v>
      </c>
      <c r="F1091" s="1415">
        <f>E1091/D1091*100</f>
        <v>98.526708803164141</v>
      </c>
      <c r="G1091" s="890">
        <v>100</v>
      </c>
      <c r="H1091" s="2076"/>
      <c r="J1091" s="2127"/>
      <c r="K1091" s="2127"/>
    </row>
    <row r="1092" spans="1:11" s="2074" customFormat="1" ht="18" hidden="1" customHeight="1" x14ac:dyDescent="0.25">
      <c r="B1092" s="5411"/>
      <c r="C1092" s="5480" t="s">
        <v>1206</v>
      </c>
      <c r="D1092" s="1412">
        <v>361096300</v>
      </c>
      <c r="E1092" s="878">
        <v>355776300</v>
      </c>
      <c r="F1092" s="880">
        <f>E1092/D1092*100</f>
        <v>98.526708803164141</v>
      </c>
      <c r="G1092" s="883">
        <v>100</v>
      </c>
      <c r="H1092" s="2076"/>
      <c r="J1092" s="2127"/>
      <c r="K1092" s="2127"/>
    </row>
    <row r="1093" spans="1:11" s="2074" customFormat="1" ht="9" hidden="1" customHeight="1" x14ac:dyDescent="0.25">
      <c r="B1093" s="5411"/>
      <c r="C1093" s="3890"/>
      <c r="D1093" s="730"/>
      <c r="E1093" s="878"/>
      <c r="F1093" s="2293"/>
      <c r="G1093" s="2293"/>
      <c r="H1093" s="2076"/>
      <c r="J1093" s="2127"/>
      <c r="K1093" s="2127"/>
    </row>
    <row r="1094" spans="1:11" s="2074" customFormat="1" ht="18.75" hidden="1" customHeight="1" x14ac:dyDescent="0.25">
      <c r="B1094" s="5411"/>
      <c r="C1094" s="5484" t="s">
        <v>1207</v>
      </c>
      <c r="D1094" s="811">
        <f>D1095+D1096</f>
        <v>1659488154</v>
      </c>
      <c r="E1094" s="811">
        <f>E1095+E1096</f>
        <v>1565594605</v>
      </c>
      <c r="F1094" s="1415">
        <f>E1094/D1094*100</f>
        <v>94.34201752066258</v>
      </c>
      <c r="G1094" s="2176">
        <v>100</v>
      </c>
      <c r="H1094" s="2076"/>
      <c r="J1094" s="2127"/>
      <c r="K1094" s="2127"/>
    </row>
    <row r="1095" spans="1:11" s="2074" customFormat="1" ht="16.5" hidden="1" customHeight="1" x14ac:dyDescent="0.25">
      <c r="B1095" s="5411"/>
      <c r="C1095" s="5480" t="s">
        <v>1208</v>
      </c>
      <c r="D1095" s="880">
        <v>1551042689</v>
      </c>
      <c r="E1095" s="878">
        <v>1457149140</v>
      </c>
      <c r="F1095" s="880">
        <f>E1095/D1095*100</f>
        <v>93.946423933661322</v>
      </c>
      <c r="G1095" s="2338">
        <v>100</v>
      </c>
      <c r="H1095" s="2076"/>
      <c r="J1095" s="2127"/>
      <c r="K1095" s="2127"/>
    </row>
    <row r="1096" spans="1:11" s="1639" customFormat="1" ht="14.25" hidden="1" customHeight="1" x14ac:dyDescent="0.25">
      <c r="A1096" s="2074"/>
      <c r="B1096" s="5411"/>
      <c r="C1096" s="4104" t="s">
        <v>1209</v>
      </c>
      <c r="D1096" s="880">
        <v>108445465</v>
      </c>
      <c r="E1096" s="878">
        <v>108445465</v>
      </c>
      <c r="F1096" s="880">
        <f>E1096/D1096*100</f>
        <v>100</v>
      </c>
      <c r="G1096" s="2293">
        <v>100</v>
      </c>
      <c r="H1096" s="1638"/>
      <c r="J1096" s="2093"/>
      <c r="K1096" s="2093"/>
    </row>
    <row r="1097" spans="1:11" s="1639" customFormat="1" ht="12" hidden="1" customHeight="1" x14ac:dyDescent="0.25">
      <c r="A1097" s="2074"/>
      <c r="B1097" s="5401"/>
      <c r="C1097" s="4116"/>
      <c r="D1097" s="1463"/>
      <c r="E1097" s="899"/>
      <c r="F1097" s="880"/>
      <c r="G1097" s="2334"/>
      <c r="H1097" s="1638"/>
      <c r="J1097" s="2093"/>
      <c r="K1097" s="2093"/>
    </row>
    <row r="1098" spans="1:11" s="1639" customFormat="1" ht="17.25" hidden="1" customHeight="1" x14ac:dyDescent="0.25">
      <c r="A1098" s="1637"/>
      <c r="B1098" s="2913"/>
      <c r="C1098" s="3911" t="s">
        <v>1210</v>
      </c>
      <c r="D1098" s="1417">
        <f>D1099</f>
        <v>339535000</v>
      </c>
      <c r="E1098" s="1417">
        <f>E1099</f>
        <v>336414454</v>
      </c>
      <c r="F1098" s="1415">
        <f>E1098/D1098*100</f>
        <v>99.080935396939935</v>
      </c>
      <c r="G1098" s="890">
        <v>100</v>
      </c>
      <c r="H1098" s="1638"/>
      <c r="J1098" s="2093"/>
      <c r="K1098" s="2093"/>
    </row>
    <row r="1099" spans="1:11" s="1639" customFormat="1" ht="18.75" hidden="1" customHeight="1" x14ac:dyDescent="0.25">
      <c r="A1099" s="1637"/>
      <c r="B1099" s="2913"/>
      <c r="C1099" s="3908" t="s">
        <v>1211</v>
      </c>
      <c r="D1099" s="880">
        <v>339535000</v>
      </c>
      <c r="E1099" s="878">
        <v>336414454</v>
      </c>
      <c r="F1099" s="880">
        <f>E1099/D1099*100</f>
        <v>99.080935396939935</v>
      </c>
      <c r="G1099" s="883">
        <v>100</v>
      </c>
      <c r="H1099" s="1638"/>
      <c r="J1099" s="2093"/>
      <c r="K1099" s="2093"/>
    </row>
    <row r="1100" spans="1:11" s="1639" customFormat="1" ht="12" hidden="1" customHeight="1" x14ac:dyDescent="0.25">
      <c r="A1100" s="1637"/>
      <c r="B1100" s="2913"/>
      <c r="C1100" s="3890"/>
      <c r="D1100" s="731"/>
      <c r="E1100" s="877"/>
      <c r="F1100" s="880"/>
      <c r="G1100" s="2176"/>
      <c r="H1100" s="1638"/>
      <c r="J1100" s="2093"/>
      <c r="K1100" s="2093"/>
    </row>
    <row r="1101" spans="1:11" s="1639" customFormat="1" ht="16.5" hidden="1" customHeight="1" x14ac:dyDescent="0.25">
      <c r="A1101" s="1637"/>
      <c r="B1101" s="2913"/>
      <c r="C1101" s="3911" t="s">
        <v>1212</v>
      </c>
      <c r="D1101" s="1416">
        <f>D1102</f>
        <v>441185000</v>
      </c>
      <c r="E1101" s="1417">
        <f>E1102</f>
        <v>424745000</v>
      </c>
      <c r="F1101" s="1415">
        <f>E1101/D1101*100</f>
        <v>96.273672042340522</v>
      </c>
      <c r="G1101" s="877">
        <v>100</v>
      </c>
      <c r="H1101" s="1638"/>
      <c r="J1101" s="2093"/>
      <c r="K1101" s="2093"/>
    </row>
    <row r="1102" spans="1:11" s="1639" customFormat="1" ht="27" hidden="1" customHeight="1" x14ac:dyDescent="0.25">
      <c r="A1102" s="1637"/>
      <c r="B1102" s="2913"/>
      <c r="C1102" s="4104" t="s">
        <v>1213</v>
      </c>
      <c r="D1102" s="880">
        <v>441185000</v>
      </c>
      <c r="E1102" s="878">
        <v>424745000</v>
      </c>
      <c r="F1102" s="880">
        <f>E1102/D1102*100</f>
        <v>96.273672042340522</v>
      </c>
      <c r="G1102" s="1121">
        <v>100</v>
      </c>
      <c r="H1102" s="1638"/>
      <c r="J1102" s="2093"/>
      <c r="K1102" s="2093"/>
    </row>
    <row r="1103" spans="1:11" ht="9.75" hidden="1" customHeight="1" x14ac:dyDescent="0.25">
      <c r="B1103" s="2913"/>
      <c r="D1103" s="1516"/>
      <c r="E1103" s="882"/>
      <c r="F1103" s="2285"/>
      <c r="G1103" s="2314"/>
      <c r="H1103" s="535"/>
    </row>
    <row r="1104" spans="1:11" s="1639" customFormat="1" ht="15.75" hidden="1" customHeight="1" x14ac:dyDescent="0.25">
      <c r="A1104" s="1637"/>
      <c r="B1104" s="5397"/>
      <c r="C1104" s="3858" t="s">
        <v>331</v>
      </c>
      <c r="D1104" s="1546">
        <f>SUM(D1105+D1108+D1111)</f>
        <v>5416506810</v>
      </c>
      <c r="E1104" s="1546">
        <f>SUM(E1105+E1108+E1111)</f>
        <v>5408830400</v>
      </c>
      <c r="F1104" s="1462">
        <f>E1104/D1104*100</f>
        <v>99.858277479023428</v>
      </c>
      <c r="G1104" s="2315">
        <v>100</v>
      </c>
      <c r="H1104" s="1638"/>
      <c r="J1104" s="2093"/>
      <c r="K1104" s="2093"/>
    </row>
    <row r="1105" spans="1:11" s="1639" customFormat="1" ht="16.5" hidden="1" customHeight="1" x14ac:dyDescent="0.25">
      <c r="A1105" s="1637"/>
      <c r="B1105" s="2913"/>
      <c r="C1105" s="3911" t="s">
        <v>332</v>
      </c>
      <c r="D1105" s="1417">
        <f>D1106</f>
        <v>809277210</v>
      </c>
      <c r="E1105" s="1417">
        <f>E1106</f>
        <v>807374800</v>
      </c>
      <c r="F1105" s="1415">
        <f>E1105/D1105*100</f>
        <v>99.764924802466638</v>
      </c>
      <c r="G1105" s="2484">
        <v>100</v>
      </c>
      <c r="H1105" s="1638"/>
      <c r="J1105" s="2093"/>
      <c r="K1105" s="2093"/>
    </row>
    <row r="1106" spans="1:11" s="1639" customFormat="1" ht="15.75" hidden="1" customHeight="1" x14ac:dyDescent="0.25">
      <c r="A1106" s="1637"/>
      <c r="B1106" s="2913"/>
      <c r="C1106" s="3908" t="s">
        <v>1214</v>
      </c>
      <c r="D1106" s="1492">
        <v>809277210</v>
      </c>
      <c r="E1106" s="878">
        <v>807374800</v>
      </c>
      <c r="F1106" s="880">
        <f>E1106/D1106*100</f>
        <v>99.764924802466638</v>
      </c>
      <c r="G1106" s="2338">
        <v>100</v>
      </c>
      <c r="H1106" s="1638"/>
      <c r="J1106" s="2093"/>
      <c r="K1106" s="2093"/>
    </row>
    <row r="1107" spans="1:11" s="1639" customFormat="1" ht="10.5" hidden="1" customHeight="1" x14ac:dyDescent="0.25">
      <c r="A1107" s="1637"/>
      <c r="B1107" s="2913"/>
      <c r="C1107" s="4172"/>
      <c r="D1107" s="1576"/>
      <c r="E1107" s="877"/>
      <c r="F1107" s="2562"/>
      <c r="G1107" s="2338"/>
      <c r="H1107" s="1638"/>
      <c r="J1107" s="2093"/>
      <c r="K1107" s="2093"/>
    </row>
    <row r="1108" spans="1:11" s="1639" customFormat="1" ht="16.5" hidden="1" customHeight="1" x14ac:dyDescent="0.25">
      <c r="A1108" s="1637"/>
      <c r="B1108" s="2913"/>
      <c r="C1108" s="4103" t="s">
        <v>1215</v>
      </c>
      <c r="D1108" s="1416">
        <f>D1109</f>
        <v>2341482000</v>
      </c>
      <c r="E1108" s="1417">
        <f>E1109</f>
        <v>2338682000</v>
      </c>
      <c r="F1108" s="1415">
        <f>E1108/D1108*100</f>
        <v>99.88041761585184</v>
      </c>
      <c r="G1108" s="2484">
        <v>100</v>
      </c>
      <c r="H1108" s="1638"/>
      <c r="J1108" s="2093"/>
      <c r="K1108" s="2093"/>
    </row>
    <row r="1109" spans="1:11" s="1639" customFormat="1" ht="14.25" hidden="1" customHeight="1" x14ac:dyDescent="0.25">
      <c r="A1109" s="1637"/>
      <c r="B1109" s="2913"/>
      <c r="C1109" s="4006" t="s">
        <v>1216</v>
      </c>
      <c r="D1109" s="1412">
        <v>2341482000</v>
      </c>
      <c r="E1109" s="878">
        <v>2338682000</v>
      </c>
      <c r="F1109" s="880">
        <f>E1109/D1109*100</f>
        <v>99.88041761585184</v>
      </c>
      <c r="G1109" s="2338">
        <v>100</v>
      </c>
      <c r="H1109" s="1638"/>
      <c r="J1109" s="2093"/>
      <c r="K1109" s="2093"/>
    </row>
    <row r="1110" spans="1:11" s="1639" customFormat="1" ht="8.25" hidden="1" customHeight="1" x14ac:dyDescent="0.25">
      <c r="A1110" s="1637"/>
      <c r="B1110" s="2913"/>
      <c r="C1110" s="4172"/>
      <c r="D1110" s="1463"/>
      <c r="E1110" s="1818"/>
      <c r="F1110" s="2562"/>
      <c r="G1110" s="2338"/>
      <c r="H1110" s="1638"/>
      <c r="J1110" s="2093"/>
      <c r="K1110" s="2093"/>
    </row>
    <row r="1111" spans="1:11" s="1639" customFormat="1" ht="16.5" hidden="1" customHeight="1" x14ac:dyDescent="0.25">
      <c r="A1111" s="1637"/>
      <c r="B1111" s="2913"/>
      <c r="C1111" s="4103" t="s">
        <v>1217</v>
      </c>
      <c r="D1111" s="1417">
        <f>D1112</f>
        <v>2265747600</v>
      </c>
      <c r="E1111" s="1417">
        <f>E1112</f>
        <v>2262773600</v>
      </c>
      <c r="F1111" s="1415">
        <f>E1111/D1111*100</f>
        <v>99.868740895940917</v>
      </c>
      <c r="G1111" s="2484">
        <v>100</v>
      </c>
      <c r="H1111" s="1638"/>
      <c r="J1111" s="2093"/>
      <c r="K1111" s="2093"/>
    </row>
    <row r="1112" spans="1:11" s="1639" customFormat="1" ht="13.5" hidden="1" customHeight="1" x14ac:dyDescent="0.25">
      <c r="A1112" s="1637"/>
      <c r="B1112" s="2913"/>
      <c r="C1112" s="3856" t="s">
        <v>1218</v>
      </c>
      <c r="D1112" s="1492">
        <v>2265747600</v>
      </c>
      <c r="E1112" s="878">
        <v>2262773600</v>
      </c>
      <c r="F1112" s="880">
        <f>E1112/D1112*100</f>
        <v>99.868740895940917</v>
      </c>
      <c r="G1112" s="2338">
        <v>100</v>
      </c>
      <c r="H1112" s="1638"/>
      <c r="J1112" s="2093"/>
      <c r="K1112" s="2093"/>
    </row>
    <row r="1113" spans="1:11" ht="12" hidden="1" customHeight="1" x14ac:dyDescent="0.25">
      <c r="B1113" s="2913"/>
      <c r="C1113" s="3861"/>
      <c r="D1113" s="1516"/>
      <c r="E1113" s="882"/>
      <c r="F1113" s="2285"/>
      <c r="G1113" s="2314"/>
      <c r="H1113" s="535"/>
    </row>
    <row r="1114" spans="1:11" s="1639" customFormat="1" ht="16.5" hidden="1" customHeight="1" x14ac:dyDescent="0.25">
      <c r="A1114" s="1637"/>
      <c r="B1114" s="5397"/>
      <c r="C1114" s="3858" t="s">
        <v>333</v>
      </c>
      <c r="D1114" s="1546">
        <f>SUM(D1115+D1118+D1122+D1126)</f>
        <v>3175788676</v>
      </c>
      <c r="E1114" s="1546">
        <f>SUM(E1115+E1118+E1122+E1126)</f>
        <v>2793981076</v>
      </c>
      <c r="F1114" s="1462">
        <f>E1114/D1114*100</f>
        <v>87.977550178782735</v>
      </c>
      <c r="G1114" s="2315">
        <f>SUM(G1115+G1118+G1122+G1126)/4</f>
        <v>81.666666666666671</v>
      </c>
      <c r="H1114" s="1638"/>
      <c r="J1114" s="2093"/>
      <c r="K1114" s="2093"/>
    </row>
    <row r="1115" spans="1:11" s="1639" customFormat="1" ht="17.25" hidden="1" customHeight="1" x14ac:dyDescent="0.25">
      <c r="A1115" s="1637"/>
      <c r="B1115" s="2913"/>
      <c r="C1115" s="4299" t="s">
        <v>1219</v>
      </c>
      <c r="D1115" s="1417">
        <f>D1116</f>
        <v>586793000</v>
      </c>
      <c r="E1115" s="1417">
        <f>E1116</f>
        <v>583924000</v>
      </c>
      <c r="F1115" s="1415">
        <f>E1115/D1115*100</f>
        <v>99.511071195464169</v>
      </c>
      <c r="G1115" s="2318">
        <v>100</v>
      </c>
      <c r="H1115" s="1638"/>
      <c r="J1115" s="2093"/>
      <c r="K1115" s="2093"/>
    </row>
    <row r="1116" spans="1:11" s="1639" customFormat="1" ht="14.25" hidden="1" customHeight="1" x14ac:dyDescent="0.25">
      <c r="A1116" s="1637"/>
      <c r="B1116" s="2913"/>
      <c r="C1116" s="3856" t="s">
        <v>1220</v>
      </c>
      <c r="D1116" s="1492">
        <v>586793000</v>
      </c>
      <c r="E1116" s="878">
        <v>583924000</v>
      </c>
      <c r="F1116" s="880">
        <f>E1116/D1116*100</f>
        <v>99.511071195464169</v>
      </c>
      <c r="G1116" s="2293">
        <v>100</v>
      </c>
      <c r="H1116" s="1638"/>
      <c r="J1116" s="2093"/>
      <c r="K1116" s="2093"/>
    </row>
    <row r="1117" spans="1:11" s="1639" customFormat="1" ht="12" hidden="1" customHeight="1" x14ac:dyDescent="0.25">
      <c r="A1117" s="1637"/>
      <c r="B1117" s="2913"/>
      <c r="C1117" s="3991"/>
      <c r="D1117" s="730"/>
      <c r="E1117" s="878"/>
      <c r="F1117" s="880"/>
      <c r="G1117" s="2293"/>
      <c r="H1117" s="1638"/>
      <c r="J1117" s="2093"/>
      <c r="K1117" s="2093"/>
    </row>
    <row r="1118" spans="1:11" s="1639" customFormat="1" ht="28.5" hidden="1" customHeight="1" x14ac:dyDescent="0.25">
      <c r="A1118" s="1637"/>
      <c r="B1118" s="2913"/>
      <c r="C1118" s="4299" t="s">
        <v>1221</v>
      </c>
      <c r="D1118" s="811">
        <f>D1119+D1120</f>
        <v>791980676</v>
      </c>
      <c r="E1118" s="811">
        <f>E1119+E1120</f>
        <v>707888876</v>
      </c>
      <c r="F1118" s="1415">
        <f>E1118/D1118*100</f>
        <v>89.382089418555452</v>
      </c>
      <c r="G1118" s="2484">
        <v>100</v>
      </c>
      <c r="H1118" s="1638"/>
      <c r="J1118" s="2093"/>
      <c r="K1118" s="2093"/>
    </row>
    <row r="1119" spans="1:11" s="1639" customFormat="1" ht="16.5" hidden="1" customHeight="1" x14ac:dyDescent="0.25">
      <c r="A1119" s="1637"/>
      <c r="B1119" s="2913"/>
      <c r="C1119" s="3908" t="s">
        <v>1222</v>
      </c>
      <c r="D1119" s="1492">
        <v>437180000</v>
      </c>
      <c r="E1119" s="1818">
        <v>377175000</v>
      </c>
      <c r="F1119" s="880">
        <f>E1119/D1119*100</f>
        <v>86.274532229287701</v>
      </c>
      <c r="G1119" s="2338">
        <v>100</v>
      </c>
      <c r="H1119" s="1638"/>
      <c r="J1119" s="2093"/>
      <c r="K1119" s="2093"/>
    </row>
    <row r="1120" spans="1:11" s="1639" customFormat="1" ht="18" hidden="1" customHeight="1" x14ac:dyDescent="0.25">
      <c r="A1120" s="1637"/>
      <c r="B1120" s="2913"/>
      <c r="C1120" s="3908" t="s">
        <v>1223</v>
      </c>
      <c r="D1120" s="1412">
        <v>354800676</v>
      </c>
      <c r="E1120" s="1818">
        <v>330713876</v>
      </c>
      <c r="F1120" s="880">
        <f>E1120/D1120*100</f>
        <v>93.211174152328852</v>
      </c>
      <c r="G1120" s="2338">
        <v>100</v>
      </c>
      <c r="H1120" s="1638"/>
      <c r="J1120" s="2093"/>
      <c r="K1120" s="2093"/>
    </row>
    <row r="1121" spans="1:11" s="1639" customFormat="1" ht="12" hidden="1" customHeight="1" x14ac:dyDescent="0.25">
      <c r="A1121" s="1637"/>
      <c r="B1121" s="2913"/>
      <c r="C1121" s="4172"/>
      <c r="D1121" s="1463"/>
      <c r="E1121" s="878"/>
      <c r="F1121" s="880"/>
      <c r="G1121" s="2338"/>
      <c r="H1121" s="1638"/>
      <c r="J1121" s="2093"/>
      <c r="K1121" s="2093"/>
    </row>
    <row r="1122" spans="1:11" s="1639" customFormat="1" ht="27" hidden="1" customHeight="1" x14ac:dyDescent="0.25">
      <c r="A1122" s="1637"/>
      <c r="B1122" s="2913"/>
      <c r="C1122" s="4103" t="s">
        <v>1224</v>
      </c>
      <c r="D1122" s="1415">
        <f>D1123+D1124</f>
        <v>501685000</v>
      </c>
      <c r="E1122" s="1415">
        <f>E1123+E1124</f>
        <v>350255000</v>
      </c>
      <c r="F1122" s="1415">
        <f>E1122/D1122*100</f>
        <v>69.815721020162059</v>
      </c>
      <c r="G1122" s="2176">
        <f>SUM(G1123:G1124)/2</f>
        <v>60</v>
      </c>
      <c r="H1122" s="1638"/>
      <c r="J1122" s="2093"/>
      <c r="K1122" s="2093"/>
    </row>
    <row r="1123" spans="1:11" s="1639" customFormat="1" ht="15.75" hidden="1" customHeight="1" x14ac:dyDescent="0.25">
      <c r="A1123" s="1637"/>
      <c r="B1123" s="2913"/>
      <c r="C1123" s="3856" t="s">
        <v>1225</v>
      </c>
      <c r="D1123" s="880">
        <v>343860000</v>
      </c>
      <c r="E1123" s="878">
        <v>341180000</v>
      </c>
      <c r="F1123" s="880">
        <f>E1123/D1123*100</f>
        <v>99.22061304019077</v>
      </c>
      <c r="G1123" s="2293">
        <v>100</v>
      </c>
      <c r="H1123" s="1638"/>
      <c r="J1123" s="2093"/>
      <c r="K1123" s="2093"/>
    </row>
    <row r="1124" spans="1:11" s="1639" customFormat="1" ht="18.75" hidden="1" customHeight="1" x14ac:dyDescent="0.25">
      <c r="A1124" s="1637"/>
      <c r="B1124" s="2913"/>
      <c r="C1124" s="5480" t="s">
        <v>1226</v>
      </c>
      <c r="D1124" s="880">
        <v>157825000</v>
      </c>
      <c r="E1124" s="883">
        <v>9075000</v>
      </c>
      <c r="F1124" s="880">
        <f>E1124/D1124*100</f>
        <v>5.7500396008236967</v>
      </c>
      <c r="G1124" s="883">
        <v>20</v>
      </c>
      <c r="H1124" s="1638"/>
      <c r="J1124" s="2093"/>
      <c r="K1124" s="2093"/>
    </row>
    <row r="1125" spans="1:11" s="1639" customFormat="1" ht="9.75" hidden="1" customHeight="1" x14ac:dyDescent="0.25">
      <c r="A1125" s="1637"/>
      <c r="B1125" s="2913"/>
      <c r="C1125" s="3991"/>
      <c r="D1125" s="1463"/>
      <c r="E1125" s="878"/>
      <c r="F1125" s="880"/>
      <c r="G1125" s="2338"/>
      <c r="H1125" s="1638"/>
      <c r="J1125" s="2093"/>
      <c r="K1125" s="2093"/>
    </row>
    <row r="1126" spans="1:11" s="1639" customFormat="1" ht="16.5" hidden="1" customHeight="1" x14ac:dyDescent="0.25">
      <c r="A1126" s="1637"/>
      <c r="B1126" s="2913"/>
      <c r="C1126" s="4299" t="s">
        <v>1227</v>
      </c>
      <c r="D1126" s="1417">
        <f>SUM(D1127:D1129)</f>
        <v>1295330000</v>
      </c>
      <c r="E1126" s="1417">
        <f>SUM(E1127:E1129)</f>
        <v>1151913200</v>
      </c>
      <c r="F1126" s="1415">
        <f>E1126/D1126*100</f>
        <v>88.928165023584725</v>
      </c>
      <c r="G1126" s="2176">
        <f>SUM(G1127:G1129)/3</f>
        <v>66.666666666666671</v>
      </c>
      <c r="H1126" s="1638"/>
      <c r="J1126" s="2093"/>
      <c r="K1126" s="2093"/>
    </row>
    <row r="1127" spans="1:11" s="1639" customFormat="1" ht="14.25" hidden="1" customHeight="1" x14ac:dyDescent="0.25">
      <c r="A1127" s="1637"/>
      <c r="B1127" s="2913"/>
      <c r="C1127" s="3856" t="s">
        <v>1228</v>
      </c>
      <c r="D1127" s="1492">
        <v>621695000</v>
      </c>
      <c r="E1127" s="878">
        <v>606698200</v>
      </c>
      <c r="F1127" s="880">
        <f>E1127/D1127*100</f>
        <v>97.587756054013624</v>
      </c>
      <c r="G1127" s="2293">
        <v>100</v>
      </c>
      <c r="H1127" s="1638"/>
      <c r="J1127" s="2093"/>
      <c r="K1127" s="2093"/>
    </row>
    <row r="1128" spans="1:11" s="1639" customFormat="1" ht="15.75" hidden="1" customHeight="1" x14ac:dyDescent="0.25">
      <c r="A1128" s="1637"/>
      <c r="B1128" s="2913"/>
      <c r="C1128" s="3908" t="s">
        <v>1229</v>
      </c>
      <c r="D1128" s="1492">
        <v>633635000</v>
      </c>
      <c r="E1128" s="883">
        <v>545215000</v>
      </c>
      <c r="F1128" s="880">
        <f>E1128/D1128*100</f>
        <v>86.045594072297135</v>
      </c>
      <c r="G1128" s="883">
        <v>100</v>
      </c>
      <c r="H1128" s="1638"/>
      <c r="J1128" s="2093"/>
      <c r="K1128" s="2093"/>
    </row>
    <row r="1129" spans="1:11" s="1639" customFormat="1" ht="11.25" hidden="1" customHeight="1" x14ac:dyDescent="0.25">
      <c r="A1129" s="1637"/>
      <c r="B1129" s="2913"/>
      <c r="C1129" s="5480" t="s">
        <v>1230</v>
      </c>
      <c r="D1129" s="1412">
        <v>40000000</v>
      </c>
      <c r="E1129" s="883">
        <v>0</v>
      </c>
      <c r="F1129" s="883">
        <v>0</v>
      </c>
      <c r="G1129" s="883">
        <v>0</v>
      </c>
      <c r="H1129" s="1638"/>
      <c r="J1129" s="2093"/>
      <c r="K1129" s="2093"/>
    </row>
    <row r="1130" spans="1:11" ht="12" hidden="1" customHeight="1" x14ac:dyDescent="0.25">
      <c r="B1130" s="2913"/>
      <c r="C1130" s="3861"/>
      <c r="D1130" s="1516"/>
      <c r="E1130" s="882"/>
      <c r="F1130" s="2285"/>
      <c r="G1130" s="2314"/>
      <c r="H1130" s="535"/>
    </row>
    <row r="1131" spans="1:11" ht="17.25" hidden="1" customHeight="1" x14ac:dyDescent="0.25">
      <c r="B1131" s="5397"/>
      <c r="C1131" s="3858" t="s">
        <v>334</v>
      </c>
      <c r="D1131" s="1546">
        <f>SUM(D1132+D1135)</f>
        <v>516121734</v>
      </c>
      <c r="E1131" s="1546">
        <f>SUM(E1132+E1135)</f>
        <v>503121734</v>
      </c>
      <c r="F1131" s="1462">
        <f>E1131/D1131*100</f>
        <v>97.481214383426845</v>
      </c>
      <c r="G1131" s="2317">
        <v>100</v>
      </c>
      <c r="H1131" s="535"/>
    </row>
    <row r="1132" spans="1:11" s="1639" customFormat="1" ht="16.5" hidden="1" customHeight="1" x14ac:dyDescent="0.25">
      <c r="A1132" s="1637"/>
      <c r="B1132" s="2913"/>
      <c r="C1132" s="4299" t="s">
        <v>1231</v>
      </c>
      <c r="D1132" s="1417">
        <f>D1133</f>
        <v>296365494</v>
      </c>
      <c r="E1132" s="1417">
        <f>E1133</f>
        <v>283365494</v>
      </c>
      <c r="F1132" s="1415">
        <f>E1132/D1132*100</f>
        <v>95.613524427374799</v>
      </c>
      <c r="G1132" s="2318">
        <v>100</v>
      </c>
      <c r="H1132" s="1638"/>
      <c r="J1132" s="2093"/>
      <c r="K1132" s="2093"/>
    </row>
    <row r="1133" spans="1:11" s="1639" customFormat="1" ht="14.25" hidden="1" customHeight="1" x14ac:dyDescent="0.25">
      <c r="A1133" s="1637"/>
      <c r="B1133" s="2913"/>
      <c r="C1133" s="3856" t="s">
        <v>1232</v>
      </c>
      <c r="D1133" s="1492">
        <v>296365494</v>
      </c>
      <c r="E1133" s="878">
        <v>283365494</v>
      </c>
      <c r="F1133" s="880">
        <f>E1133/D1133*100</f>
        <v>95.613524427374799</v>
      </c>
      <c r="G1133" s="2293">
        <v>100</v>
      </c>
      <c r="H1133" s="1638"/>
      <c r="J1133" s="2093"/>
      <c r="K1133" s="2093"/>
    </row>
    <row r="1134" spans="1:11" ht="9" hidden="1" customHeight="1" x14ac:dyDescent="0.25">
      <c r="B1134" s="2913"/>
      <c r="C1134" s="3991"/>
      <c r="D1134" s="730"/>
      <c r="E1134" s="878"/>
      <c r="F1134" s="880"/>
      <c r="G1134" s="2293"/>
      <c r="H1134" s="535"/>
    </row>
    <row r="1135" spans="1:11" s="1639" customFormat="1" ht="18.75" hidden="1" customHeight="1" x14ac:dyDescent="0.25">
      <c r="A1135" s="1637"/>
      <c r="B1135" s="2913"/>
      <c r="C1135" s="4103" t="s">
        <v>1233</v>
      </c>
      <c r="D1135" s="1415">
        <f>D1136</f>
        <v>219756240</v>
      </c>
      <c r="E1135" s="1415">
        <f>E1136</f>
        <v>219756240</v>
      </c>
      <c r="F1135" s="1415">
        <f>E1135/D1135*100</f>
        <v>100</v>
      </c>
      <c r="G1135" s="2176">
        <v>100</v>
      </c>
      <c r="H1135" s="1638"/>
      <c r="J1135" s="2093"/>
      <c r="K1135" s="2093"/>
    </row>
    <row r="1136" spans="1:11" s="1639" customFormat="1" ht="15.75" hidden="1" customHeight="1" x14ac:dyDescent="0.25">
      <c r="A1136" s="1637"/>
      <c r="B1136" s="2913"/>
      <c r="C1136" s="3856" t="s">
        <v>1234</v>
      </c>
      <c r="D1136" s="1492">
        <v>219756240</v>
      </c>
      <c r="E1136" s="878">
        <v>219756240</v>
      </c>
      <c r="F1136" s="880">
        <f>E1136/D1136*100</f>
        <v>100</v>
      </c>
      <c r="G1136" s="2293">
        <v>100</v>
      </c>
      <c r="H1136" s="1638"/>
      <c r="J1136" s="2093"/>
      <c r="K1136" s="2093"/>
    </row>
    <row r="1137" spans="1:11" ht="12" hidden="1" customHeight="1" x14ac:dyDescent="0.25">
      <c r="B1137" s="2913"/>
      <c r="C1137" s="3861"/>
      <c r="D1137" s="1516"/>
      <c r="E1137" s="882"/>
      <c r="F1137" s="2285"/>
      <c r="G1137" s="2314"/>
      <c r="H1137" s="535"/>
    </row>
    <row r="1138" spans="1:11" s="1639" customFormat="1" ht="18.75" hidden="1" customHeight="1" x14ac:dyDescent="0.25">
      <c r="A1138" s="1637"/>
      <c r="B1138" s="5397"/>
      <c r="C1138" s="3858" t="s">
        <v>335</v>
      </c>
      <c r="D1138" s="1546">
        <f>SUM(D1139+D1142+D1145+D1149+D1152+D1163+D1166+D1170)</f>
        <v>10593460823</v>
      </c>
      <c r="E1138" s="1546">
        <f>SUM(E1139+E1142+E1145+E1149+E1152+E1163+E1166+E1170)</f>
        <v>10125922165</v>
      </c>
      <c r="F1138" s="1462">
        <f>E1138/D1138*100</f>
        <v>95.58653526159361</v>
      </c>
      <c r="G1138" s="2315">
        <f>SUM(G1139+G1142+G1145+G1149+G1152+G1163+G1166+G1170)/8</f>
        <v>91.25</v>
      </c>
      <c r="H1138" s="1638"/>
      <c r="J1138" s="2093"/>
      <c r="K1138" s="2093"/>
    </row>
    <row r="1139" spans="1:11" s="1639" customFormat="1" ht="15.75" hidden="1" customHeight="1" x14ac:dyDescent="0.25">
      <c r="A1139" s="1637"/>
      <c r="B1139" s="2913"/>
      <c r="C1139" s="3911" t="s">
        <v>336</v>
      </c>
      <c r="D1139" s="1417">
        <f>D1140</f>
        <v>806050000</v>
      </c>
      <c r="E1139" s="1417">
        <f>E1140</f>
        <v>755575000</v>
      </c>
      <c r="F1139" s="1415">
        <f>E1139/D1139*100</f>
        <v>93.73798151479437</v>
      </c>
      <c r="G1139" s="2484">
        <v>100</v>
      </c>
      <c r="H1139" s="1638"/>
      <c r="J1139" s="2093"/>
      <c r="K1139" s="2093"/>
    </row>
    <row r="1140" spans="1:11" s="1639" customFormat="1" ht="17.25" hidden="1" customHeight="1" x14ac:dyDescent="0.25">
      <c r="A1140" s="1637"/>
      <c r="B1140" s="2913"/>
      <c r="C1140" s="4104" t="s">
        <v>1235</v>
      </c>
      <c r="D1140" s="1492">
        <v>806050000</v>
      </c>
      <c r="E1140" s="1818">
        <v>755575000</v>
      </c>
      <c r="F1140" s="880">
        <f>E1140/D1140*100</f>
        <v>93.73798151479437</v>
      </c>
      <c r="G1140" s="2338">
        <v>100</v>
      </c>
      <c r="H1140" s="1638"/>
      <c r="J1140" s="2093"/>
      <c r="K1140" s="2093"/>
    </row>
    <row r="1141" spans="1:11" s="1639" customFormat="1" ht="9" hidden="1" customHeight="1" x14ac:dyDescent="0.25">
      <c r="A1141" s="1637"/>
      <c r="B1141" s="2913"/>
      <c r="C1141" s="4172"/>
      <c r="D1141" s="730"/>
      <c r="E1141" s="877"/>
      <c r="F1141" s="880"/>
      <c r="G1141" s="2484"/>
      <c r="H1141" s="1638"/>
      <c r="J1141" s="2093"/>
      <c r="K1141" s="2093"/>
    </row>
    <row r="1142" spans="1:11" s="1639" customFormat="1" ht="17.25" hidden="1" customHeight="1" x14ac:dyDescent="0.25">
      <c r="A1142" s="1637"/>
      <c r="B1142" s="2913"/>
      <c r="C1142" s="4103" t="s">
        <v>1236</v>
      </c>
      <c r="D1142" s="1417">
        <f>D1143</f>
        <v>2628820000</v>
      </c>
      <c r="E1142" s="1417">
        <f>E1143</f>
        <v>2611435000</v>
      </c>
      <c r="F1142" s="1415">
        <f>E1142/D1142*100</f>
        <v>99.338676668619385</v>
      </c>
      <c r="G1142" s="5485">
        <v>100</v>
      </c>
      <c r="H1142" s="1638"/>
      <c r="J1142" s="2093"/>
      <c r="K1142" s="2093"/>
    </row>
    <row r="1143" spans="1:11" s="1639" customFormat="1" ht="16.5" hidden="1" customHeight="1" x14ac:dyDescent="0.25">
      <c r="A1143" s="1637"/>
      <c r="B1143" s="2913"/>
      <c r="C1143" s="3908" t="s">
        <v>1237</v>
      </c>
      <c r="D1143" s="1418">
        <v>2628820000</v>
      </c>
      <c r="E1143" s="878">
        <v>2611435000</v>
      </c>
      <c r="F1143" s="880">
        <f>E1143/D1143*100</f>
        <v>99.338676668619385</v>
      </c>
      <c r="G1143" s="2373">
        <v>100</v>
      </c>
      <c r="H1143" s="1638"/>
      <c r="J1143" s="2093"/>
      <c r="K1143" s="2093"/>
    </row>
    <row r="1144" spans="1:11" s="1639" customFormat="1" ht="12" hidden="1" customHeight="1" x14ac:dyDescent="0.25">
      <c r="A1144" s="1637"/>
      <c r="B1144" s="2913"/>
      <c r="C1144" s="4172"/>
      <c r="D1144" s="1463"/>
      <c r="E1144" s="878"/>
      <c r="F1144" s="880"/>
      <c r="G1144" s="2338"/>
      <c r="H1144" s="1638"/>
      <c r="J1144" s="2093"/>
      <c r="K1144" s="2093"/>
    </row>
    <row r="1145" spans="1:11" s="1639" customFormat="1" ht="32.25" hidden="1" customHeight="1" x14ac:dyDescent="0.25">
      <c r="A1145" s="1637"/>
      <c r="B1145" s="2913"/>
      <c r="C1145" s="3911" t="s">
        <v>1238</v>
      </c>
      <c r="D1145" s="1415">
        <f>D1146+D1147</f>
        <v>378725000</v>
      </c>
      <c r="E1145" s="1415">
        <f>E1146+E1147</f>
        <v>360685000</v>
      </c>
      <c r="F1145" s="1415">
        <f>E1145/D1145*100</f>
        <v>95.236649283781105</v>
      </c>
      <c r="G1145" s="890">
        <v>100</v>
      </c>
      <c r="H1145" s="1638"/>
      <c r="J1145" s="2093"/>
      <c r="K1145" s="2093"/>
    </row>
    <row r="1146" spans="1:11" s="1639" customFormat="1" ht="18" hidden="1" customHeight="1" x14ac:dyDescent="0.25">
      <c r="A1146" s="1637"/>
      <c r="B1146" s="2913"/>
      <c r="C1146" s="4104" t="s">
        <v>1239</v>
      </c>
      <c r="D1146" s="1412">
        <v>178850000</v>
      </c>
      <c r="E1146" s="883">
        <v>164810000</v>
      </c>
      <c r="F1146" s="880">
        <f>E1146/D1146*100</f>
        <v>92.149846239865809</v>
      </c>
      <c r="G1146" s="883">
        <v>100</v>
      </c>
      <c r="H1146" s="1638"/>
      <c r="J1146" s="2093"/>
      <c r="K1146" s="2093"/>
    </row>
    <row r="1147" spans="1:11" s="1639" customFormat="1" ht="19.5" hidden="1" customHeight="1" x14ac:dyDescent="0.25">
      <c r="A1147" s="1637"/>
      <c r="B1147" s="2913"/>
      <c r="C1147" s="4104" t="s">
        <v>1240</v>
      </c>
      <c r="D1147" s="1412">
        <v>199875000</v>
      </c>
      <c r="E1147" s="883">
        <v>195875000</v>
      </c>
      <c r="F1147" s="880">
        <f>E1147/D1147*100</f>
        <v>97.998749218261423</v>
      </c>
      <c r="G1147" s="883">
        <v>100</v>
      </c>
      <c r="H1147" s="1638"/>
      <c r="J1147" s="2093"/>
      <c r="K1147" s="2093"/>
    </row>
    <row r="1148" spans="1:11" s="1639" customFormat="1" ht="12" hidden="1" customHeight="1" x14ac:dyDescent="0.25">
      <c r="A1148" s="1637"/>
      <c r="B1148" s="2913"/>
      <c r="C1148" s="3890"/>
      <c r="D1148" s="730"/>
      <c r="E1148" s="878"/>
      <c r="F1148" s="880"/>
      <c r="G1148" s="2338"/>
      <c r="H1148" s="1638"/>
      <c r="J1148" s="2093"/>
      <c r="K1148" s="2093"/>
    </row>
    <row r="1149" spans="1:11" s="1639" customFormat="1" ht="27.75" hidden="1" customHeight="1" x14ac:dyDescent="0.25">
      <c r="A1149" s="1637"/>
      <c r="B1149" s="2913"/>
      <c r="C1149" s="3911" t="s">
        <v>1241</v>
      </c>
      <c r="D1149" s="811">
        <f>D1150</f>
        <v>74050000</v>
      </c>
      <c r="E1149" s="811">
        <f>E1150</f>
        <v>20190000</v>
      </c>
      <c r="F1149" s="1415">
        <f>E1149/D1149*100</f>
        <v>27.265361242403781</v>
      </c>
      <c r="G1149" s="890">
        <v>30</v>
      </c>
      <c r="H1149" s="1638"/>
      <c r="J1149" s="2093"/>
      <c r="K1149" s="2093"/>
    </row>
    <row r="1150" spans="1:11" s="1639" customFormat="1" ht="22.5" hidden="1" customHeight="1" x14ac:dyDescent="0.25">
      <c r="A1150" s="1637"/>
      <c r="B1150" s="2913"/>
      <c r="C1150" s="3908" t="s">
        <v>1242</v>
      </c>
      <c r="D1150" s="1492">
        <v>74050000</v>
      </c>
      <c r="E1150" s="878">
        <v>20190000</v>
      </c>
      <c r="F1150" s="880">
        <f>E1150/D1150*100</f>
        <v>27.265361242403781</v>
      </c>
      <c r="G1150" s="883">
        <v>30</v>
      </c>
      <c r="H1150" s="1638"/>
      <c r="J1150" s="2093"/>
      <c r="K1150" s="2093"/>
    </row>
    <row r="1151" spans="1:11" s="1639" customFormat="1" ht="12" hidden="1" customHeight="1" x14ac:dyDescent="0.25">
      <c r="A1151" s="1637"/>
      <c r="B1151" s="2913"/>
      <c r="C1151" s="4172"/>
      <c r="D1151" s="730"/>
      <c r="E1151" s="878"/>
      <c r="F1151" s="880"/>
      <c r="G1151" s="2293"/>
      <c r="H1151" s="1638"/>
      <c r="J1151" s="2093"/>
      <c r="K1151" s="2093"/>
    </row>
    <row r="1152" spans="1:11" s="1639" customFormat="1" ht="15.75" hidden="1" customHeight="1" x14ac:dyDescent="0.25">
      <c r="A1152" s="1637"/>
      <c r="B1152" s="2913"/>
      <c r="C1152" s="3911" t="s">
        <v>1243</v>
      </c>
      <c r="D1152" s="1416">
        <f>SUM(D1153:D1161)</f>
        <v>3352240450</v>
      </c>
      <c r="E1152" s="1416">
        <f>SUM(E1153:E1161)</f>
        <v>3083365000</v>
      </c>
      <c r="F1152" s="1415">
        <f t="shared" ref="F1152:F1161" si="22">E1152/D1152*100</f>
        <v>91.979231382402773</v>
      </c>
      <c r="G1152" s="2176">
        <v>100</v>
      </c>
      <c r="H1152" s="1638"/>
      <c r="J1152" s="2093"/>
      <c r="K1152" s="2093"/>
    </row>
    <row r="1153" spans="1:11" s="1639" customFormat="1" ht="18" hidden="1" customHeight="1" x14ac:dyDescent="0.25">
      <c r="A1153" s="1637"/>
      <c r="B1153" s="2913"/>
      <c r="C1153" s="4104" t="s">
        <v>1244</v>
      </c>
      <c r="D1153" s="1492">
        <v>748225000</v>
      </c>
      <c r="E1153" s="878">
        <v>693275000</v>
      </c>
      <c r="F1153" s="880">
        <f t="shared" si="22"/>
        <v>92.655952420729065</v>
      </c>
      <c r="G1153" s="2338">
        <v>100</v>
      </c>
      <c r="H1153" s="1638"/>
      <c r="J1153" s="2093"/>
      <c r="K1153" s="2093"/>
    </row>
    <row r="1154" spans="1:11" s="1639" customFormat="1" ht="15.75" hidden="1" customHeight="1" x14ac:dyDescent="0.25">
      <c r="A1154" s="1637"/>
      <c r="B1154" s="2913"/>
      <c r="C1154" s="3861" t="s">
        <v>1245</v>
      </c>
      <c r="D1154" s="1492">
        <v>495755000</v>
      </c>
      <c r="E1154" s="878">
        <v>481235000</v>
      </c>
      <c r="F1154" s="880">
        <f t="shared" si="22"/>
        <v>97.071133927040577</v>
      </c>
      <c r="G1154" s="2338">
        <v>100</v>
      </c>
      <c r="H1154" s="1638"/>
      <c r="J1154" s="2093"/>
      <c r="K1154" s="2093"/>
    </row>
    <row r="1155" spans="1:11" s="1639" customFormat="1" ht="13.5" hidden="1" customHeight="1" x14ac:dyDescent="0.25">
      <c r="A1155" s="1637"/>
      <c r="B1155" s="2913"/>
      <c r="C1155" s="3861" t="s">
        <v>1246</v>
      </c>
      <c r="D1155" s="1492">
        <v>517940000</v>
      </c>
      <c r="E1155" s="878">
        <v>504790000</v>
      </c>
      <c r="F1155" s="880">
        <f t="shared" si="22"/>
        <v>97.461095879831632</v>
      </c>
      <c r="G1155" s="2338">
        <v>100</v>
      </c>
      <c r="H1155" s="1638"/>
      <c r="J1155" s="2093"/>
      <c r="K1155" s="2093"/>
    </row>
    <row r="1156" spans="1:11" s="1639" customFormat="1" ht="13.5" hidden="1" customHeight="1" x14ac:dyDescent="0.25">
      <c r="A1156" s="1637"/>
      <c r="B1156" s="2913"/>
      <c r="C1156" s="3861" t="s">
        <v>1247</v>
      </c>
      <c r="D1156" s="1492">
        <v>360035000</v>
      </c>
      <c r="E1156" s="882">
        <v>302825000</v>
      </c>
      <c r="F1156" s="880">
        <f t="shared" si="22"/>
        <v>84.109878206285501</v>
      </c>
      <c r="G1156" s="2338">
        <v>100</v>
      </c>
      <c r="H1156" s="1638"/>
      <c r="J1156" s="2093"/>
      <c r="K1156" s="2093"/>
    </row>
    <row r="1157" spans="1:11" s="1639" customFormat="1" ht="15.75" hidden="1" customHeight="1" x14ac:dyDescent="0.25">
      <c r="A1157" s="1637"/>
      <c r="B1157" s="2913"/>
      <c r="C1157" s="3861" t="s">
        <v>1248</v>
      </c>
      <c r="D1157" s="1492">
        <v>108080000</v>
      </c>
      <c r="E1157" s="883">
        <v>107055000</v>
      </c>
      <c r="F1157" s="880">
        <f t="shared" si="22"/>
        <v>99.051628423390085</v>
      </c>
      <c r="G1157" s="2338">
        <v>100</v>
      </c>
      <c r="H1157" s="1638"/>
      <c r="J1157" s="2093"/>
      <c r="K1157" s="2093"/>
    </row>
    <row r="1158" spans="1:11" s="1639" customFormat="1" ht="17.25" hidden="1" customHeight="1" x14ac:dyDescent="0.25">
      <c r="A1158" s="1637"/>
      <c r="B1158" s="2913"/>
      <c r="C1158" s="3861" t="s">
        <v>1249</v>
      </c>
      <c r="D1158" s="1492">
        <v>479580000</v>
      </c>
      <c r="E1158" s="882">
        <v>389930000</v>
      </c>
      <c r="F1158" s="880">
        <f t="shared" si="22"/>
        <v>81.306559906584937</v>
      </c>
      <c r="G1158" s="2338">
        <v>100</v>
      </c>
      <c r="H1158" s="1638"/>
      <c r="J1158" s="2093"/>
      <c r="K1158" s="2093"/>
    </row>
    <row r="1159" spans="1:11" s="1639" customFormat="1" ht="15" hidden="1" customHeight="1" x14ac:dyDescent="0.25">
      <c r="A1159" s="1637"/>
      <c r="B1159" s="2913"/>
      <c r="C1159" s="3861" t="s">
        <v>1250</v>
      </c>
      <c r="D1159" s="1492">
        <v>83800000</v>
      </c>
      <c r="E1159" s="882">
        <v>83800000</v>
      </c>
      <c r="F1159" s="880">
        <f t="shared" si="22"/>
        <v>100</v>
      </c>
      <c r="G1159" s="2338">
        <v>100</v>
      </c>
      <c r="H1159" s="1638"/>
      <c r="J1159" s="2093"/>
      <c r="K1159" s="2093"/>
    </row>
    <row r="1160" spans="1:11" s="1639" customFormat="1" ht="13.5" hidden="1" customHeight="1" x14ac:dyDescent="0.25">
      <c r="A1160" s="1637"/>
      <c r="B1160" s="2913"/>
      <c r="C1160" s="3861" t="s">
        <v>1251</v>
      </c>
      <c r="D1160" s="880">
        <v>401125000</v>
      </c>
      <c r="E1160" s="882">
        <v>365255000</v>
      </c>
      <c r="F1160" s="880">
        <f t="shared" si="22"/>
        <v>91.057650358367098</v>
      </c>
      <c r="G1160" s="2338">
        <v>100</v>
      </c>
      <c r="H1160" s="1638"/>
      <c r="J1160" s="2093"/>
      <c r="K1160" s="2093"/>
    </row>
    <row r="1161" spans="1:11" s="1639" customFormat="1" ht="14.25" hidden="1" customHeight="1" x14ac:dyDescent="0.25">
      <c r="A1161" s="1637"/>
      <c r="B1161" s="2913"/>
      <c r="C1161" s="3861" t="s">
        <v>1252</v>
      </c>
      <c r="D1161" s="1492">
        <v>157700450</v>
      </c>
      <c r="E1161" s="883">
        <v>155200000</v>
      </c>
      <c r="F1161" s="880">
        <f t="shared" si="22"/>
        <v>98.41443065000766</v>
      </c>
      <c r="G1161" s="2338">
        <v>100</v>
      </c>
      <c r="H1161" s="1638"/>
      <c r="J1161" s="2093"/>
      <c r="K1161" s="2093"/>
    </row>
    <row r="1162" spans="1:11" s="1639" customFormat="1" ht="12" hidden="1" customHeight="1" x14ac:dyDescent="0.25">
      <c r="A1162" s="1637"/>
      <c r="B1162" s="2913"/>
      <c r="C1162" s="3861"/>
      <c r="D1162" s="1569"/>
      <c r="E1162" s="882"/>
      <c r="F1162" s="880"/>
      <c r="G1162" s="2296"/>
      <c r="H1162" s="1638"/>
      <c r="J1162" s="2093"/>
      <c r="K1162" s="2093"/>
    </row>
    <row r="1163" spans="1:11" s="1639" customFormat="1" ht="15" hidden="1" customHeight="1" x14ac:dyDescent="0.25">
      <c r="A1163" s="1637"/>
      <c r="B1163" s="2913"/>
      <c r="C1163" s="4103" t="s">
        <v>1253</v>
      </c>
      <c r="D1163" s="1416">
        <f>D1164</f>
        <v>831975000</v>
      </c>
      <c r="E1163" s="1416">
        <f>E1164</f>
        <v>817730000</v>
      </c>
      <c r="F1163" s="1415">
        <f>E1163/D1163*100</f>
        <v>98.28780912888007</v>
      </c>
      <c r="G1163" s="2449">
        <v>100</v>
      </c>
      <c r="H1163" s="1638"/>
      <c r="J1163" s="2093"/>
      <c r="K1163" s="2093"/>
    </row>
    <row r="1164" spans="1:11" s="1639" customFormat="1" ht="18.75" hidden="1" customHeight="1" x14ac:dyDescent="0.25">
      <c r="A1164" s="1637"/>
      <c r="B1164" s="2913"/>
      <c r="C1164" s="3861" t="s">
        <v>1254</v>
      </c>
      <c r="D1164" s="1492">
        <v>831975000</v>
      </c>
      <c r="E1164" s="882">
        <v>817730000</v>
      </c>
      <c r="F1164" s="880">
        <f>E1164/D1164*100</f>
        <v>98.28780912888007</v>
      </c>
      <c r="G1164" s="2296">
        <v>100</v>
      </c>
      <c r="H1164" s="1638"/>
      <c r="J1164" s="2093"/>
      <c r="K1164" s="2093"/>
    </row>
    <row r="1165" spans="1:11" s="1639" customFormat="1" ht="12" hidden="1" customHeight="1" x14ac:dyDescent="0.25">
      <c r="A1165" s="1637"/>
      <c r="B1165" s="2913"/>
      <c r="C1165" s="3991"/>
      <c r="D1165" s="730"/>
      <c r="E1165" s="882"/>
      <c r="F1165" s="880"/>
      <c r="G1165" s="2296"/>
      <c r="H1165" s="1638"/>
      <c r="J1165" s="2093"/>
      <c r="K1165" s="2093"/>
    </row>
    <row r="1166" spans="1:11" s="1639" customFormat="1" ht="14.25" hidden="1" customHeight="1" x14ac:dyDescent="0.25">
      <c r="A1166" s="1637"/>
      <c r="B1166" s="2913"/>
      <c r="C1166" s="4299" t="s">
        <v>1255</v>
      </c>
      <c r="D1166" s="1415">
        <f>D1167+D1168</f>
        <v>657955673</v>
      </c>
      <c r="E1166" s="1415">
        <f>E1167+E1168</f>
        <v>647306165</v>
      </c>
      <c r="F1166" s="1415">
        <f>E1166/D1166*100</f>
        <v>98.381424701235147</v>
      </c>
      <c r="G1166" s="2449">
        <v>100</v>
      </c>
      <c r="H1166" s="1638"/>
      <c r="J1166" s="2093"/>
      <c r="K1166" s="2093"/>
    </row>
    <row r="1167" spans="1:11" s="1639" customFormat="1" ht="15" hidden="1" customHeight="1" x14ac:dyDescent="0.25">
      <c r="A1167" s="1637"/>
      <c r="B1167" s="2913"/>
      <c r="C1167" s="3861" t="s">
        <v>1256</v>
      </c>
      <c r="D1167" s="1492">
        <v>219859508</v>
      </c>
      <c r="E1167" s="882">
        <v>213925000</v>
      </c>
      <c r="F1167" s="880">
        <f>E1167/D1167*100</f>
        <v>97.300772637042371</v>
      </c>
      <c r="G1167" s="2296">
        <v>100</v>
      </c>
      <c r="H1167" s="1638"/>
      <c r="J1167" s="2093"/>
      <c r="K1167" s="2093"/>
    </row>
    <row r="1168" spans="1:11" s="1639" customFormat="1" ht="15.75" hidden="1" customHeight="1" x14ac:dyDescent="0.25">
      <c r="A1168" s="1637"/>
      <c r="B1168" s="2913"/>
      <c r="C1168" s="4104" t="s">
        <v>1257</v>
      </c>
      <c r="D1168" s="1492">
        <v>438096165</v>
      </c>
      <c r="E1168" s="878">
        <v>433381165</v>
      </c>
      <c r="F1168" s="880">
        <f>E1168/D1168*100</f>
        <v>98.923752277082826</v>
      </c>
      <c r="G1168" s="883">
        <v>100</v>
      </c>
      <c r="H1168" s="1638"/>
      <c r="J1168" s="2093"/>
      <c r="K1168" s="2093"/>
    </row>
    <row r="1169" spans="1:11" s="1639" customFormat="1" ht="12" hidden="1" customHeight="1" x14ac:dyDescent="0.25">
      <c r="A1169" s="1637"/>
      <c r="B1169" s="2913"/>
      <c r="C1169" s="3991"/>
      <c r="D1169" s="730"/>
      <c r="E1169" s="882"/>
      <c r="F1169" s="880"/>
      <c r="G1169" s="2296"/>
      <c r="H1169" s="1638"/>
      <c r="J1169" s="2093"/>
      <c r="K1169" s="2093"/>
    </row>
    <row r="1170" spans="1:11" s="1639" customFormat="1" ht="14.25" hidden="1" customHeight="1" x14ac:dyDescent="0.25">
      <c r="A1170" s="1637"/>
      <c r="B1170" s="2913"/>
      <c r="C1170" s="4299" t="s">
        <v>1258</v>
      </c>
      <c r="D1170" s="1415">
        <f>D1171+D1172</f>
        <v>1863644700</v>
      </c>
      <c r="E1170" s="1415">
        <f>E1171+E1172</f>
        <v>1829636000</v>
      </c>
      <c r="F1170" s="1415">
        <f>E1170/D1170*100</f>
        <v>98.175151089690004</v>
      </c>
      <c r="G1170" s="2449">
        <v>100</v>
      </c>
      <c r="H1170" s="1638"/>
      <c r="J1170" s="2093"/>
      <c r="K1170" s="2093"/>
    </row>
    <row r="1171" spans="1:11" s="1639" customFormat="1" ht="21" hidden="1" customHeight="1" x14ac:dyDescent="0.25">
      <c r="A1171" s="1637"/>
      <c r="B1171" s="2913"/>
      <c r="C1171" s="3861" t="s">
        <v>1259</v>
      </c>
      <c r="D1171" s="880">
        <v>675655000</v>
      </c>
      <c r="E1171" s="882">
        <v>667250000</v>
      </c>
      <c r="F1171" s="880">
        <f>E1171/D1171*100</f>
        <v>98.756021934271189</v>
      </c>
      <c r="G1171" s="2296">
        <v>100</v>
      </c>
      <c r="H1171" s="1638"/>
      <c r="J1171" s="2093"/>
      <c r="K1171" s="2093"/>
    </row>
    <row r="1172" spans="1:11" s="1639" customFormat="1" ht="28.5" hidden="1" customHeight="1" x14ac:dyDescent="0.25">
      <c r="A1172" s="1637"/>
      <c r="B1172" s="2913"/>
      <c r="C1172" s="3861" t="s">
        <v>1260</v>
      </c>
      <c r="D1172" s="886">
        <v>1187989700</v>
      </c>
      <c r="E1172" s="882">
        <v>1162386000</v>
      </c>
      <c r="F1172" s="880">
        <f>E1172/D1172*100</f>
        <v>97.84478771154329</v>
      </c>
      <c r="G1172" s="2296">
        <v>100</v>
      </c>
      <c r="H1172" s="1638"/>
      <c r="J1172" s="2093"/>
      <c r="K1172" s="2093"/>
    </row>
    <row r="1173" spans="1:11" ht="9.75" hidden="1" customHeight="1" x14ac:dyDescent="0.25">
      <c r="B1173" s="2913"/>
      <c r="C1173" s="3861"/>
      <c r="D1173" s="1516"/>
      <c r="E1173" s="882"/>
      <c r="F1173" s="2296"/>
      <c r="G1173" s="2296"/>
      <c r="H1173" s="535"/>
    </row>
    <row r="1174" spans="1:11" ht="16.5" hidden="1" customHeight="1" x14ac:dyDescent="0.25">
      <c r="B1174" s="5397"/>
      <c r="C1174" s="3858" t="s">
        <v>2404</v>
      </c>
      <c r="D1174" s="1546">
        <f>SUM(D1175+D1178+D1181+D1185)</f>
        <v>3596773411</v>
      </c>
      <c r="E1174" s="1546">
        <f>SUM(E1175+E1178+E1181+E1185)</f>
        <v>3444631371</v>
      </c>
      <c r="F1174" s="1462">
        <f>E1174/D1174*100</f>
        <v>95.770041016909644</v>
      </c>
      <c r="G1174" s="2315">
        <v>100</v>
      </c>
      <c r="H1174" s="535"/>
    </row>
    <row r="1175" spans="1:11" s="1639" customFormat="1" ht="14.25" hidden="1" customHeight="1" x14ac:dyDescent="0.25">
      <c r="A1175" s="1637"/>
      <c r="B1175" s="2913"/>
      <c r="C1175" s="4299" t="s">
        <v>1261</v>
      </c>
      <c r="D1175" s="1417">
        <f>D1176</f>
        <v>2474159982</v>
      </c>
      <c r="E1175" s="1417">
        <f>E1176</f>
        <v>2323219942</v>
      </c>
      <c r="F1175" s="1415">
        <f>E1175/D1175*100</f>
        <v>93.899341954517141</v>
      </c>
      <c r="G1175" s="890">
        <v>100</v>
      </c>
      <c r="H1175" s="1638"/>
      <c r="J1175" s="2093"/>
      <c r="K1175" s="2093"/>
    </row>
    <row r="1176" spans="1:11" s="1639" customFormat="1" ht="15" hidden="1" customHeight="1" x14ac:dyDescent="0.25">
      <c r="A1176" s="1637"/>
      <c r="B1176" s="2913"/>
      <c r="C1176" s="3856" t="s">
        <v>1262</v>
      </c>
      <c r="D1176" s="880">
        <v>2474159982</v>
      </c>
      <c r="E1176" s="883">
        <v>2323219942</v>
      </c>
      <c r="F1176" s="880">
        <f>E1176/D1176*100</f>
        <v>93.899341954517141</v>
      </c>
      <c r="G1176" s="883">
        <v>100</v>
      </c>
      <c r="H1176" s="1638"/>
      <c r="J1176" s="2093"/>
      <c r="K1176" s="2093"/>
    </row>
    <row r="1177" spans="1:11" s="1639" customFormat="1" ht="12" hidden="1" customHeight="1" x14ac:dyDescent="0.25">
      <c r="A1177" s="1637"/>
      <c r="B1177" s="2913"/>
      <c r="C1177" s="3991"/>
      <c r="D1177" s="731"/>
      <c r="E1177" s="877"/>
      <c r="F1177" s="880"/>
      <c r="G1177" s="1121"/>
      <c r="H1177" s="1638"/>
      <c r="J1177" s="2093"/>
      <c r="K1177" s="2093"/>
    </row>
    <row r="1178" spans="1:11" s="1639" customFormat="1" ht="15" hidden="1" customHeight="1" x14ac:dyDescent="0.25">
      <c r="A1178" s="1637"/>
      <c r="B1178" s="2913"/>
      <c r="C1178" s="4299" t="s">
        <v>1263</v>
      </c>
      <c r="D1178" s="1416">
        <f>D1179</f>
        <v>286626500</v>
      </c>
      <c r="E1178" s="1416">
        <f>E1179</f>
        <v>285926500</v>
      </c>
      <c r="F1178" s="1415">
        <f>E1178/D1178*100</f>
        <v>99.755779734253451</v>
      </c>
      <c r="G1178" s="2176">
        <v>100</v>
      </c>
      <c r="H1178" s="1638"/>
      <c r="J1178" s="2093"/>
      <c r="K1178" s="2093"/>
    </row>
    <row r="1179" spans="1:11" s="1639" customFormat="1" ht="14.25" hidden="1" customHeight="1" x14ac:dyDescent="0.25">
      <c r="A1179" s="1637"/>
      <c r="B1179" s="2913"/>
      <c r="C1179" s="3856" t="s">
        <v>1264</v>
      </c>
      <c r="D1179" s="880">
        <v>286626500</v>
      </c>
      <c r="E1179" s="878">
        <v>285926500</v>
      </c>
      <c r="F1179" s="880">
        <f>E1179/D1179*100</f>
        <v>99.755779734253451</v>
      </c>
      <c r="G1179" s="2293">
        <v>100</v>
      </c>
      <c r="H1179" s="1638"/>
      <c r="J1179" s="2093"/>
      <c r="K1179" s="2093"/>
    </row>
    <row r="1180" spans="1:11" ht="12" hidden="1" customHeight="1" x14ac:dyDescent="0.25">
      <c r="B1180" s="2913"/>
      <c r="C1180" s="3989"/>
      <c r="D1180" s="731"/>
      <c r="E1180" s="878"/>
      <c r="F1180" s="880"/>
      <c r="G1180" s="2338"/>
      <c r="H1180" s="535"/>
    </row>
    <row r="1181" spans="1:11" s="1639" customFormat="1" ht="14.25" hidden="1" customHeight="1" x14ac:dyDescent="0.25">
      <c r="A1181" s="1637"/>
      <c r="B1181" s="2913"/>
      <c r="C1181" s="4103" t="s">
        <v>1265</v>
      </c>
      <c r="D1181" s="1416">
        <f>D1182+D1183</f>
        <v>396271929</v>
      </c>
      <c r="E1181" s="1416">
        <f>E1182+E1183</f>
        <v>396071929</v>
      </c>
      <c r="F1181" s="1415">
        <f>E1181/D1181*100</f>
        <v>99.949529606978544</v>
      </c>
      <c r="G1181" s="2562">
        <v>100</v>
      </c>
      <c r="H1181" s="1638"/>
      <c r="J1181" s="2093"/>
      <c r="K1181" s="2093"/>
    </row>
    <row r="1182" spans="1:11" s="1639" customFormat="1" ht="14.25" hidden="1" customHeight="1" x14ac:dyDescent="0.25">
      <c r="A1182" s="1637"/>
      <c r="B1182" s="2913"/>
      <c r="C1182" s="3856" t="s">
        <v>1266</v>
      </c>
      <c r="D1182" s="880">
        <v>184893300</v>
      </c>
      <c r="E1182" s="878">
        <v>184693300</v>
      </c>
      <c r="F1182" s="880">
        <f>E1182/D1182*100</f>
        <v>99.891829503827338</v>
      </c>
      <c r="G1182" s="2373">
        <v>100</v>
      </c>
      <c r="H1182" s="1638"/>
      <c r="J1182" s="2093"/>
      <c r="K1182" s="2093"/>
    </row>
    <row r="1183" spans="1:11" s="1639" customFormat="1" ht="15" hidden="1" customHeight="1" x14ac:dyDescent="0.25">
      <c r="A1183" s="1637"/>
      <c r="B1183" s="2913"/>
      <c r="C1183" s="5480" t="s">
        <v>1267</v>
      </c>
      <c r="D1183" s="885">
        <v>211378629</v>
      </c>
      <c r="E1183" s="1855">
        <v>211378629</v>
      </c>
      <c r="F1183" s="880">
        <f>E1183/D1183*100</f>
        <v>100</v>
      </c>
      <c r="G1183" s="1717">
        <v>100</v>
      </c>
      <c r="H1183" s="1638"/>
      <c r="J1183" s="2093"/>
      <c r="K1183" s="2093"/>
    </row>
    <row r="1184" spans="1:11" ht="9" hidden="1" customHeight="1" x14ac:dyDescent="0.25">
      <c r="B1184" s="2913"/>
      <c r="C1184" s="3991"/>
      <c r="D1184" s="731"/>
      <c r="E1184" s="878"/>
      <c r="F1184" s="880"/>
      <c r="G1184" s="1315"/>
      <c r="H1184" s="535"/>
    </row>
    <row r="1185" spans="1:11" s="1639" customFormat="1" ht="14.25" hidden="1" customHeight="1" x14ac:dyDescent="0.25">
      <c r="A1185" s="1637"/>
      <c r="B1185" s="2913"/>
      <c r="C1185" s="4299" t="s">
        <v>1268</v>
      </c>
      <c r="D1185" s="1417">
        <f>D1186+D1187</f>
        <v>439715000</v>
      </c>
      <c r="E1185" s="1417">
        <f>E1186+E1187</f>
        <v>439413000</v>
      </c>
      <c r="F1185" s="1415">
        <f>E1185/D1185*100</f>
        <v>99.931319149903914</v>
      </c>
      <c r="G1185" s="2261">
        <v>100</v>
      </c>
      <c r="H1185" s="1638"/>
      <c r="J1185" s="2093"/>
      <c r="K1185" s="2093"/>
    </row>
    <row r="1186" spans="1:11" s="1639" customFormat="1" ht="14.25" hidden="1" customHeight="1" x14ac:dyDescent="0.25">
      <c r="A1186" s="1637"/>
      <c r="B1186" s="2913"/>
      <c r="C1186" s="3856" t="s">
        <v>1269</v>
      </c>
      <c r="D1186" s="880">
        <v>91465000</v>
      </c>
      <c r="E1186" s="878">
        <v>91465000</v>
      </c>
      <c r="F1186" s="880">
        <f>E1186/D1186*100</f>
        <v>100</v>
      </c>
      <c r="G1186" s="1717">
        <v>100</v>
      </c>
      <c r="H1186" s="1638"/>
      <c r="J1186" s="2093"/>
      <c r="K1186" s="2093"/>
    </row>
    <row r="1187" spans="1:11" s="1639" customFormat="1" ht="15.75" hidden="1" customHeight="1" x14ac:dyDescent="0.25">
      <c r="A1187" s="1637"/>
      <c r="B1187" s="2913"/>
      <c r="C1187" s="3856" t="s">
        <v>1270</v>
      </c>
      <c r="D1187" s="880">
        <v>348250000</v>
      </c>
      <c r="E1187" s="1969">
        <v>347948000</v>
      </c>
      <c r="F1187" s="880">
        <f>E1187/D1187*100</f>
        <v>99.913280689160089</v>
      </c>
      <c r="G1187" s="2338">
        <v>100</v>
      </c>
      <c r="H1187" s="1638"/>
      <c r="J1187" s="2093"/>
      <c r="K1187" s="2093"/>
    </row>
    <row r="1188" spans="1:11" ht="12" hidden="1" customHeight="1" x14ac:dyDescent="0.25">
      <c r="B1188" s="2913"/>
      <c r="D1188" s="731"/>
      <c r="E1188" s="5486"/>
      <c r="F1188" s="2282"/>
      <c r="G1188" s="3290"/>
      <c r="H1188" s="535"/>
    </row>
    <row r="1189" spans="1:11" ht="16.5" hidden="1" customHeight="1" x14ac:dyDescent="0.25">
      <c r="B1189" s="5397"/>
      <c r="C1189" s="3858" t="s">
        <v>337</v>
      </c>
      <c r="D1189" s="1546">
        <f>SUM(D1190+D1193+D1204+D1209+D1212+D1215)</f>
        <v>9223512174</v>
      </c>
      <c r="E1189" s="1546">
        <f>SUM(E1190+E1193+E1204+E1209+E1212+E1215)</f>
        <v>8936778394</v>
      </c>
      <c r="F1189" s="1462">
        <f>E1189/D1189*100</f>
        <v>96.891273361049286</v>
      </c>
      <c r="G1189" s="2315">
        <v>100</v>
      </c>
      <c r="H1189" s="535"/>
    </row>
    <row r="1190" spans="1:11" s="1639" customFormat="1" ht="18" hidden="1" customHeight="1" x14ac:dyDescent="0.25">
      <c r="A1190" s="1637"/>
      <c r="B1190" s="2913"/>
      <c r="C1190" s="4299" t="s">
        <v>1023</v>
      </c>
      <c r="D1190" s="1417">
        <f>D1191</f>
        <v>233571250</v>
      </c>
      <c r="E1190" s="1417">
        <f>E1191</f>
        <v>168704544</v>
      </c>
      <c r="F1190" s="1415">
        <f>E1190/D1190*100</f>
        <v>72.228300358027795</v>
      </c>
      <c r="G1190" s="4358">
        <v>100</v>
      </c>
      <c r="H1190" s="1638"/>
      <c r="J1190" s="2093"/>
      <c r="K1190" s="2093"/>
    </row>
    <row r="1191" spans="1:11" s="1639" customFormat="1" ht="17.25" hidden="1" customHeight="1" x14ac:dyDescent="0.25">
      <c r="A1191" s="1637"/>
      <c r="B1191" s="2913"/>
      <c r="C1191" s="3856" t="s">
        <v>1271</v>
      </c>
      <c r="D1191" s="1492">
        <v>233571250</v>
      </c>
      <c r="E1191" s="878">
        <v>168704544</v>
      </c>
      <c r="F1191" s="880">
        <f>E1191/D1191*100</f>
        <v>72.228300358027795</v>
      </c>
      <c r="G1191" s="2338">
        <v>100</v>
      </c>
      <c r="H1191" s="1638"/>
      <c r="J1191" s="2093"/>
      <c r="K1191" s="2093"/>
    </row>
    <row r="1192" spans="1:11" ht="9.75" hidden="1" customHeight="1" x14ac:dyDescent="0.25">
      <c r="B1192" s="2913"/>
      <c r="D1192" s="731"/>
      <c r="E1192" s="878"/>
      <c r="F1192" s="880"/>
      <c r="G1192" s="2338"/>
      <c r="H1192" s="535"/>
    </row>
    <row r="1193" spans="1:11" s="1639" customFormat="1" ht="17.25" hidden="1" customHeight="1" x14ac:dyDescent="0.25">
      <c r="A1193" s="1637"/>
      <c r="B1193" s="2913"/>
      <c r="C1193" s="4103" t="s">
        <v>1272</v>
      </c>
      <c r="D1193" s="1415">
        <f>SUM(D1194:D1202)</f>
        <v>5764627670</v>
      </c>
      <c r="E1193" s="1415">
        <f>SUM(E1194:E1202)</f>
        <v>5568477850</v>
      </c>
      <c r="F1193" s="1415">
        <f t="shared" ref="F1193:F1202" si="23">E1193/D1193*100</f>
        <v>96.597354916419093</v>
      </c>
      <c r="G1193" s="2484">
        <v>100</v>
      </c>
      <c r="H1193" s="1638"/>
      <c r="J1193" s="2093"/>
      <c r="K1193" s="2093"/>
    </row>
    <row r="1194" spans="1:11" s="1639" customFormat="1" ht="14.25" hidden="1" customHeight="1" x14ac:dyDescent="0.25">
      <c r="A1194" s="1637"/>
      <c r="B1194" s="2913"/>
      <c r="C1194" s="5480" t="s">
        <v>1273</v>
      </c>
      <c r="D1194" s="1492">
        <v>231528000</v>
      </c>
      <c r="E1194" s="878">
        <v>231528000</v>
      </c>
      <c r="F1194" s="880">
        <f t="shared" si="23"/>
        <v>100</v>
      </c>
      <c r="G1194" s="2338">
        <v>100</v>
      </c>
      <c r="H1194" s="1638"/>
      <c r="J1194" s="2093"/>
      <c r="K1194" s="2093"/>
    </row>
    <row r="1195" spans="1:11" s="1639" customFormat="1" ht="13.5" hidden="1" customHeight="1" x14ac:dyDescent="0.25">
      <c r="A1195" s="1637"/>
      <c r="B1195" s="2913"/>
      <c r="C1195" s="4104" t="s">
        <v>1274</v>
      </c>
      <c r="D1195" s="1492">
        <v>482248050</v>
      </c>
      <c r="E1195" s="883">
        <v>470408050</v>
      </c>
      <c r="F1195" s="880">
        <f t="shared" si="23"/>
        <v>97.544831959403467</v>
      </c>
      <c r="G1195" s="2338">
        <v>100</v>
      </c>
      <c r="H1195" s="1638"/>
      <c r="J1195" s="2093"/>
      <c r="K1195" s="2093"/>
    </row>
    <row r="1196" spans="1:11" s="1639" customFormat="1" ht="15.75" hidden="1" customHeight="1" x14ac:dyDescent="0.25">
      <c r="A1196" s="1637"/>
      <c r="B1196" s="2913"/>
      <c r="C1196" s="3908" t="s">
        <v>1275</v>
      </c>
      <c r="D1196" s="1492">
        <v>140700000</v>
      </c>
      <c r="E1196" s="878">
        <v>137340800</v>
      </c>
      <c r="F1196" s="880">
        <f t="shared" si="23"/>
        <v>97.612508884150671</v>
      </c>
      <c r="G1196" s="2338">
        <v>100</v>
      </c>
      <c r="H1196" s="1638"/>
      <c r="J1196" s="2093"/>
      <c r="K1196" s="2093"/>
    </row>
    <row r="1197" spans="1:11" s="1639" customFormat="1" ht="14.25" hidden="1" customHeight="1" x14ac:dyDescent="0.25">
      <c r="A1197" s="1637"/>
      <c r="B1197" s="2913"/>
      <c r="C1197" s="5480" t="s">
        <v>1276</v>
      </c>
      <c r="D1197" s="1492">
        <v>328440000</v>
      </c>
      <c r="E1197" s="878">
        <v>325355000</v>
      </c>
      <c r="F1197" s="880">
        <f t="shared" si="23"/>
        <v>99.060711241018154</v>
      </c>
      <c r="G1197" s="2338">
        <v>100</v>
      </c>
      <c r="H1197" s="1638"/>
      <c r="J1197" s="2093"/>
      <c r="K1197" s="2093"/>
    </row>
    <row r="1198" spans="1:11" s="1639" customFormat="1" ht="15.75" hidden="1" customHeight="1" x14ac:dyDescent="0.25">
      <c r="A1198" s="1637"/>
      <c r="B1198" s="2913"/>
      <c r="C1198" s="3856" t="s">
        <v>1277</v>
      </c>
      <c r="D1198" s="1492">
        <v>859282580</v>
      </c>
      <c r="E1198" s="1818">
        <v>787596400</v>
      </c>
      <c r="F1198" s="880">
        <f t="shared" si="23"/>
        <v>91.65743823178633</v>
      </c>
      <c r="G1198" s="2338">
        <v>100</v>
      </c>
      <c r="H1198" s="1638"/>
      <c r="J1198" s="2093"/>
      <c r="K1198" s="2093"/>
    </row>
    <row r="1199" spans="1:11" s="1639" customFormat="1" ht="13.5" hidden="1" customHeight="1" x14ac:dyDescent="0.25">
      <c r="A1199" s="1637"/>
      <c r="B1199" s="2913"/>
      <c r="C1199" s="3856" t="s">
        <v>1278</v>
      </c>
      <c r="D1199" s="1492">
        <v>435780500</v>
      </c>
      <c r="E1199" s="878">
        <v>360950000</v>
      </c>
      <c r="F1199" s="880">
        <f t="shared" si="23"/>
        <v>82.828396405988798</v>
      </c>
      <c r="G1199" s="2338">
        <v>100</v>
      </c>
      <c r="H1199" s="1638"/>
      <c r="J1199" s="2093"/>
      <c r="K1199" s="2093"/>
    </row>
    <row r="1200" spans="1:11" s="1639" customFormat="1" ht="13.5" hidden="1" customHeight="1" x14ac:dyDescent="0.25">
      <c r="A1200" s="1637"/>
      <c r="B1200" s="2913"/>
      <c r="C1200" s="3856" t="s">
        <v>1279</v>
      </c>
      <c r="D1200" s="1492">
        <v>635072200</v>
      </c>
      <c r="E1200" s="883">
        <v>634925000</v>
      </c>
      <c r="F1200" s="880">
        <f t="shared" si="23"/>
        <v>99.97682153304774</v>
      </c>
      <c r="G1200" s="2338">
        <v>100</v>
      </c>
      <c r="H1200" s="1638"/>
      <c r="J1200" s="2093"/>
      <c r="K1200" s="2093"/>
    </row>
    <row r="1201" spans="1:11" s="1639" customFormat="1" ht="13.5" hidden="1" customHeight="1" x14ac:dyDescent="0.25">
      <c r="A1201" s="1637"/>
      <c r="B1201" s="2913"/>
      <c r="C1201" s="3856" t="s">
        <v>1280</v>
      </c>
      <c r="D1201" s="1492">
        <v>1159103340</v>
      </c>
      <c r="E1201" s="882">
        <v>1147604600</v>
      </c>
      <c r="F1201" s="880">
        <f t="shared" si="23"/>
        <v>99.007962482447851</v>
      </c>
      <c r="G1201" s="2338">
        <v>100</v>
      </c>
      <c r="H1201" s="1638"/>
      <c r="J1201" s="2093"/>
      <c r="K1201" s="2093"/>
    </row>
    <row r="1202" spans="1:11" s="1639" customFormat="1" ht="15" hidden="1" customHeight="1" x14ac:dyDescent="0.25">
      <c r="A1202" s="1637"/>
      <c r="B1202" s="2913"/>
      <c r="C1202" s="5480" t="s">
        <v>1281</v>
      </c>
      <c r="D1202" s="1492">
        <v>1492473000</v>
      </c>
      <c r="E1202" s="882">
        <v>1472770000</v>
      </c>
      <c r="F1202" s="880">
        <f t="shared" si="23"/>
        <v>98.679842114396706</v>
      </c>
      <c r="G1202" s="2338">
        <v>100</v>
      </c>
      <c r="H1202" s="1638"/>
      <c r="J1202" s="2093"/>
      <c r="K1202" s="2093"/>
    </row>
    <row r="1203" spans="1:11" ht="13.5" hidden="1" customHeight="1" x14ac:dyDescent="0.25">
      <c r="B1203" s="2913"/>
      <c r="C1203" s="3991"/>
      <c r="D1203" s="730"/>
      <c r="E1203" s="882"/>
      <c r="F1203" s="880"/>
      <c r="G1203" s="2314"/>
      <c r="H1203" s="535"/>
    </row>
    <row r="1204" spans="1:11" s="1639" customFormat="1" ht="15" hidden="1" customHeight="1" x14ac:dyDescent="0.25">
      <c r="A1204" s="1637"/>
      <c r="B1204" s="2913"/>
      <c r="C1204" s="4116" t="s">
        <v>1282</v>
      </c>
      <c r="D1204" s="1415">
        <f>SUM(D1205:D1207)</f>
        <v>840913254</v>
      </c>
      <c r="E1204" s="1415">
        <f>SUM(E1205:E1207)</f>
        <v>831581000</v>
      </c>
      <c r="F1204" s="1415">
        <f>E1204/D1204*100</f>
        <v>98.890223937414603</v>
      </c>
      <c r="G1204" s="5487">
        <v>100</v>
      </c>
      <c r="H1204" s="1638"/>
      <c r="J1204" s="2093"/>
      <c r="K1204" s="2093"/>
    </row>
    <row r="1205" spans="1:11" s="1639" customFormat="1" ht="15" hidden="1" customHeight="1" x14ac:dyDescent="0.25">
      <c r="A1205" s="1637"/>
      <c r="B1205" s="2913"/>
      <c r="C1205" s="3908" t="s">
        <v>1283</v>
      </c>
      <c r="D1205" s="1492">
        <v>158750000</v>
      </c>
      <c r="E1205" s="882">
        <v>158725000</v>
      </c>
      <c r="F1205" s="880">
        <f>E1205/D1205*100</f>
        <v>99.984251968503941</v>
      </c>
      <c r="G1205" s="2314">
        <v>100</v>
      </c>
      <c r="H1205" s="1638"/>
      <c r="J1205" s="2093"/>
      <c r="K1205" s="2093"/>
    </row>
    <row r="1206" spans="1:11" s="1639" customFormat="1" ht="32.25" hidden="1" customHeight="1" x14ac:dyDescent="0.25">
      <c r="A1206" s="1637"/>
      <c r="B1206" s="2913"/>
      <c r="C1206" s="3856" t="s">
        <v>1284</v>
      </c>
      <c r="D1206" s="880">
        <v>128301500</v>
      </c>
      <c r="E1206" s="882">
        <v>128301000</v>
      </c>
      <c r="F1206" s="880">
        <f>E1206/D1206*100</f>
        <v>99.999610292942805</v>
      </c>
      <c r="G1206" s="2314">
        <v>100</v>
      </c>
      <c r="H1206" s="1638"/>
      <c r="J1206" s="2093"/>
      <c r="K1206" s="2093"/>
    </row>
    <row r="1207" spans="1:11" s="1639" customFormat="1" ht="17.25" hidden="1" customHeight="1" x14ac:dyDescent="0.25">
      <c r="A1207" s="1637"/>
      <c r="B1207" s="2913"/>
      <c r="C1207" s="5480" t="s">
        <v>1285</v>
      </c>
      <c r="D1207" s="1492">
        <v>553861754</v>
      </c>
      <c r="E1207" s="882">
        <v>544555000</v>
      </c>
      <c r="F1207" s="880">
        <f>E1207/D1207*100</f>
        <v>98.319661191120986</v>
      </c>
      <c r="G1207" s="2314">
        <v>100</v>
      </c>
      <c r="H1207" s="1638"/>
      <c r="J1207" s="2093"/>
      <c r="K1207" s="2093"/>
    </row>
    <row r="1208" spans="1:11" s="1639" customFormat="1" ht="10.5" hidden="1" customHeight="1" x14ac:dyDescent="0.25">
      <c r="A1208" s="1637"/>
      <c r="B1208" s="2913"/>
      <c r="C1208" s="3991"/>
      <c r="D1208" s="730"/>
      <c r="E1208" s="882"/>
      <c r="F1208" s="880"/>
      <c r="G1208" s="2314"/>
      <c r="H1208" s="1638"/>
      <c r="J1208" s="2093"/>
      <c r="K1208" s="2093"/>
    </row>
    <row r="1209" spans="1:11" s="1639" customFormat="1" ht="21" hidden="1" customHeight="1" x14ac:dyDescent="0.25">
      <c r="A1209" s="1637"/>
      <c r="B1209" s="2913"/>
      <c r="C1209" s="4103" t="s">
        <v>1286</v>
      </c>
      <c r="D1209" s="1415">
        <f>D1210</f>
        <v>384400000</v>
      </c>
      <c r="E1209" s="1415">
        <f>E1210</f>
        <v>370854000</v>
      </c>
      <c r="F1209" s="1415">
        <f>E1209/D1209*100</f>
        <v>96.476066597294491</v>
      </c>
      <c r="G1209" s="2176">
        <v>100</v>
      </c>
      <c r="H1209" s="1638"/>
      <c r="J1209" s="2093"/>
      <c r="K1209" s="2093"/>
    </row>
    <row r="1210" spans="1:11" s="1639" customFormat="1" ht="15.75" hidden="1" customHeight="1" x14ac:dyDescent="0.25">
      <c r="A1210" s="1637"/>
      <c r="B1210" s="2913"/>
      <c r="C1210" s="3856" t="s">
        <v>1287</v>
      </c>
      <c r="D1210" s="1492">
        <v>384400000</v>
      </c>
      <c r="E1210" s="883">
        <v>370854000</v>
      </c>
      <c r="F1210" s="880">
        <f>E1210/D1210*100</f>
        <v>96.476066597294491</v>
      </c>
      <c r="G1210" s="2297">
        <v>100</v>
      </c>
      <c r="H1210" s="1638"/>
      <c r="J1210" s="2093"/>
      <c r="K1210" s="2093"/>
    </row>
    <row r="1211" spans="1:11" s="1639" customFormat="1" ht="12" hidden="1" customHeight="1" x14ac:dyDescent="0.25">
      <c r="A1211" s="1637"/>
      <c r="B1211" s="2913"/>
      <c r="C1211" s="4172"/>
      <c r="D1211" s="730"/>
      <c r="E1211" s="878"/>
      <c r="F1211" s="880"/>
      <c r="G1211" s="2293"/>
      <c r="H1211" s="1638"/>
      <c r="J1211" s="2093"/>
      <c r="K1211" s="2093"/>
    </row>
    <row r="1212" spans="1:11" s="1639" customFormat="1" ht="17.25" hidden="1" customHeight="1" x14ac:dyDescent="0.25">
      <c r="A1212" s="1637"/>
      <c r="B1212" s="2913"/>
      <c r="C1212" s="5484" t="s">
        <v>1288</v>
      </c>
      <c r="D1212" s="1417">
        <f>D1213</f>
        <v>277951826</v>
      </c>
      <c r="E1212" s="1417">
        <f>E1213</f>
        <v>277893000</v>
      </c>
      <c r="F1212" s="1415">
        <f>E1212/D1212*100</f>
        <v>99.978835900865775</v>
      </c>
      <c r="G1212" s="2484">
        <v>100</v>
      </c>
      <c r="H1212" s="1638"/>
      <c r="J1212" s="2093"/>
      <c r="K1212" s="2093"/>
    </row>
    <row r="1213" spans="1:11" s="1639" customFormat="1" ht="12.75" hidden="1" customHeight="1" x14ac:dyDescent="0.25">
      <c r="A1213" s="1637"/>
      <c r="B1213" s="2913"/>
      <c r="C1213" s="5480" t="s">
        <v>1289</v>
      </c>
      <c r="D1213" s="1492">
        <v>277951826</v>
      </c>
      <c r="E1213" s="878">
        <v>277893000</v>
      </c>
      <c r="F1213" s="880">
        <f>E1213/D1213*100</f>
        <v>99.978835900865775</v>
      </c>
      <c r="G1213" s="2293">
        <v>100</v>
      </c>
      <c r="H1213" s="1638"/>
      <c r="J1213" s="2093"/>
      <c r="K1213" s="2093"/>
    </row>
    <row r="1214" spans="1:11" s="1639" customFormat="1" ht="12" hidden="1" customHeight="1" x14ac:dyDescent="0.25">
      <c r="A1214" s="1637"/>
      <c r="B1214" s="2913"/>
      <c r="C1214" s="3991"/>
      <c r="D1214" s="732"/>
      <c r="E1214" s="878"/>
      <c r="F1214" s="880"/>
      <c r="G1214" s="2293"/>
      <c r="H1214" s="1638"/>
      <c r="J1214" s="2093"/>
      <c r="K1214" s="2093"/>
    </row>
    <row r="1215" spans="1:11" s="1639" customFormat="1" ht="17.25" hidden="1" customHeight="1" x14ac:dyDescent="0.25">
      <c r="A1215" s="1637"/>
      <c r="B1215" s="2913"/>
      <c r="C1215" s="3911" t="s">
        <v>1290</v>
      </c>
      <c r="D1215" s="1415">
        <f>D1216</f>
        <v>1722048174</v>
      </c>
      <c r="E1215" s="1415">
        <f>E1216</f>
        <v>1719268000</v>
      </c>
      <c r="F1215" s="1415">
        <f>E1215/D1215*100</f>
        <v>99.838554226183916</v>
      </c>
      <c r="G1215" s="2484">
        <v>100</v>
      </c>
      <c r="H1215" s="1638"/>
      <c r="J1215" s="2093"/>
      <c r="K1215" s="2093"/>
    </row>
    <row r="1216" spans="1:11" s="1639" customFormat="1" ht="14.25" hidden="1" customHeight="1" x14ac:dyDescent="0.25">
      <c r="A1216" s="1637"/>
      <c r="B1216" s="2913"/>
      <c r="C1216" s="3908" t="s">
        <v>1291</v>
      </c>
      <c r="D1216" s="1492">
        <v>1722048174</v>
      </c>
      <c r="E1216" s="882">
        <v>1719268000</v>
      </c>
      <c r="F1216" s="880">
        <f>E1216/D1216*100</f>
        <v>99.838554226183916</v>
      </c>
      <c r="G1216" s="2314">
        <v>100</v>
      </c>
      <c r="H1216" s="1638"/>
      <c r="J1216" s="2093"/>
      <c r="K1216" s="2093"/>
    </row>
    <row r="1217" spans="1:11" ht="12" hidden="1" customHeight="1" x14ac:dyDescent="0.25">
      <c r="B1217" s="2913"/>
      <c r="E1217" s="898"/>
      <c r="F1217" s="2282"/>
      <c r="G1217" s="3751"/>
      <c r="H1217" s="535"/>
    </row>
    <row r="1218" spans="1:11" s="1639" customFormat="1" ht="18" hidden="1" customHeight="1" x14ac:dyDescent="0.25">
      <c r="A1218" s="1637"/>
      <c r="B1218" s="5397"/>
      <c r="C1218" s="3994" t="s">
        <v>338</v>
      </c>
      <c r="D1218" s="1571">
        <f>D1219+D1222+D1226</f>
        <v>7692175671</v>
      </c>
      <c r="E1218" s="1571">
        <f>E1219+E1222+E1226</f>
        <v>7418548842</v>
      </c>
      <c r="F1218" s="1462">
        <f>E1218/D1218*100</f>
        <v>96.44279017142587</v>
      </c>
      <c r="G1218" s="2315">
        <v>100</v>
      </c>
      <c r="H1218" s="1638"/>
      <c r="J1218" s="2093">
        <v>7692175671</v>
      </c>
      <c r="K1218" s="2093">
        <v>7418548842</v>
      </c>
    </row>
    <row r="1219" spans="1:11" s="1639" customFormat="1" ht="16.5" hidden="1" customHeight="1" x14ac:dyDescent="0.25">
      <c r="A1219" s="1637"/>
      <c r="B1219" s="2913"/>
      <c r="C1219" s="4299" t="s">
        <v>1292</v>
      </c>
      <c r="D1219" s="1417">
        <f>D1220</f>
        <v>891720000</v>
      </c>
      <c r="E1219" s="1417">
        <f>E1220</f>
        <v>862162500</v>
      </c>
      <c r="F1219" s="1415">
        <f>E1219/D1219*100</f>
        <v>96.685338447046149</v>
      </c>
      <c r="G1219" s="2316">
        <v>100</v>
      </c>
      <c r="H1219" s="1638"/>
      <c r="J1219" s="2093"/>
      <c r="K1219" s="2093"/>
    </row>
    <row r="1220" spans="1:11" s="1639" customFormat="1" ht="15.75" hidden="1" customHeight="1" x14ac:dyDescent="0.25">
      <c r="A1220" s="1637"/>
      <c r="B1220" s="2913"/>
      <c r="C1220" s="4104" t="s">
        <v>1293</v>
      </c>
      <c r="D1220" s="880">
        <v>891720000</v>
      </c>
      <c r="E1220" s="878">
        <v>862162500</v>
      </c>
      <c r="F1220" s="880">
        <f>E1220/D1220*100</f>
        <v>96.685338447046149</v>
      </c>
      <c r="G1220" s="2338">
        <v>100</v>
      </c>
      <c r="H1220" s="1638"/>
      <c r="J1220" s="2093"/>
      <c r="K1220" s="2093"/>
    </row>
    <row r="1221" spans="1:11" s="1639" customFormat="1" ht="7.5" hidden="1" customHeight="1" x14ac:dyDescent="0.25">
      <c r="A1221" s="1637"/>
      <c r="B1221" s="2913"/>
      <c r="C1221" s="4172"/>
      <c r="D1221" s="731"/>
      <c r="E1221" s="878"/>
      <c r="F1221" s="880"/>
      <c r="G1221" s="2338"/>
      <c r="H1221" s="1638"/>
      <c r="J1221" s="2093"/>
      <c r="K1221" s="2093"/>
    </row>
    <row r="1222" spans="1:11" s="1639" customFormat="1" ht="17.25" hidden="1" customHeight="1" x14ac:dyDescent="0.25">
      <c r="A1222" s="1637"/>
      <c r="B1222" s="2913"/>
      <c r="C1222" s="3911" t="s">
        <v>1295</v>
      </c>
      <c r="D1222" s="1416">
        <f>D1223+D1224</f>
        <v>3946905000</v>
      </c>
      <c r="E1222" s="1417">
        <f>E1223+E1224</f>
        <v>3757252900</v>
      </c>
      <c r="F1222" s="1415">
        <f>E1222/D1222*100</f>
        <v>95.19491601647367</v>
      </c>
      <c r="G1222" s="2484">
        <v>100</v>
      </c>
      <c r="H1222" s="1638"/>
      <c r="J1222" s="2093"/>
      <c r="K1222" s="2093"/>
    </row>
    <row r="1223" spans="1:11" s="1639" customFormat="1" ht="16.5" hidden="1" customHeight="1" x14ac:dyDescent="0.25">
      <c r="A1223" s="1637"/>
      <c r="B1223" s="2913"/>
      <c r="C1223" s="3908" t="s">
        <v>1296</v>
      </c>
      <c r="D1223" s="1492">
        <v>2571770000</v>
      </c>
      <c r="E1223" s="878">
        <v>2524683900</v>
      </c>
      <c r="F1223" s="880">
        <f>E1223/D1223*100</f>
        <v>98.169116989466403</v>
      </c>
      <c r="G1223" s="2338">
        <v>100</v>
      </c>
      <c r="H1223" s="1638"/>
      <c r="J1223" s="2093"/>
      <c r="K1223" s="2093"/>
    </row>
    <row r="1224" spans="1:11" s="1639" customFormat="1" ht="17.25" hidden="1" customHeight="1" x14ac:dyDescent="0.25">
      <c r="A1224" s="1637"/>
      <c r="B1224" s="2913"/>
      <c r="C1224" s="3908" t="s">
        <v>1297</v>
      </c>
      <c r="D1224" s="1492">
        <v>1375135000</v>
      </c>
      <c r="E1224" s="878">
        <v>1232569000</v>
      </c>
      <c r="F1224" s="880">
        <f>E1224/D1224*100</f>
        <v>89.63258152835904</v>
      </c>
      <c r="G1224" s="2338">
        <v>100</v>
      </c>
      <c r="H1224" s="1638"/>
      <c r="J1224" s="2093"/>
      <c r="K1224" s="2093"/>
    </row>
    <row r="1225" spans="1:11" s="1639" customFormat="1" ht="9.75" hidden="1" customHeight="1" x14ac:dyDescent="0.25">
      <c r="A1225" s="1637"/>
      <c r="B1225" s="2913"/>
      <c r="C1225" s="4172"/>
      <c r="D1225" s="730"/>
      <c r="E1225" s="878"/>
      <c r="F1225" s="880"/>
      <c r="G1225" s="2338"/>
      <c r="H1225" s="1638"/>
      <c r="J1225" s="2093"/>
      <c r="K1225" s="2093"/>
    </row>
    <row r="1226" spans="1:11" s="1639" customFormat="1" ht="15" hidden="1" customHeight="1" x14ac:dyDescent="0.25">
      <c r="A1226" s="1637"/>
      <c r="B1226" s="2913"/>
      <c r="C1226" s="3911" t="s">
        <v>1294</v>
      </c>
      <c r="D1226" s="1416">
        <f>SUM(D1227:D1229)</f>
        <v>2853550671</v>
      </c>
      <c r="E1226" s="1416">
        <f>SUM(E1227:E1229)</f>
        <v>2799133442</v>
      </c>
      <c r="F1226" s="1415">
        <f>E1226/D1226*100</f>
        <v>98.092999379578913</v>
      </c>
      <c r="G1226" s="2484">
        <v>100</v>
      </c>
      <c r="H1226" s="1638"/>
      <c r="J1226" s="2093"/>
      <c r="K1226" s="2093"/>
    </row>
    <row r="1227" spans="1:11" s="1639" customFormat="1" ht="18.75" hidden="1" customHeight="1" x14ac:dyDescent="0.25">
      <c r="A1227" s="1637"/>
      <c r="B1227" s="2913"/>
      <c r="C1227" s="3908" t="s">
        <v>1298</v>
      </c>
      <c r="D1227" s="1492">
        <v>135950000</v>
      </c>
      <c r="E1227" s="878">
        <v>132000000</v>
      </c>
      <c r="F1227" s="880">
        <f>E1227/D1227*100</f>
        <v>97.094520044133873</v>
      </c>
      <c r="G1227" s="2338">
        <v>100</v>
      </c>
      <c r="H1227" s="1638"/>
      <c r="J1227" s="2093"/>
      <c r="K1227" s="2093"/>
    </row>
    <row r="1228" spans="1:11" s="1639" customFormat="1" ht="15.75" hidden="1" customHeight="1" x14ac:dyDescent="0.25">
      <c r="A1228" s="1637"/>
      <c r="B1228" s="2913"/>
      <c r="C1228" s="3908" t="s">
        <v>1299</v>
      </c>
      <c r="D1228" s="1492">
        <v>158300000</v>
      </c>
      <c r="E1228" s="878">
        <v>158300000</v>
      </c>
      <c r="F1228" s="880">
        <f>E1228/D1228*100</f>
        <v>100</v>
      </c>
      <c r="G1228" s="2338">
        <v>100</v>
      </c>
      <c r="H1228" s="1638"/>
      <c r="J1228" s="2093"/>
      <c r="K1228" s="2093"/>
    </row>
    <row r="1229" spans="1:11" s="1639" customFormat="1" ht="27.75" hidden="1" customHeight="1" x14ac:dyDescent="0.25">
      <c r="A1229" s="1637"/>
      <c r="B1229" s="2913"/>
      <c r="C1229" s="3908" t="s">
        <v>1300</v>
      </c>
      <c r="D1229" s="880">
        <v>2559300671</v>
      </c>
      <c r="E1229" s="878">
        <v>2508833442</v>
      </c>
      <c r="F1229" s="880">
        <f>E1229/D1229*100</f>
        <v>98.028085188588605</v>
      </c>
      <c r="G1229" s="2338">
        <v>100</v>
      </c>
      <c r="H1229" s="1638"/>
      <c r="J1229" s="2093"/>
      <c r="K1229" s="2093"/>
    </row>
    <row r="1230" spans="1:11" ht="12" hidden="1" customHeight="1" x14ac:dyDescent="0.25">
      <c r="B1230" s="2913"/>
      <c r="D1230" s="731"/>
      <c r="E1230" s="887"/>
      <c r="F1230" s="2279"/>
      <c r="G1230" s="3290"/>
      <c r="H1230" s="535"/>
    </row>
    <row r="1231" spans="1:11" s="1639" customFormat="1" ht="16.5" hidden="1" customHeight="1" x14ac:dyDescent="0.25">
      <c r="A1231" s="1637"/>
      <c r="B1231" s="5397"/>
      <c r="C1231" s="3858" t="s">
        <v>339</v>
      </c>
      <c r="D1231" s="1546">
        <f>SUM(D1232+D1235)</f>
        <v>3937345800</v>
      </c>
      <c r="E1231" s="1546">
        <f>SUM(E1232+E1235)</f>
        <v>3048092800</v>
      </c>
      <c r="F1231" s="1462">
        <f>E1231/D1231*100</f>
        <v>77.414912350345261</v>
      </c>
      <c r="G1231" s="2315">
        <f>SUM(G1232+G1235)/2</f>
        <v>98.484999999999999</v>
      </c>
      <c r="H1231" s="1638"/>
      <c r="J1231" s="2093">
        <v>3937345800</v>
      </c>
      <c r="K1231" s="2093">
        <v>3048092800</v>
      </c>
    </row>
    <row r="1232" spans="1:11" s="1639" customFormat="1" ht="15" hidden="1" customHeight="1" x14ac:dyDescent="0.25">
      <c r="A1232" s="1637"/>
      <c r="B1232" s="2913"/>
      <c r="C1232" s="3911" t="s">
        <v>1301</v>
      </c>
      <c r="D1232" s="1417">
        <f>D1233</f>
        <v>72859800</v>
      </c>
      <c r="E1232" s="1417">
        <f>E1233</f>
        <v>66259800</v>
      </c>
      <c r="F1232" s="1415">
        <f>E1232/D1232*100</f>
        <v>90.941506839162329</v>
      </c>
      <c r="G1232" s="2562">
        <v>100</v>
      </c>
      <c r="H1232" s="1638"/>
      <c r="J1232" s="2093"/>
      <c r="K1232" s="2093"/>
    </row>
    <row r="1233" spans="1:11" s="1639" customFormat="1" ht="16.5" hidden="1" customHeight="1" x14ac:dyDescent="0.25">
      <c r="A1233" s="1637"/>
      <c r="B1233" s="2913"/>
      <c r="C1233" s="3908" t="s">
        <v>1302</v>
      </c>
      <c r="D1233" s="880">
        <v>72859800</v>
      </c>
      <c r="E1233" s="878">
        <v>66259800</v>
      </c>
      <c r="F1233" s="880">
        <f>E1233/D1233*100</f>
        <v>90.941506839162329</v>
      </c>
      <c r="G1233" s="1717">
        <v>100</v>
      </c>
      <c r="H1233" s="1638"/>
      <c r="J1233" s="2093"/>
      <c r="K1233" s="2093"/>
    </row>
    <row r="1234" spans="1:11" s="1639" customFormat="1" ht="8.25" hidden="1" customHeight="1" x14ac:dyDescent="0.25">
      <c r="A1234" s="1637"/>
      <c r="B1234" s="2913"/>
      <c r="C1234" s="4172"/>
      <c r="D1234" s="731"/>
      <c r="E1234" s="877"/>
      <c r="F1234" s="880"/>
      <c r="G1234" s="2338"/>
      <c r="H1234" s="1638"/>
      <c r="J1234" s="2093"/>
      <c r="K1234" s="2093"/>
    </row>
    <row r="1235" spans="1:11" s="1639" customFormat="1" ht="15.75" hidden="1" customHeight="1" x14ac:dyDescent="0.25">
      <c r="A1235" s="1637"/>
      <c r="B1235" s="2913"/>
      <c r="C1235" s="3911" t="s">
        <v>1303</v>
      </c>
      <c r="D1235" s="1416">
        <f>D1236</f>
        <v>3864486000</v>
      </c>
      <c r="E1235" s="1416">
        <f>E1236</f>
        <v>2981833000</v>
      </c>
      <c r="F1235" s="1415">
        <f>E1235/D1235*100</f>
        <v>77.159886204788947</v>
      </c>
      <c r="G1235" s="2176">
        <v>96.97</v>
      </c>
      <c r="H1235" s="1638"/>
      <c r="J1235" s="2093"/>
      <c r="K1235" s="2093"/>
    </row>
    <row r="1236" spans="1:11" s="1639" customFormat="1" ht="18.75" hidden="1" customHeight="1" x14ac:dyDescent="0.25">
      <c r="A1236" s="1637"/>
      <c r="B1236" s="2913"/>
      <c r="C1236" s="3908" t="s">
        <v>1304</v>
      </c>
      <c r="D1236" s="1418">
        <v>3864486000</v>
      </c>
      <c r="E1236" s="878">
        <v>2981833000</v>
      </c>
      <c r="F1236" s="880">
        <f>E1236/D1236*100</f>
        <v>77.159886204788947</v>
      </c>
      <c r="G1236" s="2293">
        <v>96.97</v>
      </c>
      <c r="H1236" s="1638"/>
      <c r="J1236" s="2093"/>
      <c r="K1236" s="2093"/>
    </row>
    <row r="1237" spans="1:11" ht="9" hidden="1" customHeight="1" x14ac:dyDescent="0.25">
      <c r="B1237" s="2913"/>
      <c r="C1237" s="4104"/>
      <c r="D1237" s="1548"/>
      <c r="E1237" s="878"/>
      <c r="F1237" s="1315"/>
      <c r="G1237" s="2338"/>
      <c r="H1237" s="535"/>
    </row>
    <row r="1238" spans="1:11" ht="14.25" hidden="1" customHeight="1" x14ac:dyDescent="0.25">
      <c r="B1238" s="5397"/>
      <c r="C1238" s="3858" t="s">
        <v>340</v>
      </c>
      <c r="D1238" s="1546">
        <f>D1239+D1243</f>
        <v>1561594103</v>
      </c>
      <c r="E1238" s="1546">
        <f>E1239+E1243</f>
        <v>1559936615</v>
      </c>
      <c r="F1238" s="1462">
        <f>E1238/D1238*100</f>
        <v>99.893859230332922</v>
      </c>
      <c r="G1238" s="2315">
        <v>100</v>
      </c>
      <c r="H1238" s="535"/>
    </row>
    <row r="1239" spans="1:11" s="1639" customFormat="1" ht="20.25" hidden="1" customHeight="1" x14ac:dyDescent="0.25">
      <c r="A1239" s="1637"/>
      <c r="B1239" s="2913"/>
      <c r="C1239" s="5484" t="s">
        <v>1305</v>
      </c>
      <c r="D1239" s="1415">
        <f>D1240+D1241</f>
        <v>855535000</v>
      </c>
      <c r="E1239" s="1415">
        <f>E1240+E1241</f>
        <v>855130000</v>
      </c>
      <c r="F1239" s="1415">
        <f>E1239/D1239*100</f>
        <v>99.952661200301563</v>
      </c>
      <c r="G1239" s="890">
        <v>100</v>
      </c>
      <c r="H1239" s="1638"/>
      <c r="J1239" s="2093"/>
      <c r="K1239" s="2093"/>
    </row>
    <row r="1240" spans="1:11" s="1639" customFormat="1" ht="28.5" hidden="1" customHeight="1" x14ac:dyDescent="0.25">
      <c r="A1240" s="1637"/>
      <c r="B1240" s="2913"/>
      <c r="C1240" s="5480" t="s">
        <v>1306</v>
      </c>
      <c r="D1240" s="880">
        <v>600000000</v>
      </c>
      <c r="E1240" s="883">
        <v>600000000</v>
      </c>
      <c r="F1240" s="880">
        <f>E1240/D1240*100</f>
        <v>100</v>
      </c>
      <c r="G1240" s="883">
        <v>100</v>
      </c>
      <c r="H1240" s="1638"/>
      <c r="J1240" s="2093"/>
      <c r="K1240" s="2093"/>
    </row>
    <row r="1241" spans="1:11" s="1639" customFormat="1" ht="29.25" hidden="1" customHeight="1" x14ac:dyDescent="0.25">
      <c r="A1241" s="1637"/>
      <c r="B1241" s="2913"/>
      <c r="C1241" s="3856" t="s">
        <v>1307</v>
      </c>
      <c r="D1241" s="880">
        <v>255535000</v>
      </c>
      <c r="E1241" s="883">
        <v>255130000</v>
      </c>
      <c r="F1241" s="880">
        <f>E1241/D1241*100</f>
        <v>99.841508990940582</v>
      </c>
      <c r="G1241" s="883">
        <v>100</v>
      </c>
      <c r="H1241" s="1638"/>
      <c r="J1241" s="2093"/>
      <c r="K1241" s="2093"/>
    </row>
    <row r="1242" spans="1:11" ht="9.75" hidden="1" customHeight="1" x14ac:dyDescent="0.25">
      <c r="B1242" s="2913"/>
      <c r="D1242" s="1463"/>
      <c r="E1242" s="878"/>
      <c r="F1242" s="880"/>
      <c r="G1242" s="2338"/>
      <c r="H1242" s="535"/>
    </row>
    <row r="1243" spans="1:11" s="1639" customFormat="1" ht="18" hidden="1" customHeight="1" x14ac:dyDescent="0.25">
      <c r="A1243" s="1637"/>
      <c r="B1243" s="2913"/>
      <c r="C1243" s="5484" t="s">
        <v>1308</v>
      </c>
      <c r="D1243" s="1415">
        <f>D1244+D1245</f>
        <v>706059103</v>
      </c>
      <c r="E1243" s="1415">
        <f>E1244+E1245</f>
        <v>704806615</v>
      </c>
      <c r="F1243" s="1415">
        <f>E1243/D1243*100</f>
        <v>99.822608618077695</v>
      </c>
      <c r="G1243" s="5487">
        <v>100</v>
      </c>
      <c r="H1243" s="1638"/>
      <c r="J1243" s="2093"/>
      <c r="K1243" s="2093"/>
    </row>
    <row r="1244" spans="1:11" s="1639" customFormat="1" ht="18" hidden="1" customHeight="1" x14ac:dyDescent="0.25">
      <c r="A1244" s="1637"/>
      <c r="B1244" s="2913"/>
      <c r="C1244" s="3908" t="s">
        <v>1309</v>
      </c>
      <c r="D1244" s="1412">
        <v>555257103</v>
      </c>
      <c r="E1244" s="882">
        <v>554812615</v>
      </c>
      <c r="F1244" s="880">
        <f>E1244/D1244*100</f>
        <v>99.9199491555176</v>
      </c>
      <c r="G1244" s="2314">
        <v>100</v>
      </c>
      <c r="H1244" s="1638"/>
      <c r="J1244" s="2093"/>
      <c r="K1244" s="2093"/>
    </row>
    <row r="1245" spans="1:11" s="1639" customFormat="1" ht="28.5" hidden="1" customHeight="1" x14ac:dyDescent="0.25">
      <c r="A1245" s="1637"/>
      <c r="B1245" s="2913"/>
      <c r="C1245" s="3908" t="s">
        <v>1310</v>
      </c>
      <c r="D1245" s="880">
        <v>150802000</v>
      </c>
      <c r="E1245" s="882">
        <v>149994000</v>
      </c>
      <c r="F1245" s="880">
        <f>E1245/D1245*100</f>
        <v>99.464198087558515</v>
      </c>
      <c r="G1245" s="2314">
        <v>100</v>
      </c>
      <c r="H1245" s="1638"/>
      <c r="J1245" s="2093"/>
      <c r="K1245" s="2093"/>
    </row>
    <row r="1246" spans="1:11" ht="9.75" hidden="1" customHeight="1" x14ac:dyDescent="0.25">
      <c r="B1246" s="2913"/>
      <c r="C1246" s="3861"/>
      <c r="D1246" s="1570"/>
      <c r="E1246" s="882"/>
      <c r="F1246" s="2285"/>
      <c r="G1246" s="2314"/>
      <c r="H1246" s="535"/>
    </row>
    <row r="1247" spans="1:11" ht="15" hidden="1" customHeight="1" x14ac:dyDescent="0.25">
      <c r="B1247" s="5397"/>
      <c r="C1247" s="3994" t="s">
        <v>1311</v>
      </c>
      <c r="D1247" s="1571">
        <f>D1248</f>
        <v>2492050000</v>
      </c>
      <c r="E1247" s="1571">
        <f>E1248</f>
        <v>2480420450</v>
      </c>
      <c r="F1247" s="1462">
        <f>E1247/D1247*100</f>
        <v>99.533334002126765</v>
      </c>
      <c r="G1247" s="2317">
        <v>100</v>
      </c>
      <c r="H1247" s="535"/>
    </row>
    <row r="1248" spans="1:11" s="1639" customFormat="1" ht="27.75" hidden="1" customHeight="1" x14ac:dyDescent="0.25">
      <c r="A1248" s="1637"/>
      <c r="B1248" s="2913"/>
      <c r="C1248" s="4299" t="s">
        <v>1312</v>
      </c>
      <c r="D1248" s="811">
        <f>D1249</f>
        <v>2492050000</v>
      </c>
      <c r="E1248" s="811">
        <f>E1249</f>
        <v>2480420450</v>
      </c>
      <c r="F1248" s="1415">
        <f>E1248/D1248*100</f>
        <v>99.533334002126765</v>
      </c>
      <c r="G1248" s="2318">
        <v>100</v>
      </c>
      <c r="H1248" s="1638"/>
      <c r="J1248" s="2093"/>
      <c r="K1248" s="2093"/>
    </row>
    <row r="1249" spans="1:11" s="1639" customFormat="1" ht="16.5" hidden="1" customHeight="1" x14ac:dyDescent="0.25">
      <c r="A1249" s="1637"/>
      <c r="B1249" s="2913"/>
      <c r="C1249" s="3908" t="s">
        <v>1313</v>
      </c>
      <c r="D1249" s="1492">
        <v>2492050000</v>
      </c>
      <c r="E1249" s="878">
        <v>2480420450</v>
      </c>
      <c r="F1249" s="880">
        <f>E1249/D1249*100</f>
        <v>99.533334002126765</v>
      </c>
      <c r="G1249" s="2297">
        <v>100</v>
      </c>
      <c r="H1249" s="1638"/>
      <c r="J1249" s="2093"/>
      <c r="K1249" s="2093"/>
    </row>
    <row r="1250" spans="1:11" ht="10.5" hidden="1" customHeight="1" x14ac:dyDescent="0.25">
      <c r="B1250" s="2913"/>
      <c r="C1250" s="3861"/>
      <c r="D1250" s="1570"/>
      <c r="E1250" s="882"/>
      <c r="F1250" s="2281"/>
      <c r="G1250" s="2281"/>
      <c r="H1250" s="535"/>
    </row>
    <row r="1251" spans="1:11" s="1639" customFormat="1" ht="16.5" hidden="1" customHeight="1" x14ac:dyDescent="0.25">
      <c r="A1251" s="1637"/>
      <c r="B1251" s="5397"/>
      <c r="C1251" s="3994" t="s">
        <v>1314</v>
      </c>
      <c r="D1251" s="1546">
        <f>SUM(D1252+D1257+D1260+D1265)</f>
        <v>3371050000</v>
      </c>
      <c r="E1251" s="1546">
        <f>SUM(E1252+E1257+E1260+E1265)</f>
        <v>1766460900</v>
      </c>
      <c r="F1251" s="1462">
        <f>E1251/D1251*100</f>
        <v>52.40091069548064</v>
      </c>
      <c r="G1251" s="888">
        <f>SUM(G1252+G1257+G1260+G1265)/4</f>
        <v>75</v>
      </c>
      <c r="H1251" s="1638"/>
      <c r="J1251" s="2093"/>
      <c r="K1251" s="2093"/>
    </row>
    <row r="1252" spans="1:11" s="1639" customFormat="1" ht="14.25" hidden="1" customHeight="1" x14ac:dyDescent="0.25">
      <c r="A1252" s="1637"/>
      <c r="B1252" s="2913"/>
      <c r="C1252" s="4299" t="s">
        <v>1321</v>
      </c>
      <c r="D1252" s="1417">
        <f>D1253+D1254+D1255</f>
        <v>1046437000</v>
      </c>
      <c r="E1252" s="1417">
        <f>E1253+E1254+E1255</f>
        <v>351077900</v>
      </c>
      <c r="F1252" s="1415">
        <f>E1252/D1252*100</f>
        <v>33.549836253878638</v>
      </c>
      <c r="G1252" s="890">
        <f>SUM(G1253:G1255)/3</f>
        <v>66.666666666666671</v>
      </c>
      <c r="H1252" s="1638"/>
      <c r="J1252" s="2093"/>
      <c r="K1252" s="2093"/>
    </row>
    <row r="1253" spans="1:11" s="1639" customFormat="1" ht="14.25" hidden="1" customHeight="1" x14ac:dyDescent="0.25">
      <c r="A1253" s="1637"/>
      <c r="B1253" s="2913"/>
      <c r="C1253" s="3856" t="s">
        <v>1322</v>
      </c>
      <c r="D1253" s="1492">
        <v>132790000</v>
      </c>
      <c r="E1253" s="883">
        <v>117050000</v>
      </c>
      <c r="F1253" s="880">
        <f>E1253/D1253*100</f>
        <v>88.146697793508537</v>
      </c>
      <c r="G1253" s="883">
        <v>100</v>
      </c>
      <c r="H1253" s="1638"/>
      <c r="J1253" s="2093"/>
      <c r="K1253" s="2093"/>
    </row>
    <row r="1254" spans="1:11" s="1639" customFormat="1" ht="14.25" hidden="1" customHeight="1" x14ac:dyDescent="0.25">
      <c r="A1254" s="1637"/>
      <c r="B1254" s="2913"/>
      <c r="C1254" s="5480" t="s">
        <v>1323</v>
      </c>
      <c r="D1254" s="1412">
        <v>382422000</v>
      </c>
      <c r="E1254" s="878">
        <v>234027900</v>
      </c>
      <c r="F1254" s="880">
        <f>E1254/D1254*100</f>
        <v>61.1962439399407</v>
      </c>
      <c r="G1254" s="1121">
        <v>100</v>
      </c>
      <c r="H1254" s="1638"/>
      <c r="J1254" s="2093"/>
      <c r="K1254" s="2093"/>
    </row>
    <row r="1255" spans="1:11" s="1639" customFormat="1" ht="15.75" hidden="1" customHeight="1" x14ac:dyDescent="0.25">
      <c r="A1255" s="1637"/>
      <c r="B1255" s="2913"/>
      <c r="C1255" s="3856" t="s">
        <v>6182</v>
      </c>
      <c r="D1255" s="1492">
        <v>531225000</v>
      </c>
      <c r="E1255" s="883">
        <v>0</v>
      </c>
      <c r="F1255" s="883">
        <v>0</v>
      </c>
      <c r="G1255" s="883">
        <v>0</v>
      </c>
      <c r="H1255" s="1638"/>
      <c r="J1255" s="2093"/>
      <c r="K1255" s="2093"/>
    </row>
    <row r="1256" spans="1:11" s="1639" customFormat="1" ht="12" hidden="1" customHeight="1" x14ac:dyDescent="0.25">
      <c r="A1256" s="1637"/>
      <c r="B1256" s="2913"/>
      <c r="C1256" s="5480"/>
      <c r="D1256" s="1313"/>
      <c r="E1256" s="890"/>
      <c r="F1256" s="1173"/>
      <c r="G1256" s="890"/>
      <c r="H1256" s="1638"/>
      <c r="J1256" s="2093"/>
      <c r="K1256" s="2093"/>
    </row>
    <row r="1257" spans="1:11" s="1639" customFormat="1" ht="16.5" hidden="1" customHeight="1" x14ac:dyDescent="0.25">
      <c r="A1257" s="1637"/>
      <c r="B1257" s="2913"/>
      <c r="C1257" s="4103" t="s">
        <v>1324</v>
      </c>
      <c r="D1257" s="1416">
        <f>D1258</f>
        <v>785625000</v>
      </c>
      <c r="E1257" s="1416">
        <f>E1258</f>
        <v>775727000</v>
      </c>
      <c r="F1257" s="1415">
        <f>E1257/D1257*100</f>
        <v>98.740111376292759</v>
      </c>
      <c r="G1257" s="890">
        <v>100</v>
      </c>
      <c r="H1257" s="1638"/>
      <c r="J1257" s="2093"/>
      <c r="K1257" s="2093"/>
    </row>
    <row r="1258" spans="1:11" s="1639" customFormat="1" ht="12.75" hidden="1" customHeight="1" x14ac:dyDescent="0.25">
      <c r="A1258" s="1637"/>
      <c r="B1258" s="2913"/>
      <c r="C1258" s="3856" t="s">
        <v>1325</v>
      </c>
      <c r="D1258" s="1492">
        <v>785625000</v>
      </c>
      <c r="E1258" s="883">
        <v>775727000</v>
      </c>
      <c r="F1258" s="880">
        <f>E1258/D1258*100</f>
        <v>98.740111376292759</v>
      </c>
      <c r="G1258" s="883">
        <v>100</v>
      </c>
      <c r="H1258" s="1638"/>
      <c r="J1258" s="2093"/>
      <c r="K1258" s="2093"/>
    </row>
    <row r="1259" spans="1:11" s="1639" customFormat="1" ht="12" hidden="1" customHeight="1" x14ac:dyDescent="0.25">
      <c r="A1259" s="1637"/>
      <c r="B1259" s="2913"/>
      <c r="C1259" s="3991"/>
      <c r="D1259" s="730"/>
      <c r="E1259" s="878"/>
      <c r="F1259" s="880"/>
      <c r="G1259" s="666"/>
      <c r="H1259" s="1638"/>
      <c r="J1259" s="2093"/>
      <c r="K1259" s="2093"/>
    </row>
    <row r="1260" spans="1:11" s="1639" customFormat="1" ht="14.25" hidden="1" customHeight="1" x14ac:dyDescent="0.25">
      <c r="A1260" s="1637"/>
      <c r="B1260" s="2913"/>
      <c r="C1260" s="4299" t="s">
        <v>1326</v>
      </c>
      <c r="D1260" s="1417">
        <f>SUM(D1261:D1263)</f>
        <v>1229713000</v>
      </c>
      <c r="E1260" s="1417">
        <f>SUM(E1261:E1263)</f>
        <v>342913000</v>
      </c>
      <c r="F1260" s="1415">
        <f>E1260/D1260*100</f>
        <v>27.88561233393483</v>
      </c>
      <c r="G1260" s="890">
        <f>SUM(G1261:G1263)/3</f>
        <v>33.333333333333336</v>
      </c>
      <c r="H1260" s="1638"/>
      <c r="J1260" s="2093"/>
      <c r="K1260" s="2093"/>
    </row>
    <row r="1261" spans="1:11" s="1639" customFormat="1" ht="15.75" hidden="1" customHeight="1" x14ac:dyDescent="0.25">
      <c r="A1261" s="1637"/>
      <c r="B1261" s="2913"/>
      <c r="C1261" s="3856" t="s">
        <v>1327</v>
      </c>
      <c r="D1261" s="1492">
        <v>344363000</v>
      </c>
      <c r="E1261" s="883">
        <v>342913000</v>
      </c>
      <c r="F1261" s="880">
        <f>E1261/D1261*100</f>
        <v>99.578932696021354</v>
      </c>
      <c r="G1261" s="883">
        <v>100</v>
      </c>
      <c r="H1261" s="1638"/>
      <c r="J1261" s="2093"/>
      <c r="K1261" s="2093"/>
    </row>
    <row r="1262" spans="1:11" s="1639" customFormat="1" ht="15.75" hidden="1" customHeight="1" x14ac:dyDescent="0.25">
      <c r="A1262" s="1637"/>
      <c r="B1262" s="2913"/>
      <c r="C1262" s="3856" t="s">
        <v>6183</v>
      </c>
      <c r="D1262" s="1492">
        <v>500000000</v>
      </c>
      <c r="E1262" s="883">
        <v>0</v>
      </c>
      <c r="F1262" s="883">
        <v>0</v>
      </c>
      <c r="G1262" s="883">
        <v>0</v>
      </c>
      <c r="H1262" s="1638"/>
      <c r="J1262" s="2093"/>
      <c r="K1262" s="2093"/>
    </row>
    <row r="1263" spans="1:11" s="1639" customFormat="1" ht="15" hidden="1" customHeight="1" x14ac:dyDescent="0.25">
      <c r="A1263" s="1637"/>
      <c r="B1263" s="2913"/>
      <c r="C1263" s="3856" t="s">
        <v>6184</v>
      </c>
      <c r="D1263" s="1492">
        <v>385350000</v>
      </c>
      <c r="E1263" s="883">
        <v>0</v>
      </c>
      <c r="F1263" s="883">
        <v>0</v>
      </c>
      <c r="G1263" s="883">
        <v>0</v>
      </c>
      <c r="H1263" s="1638"/>
      <c r="J1263" s="2093"/>
      <c r="K1263" s="2093"/>
    </row>
    <row r="1264" spans="1:11" s="1639" customFormat="1" ht="12" hidden="1" customHeight="1" x14ac:dyDescent="0.25">
      <c r="A1264" s="1637"/>
      <c r="B1264" s="2913"/>
      <c r="C1264" s="3991"/>
      <c r="D1264" s="730"/>
      <c r="E1264" s="878"/>
      <c r="F1264" s="880"/>
      <c r="G1264" s="666"/>
      <c r="H1264" s="1638"/>
      <c r="J1264" s="2093"/>
      <c r="K1264" s="2093"/>
    </row>
    <row r="1265" spans="1:12" s="1639" customFormat="1" ht="13.5" hidden="1" customHeight="1" x14ac:dyDescent="0.25">
      <c r="A1265" s="1637"/>
      <c r="B1265" s="2913"/>
      <c r="C1265" s="4299" t="s">
        <v>1328</v>
      </c>
      <c r="D1265" s="1417">
        <f>D1266</f>
        <v>309275000</v>
      </c>
      <c r="E1265" s="1417">
        <f>E1266</f>
        <v>296743000</v>
      </c>
      <c r="F1265" s="1415">
        <f>E1265/D1265*100</f>
        <v>95.947942769380006</v>
      </c>
      <c r="G1265" s="890">
        <v>100</v>
      </c>
      <c r="H1265" s="1638"/>
      <c r="J1265" s="2093"/>
      <c r="K1265" s="2093"/>
    </row>
    <row r="1266" spans="1:12" s="1639" customFormat="1" ht="16.5" hidden="1" customHeight="1" x14ac:dyDescent="0.25">
      <c r="A1266" s="1637"/>
      <c r="B1266" s="2913"/>
      <c r="C1266" s="3856" t="s">
        <v>1329</v>
      </c>
      <c r="D1266" s="1492">
        <v>309275000</v>
      </c>
      <c r="E1266" s="883">
        <v>296743000</v>
      </c>
      <c r="F1266" s="880">
        <f>E1266/D1266*100</f>
        <v>95.947942769380006</v>
      </c>
      <c r="G1266" s="883">
        <v>100</v>
      </c>
      <c r="H1266" s="1638"/>
      <c r="J1266" s="2093"/>
      <c r="K1266" s="2093"/>
    </row>
    <row r="1267" spans="1:12" s="1639" customFormat="1" ht="12" hidden="1" customHeight="1" x14ac:dyDescent="0.25">
      <c r="A1267" s="1637"/>
      <c r="B1267" s="2913"/>
      <c r="C1267" s="3892"/>
      <c r="D1267" s="1577"/>
      <c r="E1267" s="969"/>
      <c r="F1267" s="2279"/>
      <c r="G1267" s="2279"/>
      <c r="H1267" s="2086"/>
      <c r="J1267" s="2093"/>
      <c r="K1267" s="2093"/>
    </row>
    <row r="1268" spans="1:12" ht="15.75" hidden="1" customHeight="1" x14ac:dyDescent="0.25">
      <c r="B1268" s="5397"/>
      <c r="C1268" s="3994" t="s">
        <v>2147</v>
      </c>
      <c r="D1268" s="1571">
        <f>D1269+D1275</f>
        <v>29581650089</v>
      </c>
      <c r="E1268" s="1571">
        <f>E1269+E1275</f>
        <v>19599338200</v>
      </c>
      <c r="F1268" s="1462">
        <f t="shared" ref="F1268:F1273" si="24">E1268/D1268*100</f>
        <v>66.255053862894741</v>
      </c>
      <c r="G1268" s="2356">
        <f>SUM(G1269+G1275)/2</f>
        <v>83.028750000000002</v>
      </c>
      <c r="H1268" s="578"/>
    </row>
    <row r="1269" spans="1:12" s="1639" customFormat="1" ht="20.25" hidden="1" customHeight="1" x14ac:dyDescent="0.25">
      <c r="A1269" s="1637"/>
      <c r="B1269" s="2913"/>
      <c r="C1269" s="4299" t="s">
        <v>2148</v>
      </c>
      <c r="D1269" s="1417">
        <f>SUM(D1270:D1273)</f>
        <v>9188308095</v>
      </c>
      <c r="E1269" s="1417">
        <f>SUM(E1270:E1273)</f>
        <v>8411887000</v>
      </c>
      <c r="F1269" s="1415">
        <f t="shared" si="24"/>
        <v>91.549901385843768</v>
      </c>
      <c r="G1269" s="2259">
        <f>SUM(G1270:G1273)/4</f>
        <v>83.907499999999999</v>
      </c>
      <c r="H1269" s="2117"/>
      <c r="J1269" s="2093">
        <v>9188308095</v>
      </c>
      <c r="K1269" s="2093">
        <v>8411887000</v>
      </c>
    </row>
    <row r="1270" spans="1:12" s="1639" customFormat="1" ht="15.75" hidden="1" customHeight="1" x14ac:dyDescent="0.25">
      <c r="A1270" s="1637"/>
      <c r="B1270" s="2913"/>
      <c r="C1270" s="3856" t="s">
        <v>2149</v>
      </c>
      <c r="D1270" s="1492">
        <v>1030000000</v>
      </c>
      <c r="E1270" s="666">
        <v>910000000</v>
      </c>
      <c r="F1270" s="880">
        <f t="shared" si="24"/>
        <v>88.349514563106794</v>
      </c>
      <c r="G1270" s="1717">
        <v>81.25</v>
      </c>
      <c r="H1270" s="1638"/>
      <c r="J1270" s="2093"/>
      <c r="K1270" s="2093"/>
    </row>
    <row r="1271" spans="1:12" s="1639" customFormat="1" ht="15.75" hidden="1" customHeight="1" x14ac:dyDescent="0.25">
      <c r="A1271" s="1637"/>
      <c r="B1271" s="2913"/>
      <c r="C1271" s="3856" t="s">
        <v>2150</v>
      </c>
      <c r="D1271" s="880">
        <v>1773720095</v>
      </c>
      <c r="E1271" s="666">
        <v>1595000000</v>
      </c>
      <c r="F1271" s="880">
        <f t="shared" si="24"/>
        <v>89.923996717193418</v>
      </c>
      <c r="G1271" s="1717">
        <v>82.95</v>
      </c>
      <c r="H1271" s="1638"/>
      <c r="J1271" s="2093"/>
      <c r="K1271" s="2093"/>
    </row>
    <row r="1272" spans="1:12" s="1639" customFormat="1" ht="15.75" hidden="1" customHeight="1" x14ac:dyDescent="0.25">
      <c r="A1272" s="1637"/>
      <c r="B1272" s="2913"/>
      <c r="C1272" s="5480" t="s">
        <v>2151</v>
      </c>
      <c r="D1272" s="1492">
        <v>4592088000</v>
      </c>
      <c r="E1272" s="666">
        <v>4474387000</v>
      </c>
      <c r="F1272" s="880">
        <f t="shared" si="24"/>
        <v>97.436874032030744</v>
      </c>
      <c r="G1272" s="1717">
        <v>100</v>
      </c>
      <c r="H1272" s="1638"/>
      <c r="J1272" s="2093"/>
      <c r="K1272" s="2093"/>
    </row>
    <row r="1273" spans="1:12" s="1639" customFormat="1" ht="16.5" hidden="1" customHeight="1" x14ac:dyDescent="0.25">
      <c r="A1273" s="1637"/>
      <c r="B1273" s="2913"/>
      <c r="C1273" s="3908" t="s">
        <v>2152</v>
      </c>
      <c r="D1273" s="880">
        <v>1792500000</v>
      </c>
      <c r="E1273" s="666">
        <v>1432500000</v>
      </c>
      <c r="F1273" s="880">
        <f t="shared" si="24"/>
        <v>79.9163179916318</v>
      </c>
      <c r="G1273" s="1717">
        <v>71.430000000000007</v>
      </c>
      <c r="H1273" s="1638"/>
      <c r="J1273" s="2093"/>
      <c r="K1273" s="2093"/>
    </row>
    <row r="1274" spans="1:12" ht="12" hidden="1" customHeight="1" x14ac:dyDescent="0.25">
      <c r="B1274" s="2913"/>
      <c r="D1274" s="731"/>
      <c r="E1274" s="894"/>
      <c r="F1274" s="880"/>
      <c r="G1274" s="1315"/>
      <c r="H1274" s="535"/>
    </row>
    <row r="1275" spans="1:12" ht="18" hidden="1" customHeight="1" x14ac:dyDescent="0.25">
      <c r="B1275" s="2913"/>
      <c r="C1275" s="4103" t="s">
        <v>2153</v>
      </c>
      <c r="D1275" s="1416">
        <f>D1276+D1277</f>
        <v>20393341994</v>
      </c>
      <c r="E1275" s="1416">
        <f>E1276+E1277</f>
        <v>11187451200</v>
      </c>
      <c r="F1275" s="1415">
        <f>E1275/D1275*100</f>
        <v>54.858351334918531</v>
      </c>
      <c r="G1275" s="2261">
        <f>SUM(G1276:G1277)/2</f>
        <v>82.15</v>
      </c>
      <c r="H1275" s="535"/>
    </row>
    <row r="1276" spans="1:12" s="1639" customFormat="1" ht="17.25" hidden="1" customHeight="1" x14ac:dyDescent="0.25">
      <c r="A1276" s="1637"/>
      <c r="B1276" s="2913"/>
      <c r="C1276" s="3856" t="s">
        <v>2154</v>
      </c>
      <c r="D1276" s="880">
        <v>3109943860</v>
      </c>
      <c r="E1276" s="666">
        <v>2770700000</v>
      </c>
      <c r="F1276" s="880">
        <f>E1276/D1276*100</f>
        <v>89.091640387360556</v>
      </c>
      <c r="G1276" s="1717">
        <v>91.68</v>
      </c>
      <c r="H1276" s="1638"/>
      <c r="J1276" s="2093"/>
      <c r="K1276" s="2093"/>
    </row>
    <row r="1277" spans="1:12" ht="14.25" hidden="1" customHeight="1" x14ac:dyDescent="0.25">
      <c r="B1277" s="2913"/>
      <c r="C1277" s="3856" t="s">
        <v>2155</v>
      </c>
      <c r="D1277" s="880">
        <v>17283398134</v>
      </c>
      <c r="E1277" s="666">
        <v>8416751200</v>
      </c>
      <c r="F1277" s="880">
        <f>E1277/D1277*100</f>
        <v>48.698474308952697</v>
      </c>
      <c r="G1277" s="1717">
        <v>72.62</v>
      </c>
      <c r="H1277" s="535"/>
    </row>
    <row r="1278" spans="1:12" ht="12" hidden="1" customHeight="1" x14ac:dyDescent="0.25">
      <c r="B1278" s="2913"/>
      <c r="C1278" s="3892"/>
      <c r="D1278" s="4120"/>
      <c r="E1278" s="969"/>
      <c r="F1278" s="2279"/>
      <c r="G1278" s="2279"/>
      <c r="H1278" s="535"/>
    </row>
    <row r="1279" spans="1:12" ht="16.5" customHeight="1" x14ac:dyDescent="0.25">
      <c r="B1279" s="5412"/>
      <c r="C1279" s="2747" t="s">
        <v>2393</v>
      </c>
      <c r="D1279" s="5026">
        <f>SUM(D1280+D1314+D1378+D1388+D1402+D1406+D1418+D1422+D1444+D1456+D1469+D1484+D1499+D1514)</f>
        <v>159498383000</v>
      </c>
      <c r="E1279" s="5026">
        <f>SUM(E1280+E1314+E1378+E1388+E1402+E1406+E1418+E1422+E1444+E1456+E1469+E1484+E1499+E1514)</f>
        <v>142226967268</v>
      </c>
      <c r="F1279" s="2851">
        <f t="shared" ref="F1279:F1294" si="25">E1279/D1279*100</f>
        <v>89.171416407400201</v>
      </c>
      <c r="G1279" s="2851">
        <f>SUM(G1280+G1314+G1378+G1388+G1402+G1406+G1418+G1422+G1444+G1456+G1469+G1484+G1499+G1514)/14</f>
        <v>95.772602397602412</v>
      </c>
      <c r="H1279" s="2122"/>
    </row>
    <row r="1280" spans="1:12" s="1639" customFormat="1" ht="19.5" hidden="1" customHeight="1" x14ac:dyDescent="0.25">
      <c r="A1280" s="1637"/>
      <c r="B1280" s="5397"/>
      <c r="C1280" s="3995" t="s">
        <v>342</v>
      </c>
      <c r="D1280" s="1022">
        <f>SUM(D1281+D1296+D1300+D1310)</f>
        <v>41609695473</v>
      </c>
      <c r="E1280" s="1022">
        <f>SUM(E1281+E1296+E1300+E1310)</f>
        <v>37236219493</v>
      </c>
      <c r="F1280" s="4624">
        <f t="shared" si="25"/>
        <v>89.489286258204189</v>
      </c>
      <c r="G1280" s="2752">
        <f>SUM(G1281+G1296+G1300+G1310)/4</f>
        <v>84.259615384615387</v>
      </c>
      <c r="H1280" s="1638"/>
      <c r="J1280" s="4435"/>
      <c r="K1280" s="4434"/>
      <c r="L1280" s="2154"/>
    </row>
    <row r="1281" spans="1:11" s="1639" customFormat="1" ht="21" hidden="1" customHeight="1" x14ac:dyDescent="0.25">
      <c r="A1281" s="1637"/>
      <c r="B1281" s="2913"/>
      <c r="C1281" s="3938" t="s">
        <v>239</v>
      </c>
      <c r="D1281" s="3629">
        <f>SUM(D1282:D1294)</f>
        <v>37263475473</v>
      </c>
      <c r="E1281" s="3629">
        <f>SUM(E1282:E1294)</f>
        <v>34278692228</v>
      </c>
      <c r="F1281" s="2176">
        <f t="shared" si="25"/>
        <v>91.990056732194276</v>
      </c>
      <c r="G1281" s="2176">
        <f>SUM(G1282:G1294)/13</f>
        <v>99.538461538461533</v>
      </c>
      <c r="H1281" s="1638"/>
      <c r="J1281" s="4435"/>
      <c r="K1281" s="2093"/>
    </row>
    <row r="1282" spans="1:11" s="1639" customFormat="1" ht="15.75" hidden="1" customHeight="1" x14ac:dyDescent="0.25">
      <c r="A1282" s="1637"/>
      <c r="B1282" s="2913"/>
      <c r="C1282" s="4104" t="s">
        <v>620</v>
      </c>
      <c r="D1282" s="932">
        <v>18306325473</v>
      </c>
      <c r="E1282" s="1968">
        <v>15502858728</v>
      </c>
      <c r="F1282" s="880">
        <f t="shared" si="25"/>
        <v>84.685803007627968</v>
      </c>
      <c r="G1282" s="2350">
        <v>94</v>
      </c>
      <c r="H1282" s="1638"/>
      <c r="J1282" s="4436"/>
      <c r="K1282" s="2093"/>
    </row>
    <row r="1283" spans="1:11" s="1639" customFormat="1" ht="16.5" hidden="1" customHeight="1" x14ac:dyDescent="0.25">
      <c r="A1283" s="1637"/>
      <c r="B1283" s="2913"/>
      <c r="C1283" s="3996" t="s">
        <v>621</v>
      </c>
      <c r="D1283" s="932">
        <v>1626080000</v>
      </c>
      <c r="E1283" s="1863">
        <v>1603200000</v>
      </c>
      <c r="F1283" s="880">
        <f t="shared" si="25"/>
        <v>98.592935156941849</v>
      </c>
      <c r="G1283" s="2297">
        <v>100</v>
      </c>
      <c r="H1283" s="1638"/>
      <c r="J1283" s="4436"/>
      <c r="K1283" s="2093"/>
    </row>
    <row r="1284" spans="1:11" s="1639" customFormat="1" ht="11.25" hidden="1" customHeight="1" x14ac:dyDescent="0.25">
      <c r="A1284" s="1637"/>
      <c r="B1284" s="2913"/>
      <c r="C1284" s="3996" t="s">
        <v>622</v>
      </c>
      <c r="D1284" s="932">
        <v>640000000</v>
      </c>
      <c r="E1284" s="1863">
        <v>640000000</v>
      </c>
      <c r="F1284" s="880">
        <f t="shared" si="25"/>
        <v>100</v>
      </c>
      <c r="G1284" s="2351">
        <v>100</v>
      </c>
      <c r="H1284" s="1638"/>
      <c r="J1284" s="4436"/>
      <c r="K1284" s="2093"/>
    </row>
    <row r="1285" spans="1:11" s="1639" customFormat="1" ht="15" hidden="1" customHeight="1" x14ac:dyDescent="0.25">
      <c r="A1285" s="1637"/>
      <c r="B1285" s="2913"/>
      <c r="C1285" s="3996" t="s">
        <v>623</v>
      </c>
      <c r="D1285" s="932">
        <v>370000000</v>
      </c>
      <c r="E1285" s="1969">
        <v>370000000</v>
      </c>
      <c r="F1285" s="880">
        <f t="shared" si="25"/>
        <v>100</v>
      </c>
      <c r="G1285" s="913">
        <v>100</v>
      </c>
      <c r="H1285" s="1638"/>
      <c r="J1285" s="4437"/>
      <c r="K1285" s="2093"/>
    </row>
    <row r="1286" spans="1:11" s="1639" customFormat="1" ht="15" hidden="1" customHeight="1" x14ac:dyDescent="0.25">
      <c r="A1286" s="1637"/>
      <c r="B1286" s="2913"/>
      <c r="C1286" s="3996" t="s">
        <v>624</v>
      </c>
      <c r="D1286" s="932">
        <v>400000000</v>
      </c>
      <c r="E1286" s="1863">
        <v>395000000</v>
      </c>
      <c r="F1286" s="880">
        <f t="shared" si="25"/>
        <v>98.75</v>
      </c>
      <c r="G1286" s="2351">
        <v>100</v>
      </c>
      <c r="H1286" s="1638"/>
      <c r="J1286" s="4438"/>
      <c r="K1286" s="2093"/>
    </row>
    <row r="1287" spans="1:11" s="1639" customFormat="1" ht="15.75" hidden="1" customHeight="1" x14ac:dyDescent="0.25">
      <c r="A1287" s="1637"/>
      <c r="B1287" s="2913"/>
      <c r="C1287" s="3996" t="s">
        <v>625</v>
      </c>
      <c r="D1287" s="932">
        <v>65570000</v>
      </c>
      <c r="E1287" s="1863">
        <v>64965000</v>
      </c>
      <c r="F1287" s="880">
        <f t="shared" si="25"/>
        <v>99.077321946011892</v>
      </c>
      <c r="G1287" s="2351">
        <v>100</v>
      </c>
      <c r="H1287" s="1638"/>
      <c r="J1287" s="4436"/>
      <c r="K1287" s="2093"/>
    </row>
    <row r="1288" spans="1:11" s="1639" customFormat="1" ht="15.75" hidden="1" customHeight="1" x14ac:dyDescent="0.25">
      <c r="A1288" s="1637"/>
      <c r="B1288" s="2913"/>
      <c r="C1288" s="3997" t="s">
        <v>626</v>
      </c>
      <c r="D1288" s="932">
        <v>65570000</v>
      </c>
      <c r="E1288" s="1863">
        <v>58145000</v>
      </c>
      <c r="F1288" s="880">
        <f t="shared" si="25"/>
        <v>88.676223882873259</v>
      </c>
      <c r="G1288" s="2293">
        <v>100</v>
      </c>
      <c r="H1288" s="1638"/>
      <c r="J1288" s="4436"/>
      <c r="K1288" s="2093"/>
    </row>
    <row r="1289" spans="1:11" s="1639" customFormat="1" ht="14.25" hidden="1" customHeight="1" x14ac:dyDescent="0.25">
      <c r="A1289" s="1637"/>
      <c r="B1289" s="2913"/>
      <c r="C1289" s="3908" t="s">
        <v>627</v>
      </c>
      <c r="D1289" s="932">
        <v>7825500000</v>
      </c>
      <c r="E1289" s="1969">
        <v>7825500000</v>
      </c>
      <c r="F1289" s="880">
        <f t="shared" si="25"/>
        <v>100</v>
      </c>
      <c r="G1289" s="913">
        <v>100</v>
      </c>
      <c r="H1289" s="1638"/>
      <c r="J1289" s="4437"/>
      <c r="K1289" s="2093"/>
    </row>
    <row r="1290" spans="1:11" s="1639" customFormat="1" ht="12" hidden="1" customHeight="1" x14ac:dyDescent="0.25">
      <c r="A1290" s="1637"/>
      <c r="B1290" s="2913"/>
      <c r="C1290" s="3908" t="s">
        <v>628</v>
      </c>
      <c r="D1290" s="932">
        <v>5297620000</v>
      </c>
      <c r="E1290" s="932">
        <v>5297620000</v>
      </c>
      <c r="F1290" s="880">
        <f t="shared" si="25"/>
        <v>100</v>
      </c>
      <c r="G1290" s="2350">
        <v>100</v>
      </c>
      <c r="H1290" s="1638"/>
      <c r="J1290" s="4436"/>
      <c r="K1290" s="2093"/>
    </row>
    <row r="1291" spans="1:11" s="303" customFormat="1" ht="12.75" hidden="1" customHeight="1" x14ac:dyDescent="0.25">
      <c r="A1291" s="3005"/>
      <c r="B1291" s="2913"/>
      <c r="C1291" s="3908" t="s">
        <v>3426</v>
      </c>
      <c r="D1291" s="932">
        <v>706340000</v>
      </c>
      <c r="E1291" s="1863">
        <v>644517200</v>
      </c>
      <c r="F1291" s="880">
        <f t="shared" si="25"/>
        <v>91.24744457343489</v>
      </c>
      <c r="G1291" s="2350">
        <v>100</v>
      </c>
      <c r="H1291" s="554"/>
      <c r="J1291" s="4439"/>
      <c r="K1291" s="522"/>
    </row>
    <row r="1292" spans="1:11" s="303" customFormat="1" ht="13.5" hidden="1" customHeight="1" x14ac:dyDescent="0.25">
      <c r="A1292" s="3005"/>
      <c r="B1292" s="2913"/>
      <c r="C1292" s="3908" t="s">
        <v>3427</v>
      </c>
      <c r="D1292" s="932">
        <v>678690000</v>
      </c>
      <c r="E1292" s="1863">
        <v>626634300</v>
      </c>
      <c r="F1292" s="880">
        <f t="shared" si="25"/>
        <v>92.329973920346546</v>
      </c>
      <c r="G1292" s="2350">
        <v>100</v>
      </c>
      <c r="H1292" s="554"/>
      <c r="J1292" s="4439"/>
      <c r="K1292" s="522"/>
    </row>
    <row r="1293" spans="1:11" s="303" customFormat="1" ht="10.5" hidden="1" customHeight="1" x14ac:dyDescent="0.25">
      <c r="A1293" s="3005"/>
      <c r="B1293" s="2913"/>
      <c r="C1293" s="3908" t="s">
        <v>3428</v>
      </c>
      <c r="D1293" s="932">
        <v>654340000</v>
      </c>
      <c r="E1293" s="1969">
        <v>622812000</v>
      </c>
      <c r="F1293" s="880">
        <f t="shared" si="25"/>
        <v>95.181709814469542</v>
      </c>
      <c r="G1293" s="913">
        <v>100</v>
      </c>
      <c r="H1293" s="554"/>
      <c r="J1293" s="4440"/>
      <c r="K1293" s="522"/>
    </row>
    <row r="1294" spans="1:11" s="303" customFormat="1" ht="13.5" hidden="1" customHeight="1" x14ac:dyDescent="0.25">
      <c r="A1294" s="3005"/>
      <c r="B1294" s="2913"/>
      <c r="C1294" s="3908" t="s">
        <v>3429</v>
      </c>
      <c r="D1294" s="932">
        <v>627440000</v>
      </c>
      <c r="E1294" s="932">
        <v>627440000</v>
      </c>
      <c r="F1294" s="880">
        <f t="shared" si="25"/>
        <v>100</v>
      </c>
      <c r="G1294" s="913">
        <v>100</v>
      </c>
      <c r="H1294" s="554"/>
      <c r="J1294" s="4440"/>
      <c r="K1294" s="522"/>
    </row>
    <row r="1295" spans="1:11" s="303" customFormat="1" ht="12" hidden="1" customHeight="1" x14ac:dyDescent="0.25">
      <c r="A1295" s="3005"/>
      <c r="B1295" s="2913"/>
      <c r="C1295" s="3909"/>
      <c r="D1295" s="5488"/>
      <c r="E1295" s="1969"/>
      <c r="F1295" s="880"/>
      <c r="G1295" s="2737"/>
      <c r="H1295" s="554"/>
      <c r="J1295" s="522"/>
      <c r="K1295" s="522"/>
    </row>
    <row r="1296" spans="1:11" s="303" customFormat="1" ht="12.75" hidden="1" customHeight="1" x14ac:dyDescent="0.25">
      <c r="A1296" s="3005"/>
      <c r="B1296" s="2913"/>
      <c r="C1296" s="3911" t="s">
        <v>629</v>
      </c>
      <c r="D1296" s="917">
        <f>SUM(D1297:D1298)</f>
        <v>1206700000</v>
      </c>
      <c r="E1296" s="917">
        <f>SUM(E1297:E1298)</f>
        <v>311358765</v>
      </c>
      <c r="F1296" s="2176">
        <f>E1296/D1296*100</f>
        <v>25.802499792823401</v>
      </c>
      <c r="G1296" s="2449">
        <f>SUM(G1297:G1298)/2</f>
        <v>62.5</v>
      </c>
      <c r="H1296" s="554"/>
      <c r="J1296" s="522"/>
      <c r="K1296" s="522"/>
    </row>
    <row r="1297" spans="1:11" s="303" customFormat="1" ht="17.25" hidden="1" customHeight="1" x14ac:dyDescent="0.25">
      <c r="A1297" s="3005"/>
      <c r="B1297" s="2913"/>
      <c r="C1297" s="3908" t="s">
        <v>630</v>
      </c>
      <c r="D1297" s="932">
        <v>1022000000</v>
      </c>
      <c r="E1297" s="1863">
        <v>166400000</v>
      </c>
      <c r="F1297" s="880">
        <f>E1297/D1297*100</f>
        <v>16.281800391389435</v>
      </c>
      <c r="G1297" s="2737">
        <v>25</v>
      </c>
      <c r="H1297" s="554"/>
      <c r="J1297" s="522"/>
      <c r="K1297" s="522"/>
    </row>
    <row r="1298" spans="1:11" s="303" customFormat="1" ht="15.75" hidden="1" customHeight="1" x14ac:dyDescent="0.25">
      <c r="A1298" s="3005"/>
      <c r="B1298" s="2913"/>
      <c r="C1298" s="3908" t="s">
        <v>631</v>
      </c>
      <c r="D1298" s="932">
        <v>184700000</v>
      </c>
      <c r="E1298" s="1863">
        <v>144958765</v>
      </c>
      <c r="F1298" s="880">
        <f>E1298/D1298*100</f>
        <v>78.483359501894967</v>
      </c>
      <c r="G1298" s="2296">
        <v>100</v>
      </c>
      <c r="H1298" s="554"/>
      <c r="J1298" s="522"/>
      <c r="K1298" s="522"/>
    </row>
    <row r="1299" spans="1:11" s="303" customFormat="1" ht="9" hidden="1" customHeight="1" x14ac:dyDescent="0.25">
      <c r="A1299" s="3005"/>
      <c r="B1299" s="2913"/>
      <c r="C1299" s="3909"/>
      <c r="D1299" s="5488"/>
      <c r="E1299" s="1969"/>
      <c r="F1299" s="2737"/>
      <c r="G1299" s="2737"/>
      <c r="H1299" s="554"/>
      <c r="J1299" s="522"/>
      <c r="K1299" s="522"/>
    </row>
    <row r="1300" spans="1:11" s="303" customFormat="1" ht="15.75" hidden="1" customHeight="1" x14ac:dyDescent="0.25">
      <c r="A1300" s="3005"/>
      <c r="B1300" s="2913"/>
      <c r="C1300" s="3910" t="s">
        <v>632</v>
      </c>
      <c r="D1300" s="1347">
        <f>SUM(D1301:D1308)</f>
        <v>2469500000</v>
      </c>
      <c r="E1300" s="917">
        <f>SUM(E1301:E1308)</f>
        <v>1978318500</v>
      </c>
      <c r="F1300" s="2176">
        <f>E1300/D1300*100</f>
        <v>80.110083012755624</v>
      </c>
      <c r="G1300" s="2449">
        <f>SUM(G1301:G1308)/8</f>
        <v>75</v>
      </c>
      <c r="H1300" s="554"/>
      <c r="J1300" s="522"/>
      <c r="K1300" s="522"/>
    </row>
    <row r="1301" spans="1:11" s="303" customFormat="1" ht="15" hidden="1" customHeight="1" x14ac:dyDescent="0.25">
      <c r="A1301" s="3005"/>
      <c r="B1301" s="2913"/>
      <c r="C1301" s="3908" t="s">
        <v>633</v>
      </c>
      <c r="D1301" s="932">
        <v>199000000</v>
      </c>
      <c r="E1301" s="1863">
        <v>174134500</v>
      </c>
      <c r="F1301" s="880">
        <f>E1301/D1301*100</f>
        <v>87.504773869346735</v>
      </c>
      <c r="G1301" s="2296">
        <v>100</v>
      </c>
      <c r="H1301" s="554"/>
      <c r="J1301" s="522"/>
      <c r="K1301" s="522"/>
    </row>
    <row r="1302" spans="1:11" s="303" customFormat="1" ht="15.75" hidden="1" customHeight="1" x14ac:dyDescent="0.25">
      <c r="A1302" s="3005"/>
      <c r="B1302" s="2913"/>
      <c r="C1302" s="3908" t="s">
        <v>634</v>
      </c>
      <c r="D1302" s="932">
        <v>100250000</v>
      </c>
      <c r="E1302" s="1863">
        <v>89961000</v>
      </c>
      <c r="F1302" s="880">
        <f>E1302/D1302*100</f>
        <v>89.736658354114724</v>
      </c>
      <c r="G1302" s="2296">
        <v>100</v>
      </c>
      <c r="H1302" s="554"/>
      <c r="J1302" s="522"/>
      <c r="K1302" s="522"/>
    </row>
    <row r="1303" spans="1:11" s="303" customFormat="1" ht="17.25" hidden="1" customHeight="1" x14ac:dyDescent="0.25">
      <c r="A1303" s="3005"/>
      <c r="B1303" s="2913"/>
      <c r="C1303" s="3908" t="s">
        <v>635</v>
      </c>
      <c r="D1303" s="932">
        <v>653250000</v>
      </c>
      <c r="E1303" s="1863">
        <v>588373000</v>
      </c>
      <c r="F1303" s="880">
        <f>E1303/D1303*100</f>
        <v>90.068580176042872</v>
      </c>
      <c r="G1303" s="2296">
        <v>100</v>
      </c>
      <c r="H1303" s="554"/>
      <c r="J1303" s="522"/>
      <c r="K1303" s="522"/>
    </row>
    <row r="1304" spans="1:11" s="303" customFormat="1" ht="14.25" hidden="1" customHeight="1" x14ac:dyDescent="0.25">
      <c r="A1304" s="3005"/>
      <c r="B1304" s="2913"/>
      <c r="C1304" s="3908" t="s">
        <v>3430</v>
      </c>
      <c r="D1304" s="932">
        <v>104300000</v>
      </c>
      <c r="E1304" s="1969">
        <v>0</v>
      </c>
      <c r="F1304" s="1969">
        <v>0</v>
      </c>
      <c r="G1304" s="1969">
        <v>0</v>
      </c>
      <c r="H1304" s="554"/>
      <c r="J1304" s="522"/>
      <c r="K1304" s="522"/>
    </row>
    <row r="1305" spans="1:11" s="303" customFormat="1" ht="14.25" hidden="1" customHeight="1" x14ac:dyDescent="0.25">
      <c r="A1305" s="3005"/>
      <c r="B1305" s="2913"/>
      <c r="C1305" s="3908" t="s">
        <v>3431</v>
      </c>
      <c r="D1305" s="932">
        <v>104300000</v>
      </c>
      <c r="E1305" s="1969">
        <v>0</v>
      </c>
      <c r="F1305" s="1969">
        <v>0</v>
      </c>
      <c r="G1305" s="1969">
        <v>0</v>
      </c>
      <c r="H1305" s="554"/>
      <c r="J1305" s="522"/>
      <c r="K1305" s="522"/>
    </row>
    <row r="1306" spans="1:11" s="303" customFormat="1" ht="17.25" hidden="1" customHeight="1" x14ac:dyDescent="0.25">
      <c r="A1306" s="3005"/>
      <c r="B1306" s="2913"/>
      <c r="C1306" s="3908" t="s">
        <v>3432</v>
      </c>
      <c r="D1306" s="932">
        <v>740600000</v>
      </c>
      <c r="E1306" s="1969">
        <v>640250000</v>
      </c>
      <c r="F1306" s="880">
        <f>E1306/D1306*100</f>
        <v>86.450175533351342</v>
      </c>
      <c r="G1306" s="915">
        <v>100</v>
      </c>
      <c r="H1306" s="554"/>
      <c r="J1306" s="522"/>
      <c r="K1306" s="522"/>
    </row>
    <row r="1307" spans="1:11" s="303" customFormat="1" ht="15" hidden="1" customHeight="1" x14ac:dyDescent="0.25">
      <c r="A1307" s="3005"/>
      <c r="B1307" s="2913"/>
      <c r="C1307" s="3908" t="s">
        <v>3433</v>
      </c>
      <c r="D1307" s="932">
        <v>465200000</v>
      </c>
      <c r="E1307" s="1969">
        <v>389600000</v>
      </c>
      <c r="F1307" s="880">
        <f>E1307/D1307*100</f>
        <v>83.748925193465169</v>
      </c>
      <c r="G1307" s="915">
        <v>100</v>
      </c>
      <c r="H1307" s="554"/>
      <c r="J1307" s="522"/>
      <c r="K1307" s="522"/>
    </row>
    <row r="1308" spans="1:11" s="303" customFormat="1" ht="17.25" hidden="1" customHeight="1" x14ac:dyDescent="0.25">
      <c r="A1308" s="3005"/>
      <c r="B1308" s="2913"/>
      <c r="C1308" s="3909" t="s">
        <v>3434</v>
      </c>
      <c r="D1308" s="1578">
        <v>102600000</v>
      </c>
      <c r="E1308" s="1969">
        <v>96000000</v>
      </c>
      <c r="F1308" s="880">
        <f>E1308/D1308*100</f>
        <v>93.567251461988292</v>
      </c>
      <c r="G1308" s="915">
        <v>100</v>
      </c>
      <c r="H1308" s="554"/>
      <c r="J1308" s="522"/>
      <c r="K1308" s="522"/>
    </row>
    <row r="1309" spans="1:11" s="303" customFormat="1" ht="11.25" hidden="1" customHeight="1" x14ac:dyDescent="0.25">
      <c r="A1309" s="3005"/>
      <c r="B1309" s="2913"/>
      <c r="C1309" s="3909"/>
      <c r="D1309" s="5488"/>
      <c r="E1309" s="1969"/>
      <c r="F1309" s="880"/>
      <c r="G1309" s="2737"/>
      <c r="H1309" s="554"/>
      <c r="J1309" s="522"/>
      <c r="K1309" s="522"/>
    </row>
    <row r="1310" spans="1:11" s="303" customFormat="1" ht="17.25" hidden="1" customHeight="1" x14ac:dyDescent="0.25">
      <c r="A1310" s="3005"/>
      <c r="B1310" s="2913"/>
      <c r="C1310" s="3911" t="s">
        <v>636</v>
      </c>
      <c r="D1310" s="927">
        <f>SUM(D1311:D1312)</f>
        <v>670020000</v>
      </c>
      <c r="E1310" s="927">
        <f>SUM(E1311:E1312)</f>
        <v>667850000</v>
      </c>
      <c r="F1310" s="1415">
        <f>E1310/D1310*100</f>
        <v>99.67612907077401</v>
      </c>
      <c r="G1310" s="2449">
        <v>100</v>
      </c>
      <c r="H1310" s="554"/>
      <c r="J1310" s="522"/>
      <c r="K1310" s="522"/>
    </row>
    <row r="1311" spans="1:11" s="303" customFormat="1" ht="15.75" hidden="1" customHeight="1" x14ac:dyDescent="0.25">
      <c r="A1311" s="3005"/>
      <c r="B1311" s="2913"/>
      <c r="C1311" s="3908" t="s">
        <v>637</v>
      </c>
      <c r="D1311" s="879">
        <v>520020000</v>
      </c>
      <c r="E1311" s="1863">
        <v>518850000</v>
      </c>
      <c r="F1311" s="880">
        <f>E1311/D1311*100</f>
        <v>99.775008653513325</v>
      </c>
      <c r="G1311" s="2296">
        <v>100</v>
      </c>
      <c r="H1311" s="554"/>
      <c r="J1311" s="522"/>
      <c r="K1311" s="522"/>
    </row>
    <row r="1312" spans="1:11" s="303" customFormat="1" ht="15.75" hidden="1" customHeight="1" x14ac:dyDescent="0.25">
      <c r="A1312" s="3005"/>
      <c r="B1312" s="2913"/>
      <c r="C1312" s="3909" t="s">
        <v>1025</v>
      </c>
      <c r="D1312" s="2718">
        <v>150000000</v>
      </c>
      <c r="E1312" s="1863">
        <v>149000000</v>
      </c>
      <c r="F1312" s="880">
        <f>E1312/D1312*100</f>
        <v>99.333333333333329</v>
      </c>
      <c r="G1312" s="2296">
        <v>100</v>
      </c>
      <c r="H1312" s="554"/>
      <c r="J1312" s="522"/>
      <c r="K1312" s="522"/>
    </row>
    <row r="1313" spans="1:11" s="303" customFormat="1" ht="13.5" hidden="1" customHeight="1" x14ac:dyDescent="0.25">
      <c r="A1313" s="3005"/>
      <c r="B1313" s="2913"/>
      <c r="C1313" s="3861"/>
      <c r="D1313" s="1579"/>
      <c r="E1313" s="666"/>
      <c r="F1313" s="2285"/>
      <c r="G1313" s="2285"/>
      <c r="H1313" s="554"/>
      <c r="J1313" s="522"/>
      <c r="K1313" s="522"/>
    </row>
    <row r="1314" spans="1:11" s="303" customFormat="1" ht="17.25" hidden="1" customHeight="1" x14ac:dyDescent="0.25">
      <c r="A1314" s="3005"/>
      <c r="B1314" s="5397"/>
      <c r="C1314" s="3913" t="s">
        <v>343</v>
      </c>
      <c r="D1314" s="3631">
        <f>SUM(D1315+D1318+D1328+D1333+D1338+D1342+D1352+D1355+D1360+D1365+D1368)</f>
        <v>19449661364</v>
      </c>
      <c r="E1314" s="3631">
        <f>SUM(E1315+E1318+E1328+E1333+E1338+E1342+E1352+E1355+E1360+E1365+E1368)</f>
        <v>17790729939</v>
      </c>
      <c r="F1314" s="1726">
        <f>E1314/D1314*100</f>
        <v>91.470641087507204</v>
      </c>
      <c r="G1314" s="2356">
        <f>SUM(G1315+G1318+G1328+G1333+G1338+G1342+G1352+G1355+G1360+G1365+G1368)/11</f>
        <v>99.431818181818187</v>
      </c>
      <c r="H1314" s="554"/>
      <c r="J1314" s="522"/>
      <c r="K1314" s="522"/>
    </row>
    <row r="1315" spans="1:11" s="303" customFormat="1" ht="18" hidden="1" customHeight="1" x14ac:dyDescent="0.25">
      <c r="A1315" s="3005"/>
      <c r="B1315" s="2913"/>
      <c r="C1315" s="3998" t="s">
        <v>638</v>
      </c>
      <c r="D1315" s="927">
        <v>320000000</v>
      </c>
      <c r="E1315" s="3431">
        <f>E1316</f>
        <v>35000000</v>
      </c>
      <c r="F1315" s="1415">
        <f>E1315/D1315*100</f>
        <v>10.9375</v>
      </c>
      <c r="G1315" s="2562">
        <v>100</v>
      </c>
      <c r="H1315" s="554"/>
      <c r="J1315" s="522"/>
      <c r="K1315" s="522"/>
    </row>
    <row r="1316" spans="1:11" s="303" customFormat="1" ht="14.25" hidden="1" customHeight="1" x14ac:dyDescent="0.25">
      <c r="A1316" s="3005"/>
      <c r="B1316" s="2913"/>
      <c r="C1316" s="3908" t="s">
        <v>639</v>
      </c>
      <c r="D1316" s="879">
        <v>320000000</v>
      </c>
      <c r="E1316" s="1867">
        <v>35000000</v>
      </c>
      <c r="F1316" s="880">
        <f>E1316/D1316*100</f>
        <v>10.9375</v>
      </c>
      <c r="G1316" s="1717">
        <v>100</v>
      </c>
      <c r="H1316" s="554"/>
      <c r="J1316" s="522"/>
      <c r="K1316" s="522"/>
    </row>
    <row r="1317" spans="1:11" s="303" customFormat="1" ht="10.5" hidden="1" customHeight="1" x14ac:dyDescent="0.25">
      <c r="A1317" s="3005"/>
      <c r="B1317" s="2913"/>
      <c r="C1317" s="4118"/>
      <c r="D1317" s="798"/>
      <c r="E1317" s="666"/>
      <c r="F1317" s="1315"/>
      <c r="G1317" s="1315"/>
      <c r="H1317" s="554"/>
      <c r="J1317" s="522"/>
      <c r="K1317" s="522"/>
    </row>
    <row r="1318" spans="1:11" s="303" customFormat="1" ht="15.75" hidden="1" customHeight="1" x14ac:dyDescent="0.25">
      <c r="A1318" s="3005"/>
      <c r="B1318" s="2913"/>
      <c r="C1318" s="3938" t="s">
        <v>640</v>
      </c>
      <c r="D1318" s="3629">
        <f>SUM(D1319:D1326)</f>
        <v>6576198000</v>
      </c>
      <c r="E1318" s="3629">
        <f>SUM(E1319:E1326)</f>
        <v>6204413166</v>
      </c>
      <c r="F1318" s="1415">
        <f t="shared" ref="F1318:F1326" si="26">E1318/D1318*100</f>
        <v>94.346507906240049</v>
      </c>
      <c r="G1318" s="2261">
        <v>100</v>
      </c>
      <c r="H1318" s="554"/>
      <c r="J1318" s="522"/>
      <c r="K1318" s="522"/>
    </row>
    <row r="1319" spans="1:11" s="303" customFormat="1" ht="13.5" hidden="1" customHeight="1" x14ac:dyDescent="0.25">
      <c r="A1319" s="3005"/>
      <c r="B1319" s="2913"/>
      <c r="C1319" s="4104" t="s">
        <v>641</v>
      </c>
      <c r="D1319" s="879">
        <v>2163028000</v>
      </c>
      <c r="E1319" s="1867">
        <v>2141685000</v>
      </c>
      <c r="F1319" s="880">
        <f t="shared" si="26"/>
        <v>99.01328138147079</v>
      </c>
      <c r="G1319" s="1717">
        <v>100</v>
      </c>
      <c r="H1319" s="554"/>
      <c r="J1319" s="522"/>
      <c r="K1319" s="522"/>
    </row>
    <row r="1320" spans="1:11" s="303" customFormat="1" ht="20.25" hidden="1" customHeight="1" x14ac:dyDescent="0.25">
      <c r="A1320" s="3005"/>
      <c r="B1320" s="2913"/>
      <c r="C1320" s="4104" t="s">
        <v>642</v>
      </c>
      <c r="D1320" s="879">
        <v>390350000</v>
      </c>
      <c r="E1320" s="3879">
        <v>381600000</v>
      </c>
      <c r="F1320" s="880">
        <f t="shared" si="26"/>
        <v>97.758421929038036</v>
      </c>
      <c r="G1320" s="3630">
        <v>100</v>
      </c>
      <c r="H1320" s="554"/>
      <c r="J1320" s="522"/>
      <c r="K1320" s="522"/>
    </row>
    <row r="1321" spans="1:11" s="303" customFormat="1" ht="12.75" hidden="1" customHeight="1" x14ac:dyDescent="0.25">
      <c r="A1321" s="3005"/>
      <c r="B1321" s="2913"/>
      <c r="C1321" s="4104" t="s">
        <v>643</v>
      </c>
      <c r="D1321" s="879">
        <v>193445000</v>
      </c>
      <c r="E1321" s="3879">
        <v>168217000</v>
      </c>
      <c r="F1321" s="880">
        <f t="shared" si="26"/>
        <v>86.958567034557618</v>
      </c>
      <c r="G1321" s="3630">
        <v>100</v>
      </c>
      <c r="H1321" s="554"/>
      <c r="J1321" s="522"/>
      <c r="K1321" s="522"/>
    </row>
    <row r="1322" spans="1:11" s="303" customFormat="1" ht="15" hidden="1" customHeight="1" x14ac:dyDescent="0.25">
      <c r="A1322" s="3005"/>
      <c r="B1322" s="2913"/>
      <c r="C1322" s="4104" t="s">
        <v>644</v>
      </c>
      <c r="D1322" s="879">
        <v>582000000</v>
      </c>
      <c r="E1322" s="3879">
        <v>573741000</v>
      </c>
      <c r="F1322" s="880">
        <f t="shared" si="26"/>
        <v>98.58092783505154</v>
      </c>
      <c r="G1322" s="3630">
        <v>100</v>
      </c>
      <c r="H1322" s="554"/>
      <c r="J1322" s="522"/>
      <c r="K1322" s="522"/>
    </row>
    <row r="1323" spans="1:11" s="303" customFormat="1" ht="15" hidden="1" customHeight="1" x14ac:dyDescent="0.25">
      <c r="A1323" s="3005"/>
      <c r="B1323" s="2913"/>
      <c r="C1323" s="4104" t="s">
        <v>2321</v>
      </c>
      <c r="D1323" s="879">
        <v>676240000</v>
      </c>
      <c r="E1323" s="1867">
        <v>646700000</v>
      </c>
      <c r="F1323" s="880">
        <f t="shared" si="26"/>
        <v>95.631728380456636</v>
      </c>
      <c r="G1323" s="3648">
        <v>100</v>
      </c>
      <c r="H1323" s="554"/>
      <c r="J1323" s="522"/>
      <c r="K1323" s="522"/>
    </row>
    <row r="1324" spans="1:11" s="303" customFormat="1" ht="15" hidden="1" customHeight="1" x14ac:dyDescent="0.25">
      <c r="A1324" s="3005"/>
      <c r="B1324" s="2913"/>
      <c r="C1324" s="4104" t="s">
        <v>645</v>
      </c>
      <c r="D1324" s="879">
        <v>280800000</v>
      </c>
      <c r="E1324" s="3879">
        <v>272000000</v>
      </c>
      <c r="F1324" s="880">
        <f t="shared" si="26"/>
        <v>96.866096866096868</v>
      </c>
      <c r="G1324" s="3630">
        <v>100</v>
      </c>
      <c r="H1324" s="554"/>
      <c r="J1324" s="522"/>
      <c r="K1324" s="522"/>
    </row>
    <row r="1325" spans="1:11" s="303" customFormat="1" ht="17.25" hidden="1" customHeight="1" x14ac:dyDescent="0.25">
      <c r="A1325" s="3005"/>
      <c r="B1325" s="2913"/>
      <c r="C1325" s="3908" t="s">
        <v>646</v>
      </c>
      <c r="D1325" s="879">
        <v>462240000</v>
      </c>
      <c r="E1325" s="1867">
        <v>460270000</v>
      </c>
      <c r="F1325" s="880">
        <f t="shared" si="26"/>
        <v>99.573814468674286</v>
      </c>
      <c r="G1325" s="3648">
        <v>100</v>
      </c>
      <c r="H1325" s="554"/>
      <c r="J1325" s="522"/>
      <c r="K1325" s="522"/>
    </row>
    <row r="1326" spans="1:11" s="303" customFormat="1" ht="15.75" hidden="1" customHeight="1" x14ac:dyDescent="0.25">
      <c r="A1326" s="3005"/>
      <c r="B1326" s="2913"/>
      <c r="C1326" s="3908" t="s">
        <v>647</v>
      </c>
      <c r="D1326" s="879">
        <v>1828095000</v>
      </c>
      <c r="E1326" s="1867">
        <v>1560200166</v>
      </c>
      <c r="F1326" s="880">
        <f t="shared" si="26"/>
        <v>85.345683129159042</v>
      </c>
      <c r="G1326" s="3648">
        <v>100</v>
      </c>
      <c r="H1326" s="554"/>
      <c r="J1326" s="522"/>
      <c r="K1326" s="522"/>
    </row>
    <row r="1327" spans="1:11" s="303" customFormat="1" ht="10.5" hidden="1" customHeight="1" x14ac:dyDescent="0.25">
      <c r="A1327" s="3005"/>
      <c r="B1327" s="2913"/>
      <c r="C1327" s="4118"/>
      <c r="D1327" s="924"/>
      <c r="E1327" s="666"/>
      <c r="F1327" s="1315"/>
      <c r="G1327" s="1315"/>
      <c r="H1327" s="554"/>
      <c r="J1327" s="522"/>
      <c r="K1327" s="522"/>
    </row>
    <row r="1328" spans="1:11" s="303" customFormat="1" ht="17.25" hidden="1" customHeight="1" x14ac:dyDescent="0.25">
      <c r="A1328" s="3005"/>
      <c r="B1328" s="2913"/>
      <c r="C1328" s="3938" t="s">
        <v>344</v>
      </c>
      <c r="D1328" s="925">
        <f>SUM(D1329:D1331)</f>
        <v>2086150000</v>
      </c>
      <c r="E1328" s="925">
        <f>SUM(E1329:E1331)</f>
        <v>2040949071</v>
      </c>
      <c r="F1328" s="1415">
        <f>E1328/D1328*100</f>
        <v>97.833284806941009</v>
      </c>
      <c r="G1328" s="2261">
        <f>SUM(G1329:G1331)/3</f>
        <v>100</v>
      </c>
      <c r="H1328" s="554"/>
      <c r="J1328" s="522"/>
      <c r="K1328" s="522"/>
    </row>
    <row r="1329" spans="1:11" s="303" customFormat="1" ht="13.5" hidden="1" customHeight="1" x14ac:dyDescent="0.25">
      <c r="A1329" s="3005"/>
      <c r="B1329" s="2913"/>
      <c r="C1329" s="3908" t="s">
        <v>648</v>
      </c>
      <c r="D1329" s="879">
        <v>1575000000</v>
      </c>
      <c r="E1329" s="3879">
        <v>1567985071</v>
      </c>
      <c r="F1329" s="880">
        <f>E1329/D1329*100</f>
        <v>99.554607682539682</v>
      </c>
      <c r="G1329" s="3630">
        <v>100</v>
      </c>
      <c r="H1329" s="554"/>
      <c r="J1329" s="522"/>
      <c r="K1329" s="522"/>
    </row>
    <row r="1330" spans="1:11" s="303" customFormat="1" ht="15.75" hidden="1" customHeight="1" x14ac:dyDescent="0.25">
      <c r="A1330" s="3005"/>
      <c r="B1330" s="2913"/>
      <c r="C1330" s="3908" t="s">
        <v>649</v>
      </c>
      <c r="D1330" s="879">
        <v>400000000</v>
      </c>
      <c r="E1330" s="3879">
        <v>394314000</v>
      </c>
      <c r="F1330" s="880">
        <f>E1330/D1330*100</f>
        <v>98.578500000000005</v>
      </c>
      <c r="G1330" s="3630">
        <v>100</v>
      </c>
      <c r="H1330" s="554"/>
      <c r="J1330" s="522"/>
      <c r="K1330" s="522"/>
    </row>
    <row r="1331" spans="1:11" s="303" customFormat="1" ht="15.75" hidden="1" customHeight="1" x14ac:dyDescent="0.25">
      <c r="A1331" s="3005"/>
      <c r="B1331" s="2913"/>
      <c r="C1331" s="3908" t="s">
        <v>650</v>
      </c>
      <c r="D1331" s="879">
        <v>111150000</v>
      </c>
      <c r="E1331" s="1871">
        <v>78650000</v>
      </c>
      <c r="F1331" s="880">
        <f>E1331/D1331*100</f>
        <v>70.760233918128662</v>
      </c>
      <c r="G1331" s="3648">
        <v>100</v>
      </c>
      <c r="H1331" s="554"/>
      <c r="J1331" s="522"/>
      <c r="K1331" s="522"/>
    </row>
    <row r="1332" spans="1:11" s="303" customFormat="1" ht="8.25" hidden="1" customHeight="1" x14ac:dyDescent="0.25">
      <c r="A1332" s="3005"/>
      <c r="B1332" s="2913"/>
      <c r="C1332" s="3962"/>
      <c r="D1332" s="926"/>
      <c r="E1332" s="3879"/>
      <c r="F1332" s="3648"/>
      <c r="G1332" s="3648"/>
      <c r="H1332" s="554"/>
      <c r="J1332" s="522"/>
      <c r="K1332" s="522"/>
    </row>
    <row r="1333" spans="1:11" s="303" customFormat="1" ht="16.5" hidden="1" customHeight="1" x14ac:dyDescent="0.25">
      <c r="A1333" s="3005"/>
      <c r="B1333" s="2913"/>
      <c r="C1333" s="3911" t="s">
        <v>273</v>
      </c>
      <c r="D1333" s="927">
        <f>SUM(D1334:D1336)</f>
        <v>1594043540</v>
      </c>
      <c r="E1333" s="927">
        <f>SUM(E1334:E1336)</f>
        <v>1360614000</v>
      </c>
      <c r="F1333" s="1415">
        <f>E1333/D1333*100</f>
        <v>85.356137762711299</v>
      </c>
      <c r="G1333" s="3600">
        <f>SUM(G1334:G1336)/3</f>
        <v>100</v>
      </c>
      <c r="H1333" s="554"/>
      <c r="J1333" s="522"/>
      <c r="K1333" s="522"/>
    </row>
    <row r="1334" spans="1:11" s="303" customFormat="1" ht="14.25" hidden="1" customHeight="1" x14ac:dyDescent="0.25">
      <c r="A1334" s="3005"/>
      <c r="B1334" s="2913"/>
      <c r="C1334" s="4104" t="s">
        <v>345</v>
      </c>
      <c r="D1334" s="879">
        <v>1032450000</v>
      </c>
      <c r="E1334" s="3879">
        <v>983914000</v>
      </c>
      <c r="F1334" s="880">
        <f>E1334/D1334*100</f>
        <v>95.298949101651402</v>
      </c>
      <c r="G1334" s="3630">
        <v>100</v>
      </c>
      <c r="H1334" s="554"/>
      <c r="J1334" s="522"/>
      <c r="K1334" s="522"/>
    </row>
    <row r="1335" spans="1:11" s="303" customFormat="1" ht="15.75" hidden="1" customHeight="1" x14ac:dyDescent="0.25">
      <c r="A1335" s="3005"/>
      <c r="B1335" s="2913"/>
      <c r="C1335" s="3908" t="s">
        <v>651</v>
      </c>
      <c r="D1335" s="879">
        <v>276600000</v>
      </c>
      <c r="E1335" s="3879">
        <v>271500000</v>
      </c>
      <c r="F1335" s="880">
        <f>E1335/D1335*100</f>
        <v>98.156182212581342</v>
      </c>
      <c r="G1335" s="3630">
        <v>100</v>
      </c>
      <c r="H1335" s="554"/>
      <c r="J1335" s="522"/>
      <c r="K1335" s="522"/>
    </row>
    <row r="1336" spans="1:11" s="303" customFormat="1" ht="14.25" hidden="1" customHeight="1" x14ac:dyDescent="0.25">
      <c r="A1336" s="3005"/>
      <c r="B1336" s="2913"/>
      <c r="C1336" s="3908" t="s">
        <v>652</v>
      </c>
      <c r="D1336" s="879">
        <v>284993540</v>
      </c>
      <c r="E1336" s="1867">
        <v>105200000</v>
      </c>
      <c r="F1336" s="880">
        <f>E1336/D1336*100</f>
        <v>36.913117399082097</v>
      </c>
      <c r="G1336" s="3648">
        <v>100</v>
      </c>
      <c r="H1336" s="554"/>
      <c r="J1336" s="522"/>
      <c r="K1336" s="522"/>
    </row>
    <row r="1337" spans="1:11" s="303" customFormat="1" ht="9.75" hidden="1" customHeight="1" x14ac:dyDescent="0.25">
      <c r="A1337" s="3005"/>
      <c r="B1337" s="2913"/>
      <c r="C1337" s="4118"/>
      <c r="D1337" s="924"/>
      <c r="E1337" s="3879"/>
      <c r="F1337" s="3648"/>
      <c r="G1337" s="3648"/>
      <c r="H1337" s="554"/>
      <c r="J1337" s="522"/>
      <c r="K1337" s="522"/>
    </row>
    <row r="1338" spans="1:11" s="303" customFormat="1" ht="17.25" hidden="1" customHeight="1" x14ac:dyDescent="0.25">
      <c r="A1338" s="3005"/>
      <c r="B1338" s="2913"/>
      <c r="C1338" s="4116" t="s">
        <v>653</v>
      </c>
      <c r="D1338" s="927">
        <f>SUM(D1339:D1340)</f>
        <v>173980000</v>
      </c>
      <c r="E1338" s="927">
        <f>SUM(E1339:E1340)</f>
        <v>169185900</v>
      </c>
      <c r="F1338" s="1415">
        <f>E1338/D1338*100</f>
        <v>97.244453385446604</v>
      </c>
      <c r="G1338" s="2261">
        <v>100</v>
      </c>
      <c r="H1338" s="554"/>
      <c r="J1338" s="522"/>
      <c r="K1338" s="522"/>
    </row>
    <row r="1339" spans="1:11" s="303" customFormat="1" ht="27" hidden="1" customHeight="1" x14ac:dyDescent="0.25">
      <c r="A1339" s="3005"/>
      <c r="B1339" s="2913"/>
      <c r="C1339" s="3908" t="s">
        <v>654</v>
      </c>
      <c r="D1339" s="879">
        <v>28250000</v>
      </c>
      <c r="E1339" s="3879">
        <v>27750000</v>
      </c>
      <c r="F1339" s="880">
        <f>E1339/D1339*100</f>
        <v>98.230088495575217</v>
      </c>
      <c r="G1339" s="3630">
        <v>100</v>
      </c>
      <c r="H1339" s="554"/>
      <c r="J1339" s="522"/>
      <c r="K1339" s="522"/>
    </row>
    <row r="1340" spans="1:11" s="303" customFormat="1" ht="18" hidden="1" customHeight="1" x14ac:dyDescent="0.25">
      <c r="A1340" s="3005"/>
      <c r="B1340" s="2913"/>
      <c r="C1340" s="3908" t="s">
        <v>655</v>
      </c>
      <c r="D1340" s="879">
        <v>145730000</v>
      </c>
      <c r="E1340" s="1871">
        <v>141435900</v>
      </c>
      <c r="F1340" s="880">
        <f>E1340/D1340*100</f>
        <v>97.053386399505939</v>
      </c>
      <c r="G1340" s="3648">
        <v>100</v>
      </c>
      <c r="H1340" s="554"/>
      <c r="J1340" s="522"/>
      <c r="K1340" s="522"/>
    </row>
    <row r="1341" spans="1:11" s="303" customFormat="1" ht="6.75" hidden="1" customHeight="1" x14ac:dyDescent="0.25">
      <c r="A1341" s="3005"/>
      <c r="B1341" s="2913"/>
      <c r="C1341" s="4118"/>
      <c r="D1341" s="3630"/>
      <c r="E1341" s="666"/>
      <c r="F1341" s="1315"/>
      <c r="G1341" s="1315"/>
      <c r="H1341" s="554"/>
      <c r="J1341" s="522"/>
      <c r="K1341" s="522"/>
    </row>
    <row r="1342" spans="1:11" s="303" customFormat="1" ht="19.5" hidden="1" customHeight="1" x14ac:dyDescent="0.25">
      <c r="A1342" s="3005"/>
      <c r="B1342" s="2913"/>
      <c r="C1342" s="3999" t="s">
        <v>656</v>
      </c>
      <c r="D1342" s="3629">
        <f>SUM(D1343:D1350)</f>
        <v>1643981000</v>
      </c>
      <c r="E1342" s="3629">
        <f>SUM(E1343:E1350)</f>
        <v>1555351400</v>
      </c>
      <c r="F1342" s="1415">
        <f t="shared" ref="F1342:F1350" si="27">E1342/D1342*100</f>
        <v>94.608842802927768</v>
      </c>
      <c r="G1342" s="2261">
        <f>SUM(G1343:G1350)/8</f>
        <v>100</v>
      </c>
      <c r="H1342" s="554"/>
      <c r="J1342" s="522"/>
      <c r="K1342" s="522"/>
    </row>
    <row r="1343" spans="1:11" s="303" customFormat="1" ht="14.25" hidden="1" customHeight="1" x14ac:dyDescent="0.25">
      <c r="A1343" s="3005"/>
      <c r="B1343" s="2913"/>
      <c r="C1343" s="3908" t="s">
        <v>657</v>
      </c>
      <c r="D1343" s="879">
        <v>314160000</v>
      </c>
      <c r="E1343" s="3434">
        <v>298760000</v>
      </c>
      <c r="F1343" s="880">
        <f t="shared" si="27"/>
        <v>95.098039215686271</v>
      </c>
      <c r="G1343" s="1717">
        <v>100</v>
      </c>
      <c r="H1343" s="554"/>
      <c r="J1343" s="522"/>
      <c r="K1343" s="522"/>
    </row>
    <row r="1344" spans="1:11" s="303" customFormat="1" ht="15" hidden="1" customHeight="1" x14ac:dyDescent="0.25">
      <c r="A1344" s="3005"/>
      <c r="B1344" s="2913"/>
      <c r="C1344" s="3908" t="s">
        <v>658</v>
      </c>
      <c r="D1344" s="879">
        <v>133055000</v>
      </c>
      <c r="E1344" s="3879">
        <v>132531400</v>
      </c>
      <c r="F1344" s="880">
        <f t="shared" si="27"/>
        <v>99.606478523918682</v>
      </c>
      <c r="G1344" s="3630">
        <v>100</v>
      </c>
      <c r="H1344" s="554"/>
      <c r="J1344" s="522"/>
      <c r="K1344" s="522"/>
    </row>
    <row r="1345" spans="1:11" s="303" customFormat="1" ht="14.25" hidden="1" customHeight="1" x14ac:dyDescent="0.25">
      <c r="A1345" s="3005"/>
      <c r="B1345" s="2913"/>
      <c r="C1345" s="3908" t="s">
        <v>659</v>
      </c>
      <c r="D1345" s="879">
        <v>256250000</v>
      </c>
      <c r="E1345" s="3879">
        <v>253750000</v>
      </c>
      <c r="F1345" s="880">
        <f t="shared" si="27"/>
        <v>99.024390243902445</v>
      </c>
      <c r="G1345" s="3630">
        <v>100</v>
      </c>
      <c r="H1345" s="554"/>
      <c r="J1345" s="522"/>
      <c r="K1345" s="522"/>
    </row>
    <row r="1346" spans="1:11" s="303" customFormat="1" ht="16.5" hidden="1" customHeight="1" x14ac:dyDescent="0.25">
      <c r="A1346" s="3005"/>
      <c r="B1346" s="2913"/>
      <c r="C1346" s="3908" t="s">
        <v>660</v>
      </c>
      <c r="D1346" s="879">
        <v>158156000</v>
      </c>
      <c r="E1346" s="3434">
        <v>158156000</v>
      </c>
      <c r="F1346" s="880">
        <f t="shared" si="27"/>
        <v>100</v>
      </c>
      <c r="G1346" s="1717">
        <v>100</v>
      </c>
      <c r="H1346" s="554"/>
      <c r="J1346" s="522"/>
      <c r="K1346" s="522"/>
    </row>
    <row r="1347" spans="1:11" s="303" customFormat="1" ht="16.5" hidden="1" customHeight="1" x14ac:dyDescent="0.25">
      <c r="A1347" s="3005"/>
      <c r="B1347" s="2913"/>
      <c r="C1347" s="3908" t="s">
        <v>661</v>
      </c>
      <c r="D1347" s="879">
        <v>250000000</v>
      </c>
      <c r="E1347" s="3434">
        <v>185500000</v>
      </c>
      <c r="F1347" s="880">
        <f t="shared" si="27"/>
        <v>74.2</v>
      </c>
      <c r="G1347" s="3648">
        <v>100</v>
      </c>
      <c r="H1347" s="554"/>
      <c r="J1347" s="522"/>
      <c r="K1347" s="522"/>
    </row>
    <row r="1348" spans="1:11" s="303" customFormat="1" ht="17.25" hidden="1" customHeight="1" x14ac:dyDescent="0.25">
      <c r="A1348" s="3005"/>
      <c r="B1348" s="2913"/>
      <c r="C1348" s="3908" t="s">
        <v>7353</v>
      </c>
      <c r="D1348" s="879">
        <v>167455000</v>
      </c>
      <c r="E1348" s="3434">
        <v>164499000</v>
      </c>
      <c r="F1348" s="880">
        <f t="shared" si="27"/>
        <v>98.234749634230084</v>
      </c>
      <c r="G1348" s="1717">
        <v>100</v>
      </c>
      <c r="H1348" s="554"/>
      <c r="J1348" s="522"/>
      <c r="K1348" s="522"/>
    </row>
    <row r="1349" spans="1:11" s="303" customFormat="1" ht="14.25" hidden="1" customHeight="1" x14ac:dyDescent="0.25">
      <c r="A1349" s="3005"/>
      <c r="B1349" s="2913"/>
      <c r="C1349" s="3908" t="s">
        <v>7354</v>
      </c>
      <c r="D1349" s="879">
        <v>48855000</v>
      </c>
      <c r="E1349" s="3434">
        <v>47355000</v>
      </c>
      <c r="F1349" s="880">
        <f t="shared" si="27"/>
        <v>96.929689898679769</v>
      </c>
      <c r="G1349" s="1717">
        <v>100</v>
      </c>
      <c r="H1349" s="554"/>
      <c r="J1349" s="522"/>
      <c r="K1349" s="522"/>
    </row>
    <row r="1350" spans="1:11" s="303" customFormat="1" ht="17.25" hidden="1" customHeight="1" x14ac:dyDescent="0.25">
      <c r="A1350" s="3005"/>
      <c r="B1350" s="2913"/>
      <c r="C1350" s="5489" t="s">
        <v>7355</v>
      </c>
      <c r="D1350" s="3630">
        <v>316050000</v>
      </c>
      <c r="E1350" s="3630">
        <v>314800000</v>
      </c>
      <c r="F1350" s="880">
        <f t="shared" si="27"/>
        <v>99.604492959974692</v>
      </c>
      <c r="G1350" s="3630">
        <v>100</v>
      </c>
      <c r="H1350" s="554"/>
      <c r="J1350" s="522"/>
      <c r="K1350" s="522"/>
    </row>
    <row r="1351" spans="1:11" s="303" customFormat="1" ht="8.25" hidden="1" customHeight="1" x14ac:dyDescent="0.25">
      <c r="A1351" s="3005"/>
      <c r="B1351" s="2913"/>
      <c r="C1351" s="5490"/>
      <c r="D1351" s="3630"/>
      <c r="E1351" s="666"/>
      <c r="F1351" s="1717"/>
      <c r="G1351" s="1717"/>
      <c r="H1351" s="554"/>
      <c r="J1351" s="522"/>
      <c r="K1351" s="522"/>
    </row>
    <row r="1352" spans="1:11" s="303" customFormat="1" ht="14.25" hidden="1" customHeight="1" x14ac:dyDescent="0.25">
      <c r="A1352" s="3005"/>
      <c r="B1352" s="2913"/>
      <c r="C1352" s="3911" t="s">
        <v>664</v>
      </c>
      <c r="D1352" s="955">
        <f>D1353</f>
        <v>244600000</v>
      </c>
      <c r="E1352" s="955">
        <f>E1353</f>
        <v>240600000</v>
      </c>
      <c r="F1352" s="1415">
        <f>E1352/D1352*100</f>
        <v>98.36467702371219</v>
      </c>
      <c r="G1352" s="3600">
        <v>100</v>
      </c>
      <c r="H1352" s="554"/>
      <c r="J1352" s="522"/>
      <c r="K1352" s="522"/>
    </row>
    <row r="1353" spans="1:11" s="303" customFormat="1" ht="17.25" hidden="1" customHeight="1" x14ac:dyDescent="0.25">
      <c r="A1353" s="3005"/>
      <c r="B1353" s="2913"/>
      <c r="C1353" s="3908" t="s">
        <v>665</v>
      </c>
      <c r="D1353" s="879">
        <v>244600000</v>
      </c>
      <c r="E1353" s="3433">
        <v>240600000</v>
      </c>
      <c r="F1353" s="880">
        <f>E1353/D1353*100</f>
        <v>98.36467702371219</v>
      </c>
      <c r="G1353" s="1717">
        <v>100</v>
      </c>
      <c r="H1353" s="554"/>
      <c r="J1353" s="522"/>
      <c r="K1353" s="522"/>
    </row>
    <row r="1354" spans="1:11" s="303" customFormat="1" ht="8.25" hidden="1" customHeight="1" x14ac:dyDescent="0.25">
      <c r="A1354" s="3005"/>
      <c r="B1354" s="2913"/>
      <c r="C1354" s="4104"/>
      <c r="D1354" s="3630"/>
      <c r="E1354" s="3879"/>
      <c r="F1354" s="3648"/>
      <c r="G1354" s="3648"/>
      <c r="H1354" s="554"/>
      <c r="J1354" s="522"/>
      <c r="K1354" s="522"/>
    </row>
    <row r="1355" spans="1:11" s="303" customFormat="1" ht="18.75" hidden="1" customHeight="1" x14ac:dyDescent="0.25">
      <c r="A1355" s="3005"/>
      <c r="B1355" s="2913"/>
      <c r="C1355" s="3911" t="s">
        <v>666</v>
      </c>
      <c r="D1355" s="955">
        <f>SUM(D1356:D1358)</f>
        <v>600655000</v>
      </c>
      <c r="E1355" s="955">
        <f>SUM(E1356:E1358)</f>
        <v>542268250</v>
      </c>
      <c r="F1355" s="1415">
        <f>E1355/D1355*100</f>
        <v>90.279486560504779</v>
      </c>
      <c r="G1355" s="3600">
        <v>100</v>
      </c>
      <c r="H1355" s="554"/>
      <c r="J1355" s="522"/>
      <c r="K1355" s="522"/>
    </row>
    <row r="1356" spans="1:11" s="303" customFormat="1" ht="16.5" hidden="1" customHeight="1" x14ac:dyDescent="0.25">
      <c r="A1356" s="3005"/>
      <c r="B1356" s="2913"/>
      <c r="C1356" s="3908" t="s">
        <v>667</v>
      </c>
      <c r="D1356" s="879">
        <v>183130000</v>
      </c>
      <c r="E1356" s="3434">
        <v>171722000</v>
      </c>
      <c r="F1356" s="880">
        <f>E1356/D1356*100</f>
        <v>93.770545514115653</v>
      </c>
      <c r="G1356" s="1717">
        <v>100</v>
      </c>
      <c r="H1356" s="554"/>
      <c r="J1356" s="522"/>
      <c r="K1356" s="522"/>
    </row>
    <row r="1357" spans="1:11" s="303" customFormat="1" hidden="1" x14ac:dyDescent="0.25">
      <c r="A1357" s="3005"/>
      <c r="B1357" s="2913"/>
      <c r="C1357" s="3908" t="s">
        <v>668</v>
      </c>
      <c r="D1357" s="879">
        <v>188565000</v>
      </c>
      <c r="E1357" s="3434">
        <v>172336250</v>
      </c>
      <c r="F1357" s="880">
        <f>E1357/D1357*100</f>
        <v>91.393551295309308</v>
      </c>
      <c r="G1357" s="3648">
        <v>100</v>
      </c>
      <c r="H1357" s="554"/>
      <c r="J1357" s="522"/>
      <c r="K1357" s="522"/>
    </row>
    <row r="1358" spans="1:11" s="303" customFormat="1" ht="17.25" hidden="1" customHeight="1" x14ac:dyDescent="0.25">
      <c r="A1358" s="3005"/>
      <c r="B1358" s="2913"/>
      <c r="C1358" s="3908" t="s">
        <v>669</v>
      </c>
      <c r="D1358" s="879">
        <v>228960000</v>
      </c>
      <c r="E1358" s="3879">
        <v>198210000</v>
      </c>
      <c r="F1358" s="880">
        <f>E1358/D1358*100</f>
        <v>86.569706498951788</v>
      </c>
      <c r="G1358" s="3630">
        <v>100</v>
      </c>
      <c r="H1358" s="554"/>
      <c r="J1358" s="522"/>
      <c r="K1358" s="522"/>
    </row>
    <row r="1359" spans="1:11" s="303" customFormat="1" ht="10.5" hidden="1" customHeight="1" x14ac:dyDescent="0.25">
      <c r="A1359" s="3005"/>
      <c r="B1359" s="2913"/>
      <c r="C1359" s="3915"/>
      <c r="D1359" s="5491"/>
      <c r="E1359" s="666"/>
      <c r="F1359" s="1717"/>
      <c r="G1359" s="1717"/>
      <c r="H1359" s="554"/>
      <c r="J1359" s="522"/>
      <c r="K1359" s="522"/>
    </row>
    <row r="1360" spans="1:11" s="303" customFormat="1" ht="17.25" hidden="1" customHeight="1" x14ac:dyDescent="0.25">
      <c r="A1360" s="3005"/>
      <c r="B1360" s="2913"/>
      <c r="C1360" s="4116" t="s">
        <v>670</v>
      </c>
      <c r="D1360" s="927">
        <f>SUM(D1361:D1363)</f>
        <v>943575000</v>
      </c>
      <c r="E1360" s="927">
        <f>SUM(E1361:E1363)</f>
        <v>826778850</v>
      </c>
      <c r="F1360" s="1415">
        <f>E1360/D1360*100</f>
        <v>87.621953739766312</v>
      </c>
      <c r="G1360" s="2261">
        <v>100</v>
      </c>
      <c r="H1360" s="554"/>
      <c r="J1360" s="522"/>
      <c r="K1360" s="522"/>
    </row>
    <row r="1361" spans="1:11" s="303" customFormat="1" ht="30.75" hidden="1" customHeight="1" x14ac:dyDescent="0.25">
      <c r="A1361" s="3005"/>
      <c r="B1361" s="2913"/>
      <c r="C1361" s="3908" t="s">
        <v>671</v>
      </c>
      <c r="D1361" s="931">
        <v>319300000</v>
      </c>
      <c r="E1361" s="3879">
        <v>304603700</v>
      </c>
      <c r="F1361" s="880">
        <f>E1361/D1361*100</f>
        <v>95.397337926714684</v>
      </c>
      <c r="G1361" s="3630">
        <v>100</v>
      </c>
      <c r="H1361" s="554"/>
      <c r="J1361" s="522"/>
      <c r="K1361" s="522"/>
    </row>
    <row r="1362" spans="1:11" s="303" customFormat="1" ht="20.25" hidden="1" customHeight="1" x14ac:dyDescent="0.25">
      <c r="A1362" s="3005"/>
      <c r="B1362" s="2913"/>
      <c r="C1362" s="3908" t="s">
        <v>672</v>
      </c>
      <c r="D1362" s="879">
        <v>365525000</v>
      </c>
      <c r="E1362" s="1867">
        <v>337587900</v>
      </c>
      <c r="F1362" s="880">
        <f>E1362/D1362*100</f>
        <v>92.35699336570687</v>
      </c>
      <c r="G1362" s="1717">
        <v>100</v>
      </c>
      <c r="H1362" s="554"/>
      <c r="J1362" s="522"/>
      <c r="K1362" s="522"/>
    </row>
    <row r="1363" spans="1:11" s="303" customFormat="1" ht="18" hidden="1" customHeight="1" x14ac:dyDescent="0.25">
      <c r="A1363" s="3005"/>
      <c r="B1363" s="2913"/>
      <c r="C1363" s="3908" t="s">
        <v>673</v>
      </c>
      <c r="D1363" s="879">
        <v>258750000</v>
      </c>
      <c r="E1363" s="1867">
        <v>184587250</v>
      </c>
      <c r="F1363" s="880">
        <f>E1363/D1363*100</f>
        <v>71.33806763285024</v>
      </c>
      <c r="G1363" s="1717">
        <v>100</v>
      </c>
      <c r="H1363" s="554"/>
      <c r="J1363" s="522"/>
      <c r="K1363" s="522"/>
    </row>
    <row r="1364" spans="1:11" s="303" customFormat="1" ht="10.5" hidden="1" customHeight="1" x14ac:dyDescent="0.25">
      <c r="A1364" s="3005"/>
      <c r="B1364" s="2913"/>
      <c r="C1364" s="3908"/>
      <c r="D1364" s="879"/>
      <c r="E1364" s="666"/>
      <c r="F1364" s="1717"/>
      <c r="G1364" s="1717"/>
      <c r="H1364" s="554"/>
      <c r="J1364" s="522"/>
      <c r="K1364" s="522"/>
    </row>
    <row r="1365" spans="1:11" s="303" customFormat="1" ht="28.5" hidden="1" customHeight="1" x14ac:dyDescent="0.25">
      <c r="A1365" s="3005"/>
      <c r="B1365" s="2913"/>
      <c r="C1365" s="3911" t="s">
        <v>2137</v>
      </c>
      <c r="D1365" s="927">
        <f>D1366</f>
        <v>500000000</v>
      </c>
      <c r="E1365" s="927">
        <f>E1366</f>
        <v>498671000</v>
      </c>
      <c r="F1365" s="1415">
        <f>E1365/D1365*100</f>
        <v>99.734200000000001</v>
      </c>
      <c r="G1365" s="3629">
        <v>100</v>
      </c>
      <c r="H1365" s="554"/>
      <c r="J1365" s="522"/>
      <c r="K1365" s="522"/>
    </row>
    <row r="1366" spans="1:11" s="303" customFormat="1" ht="17.25" hidden="1" customHeight="1" x14ac:dyDescent="0.25">
      <c r="A1366" s="3005"/>
      <c r="B1366" s="2913"/>
      <c r="C1366" s="4000" t="s">
        <v>2138</v>
      </c>
      <c r="D1366" s="932">
        <v>500000000</v>
      </c>
      <c r="E1366" s="3879">
        <v>498671000</v>
      </c>
      <c r="F1366" s="880">
        <f>E1366/D1366*100</f>
        <v>99.734200000000001</v>
      </c>
      <c r="G1366" s="3630">
        <v>100</v>
      </c>
      <c r="H1366" s="554"/>
      <c r="J1366" s="522"/>
      <c r="K1366" s="522"/>
    </row>
    <row r="1367" spans="1:11" s="303" customFormat="1" ht="10.5" hidden="1" customHeight="1" x14ac:dyDescent="0.25">
      <c r="A1367" s="3005"/>
      <c r="B1367" s="2913"/>
      <c r="C1367" s="4000"/>
      <c r="D1367" s="932"/>
      <c r="E1367" s="666"/>
      <c r="F1367" s="880"/>
      <c r="G1367" s="1717"/>
      <c r="H1367" s="554"/>
      <c r="J1367" s="522"/>
      <c r="K1367" s="522"/>
    </row>
    <row r="1368" spans="1:11" s="303" customFormat="1" ht="17.25" hidden="1" customHeight="1" x14ac:dyDescent="0.25">
      <c r="A1368" s="3005"/>
      <c r="B1368" s="2913"/>
      <c r="C1368" s="4116" t="s">
        <v>371</v>
      </c>
      <c r="D1368" s="927">
        <f>SUM(D1369:D1376)</f>
        <v>4766478824</v>
      </c>
      <c r="E1368" s="927">
        <f>SUM(E1369:E1376)</f>
        <v>4316898302</v>
      </c>
      <c r="F1368" s="1415">
        <f t="shared" ref="F1368:F1376" si="28">E1368/D1368*100</f>
        <v>90.567869100009673</v>
      </c>
      <c r="G1368" s="2261">
        <f>SUM(G1369:G1376)/8</f>
        <v>93.75</v>
      </c>
      <c r="H1368" s="554"/>
      <c r="J1368" s="522"/>
      <c r="K1368" s="522"/>
    </row>
    <row r="1369" spans="1:11" s="303" customFormat="1" ht="15" hidden="1" customHeight="1" x14ac:dyDescent="0.25">
      <c r="A1369" s="3005"/>
      <c r="B1369" s="2913"/>
      <c r="C1369" s="3908" t="s">
        <v>2139</v>
      </c>
      <c r="D1369" s="879">
        <v>2532024000</v>
      </c>
      <c r="E1369" s="3433">
        <v>2419830000</v>
      </c>
      <c r="F1369" s="880">
        <f t="shared" si="28"/>
        <v>95.568999345977772</v>
      </c>
      <c r="G1369" s="1717">
        <v>100</v>
      </c>
      <c r="H1369" s="554"/>
      <c r="J1369" s="522"/>
      <c r="K1369" s="522"/>
    </row>
    <row r="1370" spans="1:11" s="303" customFormat="1" ht="17.25" hidden="1" customHeight="1" x14ac:dyDescent="0.25">
      <c r="A1370" s="3005"/>
      <c r="B1370" s="2913"/>
      <c r="C1370" s="3908" t="s">
        <v>2140</v>
      </c>
      <c r="D1370" s="879">
        <v>245705000</v>
      </c>
      <c r="E1370" s="3433">
        <v>143596000</v>
      </c>
      <c r="F1370" s="880">
        <f t="shared" si="28"/>
        <v>58.442441138763968</v>
      </c>
      <c r="G1370" s="1717">
        <v>100</v>
      </c>
      <c r="H1370" s="554"/>
      <c r="J1370" s="522"/>
      <c r="K1370" s="522"/>
    </row>
    <row r="1371" spans="1:11" s="303" customFormat="1" ht="17.25" hidden="1" customHeight="1" x14ac:dyDescent="0.25">
      <c r="A1371" s="3005"/>
      <c r="B1371" s="2913"/>
      <c r="C1371" s="3908" t="s">
        <v>2141</v>
      </c>
      <c r="D1371" s="879">
        <v>363600000</v>
      </c>
      <c r="E1371" s="3433">
        <v>362100000</v>
      </c>
      <c r="F1371" s="880">
        <f t="shared" si="28"/>
        <v>99.587458745874585</v>
      </c>
      <c r="G1371" s="1717">
        <v>100</v>
      </c>
      <c r="H1371" s="554"/>
      <c r="J1371" s="522"/>
      <c r="K1371" s="522"/>
    </row>
    <row r="1372" spans="1:11" s="303" customFormat="1" ht="15" hidden="1" customHeight="1" x14ac:dyDescent="0.25">
      <c r="A1372" s="3005"/>
      <c r="B1372" s="2913"/>
      <c r="C1372" s="3908" t="s">
        <v>2142</v>
      </c>
      <c r="D1372" s="879">
        <v>898800000</v>
      </c>
      <c r="E1372" s="3433">
        <v>780850497</v>
      </c>
      <c r="F1372" s="880">
        <f t="shared" si="28"/>
        <v>86.877002336448598</v>
      </c>
      <c r="G1372" s="1717">
        <v>100</v>
      </c>
      <c r="H1372" s="554"/>
      <c r="J1372" s="522"/>
      <c r="K1372" s="522"/>
    </row>
    <row r="1373" spans="1:11" s="303" customFormat="1" ht="18" hidden="1" customHeight="1" x14ac:dyDescent="0.25">
      <c r="A1373" s="3005"/>
      <c r="B1373" s="2913"/>
      <c r="C1373" s="3908" t="s">
        <v>2156</v>
      </c>
      <c r="D1373" s="879">
        <v>118135000</v>
      </c>
      <c r="E1373" s="3435">
        <v>115151358</v>
      </c>
      <c r="F1373" s="880">
        <f t="shared" si="28"/>
        <v>97.474379311804299</v>
      </c>
      <c r="G1373" s="1717">
        <v>100</v>
      </c>
      <c r="H1373" s="554"/>
      <c r="J1373" s="522"/>
      <c r="K1373" s="522"/>
    </row>
    <row r="1374" spans="1:11" s="303" customFormat="1" ht="17.25" hidden="1" customHeight="1" x14ac:dyDescent="0.25">
      <c r="A1374" s="3005"/>
      <c r="B1374" s="2913"/>
      <c r="C1374" s="3908" t="s">
        <v>2143</v>
      </c>
      <c r="D1374" s="879">
        <v>234614824</v>
      </c>
      <c r="E1374" s="3433">
        <v>234614824</v>
      </c>
      <c r="F1374" s="880">
        <f t="shared" si="28"/>
        <v>100</v>
      </c>
      <c r="G1374" s="3630">
        <v>100</v>
      </c>
      <c r="H1374" s="554"/>
      <c r="J1374" s="522"/>
      <c r="K1374" s="522"/>
    </row>
    <row r="1375" spans="1:11" s="303" customFormat="1" ht="17.25" hidden="1" customHeight="1" x14ac:dyDescent="0.25">
      <c r="A1375" s="3005"/>
      <c r="B1375" s="2913"/>
      <c r="C1375" s="3908" t="s">
        <v>2144</v>
      </c>
      <c r="D1375" s="879">
        <v>173600000</v>
      </c>
      <c r="E1375" s="3436">
        <v>60755623</v>
      </c>
      <c r="F1375" s="880">
        <f t="shared" si="28"/>
        <v>34.997478686635944</v>
      </c>
      <c r="G1375" s="3630">
        <v>50</v>
      </c>
      <c r="H1375" s="554"/>
      <c r="J1375" s="522"/>
      <c r="K1375" s="522"/>
    </row>
    <row r="1376" spans="1:11" s="303" customFormat="1" ht="17.25" hidden="1" customHeight="1" x14ac:dyDescent="0.25">
      <c r="A1376" s="3005"/>
      <c r="B1376" s="2913"/>
      <c r="C1376" s="3908" t="s">
        <v>2145</v>
      </c>
      <c r="D1376" s="879">
        <v>200000000</v>
      </c>
      <c r="E1376" s="3437">
        <v>200000000</v>
      </c>
      <c r="F1376" s="880">
        <f t="shared" si="28"/>
        <v>100</v>
      </c>
      <c r="G1376" s="1717">
        <v>100</v>
      </c>
      <c r="H1376" s="554"/>
      <c r="J1376" s="522"/>
      <c r="K1376" s="522"/>
    </row>
    <row r="1377" spans="1:11" s="303" customFormat="1" ht="7.5" hidden="1" customHeight="1" x14ac:dyDescent="0.25">
      <c r="A1377" s="3005"/>
      <c r="B1377" s="2913"/>
      <c r="C1377" s="3908"/>
      <c r="D1377" s="879"/>
      <c r="E1377" s="1094"/>
      <c r="F1377" s="2281"/>
      <c r="G1377" s="1717"/>
      <c r="H1377" s="554"/>
      <c r="J1377" s="522"/>
      <c r="K1377" s="522"/>
    </row>
    <row r="1378" spans="1:11" s="303" customFormat="1" ht="15.75" hidden="1" customHeight="1" x14ac:dyDescent="0.25">
      <c r="A1378" s="3005"/>
      <c r="B1378" s="5397"/>
      <c r="C1378" s="3913" t="s">
        <v>346</v>
      </c>
      <c r="D1378" s="3631">
        <f>SUM(D1379+D1384)</f>
        <v>4204598500</v>
      </c>
      <c r="E1378" s="3631">
        <f>SUM(E1379+E1384)</f>
        <v>4137485583</v>
      </c>
      <c r="F1378" s="1726">
        <f>E1378/D1378*100</f>
        <v>98.403821030711967</v>
      </c>
      <c r="G1378" s="2356">
        <v>100</v>
      </c>
      <c r="H1378" s="554"/>
      <c r="J1378" s="522"/>
      <c r="K1378" s="522"/>
    </row>
    <row r="1379" spans="1:11" s="303" customFormat="1" ht="14.25" hidden="1" customHeight="1" x14ac:dyDescent="0.25">
      <c r="A1379" s="3005"/>
      <c r="B1379" s="2913"/>
      <c r="C1379" s="3968" t="s">
        <v>347</v>
      </c>
      <c r="D1379" s="3633">
        <f>SUM(D1380:D1382)</f>
        <v>1471714000</v>
      </c>
      <c r="E1379" s="3633">
        <f>SUM(E1380:E1382)</f>
        <v>1425144000</v>
      </c>
      <c r="F1379" s="1415">
        <f>E1379/D1379*100</f>
        <v>96.835662363747304</v>
      </c>
      <c r="G1379" s="2562">
        <v>100</v>
      </c>
      <c r="H1379" s="554"/>
      <c r="J1379" s="522"/>
      <c r="K1379" s="522"/>
    </row>
    <row r="1380" spans="1:11" s="303" customFormat="1" ht="16.5" hidden="1" customHeight="1" x14ac:dyDescent="0.25">
      <c r="A1380" s="3005"/>
      <c r="B1380" s="2913"/>
      <c r="C1380" s="4104" t="s">
        <v>674</v>
      </c>
      <c r="D1380" s="879">
        <v>192600000</v>
      </c>
      <c r="E1380" s="1871">
        <v>189384000</v>
      </c>
      <c r="F1380" s="880">
        <f>E1380/D1380*100</f>
        <v>98.330218068535828</v>
      </c>
      <c r="G1380" s="3648">
        <v>100</v>
      </c>
      <c r="H1380" s="554"/>
      <c r="J1380" s="522"/>
      <c r="K1380" s="522"/>
    </row>
    <row r="1381" spans="1:11" s="303" customFormat="1" ht="16.5" hidden="1" customHeight="1" x14ac:dyDescent="0.25">
      <c r="A1381" s="3005"/>
      <c r="B1381" s="2913"/>
      <c r="C1381" s="4104" t="s">
        <v>348</v>
      </c>
      <c r="D1381" s="879">
        <v>262614000</v>
      </c>
      <c r="E1381" s="3879">
        <v>238460000</v>
      </c>
      <c r="F1381" s="880">
        <f>E1381/D1381*100</f>
        <v>90.802470546124738</v>
      </c>
      <c r="G1381" s="3630">
        <v>100</v>
      </c>
      <c r="H1381" s="554"/>
      <c r="J1381" s="522"/>
      <c r="K1381" s="522"/>
    </row>
    <row r="1382" spans="1:11" s="303" customFormat="1" ht="16.5" hidden="1" customHeight="1" x14ac:dyDescent="0.25">
      <c r="A1382" s="3005"/>
      <c r="B1382" s="2913"/>
      <c r="C1382" s="4104" t="s">
        <v>3435</v>
      </c>
      <c r="D1382" s="879">
        <v>1016500000</v>
      </c>
      <c r="E1382" s="1871">
        <v>997300000</v>
      </c>
      <c r="F1382" s="880">
        <f>E1382/D1382*100</f>
        <v>98.111165764879487</v>
      </c>
      <c r="G1382" s="1717">
        <v>100</v>
      </c>
      <c r="H1382" s="554"/>
      <c r="J1382" s="522"/>
      <c r="K1382" s="522"/>
    </row>
    <row r="1383" spans="1:11" s="303" customFormat="1" ht="6.75" hidden="1" customHeight="1" x14ac:dyDescent="0.25">
      <c r="A1383" s="3005"/>
      <c r="B1383" s="2913"/>
      <c r="C1383" s="4118"/>
      <c r="D1383" s="3630"/>
      <c r="E1383" s="3879"/>
      <c r="F1383" s="1717"/>
      <c r="G1383" s="1315"/>
      <c r="H1383" s="554"/>
      <c r="J1383" s="522"/>
      <c r="K1383" s="522"/>
    </row>
    <row r="1384" spans="1:11" s="303" customFormat="1" ht="15.75" hidden="1" customHeight="1" x14ac:dyDescent="0.25">
      <c r="A1384" s="3005"/>
      <c r="B1384" s="2913"/>
      <c r="C1384" s="3938" t="s">
        <v>675</v>
      </c>
      <c r="D1384" s="3629">
        <f>SUM(D1385:D1386)</f>
        <v>2732884500</v>
      </c>
      <c r="E1384" s="3629">
        <f>SUM(E1385:E1386)</f>
        <v>2712341583</v>
      </c>
      <c r="F1384" s="1415">
        <f>E1384/D1384*100</f>
        <v>99.248306432269644</v>
      </c>
      <c r="G1384" s="2261">
        <v>100</v>
      </c>
      <c r="H1384" s="554"/>
      <c r="J1384" s="522"/>
      <c r="K1384" s="522"/>
    </row>
    <row r="1385" spans="1:11" s="303" customFormat="1" ht="12.75" hidden="1" customHeight="1" x14ac:dyDescent="0.25">
      <c r="A1385" s="3005"/>
      <c r="B1385" s="2913"/>
      <c r="C1385" s="4104" t="s">
        <v>676</v>
      </c>
      <c r="D1385" s="933">
        <v>2059134500</v>
      </c>
      <c r="E1385" s="1871">
        <v>2056563969</v>
      </c>
      <c r="F1385" s="880">
        <f>E1385/D1385*100</f>
        <v>99.875164492654562</v>
      </c>
      <c r="G1385" s="3648">
        <v>100</v>
      </c>
      <c r="H1385" s="554"/>
      <c r="J1385" s="522"/>
      <c r="K1385" s="522"/>
    </row>
    <row r="1386" spans="1:11" s="303" customFormat="1" ht="18.75" hidden="1" customHeight="1" x14ac:dyDescent="0.25">
      <c r="A1386" s="3005"/>
      <c r="B1386" s="2913"/>
      <c r="C1386" s="4104" t="s">
        <v>677</v>
      </c>
      <c r="D1386" s="933">
        <v>673750000</v>
      </c>
      <c r="E1386" s="1871">
        <v>655777614</v>
      </c>
      <c r="F1386" s="880">
        <f>E1386/D1386*100</f>
        <v>97.332484452690167</v>
      </c>
      <c r="G1386" s="1717">
        <v>100</v>
      </c>
      <c r="H1386" s="554"/>
      <c r="J1386" s="522"/>
      <c r="K1386" s="522"/>
    </row>
    <row r="1387" spans="1:11" s="303" customFormat="1" ht="12" hidden="1" customHeight="1" x14ac:dyDescent="0.25">
      <c r="A1387" s="3005"/>
      <c r="B1387" s="2913"/>
      <c r="C1387" s="3894"/>
      <c r="D1387" s="1553"/>
      <c r="E1387" s="666"/>
      <c r="F1387" s="2281"/>
      <c r="G1387" s="2285"/>
      <c r="H1387" s="554"/>
      <c r="J1387" s="522"/>
      <c r="K1387" s="522"/>
    </row>
    <row r="1388" spans="1:11" s="303" customFormat="1" ht="15.75" hidden="1" customHeight="1" x14ac:dyDescent="0.25">
      <c r="A1388" s="3005"/>
      <c r="B1388" s="5397"/>
      <c r="C1388" s="3913" t="s">
        <v>349</v>
      </c>
      <c r="D1388" s="3631">
        <f>D1389+D1393+D1396+D1399</f>
        <v>36765538850</v>
      </c>
      <c r="E1388" s="3631">
        <f>E1389+E1393+E1396+E1399</f>
        <v>32805498060</v>
      </c>
      <c r="F1388" s="1726">
        <f>E1388/D1388*100</f>
        <v>89.228933088247118</v>
      </c>
      <c r="G1388" s="3631">
        <f>SUM(G1389+G1393+G1396)/4</f>
        <v>74.125</v>
      </c>
      <c r="H1388" s="554"/>
      <c r="J1388" s="522"/>
      <c r="K1388" s="522"/>
    </row>
    <row r="1389" spans="1:11" s="303" customFormat="1" ht="16.5" hidden="1" customHeight="1" x14ac:dyDescent="0.25">
      <c r="A1389" s="3005"/>
      <c r="B1389" s="2913"/>
      <c r="C1389" s="3968" t="s">
        <v>354</v>
      </c>
      <c r="D1389" s="3633">
        <f>SUM(D1390:D1391)</f>
        <v>29814138850</v>
      </c>
      <c r="E1389" s="3633">
        <f>SUM(E1390:E1391)</f>
        <v>28384938060</v>
      </c>
      <c r="F1389" s="1415">
        <f>E1389/D1389*100</f>
        <v>95.206298604864784</v>
      </c>
      <c r="G1389" s="3632">
        <f>SUM(G1390:G1391)/2</f>
        <v>96.5</v>
      </c>
      <c r="H1389" s="554"/>
      <c r="J1389" s="522"/>
      <c r="K1389" s="522"/>
    </row>
    <row r="1390" spans="1:11" s="303" customFormat="1" ht="16.5" hidden="1" customHeight="1" x14ac:dyDescent="0.25">
      <c r="A1390" s="3005"/>
      <c r="B1390" s="2913"/>
      <c r="C1390" s="4104" t="s">
        <v>678</v>
      </c>
      <c r="D1390" s="879">
        <v>21092432000</v>
      </c>
      <c r="E1390" s="3438">
        <v>21092432000</v>
      </c>
      <c r="F1390" s="880">
        <f>E1390/D1390*100</f>
        <v>100</v>
      </c>
      <c r="G1390" s="3630">
        <v>100</v>
      </c>
      <c r="H1390" s="554"/>
      <c r="J1390" s="522"/>
      <c r="K1390" s="522"/>
    </row>
    <row r="1391" spans="1:11" s="303" customFormat="1" ht="17.25" hidden="1" customHeight="1" x14ac:dyDescent="0.25">
      <c r="A1391" s="3005"/>
      <c r="B1391" s="2913"/>
      <c r="C1391" s="4104" t="s">
        <v>679</v>
      </c>
      <c r="D1391" s="879">
        <v>8721706850</v>
      </c>
      <c r="E1391" s="1974">
        <v>7292506060</v>
      </c>
      <c r="F1391" s="880">
        <f>E1391/D1391*100</f>
        <v>83.613290212798191</v>
      </c>
      <c r="G1391" s="3630">
        <v>93</v>
      </c>
      <c r="H1391" s="554"/>
      <c r="J1391" s="522"/>
      <c r="K1391" s="522"/>
    </row>
    <row r="1392" spans="1:11" s="303" customFormat="1" ht="9.75" hidden="1" customHeight="1" x14ac:dyDescent="0.25">
      <c r="A1392" s="3005"/>
      <c r="B1392" s="2913"/>
      <c r="C1392" s="4118"/>
      <c r="D1392" s="3630"/>
      <c r="E1392" s="666"/>
      <c r="F1392" s="880"/>
      <c r="G1392" s="1717"/>
      <c r="H1392" s="554"/>
      <c r="J1392" s="522"/>
      <c r="K1392" s="522"/>
    </row>
    <row r="1393" spans="1:11" s="303" customFormat="1" ht="16.5" hidden="1" customHeight="1" x14ac:dyDescent="0.25">
      <c r="A1393" s="3005"/>
      <c r="B1393" s="2913"/>
      <c r="C1393" s="3938" t="s">
        <v>680</v>
      </c>
      <c r="D1393" s="3633">
        <f>SUM(D1394:D1395)</f>
        <v>2958900000</v>
      </c>
      <c r="E1393" s="3633">
        <f>SUM(E1394:E1395)</f>
        <v>2885060000</v>
      </c>
      <c r="F1393" s="1415">
        <f>E1393/D1393*100</f>
        <v>97.504478015478725</v>
      </c>
      <c r="G1393" s="3629">
        <v>100</v>
      </c>
      <c r="H1393" s="554"/>
      <c r="J1393" s="522"/>
      <c r="K1393" s="522"/>
    </row>
    <row r="1394" spans="1:11" s="303" customFormat="1" ht="13.5" hidden="1" customHeight="1" x14ac:dyDescent="0.25">
      <c r="A1394" s="3005"/>
      <c r="B1394" s="2913"/>
      <c r="C1394" s="4118" t="s">
        <v>681</v>
      </c>
      <c r="D1394" s="879">
        <v>2958900000</v>
      </c>
      <c r="E1394" s="3879">
        <v>2885060000</v>
      </c>
      <c r="F1394" s="880">
        <f>E1394/D1394*100</f>
        <v>97.504478015478725</v>
      </c>
      <c r="G1394" s="3630">
        <v>100</v>
      </c>
      <c r="H1394" s="554"/>
      <c r="J1394" s="522"/>
      <c r="K1394" s="522"/>
    </row>
    <row r="1395" spans="1:11" s="303" customFormat="1" ht="9.75" hidden="1" customHeight="1" x14ac:dyDescent="0.25">
      <c r="A1395" s="3005"/>
      <c r="B1395" s="2913"/>
      <c r="C1395" s="4001"/>
      <c r="D1395" s="798"/>
      <c r="E1395" s="865"/>
      <c r="F1395" s="798"/>
      <c r="G1395" s="798"/>
      <c r="H1395" s="554"/>
      <c r="J1395" s="522"/>
      <c r="K1395" s="522"/>
    </row>
    <row r="1396" spans="1:11" s="303" customFormat="1" ht="16.5" hidden="1" customHeight="1" x14ac:dyDescent="0.25">
      <c r="A1396" s="3005"/>
      <c r="B1396" s="2913"/>
      <c r="C1396" s="3938" t="s">
        <v>682</v>
      </c>
      <c r="D1396" s="3629">
        <f>D1397</f>
        <v>1547500000</v>
      </c>
      <c r="E1396" s="3629">
        <f>E1397</f>
        <v>1535500000</v>
      </c>
      <c r="F1396" s="1415">
        <f>E1396/D1396*100</f>
        <v>99.224555735056541</v>
      </c>
      <c r="G1396" s="3629">
        <v>100</v>
      </c>
      <c r="H1396" s="554"/>
      <c r="J1396" s="522"/>
      <c r="K1396" s="522"/>
    </row>
    <row r="1397" spans="1:11" s="303" customFormat="1" ht="17.25" hidden="1" customHeight="1" x14ac:dyDescent="0.25">
      <c r="A1397" s="3005"/>
      <c r="B1397" s="2913"/>
      <c r="C1397" s="3908" t="s">
        <v>683</v>
      </c>
      <c r="D1397" s="879">
        <v>1547500000</v>
      </c>
      <c r="E1397" s="3879">
        <v>1535500000</v>
      </c>
      <c r="F1397" s="880">
        <f>E1397/D1397*100</f>
        <v>99.224555735056541</v>
      </c>
      <c r="G1397" s="3630">
        <v>10</v>
      </c>
      <c r="H1397" s="554"/>
      <c r="J1397" s="522"/>
      <c r="K1397" s="522"/>
    </row>
    <row r="1398" spans="1:11" s="303" customFormat="1" ht="9" hidden="1" customHeight="1" x14ac:dyDescent="0.25">
      <c r="A1398" s="3005"/>
      <c r="B1398" s="2913"/>
      <c r="C1398" s="3908"/>
      <c r="D1398" s="879"/>
      <c r="E1398" s="3879"/>
      <c r="F1398" s="3630"/>
      <c r="G1398" s="3630"/>
      <c r="H1398" s="554"/>
      <c r="J1398" s="522"/>
      <c r="K1398" s="522"/>
    </row>
    <row r="1399" spans="1:11" s="303" customFormat="1" ht="17.25" hidden="1" customHeight="1" x14ac:dyDescent="0.25">
      <c r="A1399" s="3005"/>
      <c r="B1399" s="2913"/>
      <c r="C1399" s="3911" t="s">
        <v>684</v>
      </c>
      <c r="D1399" s="955">
        <f>D1400</f>
        <v>2445000000</v>
      </c>
      <c r="E1399" s="4056">
        <v>0</v>
      </c>
      <c r="F1399" s="4056">
        <v>0</v>
      </c>
      <c r="G1399" s="4056">
        <v>0</v>
      </c>
      <c r="H1399" s="554"/>
      <c r="J1399" s="522"/>
      <c r="K1399" s="522"/>
    </row>
    <row r="1400" spans="1:11" s="303" customFormat="1" ht="17.25" hidden="1" customHeight="1" x14ac:dyDescent="0.25">
      <c r="A1400" s="3005"/>
      <c r="B1400" s="2913"/>
      <c r="C1400" s="4104" t="s">
        <v>685</v>
      </c>
      <c r="D1400" s="879">
        <v>2445000000</v>
      </c>
      <c r="E1400" s="3879">
        <v>0</v>
      </c>
      <c r="F1400" s="3879">
        <v>0</v>
      </c>
      <c r="G1400" s="3879">
        <v>0</v>
      </c>
      <c r="H1400" s="554"/>
      <c r="J1400" s="522"/>
      <c r="K1400" s="522"/>
    </row>
    <row r="1401" spans="1:11" s="303" customFormat="1" ht="7.5" hidden="1" customHeight="1" x14ac:dyDescent="0.25">
      <c r="A1401" s="3005"/>
      <c r="B1401" s="2913"/>
      <c r="C1401" s="3861"/>
      <c r="D1401" s="2718"/>
      <c r="E1401" s="969"/>
      <c r="F1401" s="2279"/>
      <c r="G1401" s="2279"/>
      <c r="H1401" s="554"/>
      <c r="J1401" s="522"/>
      <c r="K1401" s="522"/>
    </row>
    <row r="1402" spans="1:11" s="303" customFormat="1" ht="17.25" hidden="1" customHeight="1" x14ac:dyDescent="0.25">
      <c r="A1402" s="3005"/>
      <c r="B1402" s="5397"/>
      <c r="C1402" s="3921" t="s">
        <v>686</v>
      </c>
      <c r="D1402" s="1580">
        <f>D1403</f>
        <v>2454600000</v>
      </c>
      <c r="E1402" s="1580">
        <f>E1403</f>
        <v>2424680000</v>
      </c>
      <c r="F1402" s="1726">
        <f>E1402/D1402*100</f>
        <v>98.781064124500944</v>
      </c>
      <c r="G1402" s="3631">
        <v>100</v>
      </c>
      <c r="H1402" s="554"/>
      <c r="J1402" s="3338"/>
      <c r="K1402" s="522"/>
    </row>
    <row r="1403" spans="1:11" s="303" customFormat="1" ht="17.25" hidden="1" customHeight="1" x14ac:dyDescent="0.25">
      <c r="A1403" s="3005"/>
      <c r="B1403" s="2913"/>
      <c r="C1403" s="3912" t="s">
        <v>687</v>
      </c>
      <c r="D1403" s="936">
        <f>D1404</f>
        <v>2454600000</v>
      </c>
      <c r="E1403" s="3431">
        <f>E1404</f>
        <v>2424680000</v>
      </c>
      <c r="F1403" s="1415">
        <f>E1403/D1403*100</f>
        <v>98.781064124500944</v>
      </c>
      <c r="G1403" s="3632">
        <v>100</v>
      </c>
      <c r="H1403" s="554"/>
      <c r="J1403" s="522"/>
      <c r="K1403" s="522"/>
    </row>
    <row r="1404" spans="1:11" s="303" customFormat="1" hidden="1" x14ac:dyDescent="0.25">
      <c r="A1404" s="3005"/>
      <c r="B1404" s="2913"/>
      <c r="C1404" s="3908" t="s">
        <v>688</v>
      </c>
      <c r="D1404" s="879">
        <v>2454600000</v>
      </c>
      <c r="E1404" s="3879">
        <v>2424680000</v>
      </c>
      <c r="F1404" s="880">
        <f>E1404/D1404*100</f>
        <v>98.781064124500944</v>
      </c>
      <c r="G1404" s="3630">
        <v>100</v>
      </c>
      <c r="H1404" s="554"/>
      <c r="J1404" s="522"/>
      <c r="K1404" s="522"/>
    </row>
    <row r="1405" spans="1:11" ht="12" hidden="1" customHeight="1" x14ac:dyDescent="0.25">
      <c r="B1405" s="2913"/>
      <c r="C1405" s="3896"/>
      <c r="D1405" s="827"/>
      <c r="E1405" s="969"/>
      <c r="F1405" s="2279"/>
      <c r="G1405" s="2279"/>
      <c r="H1405" s="535"/>
    </row>
    <row r="1406" spans="1:11" ht="18" hidden="1" customHeight="1" x14ac:dyDescent="0.25">
      <c r="B1406" s="5397"/>
      <c r="C1406" s="3913" t="s">
        <v>689</v>
      </c>
      <c r="D1406" s="3631">
        <f>D1407+D1412+D1415</f>
        <v>6938134000</v>
      </c>
      <c r="E1406" s="3631">
        <f>E1407+E1412+E1415</f>
        <v>4392776000</v>
      </c>
      <c r="F1406" s="1726">
        <f>E1406/D1406*100</f>
        <v>63.313507637644364</v>
      </c>
      <c r="G1406" s="1726">
        <f>SUM(G1407+G1412+G1415)/3</f>
        <v>83</v>
      </c>
      <c r="H1406" s="535"/>
      <c r="K1406" s="3338"/>
    </row>
    <row r="1407" spans="1:11" ht="18" hidden="1" customHeight="1" x14ac:dyDescent="0.25">
      <c r="B1407" s="2913"/>
      <c r="C1407" s="3911" t="s">
        <v>690</v>
      </c>
      <c r="D1407" s="1581">
        <f>SUM(D1408:D1410)</f>
        <v>2468365000</v>
      </c>
      <c r="E1407" s="1581">
        <f>SUM(E1408:E1410)</f>
        <v>1024026000</v>
      </c>
      <c r="F1407" s="1415">
        <f>E1407/D1407*100</f>
        <v>41.486003893265377</v>
      </c>
      <c r="G1407" s="2380">
        <f>SUM(G1408:G1410)/3</f>
        <v>74</v>
      </c>
      <c r="H1407" s="535"/>
    </row>
    <row r="1408" spans="1:11" ht="19.5" hidden="1" customHeight="1" x14ac:dyDescent="0.25">
      <c r="B1408" s="2913"/>
      <c r="C1408" s="4118" t="s">
        <v>691</v>
      </c>
      <c r="D1408" s="3630">
        <v>1805200000</v>
      </c>
      <c r="E1408" s="3879">
        <v>454356000</v>
      </c>
      <c r="F1408" s="880">
        <f>E1408/D1408*100</f>
        <v>25.169288721471304</v>
      </c>
      <c r="G1408" s="3630">
        <v>44</v>
      </c>
      <c r="H1408" s="535"/>
    </row>
    <row r="1409" spans="2:11" ht="14.25" hidden="1" customHeight="1" x14ac:dyDescent="0.25">
      <c r="B1409" s="2913"/>
      <c r="C1409" s="3908" t="s">
        <v>692</v>
      </c>
      <c r="D1409" s="4113">
        <v>311700000</v>
      </c>
      <c r="E1409" s="1871">
        <v>227650000</v>
      </c>
      <c r="F1409" s="880">
        <f>E1409/D1409*100</f>
        <v>73.034969521976251</v>
      </c>
      <c r="G1409" s="3648">
        <v>78</v>
      </c>
      <c r="H1409" s="535"/>
    </row>
    <row r="1410" spans="2:11" ht="18" hidden="1" customHeight="1" x14ac:dyDescent="0.25">
      <c r="B1410" s="2913"/>
      <c r="C1410" s="3908" t="s">
        <v>693</v>
      </c>
      <c r="D1410" s="4113">
        <v>351465000</v>
      </c>
      <c r="E1410" s="1871">
        <v>342020000</v>
      </c>
      <c r="F1410" s="880">
        <f>E1410/D1410*100</f>
        <v>97.312676937959679</v>
      </c>
      <c r="G1410" s="3648">
        <v>100</v>
      </c>
      <c r="H1410" s="535"/>
    </row>
    <row r="1411" spans="2:11" ht="12" hidden="1" customHeight="1" x14ac:dyDescent="0.25">
      <c r="B1411" s="2913"/>
      <c r="C1411" s="4002"/>
      <c r="D1411" s="827"/>
      <c r="E1411" s="3879"/>
      <c r="F1411" s="3648"/>
      <c r="G1411" s="3648"/>
      <c r="H1411" s="535"/>
    </row>
    <row r="1412" spans="2:11" ht="15.75" hidden="1" customHeight="1" x14ac:dyDescent="0.25">
      <c r="B1412" s="2913"/>
      <c r="C1412" s="3911" t="s">
        <v>694</v>
      </c>
      <c r="D1412" s="3629">
        <f>D1413</f>
        <v>4026089000</v>
      </c>
      <c r="E1412" s="3629">
        <f>E1413</f>
        <v>2928350000</v>
      </c>
      <c r="F1412" s="1415">
        <f>E1412/D1412*100</f>
        <v>72.734358331373201</v>
      </c>
      <c r="G1412" s="3629">
        <v>75</v>
      </c>
      <c r="H1412" s="3621"/>
      <c r="I1412" s="753">
        <f>I1413</f>
        <v>0</v>
      </c>
    </row>
    <row r="1413" spans="2:11" ht="17.25" hidden="1" customHeight="1" x14ac:dyDescent="0.25">
      <c r="B1413" s="2913"/>
      <c r="C1413" s="3908" t="s">
        <v>695</v>
      </c>
      <c r="D1413" s="879">
        <v>4026089000</v>
      </c>
      <c r="E1413" s="1976">
        <v>2928350000</v>
      </c>
      <c r="F1413" s="880">
        <f>E1413/D1413*100</f>
        <v>72.734358331373201</v>
      </c>
      <c r="G1413" s="3648">
        <v>80</v>
      </c>
      <c r="H1413" s="535"/>
    </row>
    <row r="1414" spans="2:11" ht="12" hidden="1" customHeight="1" x14ac:dyDescent="0.25">
      <c r="B1414" s="2913"/>
      <c r="C1414" s="3896"/>
      <c r="D1414" s="827"/>
      <c r="E1414" s="3879"/>
      <c r="F1414" s="3648"/>
      <c r="G1414" s="3648"/>
      <c r="H1414" s="535"/>
    </row>
    <row r="1415" spans="2:11" ht="16.5" hidden="1" customHeight="1" x14ac:dyDescent="0.25">
      <c r="B1415" s="2913"/>
      <c r="C1415" s="3911" t="s">
        <v>696</v>
      </c>
      <c r="D1415" s="3629">
        <f>D1416</f>
        <v>443680000</v>
      </c>
      <c r="E1415" s="3633">
        <f>E1416</f>
        <v>440400000</v>
      </c>
      <c r="F1415" s="1415">
        <f>E1415/D1415*100</f>
        <v>99.260728452939048</v>
      </c>
      <c r="G1415" s="3629">
        <v>100</v>
      </c>
      <c r="H1415" s="535"/>
    </row>
    <row r="1416" spans="2:11" ht="14.25" hidden="1" customHeight="1" x14ac:dyDescent="0.25">
      <c r="B1416" s="2913"/>
      <c r="C1416" s="3908" t="s">
        <v>697</v>
      </c>
      <c r="D1416" s="879">
        <v>443680000</v>
      </c>
      <c r="E1416" s="3879">
        <v>440400000</v>
      </c>
      <c r="F1416" s="880">
        <f>E1416/D1416*100</f>
        <v>99.260728452939048</v>
      </c>
      <c r="G1416" s="3630">
        <v>100</v>
      </c>
      <c r="H1416" s="535"/>
    </row>
    <row r="1417" spans="2:11" ht="12" hidden="1" customHeight="1" x14ac:dyDescent="0.25">
      <c r="B1417" s="2913"/>
      <c r="C1417" s="3896"/>
      <c r="D1417" s="827"/>
      <c r="E1417" s="894"/>
      <c r="F1417" s="1315"/>
      <c r="G1417" s="1315"/>
      <c r="H1417" s="535"/>
    </row>
    <row r="1418" spans="2:11" ht="15.75" hidden="1" customHeight="1" x14ac:dyDescent="0.25">
      <c r="B1418" s="5397"/>
      <c r="C1418" s="3921" t="s">
        <v>2074</v>
      </c>
      <c r="D1418" s="1580">
        <f>D1419</f>
        <v>123324000</v>
      </c>
      <c r="E1418" s="1580">
        <f>E1419</f>
        <v>123174000</v>
      </c>
      <c r="F1418" s="1726">
        <f>E1418/D1418*100</f>
        <v>99.878369173883428</v>
      </c>
      <c r="G1418" s="2356">
        <v>100</v>
      </c>
      <c r="H1418" s="535"/>
      <c r="J1418" s="3338"/>
    </row>
    <row r="1419" spans="2:11" ht="19.5" hidden="1" customHeight="1" x14ac:dyDescent="0.25">
      <c r="B1419" s="2913"/>
      <c r="C1419" s="3911" t="s">
        <v>2075</v>
      </c>
      <c r="D1419" s="955">
        <f>D1420</f>
        <v>123324000</v>
      </c>
      <c r="E1419" s="955">
        <f>E1420</f>
        <v>123174000</v>
      </c>
      <c r="F1419" s="1701">
        <f>E1419/D1419*100</f>
        <v>99.878369173883428</v>
      </c>
      <c r="G1419" s="2259">
        <v>100</v>
      </c>
      <c r="H1419" s="535"/>
    </row>
    <row r="1420" spans="2:11" ht="14.25" hidden="1" customHeight="1" x14ac:dyDescent="0.25">
      <c r="B1420" s="2913"/>
      <c r="C1420" s="3908" t="s">
        <v>2076</v>
      </c>
      <c r="D1420" s="932">
        <v>123324000</v>
      </c>
      <c r="E1420" s="1871">
        <v>123174000</v>
      </c>
      <c r="F1420" s="880">
        <f>E1420/D1420*100</f>
        <v>99.878369173883428</v>
      </c>
      <c r="G1420" s="1717">
        <v>100</v>
      </c>
      <c r="H1420" s="535"/>
    </row>
    <row r="1421" spans="2:11" ht="12" hidden="1" customHeight="1" x14ac:dyDescent="0.25">
      <c r="B1421" s="2913"/>
      <c r="C1421" s="3896"/>
      <c r="D1421" s="1528"/>
      <c r="E1421" s="969"/>
      <c r="F1421" s="2279"/>
      <c r="G1421" s="2279"/>
      <c r="H1421" s="535"/>
    </row>
    <row r="1422" spans="2:11" ht="14.25" hidden="1" customHeight="1" x14ac:dyDescent="0.25">
      <c r="B1422" s="5397"/>
      <c r="C1422" s="3921" t="s">
        <v>698</v>
      </c>
      <c r="D1422" s="1518">
        <f>SUM(D1423+D1426+D1429+D1433+D1441)</f>
        <v>5153041000</v>
      </c>
      <c r="E1422" s="1518">
        <f>SUM(E1423+E1426+E1429+E1433+E1441)</f>
        <v>5144530325</v>
      </c>
      <c r="F1422" s="1726">
        <f>E1422/D1422*100</f>
        <v>99.8348416983292</v>
      </c>
      <c r="G1422" s="2356">
        <v>100</v>
      </c>
      <c r="H1422" s="535"/>
      <c r="K1422" s="3338"/>
    </row>
    <row r="1423" spans="2:11" ht="16.5" hidden="1" customHeight="1" x14ac:dyDescent="0.25">
      <c r="B1423" s="2913"/>
      <c r="C1423" s="3912" t="s">
        <v>2077</v>
      </c>
      <c r="D1423" s="1519">
        <f>D1424</f>
        <v>326223000</v>
      </c>
      <c r="E1423" s="1519">
        <f>E1424</f>
        <v>326223000</v>
      </c>
      <c r="F1423" s="1415">
        <f>E1423/D1423*100</f>
        <v>100</v>
      </c>
      <c r="G1423" s="3691">
        <v>100</v>
      </c>
      <c r="H1423" s="535"/>
    </row>
    <row r="1424" spans="2:11" ht="15.75" hidden="1" customHeight="1" x14ac:dyDescent="0.25">
      <c r="B1424" s="2913"/>
      <c r="C1424" s="3908" t="s">
        <v>2078</v>
      </c>
      <c r="D1424" s="1343">
        <v>326223000</v>
      </c>
      <c r="E1424" s="1977">
        <v>326223000</v>
      </c>
      <c r="F1424" s="880">
        <f>E1424/D1424*100</f>
        <v>100</v>
      </c>
      <c r="G1424" s="1717">
        <v>100</v>
      </c>
      <c r="H1424" s="535"/>
    </row>
    <row r="1425" spans="2:8" ht="12" hidden="1" customHeight="1" x14ac:dyDescent="0.25">
      <c r="B1425" s="2913"/>
      <c r="C1425" s="3915"/>
      <c r="D1425" s="1538"/>
      <c r="E1425" s="894"/>
      <c r="F1425" s="1315"/>
      <c r="G1425" s="1315"/>
      <c r="H1425" s="535"/>
    </row>
    <row r="1426" spans="2:8" ht="16.5" hidden="1" customHeight="1" x14ac:dyDescent="0.25">
      <c r="B1426" s="2913"/>
      <c r="C1426" s="4116" t="s">
        <v>2079</v>
      </c>
      <c r="D1426" s="1519">
        <f>D1427</f>
        <v>119710000</v>
      </c>
      <c r="E1426" s="1519">
        <f>E1427</f>
        <v>119210000</v>
      </c>
      <c r="F1426" s="1415">
        <f>E1426/D1426*100</f>
        <v>99.582323949544744</v>
      </c>
      <c r="G1426" s="2261">
        <v>100</v>
      </c>
      <c r="H1426" s="535"/>
    </row>
    <row r="1427" spans="2:8" ht="14.25" hidden="1" customHeight="1" x14ac:dyDescent="0.25">
      <c r="B1427" s="2913"/>
      <c r="C1427" s="3908" t="s">
        <v>2080</v>
      </c>
      <c r="D1427" s="1343">
        <v>119710000</v>
      </c>
      <c r="E1427" s="1977">
        <v>119210000</v>
      </c>
      <c r="F1427" s="880">
        <f>E1427/D1427*100</f>
        <v>99.582323949544744</v>
      </c>
      <c r="G1427" s="1717">
        <v>100</v>
      </c>
      <c r="H1427" s="535"/>
    </row>
    <row r="1428" spans="2:8" ht="8.25" hidden="1" customHeight="1" x14ac:dyDescent="0.25">
      <c r="B1428" s="2913"/>
      <c r="C1428" s="4003"/>
      <c r="D1428" s="5492"/>
      <c r="E1428" s="894"/>
      <c r="F1428" s="1315"/>
      <c r="G1428" s="1315"/>
      <c r="H1428" s="535"/>
    </row>
    <row r="1429" spans="2:8" ht="17.25" hidden="1" customHeight="1" x14ac:dyDescent="0.25">
      <c r="B1429" s="2913"/>
      <c r="C1429" s="3881" t="s">
        <v>2081</v>
      </c>
      <c r="D1429" s="1539">
        <f>SUM(D1430:D1431)</f>
        <v>2400178000</v>
      </c>
      <c r="E1429" s="1519">
        <f>SUM(E1430:E1431)</f>
        <v>2397251475</v>
      </c>
      <c r="F1429" s="1415">
        <f>E1429/D1429*100</f>
        <v>99.878070501437804</v>
      </c>
      <c r="G1429" s="877">
        <v>100</v>
      </c>
      <c r="H1429" s="535"/>
    </row>
    <row r="1430" spans="2:8" ht="13.5" hidden="1" customHeight="1" x14ac:dyDescent="0.25">
      <c r="B1430" s="2913"/>
      <c r="C1430" s="3908" t="s">
        <v>2082</v>
      </c>
      <c r="D1430" s="1343">
        <v>2276127000</v>
      </c>
      <c r="E1430" s="878">
        <v>2273200475</v>
      </c>
      <c r="F1430" s="880">
        <f>E1430/D1430*100</f>
        <v>99.871425232423334</v>
      </c>
      <c r="G1430" s="878">
        <v>100</v>
      </c>
      <c r="H1430" s="535"/>
    </row>
    <row r="1431" spans="2:8" ht="15" hidden="1" customHeight="1" x14ac:dyDescent="0.25">
      <c r="B1431" s="2913"/>
      <c r="C1431" s="5493" t="s">
        <v>2361</v>
      </c>
      <c r="D1431" s="1167">
        <v>124051000</v>
      </c>
      <c r="E1431" s="878">
        <v>124051000</v>
      </c>
      <c r="F1431" s="880">
        <f>E1431/D1431*100</f>
        <v>100</v>
      </c>
      <c r="G1431" s="878">
        <v>100</v>
      </c>
      <c r="H1431" s="535"/>
    </row>
    <row r="1432" spans="2:8" ht="11.25" hidden="1" customHeight="1" x14ac:dyDescent="0.25">
      <c r="B1432" s="2913"/>
      <c r="C1432" s="4003"/>
      <c r="D1432" s="1528"/>
      <c r="E1432" s="894"/>
      <c r="F1432" s="1315"/>
      <c r="G1432" s="1315"/>
      <c r="H1432" s="535"/>
    </row>
    <row r="1433" spans="2:8" ht="15.75" hidden="1" customHeight="1" x14ac:dyDescent="0.25">
      <c r="B1433" s="2913"/>
      <c r="C1433" s="3881" t="s">
        <v>2083</v>
      </c>
      <c r="D1433" s="1539">
        <f>SUM(D1434:D1439)</f>
        <v>2059500000</v>
      </c>
      <c r="E1433" s="1539">
        <f>SUM(E1434:E1439)</f>
        <v>2054652850</v>
      </c>
      <c r="F1433" s="1415">
        <f t="shared" ref="F1433:F1439" si="29">E1433/D1433*100</f>
        <v>99.764644331148332</v>
      </c>
      <c r="G1433" s="2261">
        <v>100</v>
      </c>
      <c r="H1433" s="535"/>
    </row>
    <row r="1434" spans="2:8" ht="18" hidden="1" customHeight="1" x14ac:dyDescent="0.25">
      <c r="B1434" s="2913"/>
      <c r="C1434" s="3908" t="s">
        <v>2084</v>
      </c>
      <c r="D1434" s="879">
        <v>500000000</v>
      </c>
      <c r="E1434" s="878">
        <v>500000000</v>
      </c>
      <c r="F1434" s="880">
        <f t="shared" si="29"/>
        <v>100</v>
      </c>
      <c r="G1434" s="878">
        <v>100</v>
      </c>
      <c r="H1434" s="535"/>
    </row>
    <row r="1435" spans="2:8" ht="16.5" hidden="1" customHeight="1" x14ac:dyDescent="0.25">
      <c r="B1435" s="2913"/>
      <c r="C1435" s="3908" t="s">
        <v>2085</v>
      </c>
      <c r="D1435" s="879">
        <v>100000000</v>
      </c>
      <c r="E1435" s="1867">
        <v>99325000</v>
      </c>
      <c r="F1435" s="880">
        <f t="shared" si="29"/>
        <v>99.325000000000003</v>
      </c>
      <c r="G1435" s="1717">
        <v>100</v>
      </c>
      <c r="H1435" s="535"/>
    </row>
    <row r="1436" spans="2:8" ht="15.75" hidden="1" customHeight="1" x14ac:dyDescent="0.25">
      <c r="B1436" s="2913"/>
      <c r="C1436" s="3908" t="s">
        <v>2086</v>
      </c>
      <c r="D1436" s="879">
        <v>250000000</v>
      </c>
      <c r="E1436" s="878">
        <v>250000000</v>
      </c>
      <c r="F1436" s="880">
        <f t="shared" si="29"/>
        <v>100</v>
      </c>
      <c r="G1436" s="878">
        <v>100</v>
      </c>
      <c r="H1436" s="535"/>
    </row>
    <row r="1437" spans="2:8" ht="16.5" hidden="1" customHeight="1" x14ac:dyDescent="0.25">
      <c r="B1437" s="2913"/>
      <c r="C1437" s="3908" t="s">
        <v>2087</v>
      </c>
      <c r="D1437" s="879">
        <v>100000000</v>
      </c>
      <c r="E1437" s="878">
        <v>100000000</v>
      </c>
      <c r="F1437" s="880">
        <f t="shared" si="29"/>
        <v>100</v>
      </c>
      <c r="G1437" s="878">
        <v>100</v>
      </c>
      <c r="H1437" s="535"/>
    </row>
    <row r="1438" spans="2:8" ht="17.25" hidden="1" customHeight="1" x14ac:dyDescent="0.25">
      <c r="B1438" s="2913"/>
      <c r="C1438" s="3908" t="s">
        <v>2088</v>
      </c>
      <c r="D1438" s="879">
        <v>748500000</v>
      </c>
      <c r="E1438" s="3434">
        <v>744927850</v>
      </c>
      <c r="F1438" s="880">
        <f t="shared" si="29"/>
        <v>99.522758851035405</v>
      </c>
      <c r="G1438" s="1717">
        <v>100</v>
      </c>
      <c r="H1438" s="535"/>
    </row>
    <row r="1439" spans="2:8" ht="15.75" hidden="1" customHeight="1" x14ac:dyDescent="0.25">
      <c r="B1439" s="2913"/>
      <c r="C1439" s="3908" t="s">
        <v>2089</v>
      </c>
      <c r="D1439" s="879">
        <v>361000000</v>
      </c>
      <c r="E1439" s="878">
        <v>360400000</v>
      </c>
      <c r="F1439" s="880">
        <f t="shared" si="29"/>
        <v>99.83379501385042</v>
      </c>
      <c r="G1439" s="878">
        <v>100</v>
      </c>
      <c r="H1439" s="535"/>
    </row>
    <row r="1440" spans="2:8" ht="12" hidden="1" customHeight="1" x14ac:dyDescent="0.25">
      <c r="B1440" s="2913"/>
      <c r="C1440" s="1339"/>
      <c r="D1440" s="1528"/>
      <c r="E1440" s="969"/>
      <c r="F1440" s="2279"/>
      <c r="G1440" s="2279"/>
      <c r="H1440" s="535"/>
    </row>
    <row r="1441" spans="2:10" ht="14.25" hidden="1" customHeight="1" x14ac:dyDescent="0.25">
      <c r="B1441" s="2913"/>
      <c r="C1441" s="5494" t="s">
        <v>2359</v>
      </c>
      <c r="D1441" s="1166">
        <f>D1442</f>
        <v>247430000</v>
      </c>
      <c r="E1441" s="1166">
        <f>E1442</f>
        <v>247193000</v>
      </c>
      <c r="F1441" s="1415">
        <f>E1441/D1441*100</f>
        <v>99.904215333629708</v>
      </c>
      <c r="G1441" s="877">
        <v>100</v>
      </c>
      <c r="H1441" s="535"/>
    </row>
    <row r="1442" spans="2:10" ht="14.25" hidden="1" customHeight="1" x14ac:dyDescent="0.25">
      <c r="B1442" s="2913"/>
      <c r="C1442" s="3908" t="s">
        <v>2360</v>
      </c>
      <c r="D1442" s="1167">
        <v>247430000</v>
      </c>
      <c r="E1442" s="878">
        <v>247193000</v>
      </c>
      <c r="F1442" s="880">
        <f>E1442/D1442*100</f>
        <v>99.904215333629708</v>
      </c>
      <c r="G1442" s="878">
        <v>100</v>
      </c>
      <c r="H1442" s="535"/>
    </row>
    <row r="1443" spans="2:10" ht="12" hidden="1" customHeight="1" x14ac:dyDescent="0.25">
      <c r="B1443" s="2913"/>
      <c r="C1443" s="4004"/>
      <c r="D1443" s="1528"/>
      <c r="E1443" s="969"/>
      <c r="F1443" s="2279"/>
      <c r="G1443" s="2279"/>
      <c r="H1443" s="535"/>
    </row>
    <row r="1444" spans="2:10" ht="14.25" hidden="1" customHeight="1" x14ac:dyDescent="0.25">
      <c r="B1444" s="5397"/>
      <c r="C1444" s="3913" t="s">
        <v>2090</v>
      </c>
      <c r="D1444" s="3631">
        <f>SUM(D1445+D1451)</f>
        <v>7274440000</v>
      </c>
      <c r="E1444" s="3631">
        <f>SUM(E1445+E1451)</f>
        <v>7114900000</v>
      </c>
      <c r="F1444" s="1726">
        <f t="shared" ref="F1444:F1449" si="30">E1444/D1444*100</f>
        <v>97.806841488829377</v>
      </c>
      <c r="G1444" s="2356">
        <v>100</v>
      </c>
      <c r="H1444" s="535"/>
      <c r="J1444" s="3338"/>
    </row>
    <row r="1445" spans="2:10" ht="17.25" hidden="1" customHeight="1" x14ac:dyDescent="0.25">
      <c r="B1445" s="2913"/>
      <c r="C1445" s="3968" t="s">
        <v>297</v>
      </c>
      <c r="D1445" s="3633">
        <f>SUM(D1446:D1449)</f>
        <v>5668000000</v>
      </c>
      <c r="E1445" s="3633">
        <f>SUM(E1446:E1449)</f>
        <v>5599500000</v>
      </c>
      <c r="F1445" s="1415">
        <f t="shared" si="30"/>
        <v>98.79146083274523</v>
      </c>
      <c r="G1445" s="2562">
        <v>100</v>
      </c>
      <c r="H1445" s="535"/>
    </row>
    <row r="1446" spans="2:10" ht="13.5" hidden="1" customHeight="1" x14ac:dyDescent="0.25">
      <c r="B1446" s="2913"/>
      <c r="C1446" s="3908" t="s">
        <v>2091</v>
      </c>
      <c r="D1446" s="879">
        <v>123000000</v>
      </c>
      <c r="E1446" s="3442">
        <v>121000000</v>
      </c>
      <c r="F1446" s="880">
        <f t="shared" si="30"/>
        <v>98.373983739837399</v>
      </c>
      <c r="G1446" s="1717">
        <v>100</v>
      </c>
      <c r="H1446" s="535"/>
    </row>
    <row r="1447" spans="2:10" ht="17.25" hidden="1" customHeight="1" x14ac:dyDescent="0.25">
      <c r="B1447" s="2913"/>
      <c r="C1447" s="3908" t="s">
        <v>2092</v>
      </c>
      <c r="D1447" s="879">
        <v>175000000</v>
      </c>
      <c r="E1447" s="3443">
        <v>173800000</v>
      </c>
      <c r="F1447" s="880">
        <f t="shared" si="30"/>
        <v>99.314285714285717</v>
      </c>
      <c r="G1447" s="3648">
        <v>100</v>
      </c>
      <c r="H1447" s="535"/>
    </row>
    <row r="1448" spans="2:10" ht="17.25" hidden="1" customHeight="1" x14ac:dyDescent="0.25">
      <c r="B1448" s="2913"/>
      <c r="C1448" s="3908" t="s">
        <v>2093</v>
      </c>
      <c r="D1448" s="879">
        <v>5250000000</v>
      </c>
      <c r="E1448" s="3443">
        <v>5185700000</v>
      </c>
      <c r="F1448" s="880">
        <f t="shared" si="30"/>
        <v>98.775238095238095</v>
      </c>
      <c r="G1448" s="3648">
        <v>100</v>
      </c>
      <c r="H1448" s="535"/>
    </row>
    <row r="1449" spans="2:10" ht="16.5" hidden="1" customHeight="1" x14ac:dyDescent="0.25">
      <c r="B1449" s="2913"/>
      <c r="C1449" s="3908" t="s">
        <v>2094</v>
      </c>
      <c r="D1449" s="879">
        <v>120000000</v>
      </c>
      <c r="E1449" s="878">
        <v>119000000</v>
      </c>
      <c r="F1449" s="880">
        <f t="shared" si="30"/>
        <v>99.166666666666671</v>
      </c>
      <c r="G1449" s="3648">
        <v>100</v>
      </c>
      <c r="H1449" s="535"/>
    </row>
    <row r="1450" spans="2:10" ht="10.5" hidden="1" customHeight="1" x14ac:dyDescent="0.25">
      <c r="B1450" s="2913"/>
      <c r="C1450" s="4118"/>
      <c r="D1450" s="3630"/>
      <c r="E1450" s="894"/>
      <c r="F1450" s="1315"/>
      <c r="G1450" s="1315"/>
      <c r="H1450" s="535"/>
    </row>
    <row r="1451" spans="2:10" ht="17.25" hidden="1" customHeight="1" x14ac:dyDescent="0.25">
      <c r="B1451" s="2913"/>
      <c r="C1451" s="3938" t="s">
        <v>2095</v>
      </c>
      <c r="D1451" s="3629">
        <f>SUM(D1452:D1454)</f>
        <v>1606440000</v>
      </c>
      <c r="E1451" s="3629">
        <f>SUM(E1452:E1454)</f>
        <v>1515400000</v>
      </c>
      <c r="F1451" s="1415">
        <f>E1451/D1451*100</f>
        <v>94.332810437987106</v>
      </c>
      <c r="G1451" s="2261">
        <v>100</v>
      </c>
      <c r="H1451" s="535"/>
    </row>
    <row r="1452" spans="2:10" ht="27" hidden="1" customHeight="1" x14ac:dyDescent="0.25">
      <c r="B1452" s="2913"/>
      <c r="C1452" s="3908" t="s">
        <v>2096</v>
      </c>
      <c r="D1452" s="879">
        <v>483000000</v>
      </c>
      <c r="E1452" s="878">
        <v>477000000</v>
      </c>
      <c r="F1452" s="880">
        <f>E1452/D1452*100</f>
        <v>98.757763975155271</v>
      </c>
      <c r="G1452" s="878">
        <v>100</v>
      </c>
      <c r="H1452" s="535"/>
    </row>
    <row r="1453" spans="2:10" ht="16.5" hidden="1" customHeight="1" x14ac:dyDescent="0.25">
      <c r="B1453" s="2913"/>
      <c r="C1453" s="3908" t="s">
        <v>2097</v>
      </c>
      <c r="D1453" s="879">
        <v>729840000</v>
      </c>
      <c r="E1453" s="878">
        <v>710000000</v>
      </c>
      <c r="F1453" s="880">
        <f>E1453/D1453*100</f>
        <v>97.28159596623918</v>
      </c>
      <c r="G1453" s="878">
        <v>100</v>
      </c>
      <c r="H1453" s="535"/>
    </row>
    <row r="1454" spans="2:10" ht="16.5" hidden="1" customHeight="1" x14ac:dyDescent="0.25">
      <c r="B1454" s="2913"/>
      <c r="C1454" s="3908" t="s">
        <v>2098</v>
      </c>
      <c r="D1454" s="879">
        <v>393600000</v>
      </c>
      <c r="E1454" s="1871">
        <v>328400000</v>
      </c>
      <c r="F1454" s="880">
        <f>E1454/D1454*100</f>
        <v>83.434959349593498</v>
      </c>
      <c r="G1454" s="878">
        <v>100</v>
      </c>
      <c r="H1454" s="535"/>
    </row>
    <row r="1455" spans="2:10" ht="10.5" hidden="1" customHeight="1" x14ac:dyDescent="0.25">
      <c r="B1455" s="2913"/>
      <c r="C1455" s="3896"/>
      <c r="D1455" s="827"/>
      <c r="E1455" s="666"/>
      <c r="F1455" s="1315"/>
      <c r="G1455" s="1315"/>
      <c r="H1455" s="535"/>
    </row>
    <row r="1456" spans="2:10" ht="15" hidden="1" customHeight="1" x14ac:dyDescent="0.25">
      <c r="B1456" s="5397"/>
      <c r="C1456" s="3913" t="s">
        <v>2099</v>
      </c>
      <c r="D1456" s="3631">
        <f>D1457+D1461+D1465</f>
        <v>1164550000</v>
      </c>
      <c r="E1456" s="3631">
        <f>E1457+E1461+E1465</f>
        <v>1101761130</v>
      </c>
      <c r="F1456" s="1726">
        <f>E1456/D1456*100</f>
        <v>94.60831479970804</v>
      </c>
      <c r="G1456" s="2356">
        <v>100</v>
      </c>
      <c r="H1456" s="535"/>
      <c r="J1456" s="3338"/>
    </row>
    <row r="1457" spans="2:10" ht="19.5" hidden="1" customHeight="1" x14ac:dyDescent="0.25">
      <c r="B1457" s="2913"/>
      <c r="C1457" s="3914" t="s">
        <v>2100</v>
      </c>
      <c r="D1457" s="5495">
        <f>SUM(D1458:D1459)</f>
        <v>239410000</v>
      </c>
      <c r="E1457" s="3440">
        <f>SUM(E1458:E1459)</f>
        <v>238496230</v>
      </c>
      <c r="F1457" s="1415">
        <f>E1457/D1457*100</f>
        <v>99.618324213691992</v>
      </c>
      <c r="G1457" s="3691">
        <v>100</v>
      </c>
      <c r="H1457" s="535"/>
      <c r="J1457" s="3338"/>
    </row>
    <row r="1458" spans="2:10" ht="27.75" hidden="1" customHeight="1" x14ac:dyDescent="0.25">
      <c r="B1458" s="2913"/>
      <c r="C1458" s="3908" t="s">
        <v>2101</v>
      </c>
      <c r="D1458" s="879">
        <v>118050000</v>
      </c>
      <c r="E1458" s="1871">
        <v>117556230</v>
      </c>
      <c r="F1458" s="880">
        <f>E1458/D1458*100</f>
        <v>99.581728081321472</v>
      </c>
      <c r="G1458" s="1717">
        <v>100</v>
      </c>
      <c r="H1458" s="535"/>
    </row>
    <row r="1459" spans="2:10" ht="16.5" hidden="1" customHeight="1" x14ac:dyDescent="0.25">
      <c r="B1459" s="2913"/>
      <c r="C1459" s="3908" t="s">
        <v>2102</v>
      </c>
      <c r="D1459" s="879">
        <v>121360000</v>
      </c>
      <c r="E1459" s="1871">
        <v>120940000</v>
      </c>
      <c r="F1459" s="880">
        <f>E1459/D1459*100</f>
        <v>99.653922214897833</v>
      </c>
      <c r="G1459" s="1717">
        <v>100</v>
      </c>
      <c r="H1459" s="535"/>
    </row>
    <row r="1460" spans="2:10" ht="10.5" hidden="1" customHeight="1" x14ac:dyDescent="0.25">
      <c r="B1460" s="2913"/>
      <c r="C1460" s="3909"/>
      <c r="D1460" s="946"/>
      <c r="E1460" s="894"/>
      <c r="F1460" s="1717"/>
      <c r="G1460" s="1315"/>
      <c r="H1460" s="535"/>
    </row>
    <row r="1461" spans="2:10" ht="15.75" hidden="1" customHeight="1" x14ac:dyDescent="0.25">
      <c r="B1461" s="2913"/>
      <c r="C1461" s="4116" t="s">
        <v>2103</v>
      </c>
      <c r="D1461" s="927">
        <f>SUM(D1462:D1463)</f>
        <v>563400000</v>
      </c>
      <c r="E1461" s="927">
        <f>SUM(E1462:E1463)</f>
        <v>547274900</v>
      </c>
      <c r="F1461" s="1415">
        <f>E1461/D1461*100</f>
        <v>97.137894923677663</v>
      </c>
      <c r="G1461" s="2261">
        <v>100</v>
      </c>
      <c r="H1461" s="535"/>
      <c r="J1461" s="3339"/>
    </row>
    <row r="1462" spans="2:10" ht="16.5" hidden="1" customHeight="1" x14ac:dyDescent="0.25">
      <c r="B1462" s="2913"/>
      <c r="C1462" s="3908" t="s">
        <v>2104</v>
      </c>
      <c r="D1462" s="879">
        <v>250000000</v>
      </c>
      <c r="E1462" s="1871">
        <v>234500000</v>
      </c>
      <c r="F1462" s="880">
        <f>E1462/D1462*100</f>
        <v>93.8</v>
      </c>
      <c r="G1462" s="1717">
        <v>100</v>
      </c>
      <c r="H1462" s="535"/>
      <c r="J1462" s="3340"/>
    </row>
    <row r="1463" spans="2:10" ht="14.25" hidden="1" customHeight="1" x14ac:dyDescent="0.25">
      <c r="B1463" s="2913"/>
      <c r="C1463" s="3908" t="s">
        <v>2105</v>
      </c>
      <c r="D1463" s="879">
        <v>313400000</v>
      </c>
      <c r="E1463" s="1871">
        <v>312774900</v>
      </c>
      <c r="F1463" s="880">
        <f>E1463/D1463*100</f>
        <v>99.8005424377792</v>
      </c>
      <c r="G1463" s="1717">
        <v>100</v>
      </c>
      <c r="H1463" s="535"/>
      <c r="J1463" s="3340"/>
    </row>
    <row r="1464" spans="2:10" ht="11.25" hidden="1" customHeight="1" x14ac:dyDescent="0.25">
      <c r="B1464" s="2913"/>
      <c r="C1464" s="3908"/>
      <c r="D1464" s="946"/>
      <c r="E1464" s="894"/>
      <c r="F1464" s="880"/>
      <c r="G1464" s="1315"/>
      <c r="H1464" s="535"/>
    </row>
    <row r="1465" spans="2:10" ht="14.25" hidden="1" customHeight="1" x14ac:dyDescent="0.25">
      <c r="B1465" s="2913"/>
      <c r="C1465" s="4116" t="s">
        <v>2106</v>
      </c>
      <c r="D1465" s="927">
        <f>SUM(D1466:D1467)</f>
        <v>361740000</v>
      </c>
      <c r="E1465" s="927">
        <f>SUM(E1466:E1467)</f>
        <v>315990000</v>
      </c>
      <c r="F1465" s="1415">
        <f>E1465/D1465*100</f>
        <v>87.352794825012438</v>
      </c>
      <c r="G1465" s="2261">
        <v>100</v>
      </c>
      <c r="H1465" s="535"/>
    </row>
    <row r="1466" spans="2:10" ht="14.25" hidden="1" customHeight="1" x14ac:dyDescent="0.25">
      <c r="B1466" s="2913"/>
      <c r="C1466" s="3908" t="s">
        <v>2107</v>
      </c>
      <c r="D1466" s="879">
        <v>37320000</v>
      </c>
      <c r="E1466" s="1871">
        <v>37250000</v>
      </c>
      <c r="F1466" s="880">
        <f>E1466/D1466*100</f>
        <v>99.812433011789921</v>
      </c>
      <c r="G1466" s="1717">
        <v>100</v>
      </c>
      <c r="H1466" s="535"/>
    </row>
    <row r="1467" spans="2:10" ht="14.25" hidden="1" customHeight="1" x14ac:dyDescent="0.25">
      <c r="B1467" s="2913"/>
      <c r="C1467" s="3908" t="s">
        <v>2108</v>
      </c>
      <c r="D1467" s="879">
        <v>324420000</v>
      </c>
      <c r="E1467" s="1871">
        <v>278740000</v>
      </c>
      <c r="F1467" s="880">
        <f>E1467/D1467*100</f>
        <v>85.919487084643364</v>
      </c>
      <c r="G1467" s="1717">
        <v>100</v>
      </c>
      <c r="H1467" s="535"/>
    </row>
    <row r="1468" spans="2:10" ht="12" hidden="1" customHeight="1" x14ac:dyDescent="0.25">
      <c r="B1468" s="2913"/>
      <c r="C1468" s="3916"/>
      <c r="D1468" s="827"/>
      <c r="E1468" s="1644"/>
      <c r="F1468" s="2265"/>
      <c r="G1468" s="2279"/>
      <c r="H1468" s="535"/>
    </row>
    <row r="1469" spans="2:10" ht="14.25" hidden="1" customHeight="1" x14ac:dyDescent="0.25">
      <c r="B1469" s="5397"/>
      <c r="C1469" s="3913" t="s">
        <v>2109</v>
      </c>
      <c r="D1469" s="3631">
        <f>D1470+D1473+D1476+D1480</f>
        <v>6384602816</v>
      </c>
      <c r="E1469" s="3631">
        <f>E1470+E1473+E1476+E1480</f>
        <v>5989496914</v>
      </c>
      <c r="F1469" s="1726">
        <f>E1469/D1469*100</f>
        <v>93.811582123638871</v>
      </c>
      <c r="G1469" s="2356">
        <f>SUM(G1470+G1473+G1476+G1480)/4</f>
        <v>100</v>
      </c>
      <c r="H1469" s="535"/>
    </row>
    <row r="1470" spans="2:10" ht="19.5" hidden="1" customHeight="1" x14ac:dyDescent="0.25">
      <c r="B1470" s="2913"/>
      <c r="C1470" s="3968" t="s">
        <v>2110</v>
      </c>
      <c r="D1470" s="3633">
        <f>D1471</f>
        <v>449698000</v>
      </c>
      <c r="E1470" s="3633">
        <f>E1471</f>
        <v>371070000</v>
      </c>
      <c r="F1470" s="1415">
        <f>E1470/D1470*100</f>
        <v>82.515376986333052</v>
      </c>
      <c r="G1470" s="2562">
        <v>100</v>
      </c>
      <c r="H1470" s="535"/>
    </row>
    <row r="1471" spans="2:10" ht="15.75" hidden="1" customHeight="1" x14ac:dyDescent="0.25">
      <c r="B1471" s="2913"/>
      <c r="C1471" s="4118" t="s">
        <v>2111</v>
      </c>
      <c r="D1471" s="879">
        <v>449698000</v>
      </c>
      <c r="E1471" s="1871">
        <v>371070000</v>
      </c>
      <c r="F1471" s="880">
        <f>E1471/D1471*100</f>
        <v>82.515376986333052</v>
      </c>
      <c r="G1471" s="1717">
        <v>100</v>
      </c>
      <c r="H1471" s="535"/>
    </row>
    <row r="1472" spans="2:10" ht="10.5" hidden="1" customHeight="1" x14ac:dyDescent="0.25">
      <c r="B1472" s="2913"/>
      <c r="C1472" s="4118"/>
      <c r="D1472" s="3630"/>
      <c r="E1472" s="894"/>
      <c r="F1472" s="1717"/>
      <c r="G1472" s="1315"/>
      <c r="H1472" s="535"/>
    </row>
    <row r="1473" spans="2:8" ht="14.25" hidden="1" customHeight="1" x14ac:dyDescent="0.25">
      <c r="B1473" s="2913"/>
      <c r="C1473" s="3938" t="s">
        <v>2112</v>
      </c>
      <c r="D1473" s="3629">
        <f>SUM(D1474:D1474)</f>
        <v>2705971816</v>
      </c>
      <c r="E1473" s="3629">
        <f>SUM(E1474:E1474)</f>
        <v>2524501414</v>
      </c>
      <c r="F1473" s="1415">
        <f>E1473/D1473*100</f>
        <v>93.293706869857502</v>
      </c>
      <c r="G1473" s="2261">
        <v>100</v>
      </c>
      <c r="H1473" s="535"/>
    </row>
    <row r="1474" spans="2:8" ht="18.75" hidden="1" customHeight="1" x14ac:dyDescent="0.25">
      <c r="B1474" s="2913"/>
      <c r="C1474" s="4104" t="s">
        <v>2113</v>
      </c>
      <c r="D1474" s="879">
        <v>2705971816</v>
      </c>
      <c r="E1474" s="1871">
        <v>2524501414</v>
      </c>
      <c r="F1474" s="880">
        <f>E1474/D1474*100</f>
        <v>93.293706869857502</v>
      </c>
      <c r="G1474" s="1717">
        <v>100</v>
      </c>
      <c r="H1474" s="535"/>
    </row>
    <row r="1475" spans="2:8" ht="10.5" hidden="1" customHeight="1" x14ac:dyDescent="0.25">
      <c r="B1475" s="2913"/>
      <c r="C1475" s="4002"/>
      <c r="D1475" s="859"/>
      <c r="E1475" s="788"/>
      <c r="F1475" s="2281"/>
      <c r="G1475" s="2285"/>
      <c r="H1475" s="535"/>
    </row>
    <row r="1476" spans="2:8" ht="27.75" hidden="1" customHeight="1" x14ac:dyDescent="0.25">
      <c r="B1476" s="2913"/>
      <c r="C1476" s="3911" t="s">
        <v>2114</v>
      </c>
      <c r="D1476" s="955">
        <f>SUM(D1477:D1478)</f>
        <v>890664000</v>
      </c>
      <c r="E1476" s="955">
        <f>SUM(E1477:E1478)</f>
        <v>796944500</v>
      </c>
      <c r="F1476" s="1415">
        <f>E1476/D1476*100</f>
        <v>89.477569543621399</v>
      </c>
      <c r="G1476" s="2261">
        <f>SUM(G1477:G1478)/2</f>
        <v>100</v>
      </c>
      <c r="H1476" s="535"/>
    </row>
    <row r="1477" spans="2:8" ht="30" hidden="1" customHeight="1" x14ac:dyDescent="0.25">
      <c r="B1477" s="2913"/>
      <c r="C1477" s="3908" t="s">
        <v>2115</v>
      </c>
      <c r="D1477" s="879">
        <v>352561000</v>
      </c>
      <c r="E1477" s="1871">
        <v>281304500</v>
      </c>
      <c r="F1477" s="880">
        <f>E1477/D1477*100</f>
        <v>79.788887596756311</v>
      </c>
      <c r="G1477" s="1717">
        <v>100</v>
      </c>
      <c r="H1477" s="535"/>
    </row>
    <row r="1478" spans="2:8" ht="15.75" hidden="1" customHeight="1" x14ac:dyDescent="0.25">
      <c r="B1478" s="2913"/>
      <c r="C1478" s="5489" t="s">
        <v>2362</v>
      </c>
      <c r="D1478" s="879">
        <v>538103000</v>
      </c>
      <c r="E1478" s="666">
        <v>515640000</v>
      </c>
      <c r="F1478" s="880">
        <f>E1478/D1478*100</f>
        <v>95.825520392935928</v>
      </c>
      <c r="G1478" s="1717">
        <v>100</v>
      </c>
      <c r="H1478" s="535"/>
    </row>
    <row r="1479" spans="2:8" ht="9.75" hidden="1" customHeight="1" x14ac:dyDescent="0.25">
      <c r="B1479" s="2913"/>
      <c r="C1479" s="3915"/>
      <c r="D1479" s="849"/>
      <c r="E1479" s="894"/>
      <c r="F1479" s="1717"/>
      <c r="G1479" s="1315"/>
      <c r="H1479" s="535"/>
    </row>
    <row r="1480" spans="2:8" ht="18" hidden="1" customHeight="1" x14ac:dyDescent="0.25">
      <c r="B1480" s="2913"/>
      <c r="C1480" s="4116" t="s">
        <v>2116</v>
      </c>
      <c r="D1480" s="3629">
        <f>SUM(D1481:D1482)</f>
        <v>2338269000</v>
      </c>
      <c r="E1480" s="3629">
        <f>SUM(E1481:E1482)</f>
        <v>2296981000</v>
      </c>
      <c r="F1480" s="1415">
        <f>E1480/D1480*100</f>
        <v>98.234249352833231</v>
      </c>
      <c r="G1480" s="2261">
        <v>100</v>
      </c>
      <c r="H1480" s="535"/>
    </row>
    <row r="1481" spans="2:8" ht="17.25" hidden="1" customHeight="1" x14ac:dyDescent="0.25">
      <c r="B1481" s="2913"/>
      <c r="C1481" s="3908" t="s">
        <v>2117</v>
      </c>
      <c r="D1481" s="879">
        <v>520524000</v>
      </c>
      <c r="E1481" s="1871">
        <v>501974200</v>
      </c>
      <c r="F1481" s="880">
        <f>E1481/D1481*100</f>
        <v>96.436321860279264</v>
      </c>
      <c r="G1481" s="1717">
        <v>100</v>
      </c>
      <c r="H1481" s="535"/>
    </row>
    <row r="1482" spans="2:8" ht="16.5" hidden="1" customHeight="1" x14ac:dyDescent="0.25">
      <c r="B1482" s="2913"/>
      <c r="C1482" s="5489" t="s">
        <v>2363</v>
      </c>
      <c r="D1482" s="3630">
        <v>1817745000</v>
      </c>
      <c r="E1482" s="3879">
        <v>1795006800</v>
      </c>
      <c r="F1482" s="880">
        <f>E1482/D1482*100</f>
        <v>98.74909847090764</v>
      </c>
      <c r="G1482" s="3630">
        <v>100</v>
      </c>
      <c r="H1482" s="535"/>
    </row>
    <row r="1483" spans="2:8" ht="12" hidden="1" customHeight="1" x14ac:dyDescent="0.25">
      <c r="B1483" s="2913"/>
      <c r="C1483" s="3896"/>
      <c r="D1483" s="827"/>
      <c r="E1483" s="3360"/>
      <c r="F1483" s="2269"/>
      <c r="G1483" s="2269"/>
      <c r="H1483" s="535"/>
    </row>
    <row r="1484" spans="2:8" ht="16.5" hidden="1" customHeight="1" x14ac:dyDescent="0.25">
      <c r="B1484" s="5397"/>
      <c r="C1484" s="3913" t="s">
        <v>350</v>
      </c>
      <c r="D1484" s="3631">
        <f>D1485+D1490+D1496</f>
        <v>1452796895</v>
      </c>
      <c r="E1484" s="3631">
        <f>E1485+E1490+E1496</f>
        <v>1382046895</v>
      </c>
      <c r="F1484" s="1726">
        <f>E1484/D1484*100</f>
        <v>95.130083204094404</v>
      </c>
      <c r="G1484" s="1726">
        <f>SUM(G1485+G1490+G1496)/3</f>
        <v>100</v>
      </c>
      <c r="H1484" s="535"/>
    </row>
    <row r="1485" spans="2:8" ht="16.5" hidden="1" customHeight="1" x14ac:dyDescent="0.25">
      <c r="B1485" s="2913"/>
      <c r="C1485" s="3912" t="s">
        <v>2394</v>
      </c>
      <c r="D1485" s="3633">
        <f>SUM(D1486:D1488)</f>
        <v>745300000</v>
      </c>
      <c r="E1485" s="3633">
        <f>SUM(E1486:E1488)</f>
        <v>739300000</v>
      </c>
      <c r="F1485" s="1415">
        <f>E1485/D1485*100</f>
        <v>99.194955051657047</v>
      </c>
      <c r="G1485" s="2380">
        <f>SUM(G1486:G1488)/3</f>
        <v>100</v>
      </c>
      <c r="H1485" s="535"/>
    </row>
    <row r="1486" spans="2:8" ht="14.25" hidden="1" customHeight="1" x14ac:dyDescent="0.25">
      <c r="B1486" s="2913"/>
      <c r="C1486" s="3908" t="s">
        <v>2118</v>
      </c>
      <c r="D1486" s="879">
        <v>568500000</v>
      </c>
      <c r="E1486" s="1871">
        <v>562500000</v>
      </c>
      <c r="F1486" s="880">
        <f>E1486/D1486*100</f>
        <v>98.944591029023741</v>
      </c>
      <c r="G1486" s="3648">
        <v>100</v>
      </c>
      <c r="H1486" s="535"/>
    </row>
    <row r="1487" spans="2:8" ht="16.5" hidden="1" customHeight="1" x14ac:dyDescent="0.25">
      <c r="B1487" s="2913"/>
      <c r="C1487" s="3908" t="s">
        <v>2119</v>
      </c>
      <c r="D1487" s="931">
        <v>60000000</v>
      </c>
      <c r="E1487" s="3879">
        <v>60000000</v>
      </c>
      <c r="F1487" s="880">
        <f>E1487/D1487*100</f>
        <v>100</v>
      </c>
      <c r="G1487" s="3630">
        <v>100</v>
      </c>
      <c r="H1487" s="535"/>
    </row>
    <row r="1488" spans="2:8" ht="18.75" hidden="1" customHeight="1" x14ac:dyDescent="0.25">
      <c r="B1488" s="2913"/>
      <c r="C1488" s="3908" t="s">
        <v>2120</v>
      </c>
      <c r="D1488" s="931">
        <v>116800000</v>
      </c>
      <c r="E1488" s="1867">
        <v>116800000</v>
      </c>
      <c r="F1488" s="880">
        <f>E1488/D1488*100</f>
        <v>100</v>
      </c>
      <c r="G1488" s="3630">
        <v>100</v>
      </c>
      <c r="H1488" s="535"/>
    </row>
    <row r="1489" spans="2:8" ht="6.75" hidden="1" customHeight="1" x14ac:dyDescent="0.25">
      <c r="B1489" s="2913"/>
      <c r="C1489" s="3908"/>
      <c r="D1489" s="931"/>
      <c r="E1489" s="894"/>
      <c r="F1489" s="1315"/>
      <c r="G1489" s="1315"/>
      <c r="H1489" s="535"/>
    </row>
    <row r="1490" spans="2:8" ht="16.5" hidden="1" customHeight="1" x14ac:dyDescent="0.25">
      <c r="B1490" s="2913"/>
      <c r="C1490" s="4116" t="s">
        <v>2121</v>
      </c>
      <c r="D1490" s="955">
        <f>SUM(D1491:D1494)</f>
        <v>577296895</v>
      </c>
      <c r="E1490" s="955">
        <f>SUM(E1491:E1494)</f>
        <v>512546895</v>
      </c>
      <c r="F1490" s="1415">
        <f>E1490/D1490*100</f>
        <v>88.783934131500914</v>
      </c>
      <c r="G1490" s="3629">
        <f>SUM(G1491:G1494)/4</f>
        <v>100</v>
      </c>
      <c r="H1490" s="535"/>
    </row>
    <row r="1491" spans="2:8" ht="17.25" hidden="1" customHeight="1" x14ac:dyDescent="0.25">
      <c r="B1491" s="2913"/>
      <c r="C1491" s="3908" t="s">
        <v>2122</v>
      </c>
      <c r="D1491" s="931">
        <v>38996895</v>
      </c>
      <c r="E1491" s="3879">
        <v>34996895</v>
      </c>
      <c r="F1491" s="880">
        <f>E1491/D1491*100</f>
        <v>89.74277311052586</v>
      </c>
      <c r="G1491" s="3630">
        <v>100</v>
      </c>
      <c r="H1491" s="535"/>
    </row>
    <row r="1492" spans="2:8" ht="18" hidden="1" customHeight="1" x14ac:dyDescent="0.25">
      <c r="B1492" s="2913"/>
      <c r="C1492" s="3908" t="s">
        <v>2123</v>
      </c>
      <c r="D1492" s="931">
        <v>126250000</v>
      </c>
      <c r="E1492" s="3879">
        <v>87750000</v>
      </c>
      <c r="F1492" s="880">
        <f>E1492/D1492*100</f>
        <v>69.504950495049499</v>
      </c>
      <c r="G1492" s="3630">
        <v>100</v>
      </c>
      <c r="H1492" s="535"/>
    </row>
    <row r="1493" spans="2:8" ht="15.75" hidden="1" customHeight="1" x14ac:dyDescent="0.25">
      <c r="B1493" s="2913"/>
      <c r="C1493" s="3908" t="s">
        <v>2124</v>
      </c>
      <c r="D1493" s="931">
        <v>101050000</v>
      </c>
      <c r="E1493" s="3879">
        <v>88800000</v>
      </c>
      <c r="F1493" s="880">
        <f>E1493/D1493*100</f>
        <v>87.877288471053944</v>
      </c>
      <c r="G1493" s="3630">
        <v>100</v>
      </c>
      <c r="H1493" s="535"/>
    </row>
    <row r="1494" spans="2:8" ht="12.75" hidden="1" customHeight="1" x14ac:dyDescent="0.25">
      <c r="B1494" s="2913"/>
      <c r="C1494" s="3908" t="s">
        <v>2125</v>
      </c>
      <c r="D1494" s="931">
        <v>311000000</v>
      </c>
      <c r="E1494" s="3879">
        <v>301000000</v>
      </c>
      <c r="F1494" s="880">
        <f>E1494/D1494*100</f>
        <v>96.784565916398719</v>
      </c>
      <c r="G1494" s="3630">
        <v>100</v>
      </c>
      <c r="H1494" s="535"/>
    </row>
    <row r="1495" spans="2:8" ht="9.75" hidden="1" customHeight="1" x14ac:dyDescent="0.25">
      <c r="B1495" s="2913"/>
      <c r="C1495" s="3915"/>
      <c r="D1495" s="5496"/>
      <c r="E1495" s="894"/>
      <c r="F1495" s="1315"/>
      <c r="G1495" s="1315"/>
      <c r="H1495" s="535"/>
    </row>
    <row r="1496" spans="2:8" ht="15.75" hidden="1" customHeight="1" x14ac:dyDescent="0.25">
      <c r="B1496" s="2913"/>
      <c r="C1496" s="4116" t="s">
        <v>2126</v>
      </c>
      <c r="D1496" s="955">
        <v>130200000</v>
      </c>
      <c r="E1496" s="955">
        <v>130200000</v>
      </c>
      <c r="F1496" s="1415">
        <f>E1496/D1496*100</f>
        <v>100</v>
      </c>
      <c r="G1496" s="2261">
        <v>100</v>
      </c>
      <c r="H1496" s="535"/>
    </row>
    <row r="1497" spans="2:8" ht="16.5" hidden="1" customHeight="1" x14ac:dyDescent="0.25">
      <c r="B1497" s="2913"/>
      <c r="C1497" s="3908" t="s">
        <v>2127</v>
      </c>
      <c r="D1497" s="931">
        <f>D1496</f>
        <v>130200000</v>
      </c>
      <c r="E1497" s="1883">
        <v>130200000</v>
      </c>
      <c r="F1497" s="880">
        <f>E1497/D1497*100</f>
        <v>100</v>
      </c>
      <c r="G1497" s="1717">
        <v>100</v>
      </c>
      <c r="H1497" s="535"/>
    </row>
    <row r="1498" spans="2:8" ht="9.75" hidden="1" customHeight="1" x14ac:dyDescent="0.25">
      <c r="B1498" s="2913"/>
      <c r="C1498" s="3916"/>
      <c r="D1498" s="3424"/>
      <c r="E1498" s="969"/>
      <c r="F1498" s="2279"/>
      <c r="G1498" s="2279"/>
      <c r="H1498" s="535"/>
    </row>
    <row r="1499" spans="2:8" ht="16.5" hidden="1" customHeight="1" x14ac:dyDescent="0.25">
      <c r="B1499" s="5397"/>
      <c r="C1499" s="3913" t="s">
        <v>2128</v>
      </c>
      <c r="D1499" s="3631">
        <f>SUM(D1500+D1504+D1507+D1510)</f>
        <v>2075279238</v>
      </c>
      <c r="E1499" s="3631">
        <f>SUM(E1500+E1504+E1507+E1510)</f>
        <v>2049708065</v>
      </c>
      <c r="F1499" s="1726">
        <f>E1499/D1499*100</f>
        <v>98.767820130815579</v>
      </c>
      <c r="G1499" s="1726">
        <v>100</v>
      </c>
      <c r="H1499" s="535"/>
    </row>
    <row r="1500" spans="2:8" ht="16.5" hidden="1" customHeight="1" x14ac:dyDescent="0.25">
      <c r="B1500" s="2913"/>
      <c r="C1500" s="3914" t="s">
        <v>2129</v>
      </c>
      <c r="D1500" s="5497">
        <f>SUM(D1501:D1502)</f>
        <v>654500000</v>
      </c>
      <c r="E1500" s="3441">
        <f>SUM(E1501:E1502)</f>
        <v>646750000</v>
      </c>
      <c r="F1500" s="1415">
        <f>E1500/D1500*100</f>
        <v>98.815889992360582</v>
      </c>
      <c r="G1500" s="2380">
        <v>100</v>
      </c>
      <c r="H1500" s="535"/>
    </row>
    <row r="1501" spans="2:8" ht="18.75" hidden="1" customHeight="1" x14ac:dyDescent="0.25">
      <c r="B1501" s="2913"/>
      <c r="C1501" s="3908" t="s">
        <v>2130</v>
      </c>
      <c r="D1501" s="879">
        <v>400000000</v>
      </c>
      <c r="E1501" s="1871">
        <v>395750000</v>
      </c>
      <c r="F1501" s="880">
        <f>E1501/D1501*100</f>
        <v>98.9375</v>
      </c>
      <c r="G1501" s="3648">
        <v>100</v>
      </c>
      <c r="H1501" s="535"/>
    </row>
    <row r="1502" spans="2:8" ht="15.75" hidden="1" customHeight="1" x14ac:dyDescent="0.25">
      <c r="B1502" s="2913"/>
      <c r="C1502" s="3908" t="s">
        <v>2131</v>
      </c>
      <c r="D1502" s="879">
        <v>254500000</v>
      </c>
      <c r="E1502" s="1867">
        <v>251000000</v>
      </c>
      <c r="F1502" s="880">
        <f>E1502/D1502*100</f>
        <v>98.624754420432211</v>
      </c>
      <c r="G1502" s="3648">
        <v>100</v>
      </c>
      <c r="H1502" s="535"/>
    </row>
    <row r="1503" spans="2:8" ht="9.75" hidden="1" customHeight="1" x14ac:dyDescent="0.25">
      <c r="B1503" s="2913"/>
      <c r="C1503" s="3896"/>
      <c r="D1503" s="827"/>
      <c r="E1503" s="788"/>
      <c r="F1503" s="2285"/>
      <c r="G1503" s="2285"/>
      <c r="H1503" s="535"/>
    </row>
    <row r="1504" spans="2:8" ht="17.25" hidden="1" customHeight="1" x14ac:dyDescent="0.25">
      <c r="B1504" s="2913"/>
      <c r="C1504" s="1273" t="s">
        <v>2132</v>
      </c>
      <c r="D1504" s="927">
        <v>503779238</v>
      </c>
      <c r="E1504" s="927">
        <f>E1505</f>
        <v>497522065</v>
      </c>
      <c r="F1504" s="1415">
        <f>E1504/D1504*100</f>
        <v>98.75795337957139</v>
      </c>
      <c r="G1504" s="2261">
        <v>100</v>
      </c>
      <c r="H1504" s="535"/>
    </row>
    <row r="1505" spans="2:8" ht="15.75" hidden="1" customHeight="1" x14ac:dyDescent="0.25">
      <c r="B1505" s="2913"/>
      <c r="C1505" s="3908" t="s">
        <v>699</v>
      </c>
      <c r="D1505" s="924">
        <v>503779238</v>
      </c>
      <c r="E1505" s="1867">
        <v>497522065</v>
      </c>
      <c r="F1505" s="880">
        <f>E1505/D1505*100</f>
        <v>98.75795337957139</v>
      </c>
      <c r="G1505" s="1717">
        <v>100</v>
      </c>
      <c r="H1505" s="535"/>
    </row>
    <row r="1506" spans="2:8" ht="7.5" hidden="1" customHeight="1" x14ac:dyDescent="0.25">
      <c r="B1506" s="2913"/>
      <c r="C1506" s="4003"/>
      <c r="D1506" s="924"/>
      <c r="E1506" s="894"/>
      <c r="F1506" s="1315"/>
      <c r="G1506" s="1315"/>
      <c r="H1506" s="535"/>
    </row>
    <row r="1507" spans="2:8" ht="15.75" hidden="1" customHeight="1" x14ac:dyDescent="0.25">
      <c r="B1507" s="2913"/>
      <c r="C1507" s="4005" t="s">
        <v>2133</v>
      </c>
      <c r="D1507" s="925">
        <f>SUM(D1508:D1508)</f>
        <v>267000000</v>
      </c>
      <c r="E1507" s="925">
        <f>SUM(E1508:E1508)</f>
        <v>264310000</v>
      </c>
      <c r="F1507" s="1415">
        <f>E1507/D1507*100</f>
        <v>98.992509363295881</v>
      </c>
      <c r="G1507" s="2261">
        <v>100</v>
      </c>
      <c r="H1507" s="535"/>
    </row>
    <row r="1508" spans="2:8" ht="14.25" hidden="1" customHeight="1" x14ac:dyDescent="0.25">
      <c r="B1508" s="2913"/>
      <c r="C1508" s="3908" t="s">
        <v>3436</v>
      </c>
      <c r="D1508" s="879">
        <v>267000000</v>
      </c>
      <c r="E1508" s="1867">
        <v>264310000</v>
      </c>
      <c r="F1508" s="880">
        <f>E1508/D1508*100</f>
        <v>98.992509363295881</v>
      </c>
      <c r="G1508" s="1717">
        <v>100</v>
      </c>
      <c r="H1508" s="535"/>
    </row>
    <row r="1509" spans="2:8" ht="8.25" hidden="1" customHeight="1" x14ac:dyDescent="0.25">
      <c r="B1509" s="2913"/>
      <c r="C1509" s="4006"/>
      <c r="D1509" s="924"/>
      <c r="E1509" s="894"/>
      <c r="F1509" s="1315"/>
      <c r="G1509" s="1315"/>
      <c r="H1509" s="535"/>
    </row>
    <row r="1510" spans="2:8" ht="16.5" hidden="1" customHeight="1" x14ac:dyDescent="0.25">
      <c r="B1510" s="2913"/>
      <c r="C1510" s="4007" t="s">
        <v>2134</v>
      </c>
      <c r="D1510" s="925">
        <f>SUM(D1511:D1512)</f>
        <v>650000000</v>
      </c>
      <c r="E1510" s="925">
        <f>SUM(E1511:E1512)</f>
        <v>641126000</v>
      </c>
      <c r="F1510" s="1415">
        <f>E1510/D1510*100</f>
        <v>98.634769230769223</v>
      </c>
      <c r="G1510" s="2261">
        <v>100</v>
      </c>
      <c r="H1510" s="535"/>
    </row>
    <row r="1511" spans="2:8" ht="17.25" hidden="1" customHeight="1" x14ac:dyDescent="0.25">
      <c r="B1511" s="2913"/>
      <c r="C1511" s="3908" t="s">
        <v>2135</v>
      </c>
      <c r="D1511" s="879">
        <v>300000000</v>
      </c>
      <c r="E1511" s="1867">
        <v>295405000</v>
      </c>
      <c r="F1511" s="880">
        <f>E1511/D1511*100</f>
        <v>98.468333333333334</v>
      </c>
      <c r="G1511" s="1717">
        <v>100</v>
      </c>
      <c r="H1511" s="535"/>
    </row>
    <row r="1512" spans="2:8" ht="27" hidden="1" customHeight="1" x14ac:dyDescent="0.25">
      <c r="B1512" s="2913"/>
      <c r="C1512" s="3908" t="s">
        <v>2136</v>
      </c>
      <c r="D1512" s="879">
        <v>350000000</v>
      </c>
      <c r="E1512" s="1867">
        <v>345721000</v>
      </c>
      <c r="F1512" s="880">
        <f>E1512/D1512*100</f>
        <v>98.777428571428572</v>
      </c>
      <c r="G1512" s="1717">
        <v>100</v>
      </c>
      <c r="H1512" s="535"/>
    </row>
    <row r="1513" spans="2:8" ht="12" hidden="1" customHeight="1" x14ac:dyDescent="0.25">
      <c r="B1513" s="2913"/>
      <c r="C1513" s="3896"/>
      <c r="D1513" s="827"/>
      <c r="E1513" s="969"/>
      <c r="F1513" s="2279"/>
      <c r="G1513" s="2279"/>
      <c r="H1513" s="535"/>
    </row>
    <row r="1514" spans="2:8" ht="15" hidden="1" customHeight="1" x14ac:dyDescent="0.25">
      <c r="B1514" s="5397"/>
      <c r="C1514" s="3913" t="s">
        <v>351</v>
      </c>
      <c r="D1514" s="3631">
        <f>SUM(D1515:D1519)</f>
        <v>24448120864</v>
      </c>
      <c r="E1514" s="3631">
        <f>SUM(E1515:E1519)</f>
        <v>20533960864</v>
      </c>
      <c r="F1514" s="1726">
        <f t="shared" ref="F1514:F1519" si="31">E1514/D1514*100</f>
        <v>83.989935170176523</v>
      </c>
      <c r="G1514" s="2356">
        <f>SUM(G1515:G1519)/5</f>
        <v>100</v>
      </c>
      <c r="H1514" s="535"/>
    </row>
    <row r="1515" spans="2:8" ht="15.75" hidden="1" customHeight="1" x14ac:dyDescent="0.25">
      <c r="B1515" s="2913"/>
      <c r="C1515" s="3896" t="s">
        <v>352</v>
      </c>
      <c r="D1515" s="2718">
        <v>3462500000</v>
      </c>
      <c r="E1515" s="1884">
        <v>3462000000</v>
      </c>
      <c r="F1515" s="880">
        <f t="shared" si="31"/>
        <v>99.985559566787003</v>
      </c>
      <c r="G1515" s="1668">
        <v>100</v>
      </c>
      <c r="H1515" s="535"/>
    </row>
    <row r="1516" spans="2:8" ht="15.75" hidden="1" customHeight="1" x14ac:dyDescent="0.25">
      <c r="B1516" s="2913"/>
      <c r="C1516" s="4118" t="s">
        <v>353</v>
      </c>
      <c r="D1516" s="2718">
        <v>3150180000</v>
      </c>
      <c r="E1516" s="1885">
        <v>2661130000</v>
      </c>
      <c r="F1516" s="880">
        <f t="shared" si="31"/>
        <v>84.475490289443783</v>
      </c>
      <c r="G1516" s="1717">
        <v>100</v>
      </c>
      <c r="H1516" s="535"/>
    </row>
    <row r="1517" spans="2:8" ht="14.25" hidden="1" customHeight="1" x14ac:dyDescent="0.25">
      <c r="B1517" s="2913"/>
      <c r="C1517" s="4118" t="s">
        <v>700</v>
      </c>
      <c r="D1517" s="2718">
        <v>1199005000</v>
      </c>
      <c r="E1517" s="1885">
        <v>834405000</v>
      </c>
      <c r="F1517" s="880">
        <f t="shared" si="31"/>
        <v>69.591452913040399</v>
      </c>
      <c r="G1517" s="1717">
        <v>100</v>
      </c>
      <c r="H1517" s="535"/>
    </row>
    <row r="1518" spans="2:8" ht="16.5" hidden="1" customHeight="1" x14ac:dyDescent="0.25">
      <c r="B1518" s="2912"/>
      <c r="C1518" s="4118" t="s">
        <v>701</v>
      </c>
      <c r="D1518" s="879">
        <v>15419061167</v>
      </c>
      <c r="E1518" s="1885">
        <v>12359051167</v>
      </c>
      <c r="F1518" s="880">
        <f t="shared" si="31"/>
        <v>80.154368888885017</v>
      </c>
      <c r="G1518" s="1717">
        <v>100</v>
      </c>
      <c r="H1518" s="535"/>
    </row>
    <row r="1519" spans="2:8" ht="16.5" hidden="1" customHeight="1" x14ac:dyDescent="0.25">
      <c r="B1519" s="2913"/>
      <c r="C1519" s="3896" t="s">
        <v>2364</v>
      </c>
      <c r="D1519" s="3630">
        <v>1217374697</v>
      </c>
      <c r="E1519" s="1871">
        <v>1217374697</v>
      </c>
      <c r="F1519" s="880">
        <f t="shared" si="31"/>
        <v>100</v>
      </c>
      <c r="G1519" s="2265">
        <v>100</v>
      </c>
      <c r="H1519" s="535"/>
    </row>
    <row r="1520" spans="2:8" ht="6" hidden="1" customHeight="1" x14ac:dyDescent="0.25">
      <c r="B1520" s="2913"/>
      <c r="C1520" s="3893"/>
      <c r="D1520" s="1550"/>
      <c r="E1520" s="969"/>
      <c r="F1520" s="2285"/>
      <c r="G1520" s="2279"/>
      <c r="H1520" s="535"/>
    </row>
    <row r="1521" spans="1:11" s="269" customFormat="1" ht="15" customHeight="1" x14ac:dyDescent="0.25">
      <c r="A1521" s="350"/>
      <c r="B1521" s="5413"/>
      <c r="C1521" s="2747" t="s">
        <v>603</v>
      </c>
      <c r="D1521" s="4529">
        <f>D1523+D1559+D1586+D1598+D1615+D1622+D1626+D1642+D1662+D1666+D1670+D1681+D1687+D1692+D1696+D1700+D1704+D1708+D1712+D1716+D1720+D1724+D1728+D1732+D1736</f>
        <v>158622035000</v>
      </c>
      <c r="E1521" s="4529">
        <f>E1523+E1559+E1586+E1598+E1615+E1622+E1626+E1642+E1662+E1666+E1670+E1681+E1687+E1692+E1696+E1700+E1704+E1708+E1712+E1716+E1720+E1724+E1728+E1732+E1736</f>
        <v>152286114046</v>
      </c>
      <c r="F1521" s="2851">
        <f>SUM(E1521/D1521*100)</f>
        <v>96.005648928914582</v>
      </c>
      <c r="G1521" s="5478">
        <f>SUM(G1523+G1559+G1586+G1598+G1615+G1622+G1626+G1642+G1662+G1666+G1670+G1681+G1687+G1692+G1696+G1700+G1704+G1708+G1712+G1716+G1720+G1724+G1728+G1732+G1736)/25</f>
        <v>97.73555555555555</v>
      </c>
      <c r="H1521" s="553"/>
      <c r="J1521" s="2085"/>
      <c r="K1521" s="2069"/>
    </row>
    <row r="1522" spans="1:11" ht="3" hidden="1" customHeight="1" x14ac:dyDescent="0.25">
      <c r="B1522" s="2913"/>
      <c r="C1522" s="3893"/>
      <c r="D1522" s="1550"/>
      <c r="E1522" s="894"/>
      <c r="F1522" s="2279"/>
      <c r="G1522" s="1315"/>
      <c r="H1522" s="535"/>
    </row>
    <row r="1523" spans="1:11" s="269" customFormat="1" ht="16.5" hidden="1" customHeight="1" x14ac:dyDescent="0.25">
      <c r="A1523" s="350"/>
      <c r="B1523" s="5397"/>
      <c r="C1523" s="3858" t="s">
        <v>238</v>
      </c>
      <c r="D1523" s="1546">
        <f>D1524+D1527+D1535+D1541+D1544+D1551</f>
        <v>32622035000</v>
      </c>
      <c r="E1523" s="1546">
        <f>E1524+E1527+E1535+E1541+E1544+E1551</f>
        <v>32305492460</v>
      </c>
      <c r="F1523" s="1726">
        <f>E1523/D1523*100</f>
        <v>99.029666481566835</v>
      </c>
      <c r="G1523" s="2315">
        <f>SUM(G1524+G1527+G1535+G1541+G1544+G1551)/6</f>
        <v>95.277777777777771</v>
      </c>
      <c r="H1523" s="553"/>
      <c r="J1523" s="2069"/>
      <c r="K1523" s="2069"/>
    </row>
    <row r="1524" spans="1:11" s="269" customFormat="1" ht="16.5" hidden="1" customHeight="1" x14ac:dyDescent="0.25">
      <c r="A1524" s="350"/>
      <c r="B1524" s="2913"/>
      <c r="C1524" s="3881" t="s">
        <v>223</v>
      </c>
      <c r="D1524" s="1554">
        <f>D1525</f>
        <v>2880000000</v>
      </c>
      <c r="E1524" s="1554">
        <f>E1525</f>
        <v>2880000000</v>
      </c>
      <c r="F1524" s="3629">
        <f>E1524/D1524*100</f>
        <v>100</v>
      </c>
      <c r="G1524" s="3629">
        <v>100</v>
      </c>
      <c r="H1524" s="553"/>
      <c r="J1524" s="2069"/>
      <c r="K1524" s="2069"/>
    </row>
    <row r="1525" spans="1:11" s="266" customFormat="1" ht="15.75" hidden="1" customHeight="1" x14ac:dyDescent="0.25">
      <c r="A1525" s="353"/>
      <c r="B1525" s="5411"/>
      <c r="C1525" s="4104" t="s">
        <v>1685</v>
      </c>
      <c r="D1525" s="1548">
        <v>2880000000</v>
      </c>
      <c r="E1525" s="878">
        <v>2880000000</v>
      </c>
      <c r="F1525" s="878">
        <f>E1525/D1525*100</f>
        <v>100</v>
      </c>
      <c r="G1525" s="878">
        <v>100</v>
      </c>
      <c r="H1525" s="354"/>
      <c r="J1525" s="2126"/>
      <c r="K1525" s="2126"/>
    </row>
    <row r="1526" spans="1:11" s="266" customFormat="1" ht="9" hidden="1" customHeight="1" x14ac:dyDescent="0.25">
      <c r="A1526" s="353"/>
      <c r="B1526" s="5411"/>
      <c r="C1526" s="4104"/>
      <c r="D1526" s="1548"/>
      <c r="E1526" s="666"/>
      <c r="F1526" s="1717"/>
      <c r="G1526" s="1717"/>
      <c r="H1526" s="354"/>
      <c r="J1526" s="2126"/>
      <c r="K1526" s="2126"/>
    </row>
    <row r="1527" spans="1:11" s="269" customFormat="1" ht="17.25" hidden="1" customHeight="1" x14ac:dyDescent="0.25">
      <c r="A1527" s="350"/>
      <c r="B1527" s="2913"/>
      <c r="C1527" s="4116" t="s">
        <v>279</v>
      </c>
      <c r="D1527" s="1549">
        <f>SUM(D1528:D1533)</f>
        <v>2040537000</v>
      </c>
      <c r="E1527" s="1549">
        <f>SUM(E1528:E1533)</f>
        <v>2040537000</v>
      </c>
      <c r="F1527" s="3629">
        <f>E1527/D1527*100</f>
        <v>100</v>
      </c>
      <c r="G1527" s="3629">
        <v>100</v>
      </c>
      <c r="H1527" s="553"/>
      <c r="J1527" s="2069"/>
      <c r="K1527" s="2069"/>
    </row>
    <row r="1528" spans="1:11" s="266" customFormat="1" ht="15.75" hidden="1" customHeight="1" x14ac:dyDescent="0.25">
      <c r="A1528" s="353"/>
      <c r="B1528" s="5411"/>
      <c r="C1528" s="4104" t="s">
        <v>1686</v>
      </c>
      <c r="D1528" s="1548">
        <v>118500000</v>
      </c>
      <c r="E1528" s="1818">
        <v>118500000</v>
      </c>
      <c r="F1528" s="878">
        <f>E1528/D1528*100</f>
        <v>100</v>
      </c>
      <c r="G1528" s="878">
        <v>100</v>
      </c>
      <c r="H1528" s="354"/>
      <c r="J1528" s="2126"/>
      <c r="K1528" s="2126"/>
    </row>
    <row r="1529" spans="1:11" s="266" customFormat="1" ht="16.5" hidden="1" customHeight="1" x14ac:dyDescent="0.25">
      <c r="A1529" s="353"/>
      <c r="B1529" s="5411"/>
      <c r="C1529" s="4104" t="s">
        <v>1687</v>
      </c>
      <c r="D1529" s="1548">
        <v>138250000</v>
      </c>
      <c r="E1529" s="1818">
        <v>138250000</v>
      </c>
      <c r="F1529" s="880">
        <v>100</v>
      </c>
      <c r="G1529" s="880">
        <v>100</v>
      </c>
      <c r="H1529" s="354"/>
      <c r="J1529" s="2126"/>
      <c r="K1529" s="2126"/>
    </row>
    <row r="1530" spans="1:11" s="266" customFormat="1" ht="31.5" hidden="1" customHeight="1" x14ac:dyDescent="0.25">
      <c r="A1530" s="353"/>
      <c r="B1530" s="5411"/>
      <c r="C1530" s="4104" t="s">
        <v>1688</v>
      </c>
      <c r="D1530" s="1548">
        <v>250000000</v>
      </c>
      <c r="E1530" s="1818">
        <v>250000000</v>
      </c>
      <c r="F1530" s="880">
        <v>100</v>
      </c>
      <c r="G1530" s="880">
        <v>100</v>
      </c>
      <c r="H1530" s="354"/>
      <c r="J1530" s="2126"/>
      <c r="K1530" s="2126"/>
    </row>
    <row r="1531" spans="1:11" s="266" customFormat="1" ht="15" hidden="1" customHeight="1" x14ac:dyDescent="0.25">
      <c r="A1531" s="353"/>
      <c r="B1531" s="5411"/>
      <c r="C1531" s="4104" t="s">
        <v>1689</v>
      </c>
      <c r="D1531" s="1548">
        <v>195200000</v>
      </c>
      <c r="E1531" s="1818">
        <v>195200000</v>
      </c>
      <c r="F1531" s="880">
        <v>100</v>
      </c>
      <c r="G1531" s="880">
        <v>100</v>
      </c>
      <c r="H1531" s="354"/>
      <c r="J1531" s="2126"/>
      <c r="K1531" s="2126"/>
    </row>
    <row r="1532" spans="1:11" s="269" customFormat="1" ht="12.75" hidden="1" customHeight="1" x14ac:dyDescent="0.25">
      <c r="A1532" s="350"/>
      <c r="B1532" s="2913"/>
      <c r="C1532" s="4104" t="s">
        <v>1691</v>
      </c>
      <c r="D1532" s="1548">
        <v>151750000</v>
      </c>
      <c r="E1532" s="1818">
        <v>151750000</v>
      </c>
      <c r="F1532" s="880">
        <v>100</v>
      </c>
      <c r="G1532" s="880">
        <v>100</v>
      </c>
      <c r="H1532" s="553"/>
      <c r="J1532" s="2069"/>
      <c r="K1532" s="2069"/>
    </row>
    <row r="1533" spans="1:11" s="266" customFormat="1" ht="17.25" hidden="1" customHeight="1" x14ac:dyDescent="0.25">
      <c r="A1533" s="353"/>
      <c r="B1533" s="5411"/>
      <c r="C1533" s="4104" t="s">
        <v>1690</v>
      </c>
      <c r="D1533" s="1548">
        <v>1186837000</v>
      </c>
      <c r="E1533" s="1121">
        <v>1186837000</v>
      </c>
      <c r="F1533" s="880">
        <v>100</v>
      </c>
      <c r="G1533" s="880">
        <v>100</v>
      </c>
      <c r="H1533" s="354"/>
      <c r="J1533" s="2126"/>
      <c r="K1533" s="2126"/>
    </row>
    <row r="1534" spans="1:11" s="266" customFormat="1" ht="10.5" hidden="1" customHeight="1" x14ac:dyDescent="0.25">
      <c r="A1534" s="353"/>
      <c r="B1534" s="5411"/>
      <c r="C1534" s="4104"/>
      <c r="D1534" s="1548"/>
      <c r="E1534" s="3492"/>
      <c r="F1534" s="2338"/>
      <c r="G1534" s="2338"/>
      <c r="H1534" s="354"/>
      <c r="J1534" s="2126"/>
      <c r="K1534" s="2126"/>
    </row>
    <row r="1535" spans="1:11" s="269" customFormat="1" ht="17.25" hidden="1" customHeight="1" x14ac:dyDescent="0.25">
      <c r="A1535" s="350"/>
      <c r="B1535" s="2913"/>
      <c r="C1535" s="4116" t="s">
        <v>2249</v>
      </c>
      <c r="D1535" s="1549">
        <f>SUM(D1536:D1539)</f>
        <v>870637500</v>
      </c>
      <c r="E1535" s="1549">
        <f>SUM(E1536:E1539)</f>
        <v>834037500</v>
      </c>
      <c r="F1535" s="3629">
        <f>E1535/D1535*100</f>
        <v>95.796183830813632</v>
      </c>
      <c r="G1535" s="2484">
        <f>SUM(G1536:G1539)/4</f>
        <v>75</v>
      </c>
      <c r="H1535" s="553"/>
      <c r="J1535" s="2069"/>
      <c r="K1535" s="2069"/>
    </row>
    <row r="1536" spans="1:11" s="266" customFormat="1" ht="16.5" hidden="1" customHeight="1" x14ac:dyDescent="0.25">
      <c r="A1536" s="353"/>
      <c r="B1536" s="5411"/>
      <c r="C1536" s="4104" t="s">
        <v>2250</v>
      </c>
      <c r="D1536" s="1548">
        <v>494140000</v>
      </c>
      <c r="E1536" s="1818">
        <v>494140000</v>
      </c>
      <c r="F1536" s="878">
        <f>E1536/D1536*100</f>
        <v>100</v>
      </c>
      <c r="G1536" s="2338">
        <v>100</v>
      </c>
      <c r="H1536" s="354"/>
      <c r="J1536" s="2126"/>
      <c r="K1536" s="2126"/>
    </row>
    <row r="1537" spans="1:11" s="266" customFormat="1" ht="13.5" hidden="1" customHeight="1" x14ac:dyDescent="0.25">
      <c r="A1537" s="353"/>
      <c r="B1537" s="5411"/>
      <c r="C1537" s="4104" t="s">
        <v>2251</v>
      </c>
      <c r="D1537" s="1548">
        <v>36600000</v>
      </c>
      <c r="E1537" s="878">
        <v>0</v>
      </c>
      <c r="F1537" s="878">
        <f>E1537/D1537*100</f>
        <v>0</v>
      </c>
      <c r="G1537" s="878">
        <v>0</v>
      </c>
      <c r="H1537" s="354"/>
      <c r="J1537" s="2126"/>
      <c r="K1537" s="2126"/>
    </row>
    <row r="1538" spans="1:11" s="266" customFormat="1" ht="15" hidden="1" customHeight="1" x14ac:dyDescent="0.25">
      <c r="A1538" s="353"/>
      <c r="B1538" s="5411"/>
      <c r="C1538" s="4104" t="s">
        <v>2252</v>
      </c>
      <c r="D1538" s="1548">
        <v>278930000</v>
      </c>
      <c r="E1538" s="878">
        <v>278930000</v>
      </c>
      <c r="F1538" s="878">
        <f>E1538/D1538*100</f>
        <v>100</v>
      </c>
      <c r="G1538" s="2338">
        <v>100</v>
      </c>
      <c r="H1538" s="354"/>
      <c r="J1538" s="2126"/>
      <c r="K1538" s="2126"/>
    </row>
    <row r="1539" spans="1:11" s="266" customFormat="1" ht="15.75" hidden="1" customHeight="1" x14ac:dyDescent="0.25">
      <c r="A1539" s="353"/>
      <c r="B1539" s="5411"/>
      <c r="C1539" s="4104" t="s">
        <v>2253</v>
      </c>
      <c r="D1539" s="1548">
        <v>60967500</v>
      </c>
      <c r="E1539" s="1818">
        <v>60967500</v>
      </c>
      <c r="F1539" s="878">
        <f>E1539/D1539*100</f>
        <v>100</v>
      </c>
      <c r="G1539" s="2338">
        <v>100</v>
      </c>
      <c r="H1539" s="354"/>
      <c r="J1539" s="2126"/>
      <c r="K1539" s="2126"/>
    </row>
    <row r="1540" spans="1:11" s="266" customFormat="1" ht="9.75" hidden="1" customHeight="1" x14ac:dyDescent="0.25">
      <c r="A1540" s="353"/>
      <c r="B1540" s="5411"/>
      <c r="C1540" s="4104"/>
      <c r="D1540" s="1548"/>
      <c r="E1540" s="666"/>
      <c r="F1540" s="1717"/>
      <c r="G1540" s="1717"/>
      <c r="H1540" s="354"/>
      <c r="J1540" s="2126"/>
      <c r="K1540" s="2126"/>
    </row>
    <row r="1541" spans="1:11" s="269" customFormat="1" ht="16.5" hidden="1" customHeight="1" x14ac:dyDescent="0.25">
      <c r="A1541" s="350"/>
      <c r="B1541" s="2913"/>
      <c r="C1541" s="4116" t="s">
        <v>2254</v>
      </c>
      <c r="D1541" s="1549">
        <f>SUM(D1542:D1542)</f>
        <v>30000000</v>
      </c>
      <c r="E1541" s="1549">
        <f>SUM(E1542:E1542)</f>
        <v>30000000</v>
      </c>
      <c r="F1541" s="3629">
        <f>E1541/D1541*100</f>
        <v>100</v>
      </c>
      <c r="G1541" s="3629">
        <v>100</v>
      </c>
      <c r="H1541" s="553"/>
      <c r="J1541" s="2069"/>
      <c r="K1541" s="2069"/>
    </row>
    <row r="1542" spans="1:11" s="266" customFormat="1" ht="15" hidden="1" customHeight="1" x14ac:dyDescent="0.25">
      <c r="A1542" s="353"/>
      <c r="B1542" s="5411"/>
      <c r="C1542" s="4104" t="s">
        <v>2255</v>
      </c>
      <c r="D1542" s="1548">
        <v>30000000</v>
      </c>
      <c r="E1542" s="878">
        <v>30000000</v>
      </c>
      <c r="F1542" s="878">
        <f>E1542/D1542*100</f>
        <v>100</v>
      </c>
      <c r="G1542" s="878">
        <v>100</v>
      </c>
      <c r="H1542" s="354"/>
      <c r="J1542" s="2126"/>
      <c r="K1542" s="2126"/>
    </row>
    <row r="1543" spans="1:11" s="266" customFormat="1" ht="9.75" hidden="1" customHeight="1" x14ac:dyDescent="0.25">
      <c r="A1543" s="353"/>
      <c r="B1543" s="5411"/>
      <c r="C1543" s="4104"/>
      <c r="D1543" s="1548"/>
      <c r="E1543" s="666"/>
      <c r="F1543" s="1717"/>
      <c r="G1543" s="1717"/>
      <c r="H1543" s="354"/>
      <c r="J1543" s="2126"/>
      <c r="K1543" s="2126"/>
    </row>
    <row r="1544" spans="1:11" s="269" customFormat="1" ht="17.25" hidden="1" customHeight="1" x14ac:dyDescent="0.25">
      <c r="A1544" s="350"/>
      <c r="B1544" s="2913"/>
      <c r="C1544" s="4116" t="s">
        <v>2256</v>
      </c>
      <c r="D1544" s="1549">
        <f>SUM(D1545:D1549)</f>
        <v>851570000</v>
      </c>
      <c r="E1544" s="1549">
        <f>SUM(E1545:E1549)</f>
        <v>851570000</v>
      </c>
      <c r="F1544" s="3629">
        <f t="shared" ref="F1544:F1549" si="32">E1544/D1544*100</f>
        <v>100</v>
      </c>
      <c r="G1544" s="3629">
        <v>100</v>
      </c>
      <c r="H1544" s="553"/>
      <c r="J1544" s="2069"/>
      <c r="K1544" s="2069"/>
    </row>
    <row r="1545" spans="1:11" s="266" customFormat="1" ht="13.5" hidden="1" customHeight="1" x14ac:dyDescent="0.25">
      <c r="A1545" s="353"/>
      <c r="B1545" s="5411"/>
      <c r="C1545" s="4104" t="s">
        <v>2257</v>
      </c>
      <c r="D1545" s="1548">
        <v>241425000</v>
      </c>
      <c r="E1545" s="1818">
        <v>241425000</v>
      </c>
      <c r="F1545" s="878">
        <f t="shared" si="32"/>
        <v>100</v>
      </c>
      <c r="G1545" s="878">
        <v>100</v>
      </c>
      <c r="H1545" s="354"/>
      <c r="J1545" s="2126"/>
      <c r="K1545" s="2126"/>
    </row>
    <row r="1546" spans="1:11" s="266" customFormat="1" ht="17.25" hidden="1" customHeight="1" x14ac:dyDescent="0.25">
      <c r="A1546" s="353"/>
      <c r="B1546" s="5411"/>
      <c r="C1546" s="4104" t="s">
        <v>2258</v>
      </c>
      <c r="D1546" s="1548">
        <v>122500000</v>
      </c>
      <c r="E1546" s="878">
        <v>122500000</v>
      </c>
      <c r="F1546" s="878">
        <f t="shared" si="32"/>
        <v>100</v>
      </c>
      <c r="G1546" s="878">
        <v>100</v>
      </c>
      <c r="H1546" s="354"/>
      <c r="J1546" s="2126"/>
      <c r="K1546" s="2126"/>
    </row>
    <row r="1547" spans="1:11" s="266" customFormat="1" ht="15.75" hidden="1" customHeight="1" x14ac:dyDescent="0.25">
      <c r="A1547" s="353"/>
      <c r="B1547" s="5411"/>
      <c r="C1547" s="4104" t="s">
        <v>2259</v>
      </c>
      <c r="D1547" s="1548">
        <v>30100000</v>
      </c>
      <c r="E1547" s="1818">
        <v>30100000</v>
      </c>
      <c r="F1547" s="878">
        <f t="shared" si="32"/>
        <v>100</v>
      </c>
      <c r="G1547" s="878">
        <v>100</v>
      </c>
      <c r="H1547" s="354"/>
      <c r="J1547" s="2126"/>
      <c r="K1547" s="2126"/>
    </row>
    <row r="1548" spans="1:11" s="266" customFormat="1" ht="17.25" hidden="1" customHeight="1" x14ac:dyDescent="0.25">
      <c r="A1548" s="353"/>
      <c r="B1548" s="5411"/>
      <c r="C1548" s="4104" t="s">
        <v>2260</v>
      </c>
      <c r="D1548" s="1548">
        <v>140425000</v>
      </c>
      <c r="E1548" s="878">
        <v>140425000</v>
      </c>
      <c r="F1548" s="878">
        <f t="shared" si="32"/>
        <v>100</v>
      </c>
      <c r="G1548" s="878">
        <v>100</v>
      </c>
      <c r="H1548" s="354"/>
      <c r="J1548" s="2126"/>
      <c r="K1548" s="2126"/>
    </row>
    <row r="1549" spans="1:11" s="266" customFormat="1" ht="15.75" hidden="1" customHeight="1" x14ac:dyDescent="0.25">
      <c r="A1549" s="353"/>
      <c r="B1549" s="5411"/>
      <c r="C1549" s="4104" t="s">
        <v>2261</v>
      </c>
      <c r="D1549" s="1548">
        <v>317120000</v>
      </c>
      <c r="E1549" s="1818">
        <v>317120000</v>
      </c>
      <c r="F1549" s="878">
        <f t="shared" si="32"/>
        <v>100</v>
      </c>
      <c r="G1549" s="878">
        <v>100</v>
      </c>
      <c r="H1549" s="354"/>
      <c r="J1549" s="2126"/>
      <c r="K1549" s="2126"/>
    </row>
    <row r="1550" spans="1:11" s="266" customFormat="1" ht="10.5" hidden="1" customHeight="1" x14ac:dyDescent="0.25">
      <c r="A1550" s="353"/>
      <c r="B1550" s="5411"/>
      <c r="C1550" s="4104"/>
      <c r="D1550" s="1548"/>
      <c r="E1550" s="666"/>
      <c r="F1550" s="1717"/>
      <c r="G1550" s="1717"/>
      <c r="H1550" s="354"/>
      <c r="J1550" s="2126"/>
      <c r="K1550" s="2126"/>
    </row>
    <row r="1551" spans="1:11" s="269" customFormat="1" ht="17.25" hidden="1" customHeight="1" x14ac:dyDescent="0.25">
      <c r="A1551" s="350"/>
      <c r="B1551" s="2913"/>
      <c r="C1551" s="4116" t="s">
        <v>2262</v>
      </c>
      <c r="D1551" s="1549">
        <f>SUM(D1552:D1557)</f>
        <v>25949290500</v>
      </c>
      <c r="E1551" s="1549">
        <f>SUM(E1552:E1557)</f>
        <v>25669347960</v>
      </c>
      <c r="F1551" s="3629">
        <f t="shared" ref="F1551:F1557" si="33">E1551/D1551*100</f>
        <v>98.921193856918748</v>
      </c>
      <c r="G1551" s="3629">
        <f>SUM(G1552:G1557)/6</f>
        <v>96.666666666666671</v>
      </c>
      <c r="H1551" s="553"/>
      <c r="J1551" s="2069"/>
      <c r="K1551" s="2069"/>
    </row>
    <row r="1552" spans="1:11" s="266" customFormat="1" ht="17.25" hidden="1" customHeight="1" x14ac:dyDescent="0.25">
      <c r="A1552" s="353"/>
      <c r="B1552" s="5411"/>
      <c r="C1552" s="4104" t="s">
        <v>2263</v>
      </c>
      <c r="D1552" s="1548">
        <v>2835000000</v>
      </c>
      <c r="E1552" s="878">
        <v>2808262710</v>
      </c>
      <c r="F1552" s="878">
        <f t="shared" si="33"/>
        <v>99.056885714285713</v>
      </c>
      <c r="G1552" s="878">
        <v>100</v>
      </c>
      <c r="H1552" s="354"/>
      <c r="J1552" s="2126"/>
      <c r="K1552" s="2126"/>
    </row>
    <row r="1553" spans="1:11" s="266" customFormat="1" ht="17.25" hidden="1" customHeight="1" x14ac:dyDescent="0.25">
      <c r="A1553" s="353"/>
      <c r="B1553" s="5411"/>
      <c r="C1553" s="4104" t="s">
        <v>2264</v>
      </c>
      <c r="D1553" s="1548">
        <v>191650000</v>
      </c>
      <c r="E1553" s="1818">
        <v>191650000</v>
      </c>
      <c r="F1553" s="878">
        <f t="shared" si="33"/>
        <v>100</v>
      </c>
      <c r="G1553" s="878">
        <v>100</v>
      </c>
      <c r="H1553" s="354"/>
      <c r="J1553" s="2126"/>
      <c r="K1553" s="2126"/>
    </row>
    <row r="1554" spans="1:11" s="266" customFormat="1" ht="27.75" hidden="1" customHeight="1" x14ac:dyDescent="0.25">
      <c r="A1554" s="353"/>
      <c r="B1554" s="5411"/>
      <c r="C1554" s="4104" t="s">
        <v>2265</v>
      </c>
      <c r="D1554" s="1548">
        <v>66950000</v>
      </c>
      <c r="E1554" s="878">
        <v>50020000</v>
      </c>
      <c r="F1554" s="878">
        <f t="shared" si="33"/>
        <v>74.712471994025393</v>
      </c>
      <c r="G1554" s="878">
        <v>80</v>
      </c>
      <c r="H1554" s="354"/>
      <c r="J1554" s="2126"/>
      <c r="K1554" s="2126"/>
    </row>
    <row r="1555" spans="1:11" s="266" customFormat="1" ht="16.5" hidden="1" customHeight="1" x14ac:dyDescent="0.25">
      <c r="A1555" s="353"/>
      <c r="B1555" s="5411"/>
      <c r="C1555" s="4104" t="s">
        <v>2266</v>
      </c>
      <c r="D1555" s="1548">
        <v>887600000</v>
      </c>
      <c r="E1555" s="1818">
        <v>887600000</v>
      </c>
      <c r="F1555" s="878">
        <f t="shared" si="33"/>
        <v>100</v>
      </c>
      <c r="G1555" s="878">
        <v>100</v>
      </c>
      <c r="H1555" s="354"/>
      <c r="J1555" s="2126"/>
      <c r="K1555" s="2126"/>
    </row>
    <row r="1556" spans="1:11" s="266" customFormat="1" ht="17.25" hidden="1" customHeight="1" x14ac:dyDescent="0.25">
      <c r="A1556" s="353"/>
      <c r="B1556" s="5411"/>
      <c r="C1556" s="4104" t="s">
        <v>2267</v>
      </c>
      <c r="D1556" s="1548">
        <v>21590740500</v>
      </c>
      <c r="E1556" s="878">
        <v>21354465250</v>
      </c>
      <c r="F1556" s="878">
        <f t="shared" si="33"/>
        <v>98.905663981279375</v>
      </c>
      <c r="G1556" s="878">
        <v>100</v>
      </c>
      <c r="H1556" s="354"/>
      <c r="J1556" s="2126"/>
      <c r="K1556" s="2126"/>
    </row>
    <row r="1557" spans="1:11" ht="16.5" hidden="1" customHeight="1" x14ac:dyDescent="0.25">
      <c r="B1557" s="2913"/>
      <c r="C1557" s="3861" t="s">
        <v>2268</v>
      </c>
      <c r="D1557" s="1516">
        <v>377350000</v>
      </c>
      <c r="E1557" s="878">
        <v>377350000</v>
      </c>
      <c r="F1557" s="878">
        <f t="shared" si="33"/>
        <v>100</v>
      </c>
      <c r="G1557" s="878">
        <v>100</v>
      </c>
      <c r="H1557" s="535"/>
    </row>
    <row r="1558" spans="1:11" ht="12" hidden="1" customHeight="1" x14ac:dyDescent="0.25">
      <c r="B1558" s="2913"/>
      <c r="C1558" s="3918"/>
      <c r="D1558" s="1553"/>
      <c r="E1558" s="969"/>
      <c r="F1558" s="2279"/>
      <c r="G1558" s="2279"/>
      <c r="H1558" s="535"/>
    </row>
    <row r="1559" spans="1:11" s="269" customFormat="1" ht="17.25" hidden="1" customHeight="1" x14ac:dyDescent="0.25">
      <c r="A1559" s="350"/>
      <c r="B1559" s="5397"/>
      <c r="C1559" s="3858" t="s">
        <v>248</v>
      </c>
      <c r="D1559" s="1546">
        <f>D1560+D1563+D1568+D1571+D1576+D1583</f>
        <v>22000000000</v>
      </c>
      <c r="E1559" s="1546">
        <f>E1560+E1563+E1568+E1571+E1576+E1583</f>
        <v>20183885632</v>
      </c>
      <c r="F1559" s="1726">
        <f>E1559/D1559*100</f>
        <v>91.744934690909091</v>
      </c>
      <c r="G1559" s="2317">
        <f>SUM(G1560+G1563+G1568+G1571+G1576+G1583)/6</f>
        <v>98.222222222222214</v>
      </c>
      <c r="H1559" s="553"/>
      <c r="J1559" s="2069"/>
      <c r="K1559" s="2069"/>
    </row>
    <row r="1560" spans="1:11" s="269" customFormat="1" ht="15" hidden="1" customHeight="1" x14ac:dyDescent="0.25">
      <c r="A1560" s="350"/>
      <c r="B1560" s="2913"/>
      <c r="C1560" s="3881" t="s">
        <v>1692</v>
      </c>
      <c r="D1560" s="1554">
        <f>D1561</f>
        <v>6390000000</v>
      </c>
      <c r="E1560" s="1554">
        <f>E1561</f>
        <v>6390000000</v>
      </c>
      <c r="F1560" s="877">
        <f>E1560/D1560*100</f>
        <v>100</v>
      </c>
      <c r="G1560" s="877">
        <v>100</v>
      </c>
      <c r="H1560" s="553"/>
      <c r="J1560" s="2069"/>
      <c r="K1560" s="2069"/>
    </row>
    <row r="1561" spans="1:11" s="266" customFormat="1" ht="17.25" hidden="1" customHeight="1" x14ac:dyDescent="0.25">
      <c r="A1561" s="353"/>
      <c r="B1561" s="5411"/>
      <c r="C1561" s="4104" t="s">
        <v>1693</v>
      </c>
      <c r="D1561" s="1548">
        <v>6390000000</v>
      </c>
      <c r="E1561" s="878">
        <v>6390000000</v>
      </c>
      <c r="F1561" s="878">
        <f>E1561/D1561*100</f>
        <v>100</v>
      </c>
      <c r="G1561" s="878">
        <v>100</v>
      </c>
      <c r="H1561" s="354"/>
      <c r="J1561" s="2126"/>
      <c r="K1561" s="2126"/>
    </row>
    <row r="1562" spans="1:11" s="266" customFormat="1" ht="9.75" hidden="1" customHeight="1" x14ac:dyDescent="0.25">
      <c r="A1562" s="353"/>
      <c r="B1562" s="5411"/>
      <c r="C1562" s="4104"/>
      <c r="D1562" s="1548"/>
      <c r="E1562" s="666"/>
      <c r="F1562" s="1717"/>
      <c r="G1562" s="1717"/>
      <c r="H1562" s="354"/>
      <c r="J1562" s="2126"/>
      <c r="K1562" s="2126"/>
    </row>
    <row r="1563" spans="1:11" s="269" customFormat="1" ht="16.5" hidden="1" customHeight="1" x14ac:dyDescent="0.25">
      <c r="A1563" s="350"/>
      <c r="B1563" s="2913"/>
      <c r="C1563" s="4116" t="s">
        <v>290</v>
      </c>
      <c r="D1563" s="1549">
        <f>SUM(D1564:D1566)</f>
        <v>2950550000</v>
      </c>
      <c r="E1563" s="1549">
        <f>SUM(E1564:E1566)</f>
        <v>2708898632</v>
      </c>
      <c r="F1563" s="3629">
        <f>E1563/D1563*100</f>
        <v>91.809955160902206</v>
      </c>
      <c r="G1563" s="2484">
        <f>SUM(G1564:G1566)/3</f>
        <v>93.333333333333329</v>
      </c>
      <c r="H1563" s="553"/>
      <c r="J1563" s="2069"/>
      <c r="K1563" s="2069"/>
    </row>
    <row r="1564" spans="1:11" s="266" customFormat="1" ht="14.25" hidden="1" customHeight="1" x14ac:dyDescent="0.25">
      <c r="A1564" s="353"/>
      <c r="B1564" s="5411"/>
      <c r="C1564" s="4104" t="s">
        <v>1694</v>
      </c>
      <c r="D1564" s="1548">
        <v>2000000000</v>
      </c>
      <c r="E1564" s="878">
        <v>1947331632</v>
      </c>
      <c r="F1564" s="878">
        <f>E1564/D1564*100</f>
        <v>97.366581600000004</v>
      </c>
      <c r="G1564" s="2338">
        <v>100</v>
      </c>
      <c r="H1564" s="354"/>
      <c r="J1564" s="2126"/>
      <c r="K1564" s="2126"/>
    </row>
    <row r="1565" spans="1:11" s="266" customFormat="1" ht="15.75" hidden="1" customHeight="1" x14ac:dyDescent="0.25">
      <c r="A1565" s="353"/>
      <c r="B1565" s="5411"/>
      <c r="C1565" s="4104" t="s">
        <v>1695</v>
      </c>
      <c r="D1565" s="1548">
        <v>750000000</v>
      </c>
      <c r="E1565" s="666">
        <v>561576000</v>
      </c>
      <c r="F1565" s="878">
        <f>E1565/D1565*100</f>
        <v>74.876800000000003</v>
      </c>
      <c r="G1565" s="1717">
        <v>80</v>
      </c>
      <c r="H1565" s="354"/>
      <c r="J1565" s="2126"/>
      <c r="K1565" s="2126"/>
    </row>
    <row r="1566" spans="1:11" s="269" customFormat="1" ht="16.5" hidden="1" customHeight="1" x14ac:dyDescent="0.25">
      <c r="A1566" s="350"/>
      <c r="B1566" s="2913"/>
      <c r="C1566" s="4104" t="s">
        <v>1696</v>
      </c>
      <c r="D1566" s="1548">
        <v>200550000</v>
      </c>
      <c r="E1566" s="878">
        <v>199991000</v>
      </c>
      <c r="F1566" s="878">
        <f>E1566/D1566*100</f>
        <v>99.721266517078035</v>
      </c>
      <c r="G1566" s="878">
        <v>100</v>
      </c>
      <c r="H1566" s="553"/>
      <c r="J1566" s="2069"/>
      <c r="K1566" s="2069"/>
    </row>
    <row r="1567" spans="1:11" s="269" customFormat="1" ht="9" hidden="1" customHeight="1" x14ac:dyDescent="0.25">
      <c r="A1567" s="350"/>
      <c r="B1567" s="2913"/>
      <c r="C1567" s="4104"/>
      <c r="D1567" s="1549"/>
      <c r="E1567" s="1381"/>
      <c r="F1567" s="2261"/>
      <c r="G1567" s="2484"/>
      <c r="H1567" s="553"/>
      <c r="J1567" s="2069"/>
      <c r="K1567" s="2069"/>
    </row>
    <row r="1568" spans="1:11" s="269" customFormat="1" ht="16.5" hidden="1" customHeight="1" x14ac:dyDescent="0.25">
      <c r="A1568" s="350"/>
      <c r="B1568" s="2913"/>
      <c r="C1568" s="4116" t="s">
        <v>291</v>
      </c>
      <c r="D1568" s="1582">
        <f>D1569</f>
        <v>425435000</v>
      </c>
      <c r="E1568" s="1582">
        <f>E1569</f>
        <v>425435000</v>
      </c>
      <c r="F1568" s="3629">
        <f>E1568/D1568*100</f>
        <v>100</v>
      </c>
      <c r="G1568" s="2560">
        <v>100</v>
      </c>
      <c r="H1568" s="553"/>
      <c r="J1568" s="2069"/>
      <c r="K1568" s="2069"/>
    </row>
    <row r="1569" spans="1:11" s="266" customFormat="1" ht="15.75" hidden="1" customHeight="1" x14ac:dyDescent="0.25">
      <c r="A1569" s="353"/>
      <c r="B1569" s="5411"/>
      <c r="C1569" s="4104" t="s">
        <v>1697</v>
      </c>
      <c r="D1569" s="1548">
        <v>425435000</v>
      </c>
      <c r="E1569" s="1818">
        <v>425435000</v>
      </c>
      <c r="F1569" s="878">
        <f>E1569/D1569*100</f>
        <v>100</v>
      </c>
      <c r="G1569" s="2338">
        <v>100</v>
      </c>
      <c r="H1569" s="354"/>
      <c r="J1569" s="2126"/>
      <c r="K1569" s="2126"/>
    </row>
    <row r="1570" spans="1:11" s="266" customFormat="1" ht="8.25" hidden="1" customHeight="1" x14ac:dyDescent="0.25">
      <c r="A1570" s="353"/>
      <c r="B1570" s="5411"/>
      <c r="C1570" s="4104"/>
      <c r="D1570" s="1548"/>
      <c r="E1570" s="878"/>
      <c r="F1570" s="1717"/>
      <c r="G1570" s="2338"/>
      <c r="H1570" s="354"/>
      <c r="J1570" s="2126"/>
      <c r="K1570" s="2126"/>
    </row>
    <row r="1571" spans="1:11" s="266" customFormat="1" ht="15" hidden="1" customHeight="1" x14ac:dyDescent="0.25">
      <c r="A1571" s="353"/>
      <c r="B1571" s="5411"/>
      <c r="C1571" s="4116" t="s">
        <v>1698</v>
      </c>
      <c r="D1571" s="1549">
        <f>SUM(D1572:D1574)</f>
        <v>1080000000</v>
      </c>
      <c r="E1571" s="1549">
        <f>SUM(E1572:E1574)</f>
        <v>1080000000</v>
      </c>
      <c r="F1571" s="3629">
        <f>E1571/D1571*100</f>
        <v>100</v>
      </c>
      <c r="G1571" s="2484">
        <v>100</v>
      </c>
      <c r="H1571" s="354"/>
      <c r="J1571" s="2126"/>
      <c r="K1571" s="2126"/>
    </row>
    <row r="1572" spans="1:11" s="266" customFormat="1" ht="14.25" hidden="1" customHeight="1" x14ac:dyDescent="0.25">
      <c r="A1572" s="353"/>
      <c r="B1572" s="5411"/>
      <c r="C1572" s="4104" t="s">
        <v>1699</v>
      </c>
      <c r="D1572" s="1548">
        <v>380000000</v>
      </c>
      <c r="E1572" s="1818">
        <v>380000000</v>
      </c>
      <c r="F1572" s="878">
        <f>E1572/D1572*100</f>
        <v>100</v>
      </c>
      <c r="G1572" s="1717">
        <v>100</v>
      </c>
      <c r="H1572" s="354"/>
      <c r="J1572" s="2126"/>
      <c r="K1572" s="2126"/>
    </row>
    <row r="1573" spans="1:11" s="269" customFormat="1" ht="14.25" hidden="1" customHeight="1" x14ac:dyDescent="0.25">
      <c r="A1573" s="350"/>
      <c r="B1573" s="2913"/>
      <c r="C1573" s="4104" t="s">
        <v>1700</v>
      </c>
      <c r="D1573" s="1548">
        <v>200000000</v>
      </c>
      <c r="E1573" s="1818">
        <v>200000000</v>
      </c>
      <c r="F1573" s="878">
        <f>E1573/D1573*100</f>
        <v>100</v>
      </c>
      <c r="G1573" s="2338">
        <v>100</v>
      </c>
      <c r="H1573" s="553"/>
      <c r="J1573" s="2069"/>
      <c r="K1573" s="2069"/>
    </row>
    <row r="1574" spans="1:11" s="266" customFormat="1" ht="15.75" hidden="1" customHeight="1" x14ac:dyDescent="0.25">
      <c r="A1574" s="353"/>
      <c r="B1574" s="5411"/>
      <c r="C1574" s="4104" t="s">
        <v>1701</v>
      </c>
      <c r="D1574" s="1548">
        <v>500000000</v>
      </c>
      <c r="E1574" s="1818">
        <v>500000000</v>
      </c>
      <c r="F1574" s="878">
        <f>E1574/D1574*100</f>
        <v>100</v>
      </c>
      <c r="G1574" s="2338">
        <v>100</v>
      </c>
      <c r="H1574" s="354"/>
      <c r="J1574" s="2126"/>
      <c r="K1574" s="2126"/>
    </row>
    <row r="1575" spans="1:11" s="266" customFormat="1" ht="6.75" hidden="1" customHeight="1" x14ac:dyDescent="0.25">
      <c r="A1575" s="353"/>
      <c r="B1575" s="5411"/>
      <c r="C1575" s="4104"/>
      <c r="D1575" s="1548"/>
      <c r="E1575" s="878"/>
      <c r="F1575" s="2338"/>
      <c r="G1575" s="2338"/>
      <c r="H1575" s="354"/>
      <c r="J1575" s="2126"/>
      <c r="K1575" s="2126"/>
    </row>
    <row r="1576" spans="1:11" s="266" customFormat="1" ht="25.5" hidden="1" customHeight="1" x14ac:dyDescent="0.25">
      <c r="A1576" s="353"/>
      <c r="B1576" s="5411"/>
      <c r="C1576" s="4116" t="s">
        <v>2248</v>
      </c>
      <c r="D1576" s="1549">
        <f>SUM(D1577:D1581)</f>
        <v>10272315000</v>
      </c>
      <c r="E1576" s="1549">
        <f>SUM(E1577:E1581)</f>
        <v>8697852000</v>
      </c>
      <c r="F1576" s="3629">
        <f t="shared" ref="F1576:F1581" si="34">E1576/D1576*100</f>
        <v>84.672753902114579</v>
      </c>
      <c r="G1576" s="2484">
        <f>SUM(G1577:G1581)/5</f>
        <v>96</v>
      </c>
      <c r="H1576" s="354"/>
      <c r="J1576" s="2126"/>
      <c r="K1576" s="2126"/>
    </row>
    <row r="1577" spans="1:11" ht="17.25" hidden="1" customHeight="1" x14ac:dyDescent="0.25">
      <c r="B1577" s="2913"/>
      <c r="C1577" s="4104" t="s">
        <v>1704</v>
      </c>
      <c r="D1577" s="1548">
        <v>774330000</v>
      </c>
      <c r="E1577" s="666">
        <v>747595000</v>
      </c>
      <c r="F1577" s="878">
        <f t="shared" si="34"/>
        <v>96.547337698397328</v>
      </c>
      <c r="G1577" s="1717">
        <v>100</v>
      </c>
      <c r="H1577" s="535"/>
    </row>
    <row r="1578" spans="1:11" ht="15.75" hidden="1" customHeight="1" x14ac:dyDescent="0.25">
      <c r="B1578" s="2913"/>
      <c r="C1578" s="4104" t="s">
        <v>1705</v>
      </c>
      <c r="D1578" s="1548">
        <v>238020000</v>
      </c>
      <c r="E1578" s="1818">
        <v>238020000</v>
      </c>
      <c r="F1578" s="878">
        <f t="shared" si="34"/>
        <v>100</v>
      </c>
      <c r="G1578" s="1717">
        <v>100</v>
      </c>
      <c r="H1578" s="535"/>
    </row>
    <row r="1579" spans="1:11" ht="15.75" hidden="1" customHeight="1" x14ac:dyDescent="0.25">
      <c r="B1579" s="2913"/>
      <c r="C1579" s="4104" t="s">
        <v>1706</v>
      </c>
      <c r="D1579" s="1548">
        <v>1500000000</v>
      </c>
      <c r="E1579" s="666">
        <v>1465000000</v>
      </c>
      <c r="F1579" s="878">
        <f t="shared" si="34"/>
        <v>97.666666666666671</v>
      </c>
      <c r="G1579" s="1717">
        <v>100</v>
      </c>
      <c r="H1579" s="535"/>
    </row>
    <row r="1580" spans="1:11" ht="15" hidden="1" customHeight="1" x14ac:dyDescent="0.25">
      <c r="B1580" s="2913"/>
      <c r="C1580" s="4104" t="s">
        <v>1707</v>
      </c>
      <c r="D1580" s="1548">
        <v>2039500000</v>
      </c>
      <c r="E1580" s="666">
        <v>2006800000</v>
      </c>
      <c r="F1580" s="878">
        <f t="shared" si="34"/>
        <v>98.39666584947291</v>
      </c>
      <c r="G1580" s="1717">
        <v>100</v>
      </c>
      <c r="H1580" s="535"/>
    </row>
    <row r="1581" spans="1:11" ht="15.75" hidden="1" customHeight="1" x14ac:dyDescent="0.25">
      <c r="B1581" s="2913"/>
      <c r="C1581" s="4104" t="s">
        <v>1708</v>
      </c>
      <c r="D1581" s="1548">
        <v>5720465000</v>
      </c>
      <c r="E1581" s="666">
        <v>4240437000</v>
      </c>
      <c r="F1581" s="878">
        <f t="shared" si="34"/>
        <v>74.12748788778535</v>
      </c>
      <c r="G1581" s="1717">
        <v>80</v>
      </c>
      <c r="H1581" s="535"/>
    </row>
    <row r="1582" spans="1:11" ht="8.25" hidden="1" customHeight="1" x14ac:dyDescent="0.25">
      <c r="B1582" s="2913"/>
      <c r="C1582" s="3890"/>
      <c r="D1582" s="1548"/>
      <c r="E1582" s="894"/>
      <c r="F1582" s="1315"/>
      <c r="G1582" s="1315"/>
      <c r="H1582" s="535"/>
    </row>
    <row r="1583" spans="1:11" ht="18" hidden="1" customHeight="1" x14ac:dyDescent="0.25">
      <c r="B1583" s="2913"/>
      <c r="C1583" s="4116" t="s">
        <v>1702</v>
      </c>
      <c r="D1583" s="1549">
        <v>881700000</v>
      </c>
      <c r="E1583" s="1549">
        <v>881700000</v>
      </c>
      <c r="F1583" s="3629">
        <f>E1583/D1583*100</f>
        <v>100</v>
      </c>
      <c r="G1583" s="2261">
        <v>100</v>
      </c>
      <c r="H1583" s="535"/>
    </row>
    <row r="1584" spans="1:11" ht="15.75" hidden="1" customHeight="1" x14ac:dyDescent="0.25">
      <c r="B1584" s="2913"/>
      <c r="C1584" s="4104" t="s">
        <v>1703</v>
      </c>
      <c r="D1584" s="1548">
        <v>881700000</v>
      </c>
      <c r="E1584" s="1818">
        <v>881700000</v>
      </c>
      <c r="F1584" s="878">
        <f>E1584/D1584*100</f>
        <v>100</v>
      </c>
      <c r="G1584" s="1717">
        <v>100</v>
      </c>
      <c r="H1584" s="535"/>
    </row>
    <row r="1585" spans="1:11" ht="6.75" hidden="1" customHeight="1" x14ac:dyDescent="0.25">
      <c r="B1585" s="2913"/>
      <c r="C1585" s="3857"/>
      <c r="D1585" s="1550"/>
      <c r="E1585" s="969"/>
      <c r="F1585" s="2279"/>
      <c r="G1585" s="2279"/>
      <c r="H1585" s="535"/>
    </row>
    <row r="1586" spans="1:11" s="269" customFormat="1" ht="12.75" hidden="1" customHeight="1" x14ac:dyDescent="0.25">
      <c r="A1586" s="350"/>
      <c r="B1586" s="5397"/>
      <c r="C1586" s="3858" t="s">
        <v>300</v>
      </c>
      <c r="D1586" s="1546">
        <f>D1587</f>
        <v>10000000000</v>
      </c>
      <c r="E1586" s="1546">
        <f>E1587</f>
        <v>9480687954</v>
      </c>
      <c r="F1586" s="1726">
        <f t="shared" ref="F1586:F1596" si="35">E1586/D1586*100</f>
        <v>94.806879539999997</v>
      </c>
      <c r="G1586" s="2315">
        <f>SUM(G1587)/1</f>
        <v>97.222222222222229</v>
      </c>
      <c r="H1586" s="553"/>
      <c r="J1586" s="2069"/>
      <c r="K1586" s="2069"/>
    </row>
    <row r="1587" spans="1:11" s="269" customFormat="1" ht="28.5" hidden="1" customHeight="1" x14ac:dyDescent="0.25">
      <c r="A1587" s="350"/>
      <c r="B1587" s="2913"/>
      <c r="C1587" s="3881" t="s">
        <v>1799</v>
      </c>
      <c r="D1587" s="1549">
        <f>SUM(D1588:D1596)</f>
        <v>10000000000</v>
      </c>
      <c r="E1587" s="1549">
        <f>SUM(E1588:E1596)</f>
        <v>9480687954</v>
      </c>
      <c r="F1587" s="2176">
        <f t="shared" si="35"/>
        <v>94.806879539999997</v>
      </c>
      <c r="G1587" s="4358">
        <f>SUM(G1588:G1596)/9</f>
        <v>97.222222222222229</v>
      </c>
      <c r="H1587" s="553"/>
      <c r="J1587" s="2069"/>
      <c r="K1587" s="2069"/>
    </row>
    <row r="1588" spans="1:11" s="266" customFormat="1" ht="29.25" hidden="1" customHeight="1" x14ac:dyDescent="0.25">
      <c r="A1588" s="353"/>
      <c r="B1588" s="5411"/>
      <c r="C1588" s="4104" t="s">
        <v>1800</v>
      </c>
      <c r="D1588" s="1548">
        <v>3749820000</v>
      </c>
      <c r="E1588" s="878">
        <v>3635500095</v>
      </c>
      <c r="F1588" s="878">
        <f t="shared" si="35"/>
        <v>96.951322863497452</v>
      </c>
      <c r="G1588" s="2338">
        <v>100</v>
      </c>
      <c r="H1588" s="354"/>
      <c r="J1588" s="2126"/>
      <c r="K1588" s="2126"/>
    </row>
    <row r="1589" spans="1:11" s="266" customFormat="1" ht="16.5" hidden="1" customHeight="1" x14ac:dyDescent="0.25">
      <c r="A1589" s="353"/>
      <c r="B1589" s="5411"/>
      <c r="C1589" s="4104" t="s">
        <v>1801</v>
      </c>
      <c r="D1589" s="1548">
        <v>200000000</v>
      </c>
      <c r="E1589" s="878">
        <v>115590000</v>
      </c>
      <c r="F1589" s="878">
        <f t="shared" si="35"/>
        <v>57.794999999999995</v>
      </c>
      <c r="G1589" s="878">
        <v>75</v>
      </c>
      <c r="H1589" s="354"/>
      <c r="J1589" s="2126"/>
      <c r="K1589" s="2126"/>
    </row>
    <row r="1590" spans="1:11" s="266" customFormat="1" ht="15.75" hidden="1" customHeight="1" x14ac:dyDescent="0.25">
      <c r="A1590" s="353"/>
      <c r="B1590" s="5411"/>
      <c r="C1590" s="4104" t="s">
        <v>1802</v>
      </c>
      <c r="D1590" s="1548">
        <v>1000000000</v>
      </c>
      <c r="E1590" s="878">
        <v>976109561</v>
      </c>
      <c r="F1590" s="878">
        <f t="shared" si="35"/>
        <v>97.610956099999996</v>
      </c>
      <c r="G1590" s="878">
        <v>100</v>
      </c>
      <c r="H1590" s="354"/>
      <c r="J1590" s="2126"/>
      <c r="K1590" s="2126"/>
    </row>
    <row r="1591" spans="1:11" s="266" customFormat="1" ht="16.5" hidden="1" customHeight="1" x14ac:dyDescent="0.25">
      <c r="A1591" s="353"/>
      <c r="B1591" s="5411"/>
      <c r="C1591" s="4104" t="s">
        <v>1803</v>
      </c>
      <c r="D1591" s="1548">
        <v>596000000</v>
      </c>
      <c r="E1591" s="878">
        <v>546587500</v>
      </c>
      <c r="F1591" s="878">
        <f t="shared" si="35"/>
        <v>91.709312080536904</v>
      </c>
      <c r="G1591" s="2338">
        <v>100</v>
      </c>
      <c r="H1591" s="354"/>
      <c r="J1591" s="2126"/>
      <c r="K1591" s="2126"/>
    </row>
    <row r="1592" spans="1:11" ht="14.25" hidden="1" customHeight="1" x14ac:dyDescent="0.25">
      <c r="B1592" s="2913"/>
      <c r="C1592" s="3861" t="s">
        <v>1804</v>
      </c>
      <c r="D1592" s="1516">
        <v>2754180000</v>
      </c>
      <c r="E1592" s="868">
        <v>2636090000</v>
      </c>
      <c r="F1592" s="878">
        <f t="shared" si="35"/>
        <v>95.712335431961606</v>
      </c>
      <c r="G1592" s="2281">
        <v>100</v>
      </c>
      <c r="H1592" s="535"/>
    </row>
    <row r="1593" spans="1:11" ht="14.25" hidden="1" customHeight="1" x14ac:dyDescent="0.25">
      <c r="B1593" s="2913"/>
      <c r="C1593" s="4104" t="s">
        <v>1805</v>
      </c>
      <c r="D1593" s="1548">
        <v>100000000</v>
      </c>
      <c r="E1593" s="666">
        <v>98952000</v>
      </c>
      <c r="F1593" s="878">
        <f t="shared" si="35"/>
        <v>98.951999999999998</v>
      </c>
      <c r="G1593" s="1717">
        <v>100</v>
      </c>
      <c r="H1593" s="535"/>
    </row>
    <row r="1594" spans="1:11" ht="14.25" hidden="1" customHeight="1" x14ac:dyDescent="0.25">
      <c r="B1594" s="2913"/>
      <c r="C1594" s="4104" t="s">
        <v>1806</v>
      </c>
      <c r="D1594" s="1548">
        <v>100000000</v>
      </c>
      <c r="E1594" s="666">
        <v>98426400</v>
      </c>
      <c r="F1594" s="878">
        <f t="shared" si="35"/>
        <v>98.426400000000001</v>
      </c>
      <c r="G1594" s="1717">
        <v>100</v>
      </c>
      <c r="H1594" s="535"/>
    </row>
    <row r="1595" spans="1:11" ht="15.75" hidden="1" customHeight="1" x14ac:dyDescent="0.25">
      <c r="B1595" s="2913"/>
      <c r="C1595" s="4104" t="s">
        <v>1807</v>
      </c>
      <c r="D1595" s="1548">
        <v>500000000</v>
      </c>
      <c r="E1595" s="878">
        <v>479378200</v>
      </c>
      <c r="F1595" s="878">
        <f t="shared" si="35"/>
        <v>95.87563999999999</v>
      </c>
      <c r="G1595" s="878">
        <v>100</v>
      </c>
      <c r="H1595" s="535"/>
    </row>
    <row r="1596" spans="1:11" ht="14.25" hidden="1" customHeight="1" x14ac:dyDescent="0.25">
      <c r="B1596" s="2913"/>
      <c r="C1596" s="4104" t="s">
        <v>1808</v>
      </c>
      <c r="D1596" s="1548">
        <v>1000000000</v>
      </c>
      <c r="E1596" s="666">
        <v>894054198</v>
      </c>
      <c r="F1596" s="878">
        <f t="shared" si="35"/>
        <v>89.40541979999999</v>
      </c>
      <c r="G1596" s="878">
        <v>100</v>
      </c>
      <c r="H1596" s="535"/>
    </row>
    <row r="1597" spans="1:11" ht="12" hidden="1" customHeight="1" x14ac:dyDescent="0.25">
      <c r="B1597" s="2913"/>
      <c r="C1597" s="3857"/>
      <c r="D1597" s="1550"/>
      <c r="E1597" s="969"/>
      <c r="F1597" s="2279"/>
      <c r="G1597" s="2279"/>
      <c r="H1597" s="535"/>
    </row>
    <row r="1598" spans="1:11" s="269" customFormat="1" ht="16.5" hidden="1" customHeight="1" x14ac:dyDescent="0.25">
      <c r="A1598" s="350"/>
      <c r="B1598" s="5397"/>
      <c r="C1598" s="3858" t="s">
        <v>364</v>
      </c>
      <c r="D1598" s="1546">
        <f>D1599+D1604+D1609+D1612</f>
        <v>61000000000</v>
      </c>
      <c r="E1598" s="1546">
        <f>E1599+E1604+E1609+E1612</f>
        <v>58792898000</v>
      </c>
      <c r="F1598" s="2317">
        <f>E1598/D1598*100</f>
        <v>96.381799999999998</v>
      </c>
      <c r="G1598" s="2315">
        <v>100</v>
      </c>
      <c r="H1598" s="553"/>
      <c r="J1598" s="2069"/>
      <c r="K1598" s="2069"/>
    </row>
    <row r="1599" spans="1:11" s="269" customFormat="1" ht="16.5" hidden="1" customHeight="1" x14ac:dyDescent="0.25">
      <c r="A1599" s="350"/>
      <c r="B1599" s="2913"/>
      <c r="C1599" s="3881" t="s">
        <v>301</v>
      </c>
      <c r="D1599" s="1554">
        <f>SUM(D1600:D1602)</f>
        <v>32500000000</v>
      </c>
      <c r="E1599" s="1554">
        <f>SUM(E1600:E1602)</f>
        <v>31266915000</v>
      </c>
      <c r="F1599" s="883">
        <f>E1599/D1599*100</f>
        <v>96.205892307692309</v>
      </c>
      <c r="G1599" s="4358">
        <v>100</v>
      </c>
      <c r="H1599" s="553"/>
      <c r="J1599" s="2069"/>
      <c r="K1599" s="2069"/>
    </row>
    <row r="1600" spans="1:11" s="266" customFormat="1" ht="14.25" hidden="1" customHeight="1" x14ac:dyDescent="0.25">
      <c r="A1600" s="353"/>
      <c r="B1600" s="5411"/>
      <c r="C1600" s="5498" t="s">
        <v>302</v>
      </c>
      <c r="D1600" s="959">
        <v>1000000000</v>
      </c>
      <c r="E1600" s="878">
        <v>999800000</v>
      </c>
      <c r="F1600" s="878">
        <f>E1600/D1600*100</f>
        <v>99.98</v>
      </c>
      <c r="G1600" s="2338">
        <v>100</v>
      </c>
      <c r="H1600" s="354"/>
      <c r="J1600" s="2126"/>
      <c r="K1600" s="2126"/>
    </row>
    <row r="1601" spans="1:11" s="266" customFormat="1" ht="15.75" hidden="1" customHeight="1" x14ac:dyDescent="0.25">
      <c r="A1601" s="353"/>
      <c r="B1601" s="5411"/>
      <c r="C1601" s="5499" t="s">
        <v>1709</v>
      </c>
      <c r="D1601" s="959">
        <v>29500000000</v>
      </c>
      <c r="E1601" s="878">
        <v>28290020000</v>
      </c>
      <c r="F1601" s="878">
        <f>E1601/D1601*100</f>
        <v>95.898372881355925</v>
      </c>
      <c r="G1601" s="2338">
        <v>100</v>
      </c>
      <c r="H1601" s="354"/>
      <c r="J1601" s="2126"/>
      <c r="K1601" s="2126"/>
    </row>
    <row r="1602" spans="1:11" s="266" customFormat="1" ht="14.25" hidden="1" customHeight="1" x14ac:dyDescent="0.25">
      <c r="A1602" s="353"/>
      <c r="B1602" s="5411"/>
      <c r="C1602" s="5499" t="s">
        <v>1710</v>
      </c>
      <c r="D1602" s="959">
        <v>2000000000</v>
      </c>
      <c r="E1602" s="878">
        <v>1977095000</v>
      </c>
      <c r="F1602" s="878">
        <f>E1602/D1602*100</f>
        <v>98.854749999999996</v>
      </c>
      <c r="G1602" s="878">
        <v>100</v>
      </c>
      <c r="H1602" s="354"/>
      <c r="J1602" s="2126"/>
      <c r="K1602" s="2126"/>
    </row>
    <row r="1603" spans="1:11" s="266" customFormat="1" ht="9" hidden="1" customHeight="1" x14ac:dyDescent="0.25">
      <c r="A1603" s="353"/>
      <c r="B1603" s="5411"/>
      <c r="C1603" s="4104"/>
      <c r="D1603" s="1548"/>
      <c r="E1603" s="878"/>
      <c r="F1603" s="1717"/>
      <c r="G1603" s="2338"/>
      <c r="H1603" s="354"/>
      <c r="J1603" s="2126"/>
      <c r="K1603" s="2126"/>
    </row>
    <row r="1604" spans="1:11" s="266" customFormat="1" ht="18.75" hidden="1" customHeight="1" x14ac:dyDescent="0.25">
      <c r="A1604" s="353"/>
      <c r="B1604" s="5411"/>
      <c r="C1604" s="4116" t="s">
        <v>1711</v>
      </c>
      <c r="D1604" s="1549">
        <f>SUM(D1605:D1607)</f>
        <v>24000000000</v>
      </c>
      <c r="E1604" s="1549">
        <f>SUM(E1605:E1607)</f>
        <v>23130893000</v>
      </c>
      <c r="F1604" s="877">
        <f>E1604/D1604*100</f>
        <v>96.378720833333333</v>
      </c>
      <c r="G1604" s="2484">
        <f>SUM(G1605:G1607)/3</f>
        <v>100</v>
      </c>
      <c r="H1604" s="354"/>
      <c r="J1604" s="2126"/>
      <c r="K1604" s="2126"/>
    </row>
    <row r="1605" spans="1:11" s="266" customFormat="1" ht="15.75" hidden="1" customHeight="1" x14ac:dyDescent="0.25">
      <c r="A1605" s="353"/>
      <c r="B1605" s="5411"/>
      <c r="C1605" s="4104" t="s">
        <v>1712</v>
      </c>
      <c r="D1605" s="1548">
        <v>9000000000</v>
      </c>
      <c r="E1605" s="878">
        <v>8720186250</v>
      </c>
      <c r="F1605" s="878">
        <f>E1605/D1605*100</f>
        <v>96.89095833333333</v>
      </c>
      <c r="G1605" s="2338">
        <v>100</v>
      </c>
      <c r="H1605" s="354"/>
      <c r="J1605" s="2126"/>
      <c r="K1605" s="2126"/>
    </row>
    <row r="1606" spans="1:11" s="266" customFormat="1" ht="15.75" hidden="1" customHeight="1" x14ac:dyDescent="0.25">
      <c r="A1606" s="353"/>
      <c r="B1606" s="5411"/>
      <c r="C1606" s="4104" t="s">
        <v>1713</v>
      </c>
      <c r="D1606" s="1548">
        <v>10000000000</v>
      </c>
      <c r="E1606" s="878">
        <v>9584291750</v>
      </c>
      <c r="F1606" s="878">
        <f>E1606/D1606*100</f>
        <v>95.842917499999999</v>
      </c>
      <c r="G1606" s="2338">
        <v>100</v>
      </c>
      <c r="H1606" s="354"/>
      <c r="J1606" s="2126"/>
      <c r="K1606" s="2126"/>
    </row>
    <row r="1607" spans="1:11" s="266" customFormat="1" ht="14.25" hidden="1" customHeight="1" x14ac:dyDescent="0.25">
      <c r="A1607" s="353"/>
      <c r="B1607" s="5411"/>
      <c r="C1607" s="4104" t="s">
        <v>1714</v>
      </c>
      <c r="D1607" s="1548">
        <v>5000000000</v>
      </c>
      <c r="E1607" s="878">
        <v>4826415000</v>
      </c>
      <c r="F1607" s="878">
        <f>E1607/D1607*100</f>
        <v>96.528300000000002</v>
      </c>
      <c r="G1607" s="2338">
        <v>100</v>
      </c>
      <c r="H1607" s="354"/>
      <c r="J1607" s="2126"/>
      <c r="K1607" s="2126"/>
    </row>
    <row r="1608" spans="1:11" s="266" customFormat="1" ht="10.5" hidden="1" customHeight="1" x14ac:dyDescent="0.25">
      <c r="A1608" s="353"/>
      <c r="B1608" s="5411"/>
      <c r="C1608" s="4104"/>
      <c r="D1608" s="1548"/>
      <c r="E1608" s="878"/>
      <c r="F1608" s="1717"/>
      <c r="G1608" s="2338"/>
      <c r="H1608" s="354"/>
      <c r="J1608" s="2126"/>
      <c r="K1608" s="2126"/>
    </row>
    <row r="1609" spans="1:11" s="269" customFormat="1" ht="30" hidden="1" customHeight="1" x14ac:dyDescent="0.25">
      <c r="A1609" s="350"/>
      <c r="B1609" s="2913"/>
      <c r="C1609" s="4116" t="s">
        <v>1809</v>
      </c>
      <c r="D1609" s="1549">
        <f>D1610</f>
        <v>3000000000</v>
      </c>
      <c r="E1609" s="1549">
        <f>E1610</f>
        <v>2965990000</v>
      </c>
      <c r="F1609" s="877">
        <f>E1609/D1609*100</f>
        <v>98.86633333333333</v>
      </c>
      <c r="G1609" s="2484">
        <v>100</v>
      </c>
      <c r="H1609" s="553"/>
      <c r="J1609" s="2069"/>
      <c r="K1609" s="2069"/>
    </row>
    <row r="1610" spans="1:11" s="266" customFormat="1" ht="17.25" hidden="1" customHeight="1" x14ac:dyDescent="0.25">
      <c r="A1610" s="353"/>
      <c r="B1610" s="5411"/>
      <c r="C1610" s="4104" t="s">
        <v>1715</v>
      </c>
      <c r="D1610" s="1548">
        <v>3000000000</v>
      </c>
      <c r="E1610" s="878">
        <v>2965990000</v>
      </c>
      <c r="F1610" s="878">
        <f>E1610/D1610*100</f>
        <v>98.86633333333333</v>
      </c>
      <c r="G1610" s="2338">
        <v>100</v>
      </c>
      <c r="H1610" s="354"/>
      <c r="J1610" s="2126"/>
      <c r="K1610" s="2126"/>
    </row>
    <row r="1611" spans="1:11" s="266" customFormat="1" ht="10.5" hidden="1" customHeight="1" x14ac:dyDescent="0.25">
      <c r="A1611" s="353"/>
      <c r="B1611" s="5411"/>
      <c r="C1611" s="4104"/>
      <c r="D1611" s="1548"/>
      <c r="E1611" s="878"/>
      <c r="F1611" s="1717"/>
      <c r="G1611" s="2338"/>
      <c r="H1611" s="354"/>
      <c r="J1611" s="2126"/>
      <c r="K1611" s="2126"/>
    </row>
    <row r="1612" spans="1:11" s="269" customFormat="1" ht="17.25" hidden="1" customHeight="1" x14ac:dyDescent="0.25">
      <c r="A1612" s="350"/>
      <c r="B1612" s="2913"/>
      <c r="C1612" s="4116" t="s">
        <v>1716</v>
      </c>
      <c r="D1612" s="1549">
        <f>SUM(D1613:D1613)</f>
        <v>1500000000</v>
      </c>
      <c r="E1612" s="1549">
        <f>SUM(E1613:E1613)</f>
        <v>1429100000</v>
      </c>
      <c r="F1612" s="877">
        <f>E1612/D1612*100</f>
        <v>95.273333333333326</v>
      </c>
      <c r="G1612" s="2484">
        <v>100</v>
      </c>
      <c r="H1612" s="553"/>
      <c r="J1612" s="2069"/>
      <c r="K1612" s="2069"/>
    </row>
    <row r="1613" spans="1:11" s="266" customFormat="1" ht="17.25" hidden="1" customHeight="1" x14ac:dyDescent="0.25">
      <c r="A1613" s="353"/>
      <c r="B1613" s="5411"/>
      <c r="C1613" s="4104" t="s">
        <v>1717</v>
      </c>
      <c r="D1613" s="1548">
        <v>1500000000</v>
      </c>
      <c r="E1613" s="878">
        <v>1429100000</v>
      </c>
      <c r="F1613" s="878">
        <f>E1613/D1613*100</f>
        <v>95.273333333333326</v>
      </c>
      <c r="G1613" s="2338">
        <v>100</v>
      </c>
      <c r="H1613" s="354"/>
      <c r="J1613" s="2126"/>
      <c r="K1613" s="2126"/>
    </row>
    <row r="1614" spans="1:11" ht="12" hidden="1" customHeight="1" x14ac:dyDescent="0.25">
      <c r="B1614" s="2913"/>
      <c r="C1614" s="3848"/>
      <c r="D1614" s="1516"/>
      <c r="E1614" s="894"/>
      <c r="F1614" s="1315"/>
      <c r="G1614" s="1315"/>
      <c r="H1614" s="535"/>
    </row>
    <row r="1615" spans="1:11" s="269" customFormat="1" ht="15.75" hidden="1" customHeight="1" x14ac:dyDescent="0.25">
      <c r="A1615" s="350"/>
      <c r="B1615" s="5397"/>
      <c r="C1615" s="3858" t="s">
        <v>2274</v>
      </c>
      <c r="D1615" s="1546">
        <f>D1616+D1619</f>
        <v>2000000000</v>
      </c>
      <c r="E1615" s="1546">
        <f>E1616+E1619</f>
        <v>1997500000</v>
      </c>
      <c r="F1615" s="2356">
        <f>E1615/D1615*100</f>
        <v>99.875</v>
      </c>
      <c r="G1615" s="2315">
        <v>100</v>
      </c>
      <c r="H1615" s="553"/>
      <c r="J1615" s="2069"/>
      <c r="K1615" s="2069"/>
    </row>
    <row r="1616" spans="1:11" s="269" customFormat="1" ht="17.25" hidden="1" customHeight="1" x14ac:dyDescent="0.25">
      <c r="A1616" s="350"/>
      <c r="B1616" s="2913"/>
      <c r="C1616" s="3881" t="s">
        <v>1718</v>
      </c>
      <c r="D1616" s="1554">
        <f>D1617</f>
        <v>500000000</v>
      </c>
      <c r="E1616" s="1554">
        <f>E1617</f>
        <v>497500000</v>
      </c>
      <c r="F1616" s="877">
        <f>E1616/D1616*100</f>
        <v>99.5</v>
      </c>
      <c r="G1616" s="960">
        <v>100</v>
      </c>
      <c r="H1616" s="553"/>
      <c r="J1616" s="2069"/>
      <c r="K1616" s="2069"/>
    </row>
    <row r="1617" spans="1:11" s="266" customFormat="1" ht="15.75" hidden="1" customHeight="1" x14ac:dyDescent="0.25">
      <c r="A1617" s="353"/>
      <c r="B1617" s="5411"/>
      <c r="C1617" s="4104" t="s">
        <v>1719</v>
      </c>
      <c r="D1617" s="1548">
        <v>500000000</v>
      </c>
      <c r="E1617" s="878">
        <v>497500000</v>
      </c>
      <c r="F1617" s="878">
        <f>E1617/D1617*100</f>
        <v>99.5</v>
      </c>
      <c r="G1617" s="878">
        <v>100</v>
      </c>
      <c r="H1617" s="354"/>
      <c r="J1617" s="2126"/>
      <c r="K1617" s="2126"/>
    </row>
    <row r="1618" spans="1:11" s="266" customFormat="1" ht="9.75" hidden="1" customHeight="1" x14ac:dyDescent="0.25">
      <c r="A1618" s="353"/>
      <c r="B1618" s="5411"/>
      <c r="C1618" s="4104"/>
      <c r="D1618" s="1548"/>
      <c r="E1618" s="878"/>
      <c r="F1618" s="2293"/>
      <c r="G1618" s="2338"/>
      <c r="H1618" s="354"/>
      <c r="J1618" s="2126"/>
      <c r="K1618" s="2126"/>
    </row>
    <row r="1619" spans="1:11" s="269" customFormat="1" ht="16.5" hidden="1" customHeight="1" x14ac:dyDescent="0.25">
      <c r="A1619" s="350"/>
      <c r="B1619" s="2913"/>
      <c r="C1619" s="4116" t="s">
        <v>1720</v>
      </c>
      <c r="D1619" s="1549">
        <f>D1620</f>
        <v>1500000000</v>
      </c>
      <c r="E1619" s="1549">
        <f>E1620</f>
        <v>1500000000</v>
      </c>
      <c r="F1619" s="877">
        <f>E1619/D1619*100</f>
        <v>100</v>
      </c>
      <c r="G1619" s="2484">
        <v>100</v>
      </c>
      <c r="H1619" s="553"/>
      <c r="J1619" s="2069"/>
      <c r="K1619" s="2069"/>
    </row>
    <row r="1620" spans="1:11" s="266" customFormat="1" ht="16.5" hidden="1" customHeight="1" x14ac:dyDescent="0.25">
      <c r="A1620" s="353"/>
      <c r="B1620" s="5411"/>
      <c r="C1620" s="4104" t="s">
        <v>1721</v>
      </c>
      <c r="D1620" s="1548">
        <v>1500000000</v>
      </c>
      <c r="E1620" s="878">
        <v>1500000000</v>
      </c>
      <c r="F1620" s="878">
        <f>E1620/D1620*100</f>
        <v>100</v>
      </c>
      <c r="G1620" s="2338">
        <v>100</v>
      </c>
      <c r="H1620" s="354"/>
      <c r="J1620" s="2126"/>
      <c r="K1620" s="2126"/>
    </row>
    <row r="1621" spans="1:11" ht="12" hidden="1" customHeight="1" x14ac:dyDescent="0.25">
      <c r="B1621" s="2913"/>
      <c r="C1621" s="3848"/>
      <c r="D1621" s="1516"/>
      <c r="E1621" s="894"/>
      <c r="F1621" s="2285"/>
      <c r="G1621" s="1315"/>
      <c r="H1621" s="535"/>
    </row>
    <row r="1622" spans="1:11" s="269" customFormat="1" ht="17.25" hidden="1" customHeight="1" x14ac:dyDescent="0.25">
      <c r="A1622" s="350"/>
      <c r="B1622" s="5397"/>
      <c r="C1622" s="3858" t="s">
        <v>1722</v>
      </c>
      <c r="D1622" s="1546">
        <f>D1623</f>
        <v>1000000000</v>
      </c>
      <c r="E1622" s="1546">
        <f>E1623</f>
        <v>1000000000</v>
      </c>
      <c r="F1622" s="888">
        <f>E1622/D1622*100</f>
        <v>100</v>
      </c>
      <c r="G1622" s="2315">
        <v>100</v>
      </c>
      <c r="H1622" s="553"/>
      <c r="J1622" s="2069"/>
      <c r="K1622" s="2069"/>
    </row>
    <row r="1623" spans="1:11" s="269" customFormat="1" ht="15.75" hidden="1" customHeight="1" x14ac:dyDescent="0.25">
      <c r="A1623" s="350"/>
      <c r="B1623" s="2913"/>
      <c r="C1623" s="3881" t="s">
        <v>1723</v>
      </c>
      <c r="D1623" s="1554">
        <f>D1624</f>
        <v>1000000000</v>
      </c>
      <c r="E1623" s="1554">
        <f>E1624</f>
        <v>1000000000</v>
      </c>
      <c r="F1623" s="883">
        <f>E1623/D1623*100</f>
        <v>100</v>
      </c>
      <c r="G1623" s="4358">
        <v>100</v>
      </c>
      <c r="H1623" s="553"/>
      <c r="J1623" s="2069"/>
      <c r="K1623" s="2069"/>
    </row>
    <row r="1624" spans="1:11" s="266" customFormat="1" ht="13.5" hidden="1" customHeight="1" x14ac:dyDescent="0.25">
      <c r="A1624" s="353"/>
      <c r="B1624" s="5411"/>
      <c r="C1624" s="4104" t="s">
        <v>1724</v>
      </c>
      <c r="D1624" s="1548">
        <v>1000000000</v>
      </c>
      <c r="E1624" s="878">
        <v>1000000000</v>
      </c>
      <c r="F1624" s="878">
        <f>E1624/D1624*100</f>
        <v>100</v>
      </c>
      <c r="G1624" s="2338">
        <v>100</v>
      </c>
      <c r="H1624" s="354"/>
      <c r="J1624" s="2126"/>
      <c r="K1624" s="2126"/>
    </row>
    <row r="1625" spans="1:11" ht="12" hidden="1" customHeight="1" x14ac:dyDescent="0.25">
      <c r="B1625" s="2913"/>
      <c r="C1625" s="3848"/>
      <c r="D1625" s="1516"/>
      <c r="E1625" s="894"/>
      <c r="F1625" s="1315"/>
      <c r="G1625" s="1315"/>
      <c r="H1625" s="535"/>
    </row>
    <row r="1626" spans="1:11" s="269" customFormat="1" ht="18" hidden="1" customHeight="1" x14ac:dyDescent="0.25">
      <c r="A1626" s="350"/>
      <c r="B1626" s="5397"/>
      <c r="C1626" s="3858" t="s">
        <v>1725</v>
      </c>
      <c r="D1626" s="1546">
        <f>D1627+D1630+D1633+D1636+D1639</f>
        <v>5300000000</v>
      </c>
      <c r="E1626" s="1546">
        <f>E1627+E1630+E1633+E1636+E1639</f>
        <v>5281500000</v>
      </c>
      <c r="F1626" s="2356">
        <f>E1626/D1626*100</f>
        <v>99.65094339622641</v>
      </c>
      <c r="G1626" s="2315">
        <v>100</v>
      </c>
      <c r="H1626" s="553"/>
      <c r="J1626" s="2069"/>
      <c r="K1626" s="2069"/>
    </row>
    <row r="1627" spans="1:11" s="269" customFormat="1" ht="16.5" hidden="1" customHeight="1" x14ac:dyDescent="0.25">
      <c r="A1627" s="350"/>
      <c r="B1627" s="2913"/>
      <c r="C1627" s="3881" t="s">
        <v>237</v>
      </c>
      <c r="D1627" s="1554">
        <f>D1628</f>
        <v>3500000000</v>
      </c>
      <c r="E1627" s="1554">
        <f>E1628</f>
        <v>3490500000</v>
      </c>
      <c r="F1627" s="2176">
        <f>E1627/D1627*100</f>
        <v>99.728571428571428</v>
      </c>
      <c r="G1627" s="4358">
        <v>100</v>
      </c>
      <c r="H1627" s="553"/>
      <c r="J1627" s="2069"/>
      <c r="K1627" s="2069"/>
    </row>
    <row r="1628" spans="1:11" s="266" customFormat="1" ht="15.75" hidden="1" customHeight="1" x14ac:dyDescent="0.25">
      <c r="A1628" s="353"/>
      <c r="B1628" s="5411"/>
      <c r="C1628" s="4104" t="s">
        <v>1726</v>
      </c>
      <c r="D1628" s="1548">
        <v>3500000000</v>
      </c>
      <c r="E1628" s="878">
        <v>3490500000</v>
      </c>
      <c r="F1628" s="880">
        <f>E1628/D1628*100</f>
        <v>99.728571428571428</v>
      </c>
      <c r="G1628" s="2338">
        <v>100</v>
      </c>
      <c r="H1628" s="354"/>
      <c r="J1628" s="2126"/>
      <c r="K1628" s="2126"/>
    </row>
    <row r="1629" spans="1:11" ht="9" hidden="1" customHeight="1" x14ac:dyDescent="0.25">
      <c r="B1629" s="2913"/>
      <c r="C1629" s="3848"/>
      <c r="D1629" s="1516"/>
      <c r="E1629" s="882"/>
      <c r="F1629" s="2281"/>
      <c r="G1629" s="2314"/>
      <c r="H1629" s="535"/>
    </row>
    <row r="1630" spans="1:11" hidden="1" x14ac:dyDescent="0.25">
      <c r="B1630" s="2913"/>
      <c r="C1630" s="4116" t="s">
        <v>1727</v>
      </c>
      <c r="D1630" s="1549">
        <f>D1631</f>
        <v>1200000000</v>
      </c>
      <c r="E1630" s="1549">
        <f>E1631</f>
        <v>1200000000</v>
      </c>
      <c r="F1630" s="2176">
        <f>E1630/D1630*100</f>
        <v>100</v>
      </c>
      <c r="G1630" s="2484">
        <v>100</v>
      </c>
      <c r="H1630" s="535"/>
    </row>
    <row r="1631" spans="1:11" ht="15.75" hidden="1" customHeight="1" x14ac:dyDescent="0.25">
      <c r="B1631" s="2913"/>
      <c r="C1631" s="4104" t="s">
        <v>1728</v>
      </c>
      <c r="D1631" s="1548">
        <v>1200000000</v>
      </c>
      <c r="E1631" s="878">
        <v>1200000000</v>
      </c>
      <c r="F1631" s="880">
        <f>E1631/D1631*100</f>
        <v>100</v>
      </c>
      <c r="G1631" s="2338">
        <v>100</v>
      </c>
      <c r="H1631" s="535"/>
    </row>
    <row r="1632" spans="1:11" ht="9.75" hidden="1" customHeight="1" x14ac:dyDescent="0.25">
      <c r="B1632" s="2913"/>
      <c r="C1632" s="3890"/>
      <c r="D1632" s="1548"/>
      <c r="E1632" s="878"/>
      <c r="F1632" s="1717"/>
      <c r="G1632" s="2338"/>
      <c r="H1632" s="535"/>
    </row>
    <row r="1633" spans="1:11" ht="15.75" hidden="1" customHeight="1" x14ac:dyDescent="0.25">
      <c r="B1633" s="2913"/>
      <c r="C1633" s="4116" t="s">
        <v>1729</v>
      </c>
      <c r="D1633" s="1549">
        <f>D1634</f>
        <v>200000000</v>
      </c>
      <c r="E1633" s="1549">
        <f>E1634</f>
        <v>200000000</v>
      </c>
      <c r="F1633" s="2176">
        <f>E1633/D1633*100</f>
        <v>100</v>
      </c>
      <c r="G1633" s="877">
        <v>100</v>
      </c>
      <c r="H1633" s="535"/>
    </row>
    <row r="1634" spans="1:11" ht="15.75" hidden="1" customHeight="1" x14ac:dyDescent="0.25">
      <c r="B1634" s="2913"/>
      <c r="C1634" s="4104" t="s">
        <v>1730</v>
      </c>
      <c r="D1634" s="1548">
        <v>200000000</v>
      </c>
      <c r="E1634" s="1548">
        <v>200000000</v>
      </c>
      <c r="F1634" s="880">
        <f>E1634/D1634*100</f>
        <v>100</v>
      </c>
      <c r="G1634" s="878">
        <v>100</v>
      </c>
      <c r="H1634" s="535"/>
    </row>
    <row r="1635" spans="1:11" ht="9.75" hidden="1" customHeight="1" x14ac:dyDescent="0.25">
      <c r="B1635" s="2913"/>
      <c r="C1635" s="3890"/>
      <c r="D1635" s="1548"/>
      <c r="E1635" s="878"/>
      <c r="F1635" s="1717"/>
      <c r="G1635" s="2338"/>
      <c r="H1635" s="535"/>
    </row>
    <row r="1636" spans="1:11" ht="15" hidden="1" customHeight="1" x14ac:dyDescent="0.25">
      <c r="B1636" s="2913"/>
      <c r="C1636" s="4116" t="s">
        <v>1731</v>
      </c>
      <c r="D1636" s="1549">
        <f>D1637</f>
        <v>200000000</v>
      </c>
      <c r="E1636" s="1549">
        <f>E1637</f>
        <v>200000000</v>
      </c>
      <c r="F1636" s="2176">
        <f>E1636/D1636*100</f>
        <v>100</v>
      </c>
      <c r="G1636" s="877">
        <v>100</v>
      </c>
      <c r="H1636" s="535"/>
    </row>
    <row r="1637" spans="1:11" ht="13.5" hidden="1" customHeight="1" x14ac:dyDescent="0.25">
      <c r="B1637" s="2913"/>
      <c r="C1637" s="4104" t="s">
        <v>1732</v>
      </c>
      <c r="D1637" s="1548">
        <v>200000000</v>
      </c>
      <c r="E1637" s="878">
        <v>200000000</v>
      </c>
      <c r="F1637" s="880">
        <f>E1637/D1637*100</f>
        <v>100</v>
      </c>
      <c r="G1637" s="878">
        <v>100</v>
      </c>
      <c r="H1637" s="535"/>
    </row>
    <row r="1638" spans="1:11" ht="10.5" hidden="1" customHeight="1" x14ac:dyDescent="0.25">
      <c r="B1638" s="2913"/>
      <c r="C1638" s="3890"/>
      <c r="D1638" s="1548"/>
      <c r="E1638" s="878"/>
      <c r="F1638" s="1717"/>
      <c r="G1638" s="2338"/>
      <c r="H1638" s="535"/>
    </row>
    <row r="1639" spans="1:11" ht="20.25" hidden="1" customHeight="1" x14ac:dyDescent="0.25">
      <c r="B1639" s="2913"/>
      <c r="C1639" s="4116" t="s">
        <v>1733</v>
      </c>
      <c r="D1639" s="1549">
        <f>D1640</f>
        <v>200000000</v>
      </c>
      <c r="E1639" s="1549">
        <f>E1640</f>
        <v>191000000</v>
      </c>
      <c r="F1639" s="2176">
        <f>E1639/D1639*100</f>
        <v>95.5</v>
      </c>
      <c r="G1639" s="877">
        <v>100</v>
      </c>
      <c r="H1639" s="535"/>
    </row>
    <row r="1640" spans="1:11" ht="12" hidden="1" customHeight="1" x14ac:dyDescent="0.25">
      <c r="B1640" s="2913"/>
      <c r="C1640" s="4104" t="s">
        <v>1734</v>
      </c>
      <c r="D1640" s="1548">
        <v>200000000</v>
      </c>
      <c r="E1640" s="878">
        <v>191000000</v>
      </c>
      <c r="F1640" s="880">
        <f>E1640/D1640*100</f>
        <v>95.5</v>
      </c>
      <c r="G1640" s="878">
        <v>100</v>
      </c>
      <c r="H1640" s="535"/>
    </row>
    <row r="1641" spans="1:11" ht="12" hidden="1" customHeight="1" x14ac:dyDescent="0.25">
      <c r="B1641" s="2913"/>
      <c r="C1641" s="3857"/>
      <c r="D1641" s="1550"/>
      <c r="E1641" s="887"/>
      <c r="F1641" s="2265"/>
      <c r="G1641" s="3290"/>
      <c r="H1641" s="535"/>
    </row>
    <row r="1642" spans="1:11" s="269" customFormat="1" ht="12.75" hidden="1" customHeight="1" x14ac:dyDescent="0.25">
      <c r="A1642" s="350"/>
      <c r="B1642" s="5397"/>
      <c r="C1642" s="3858" t="s">
        <v>1735</v>
      </c>
      <c r="D1642" s="1546">
        <f>SUM(D1643,D1649,D1653,D1656,D1659)</f>
        <v>1000000000</v>
      </c>
      <c r="E1642" s="1546">
        <f>SUM(E1643,E1649,E1653,E1656,E1659)</f>
        <v>900000000</v>
      </c>
      <c r="F1642" s="2356">
        <f t="shared" ref="F1642:F1647" si="36">E1642/D1642*100</f>
        <v>90</v>
      </c>
      <c r="G1642" s="2315">
        <f>SUM(G1643+G1649+G1653+G1656+G1659)/5</f>
        <v>91</v>
      </c>
      <c r="H1642" s="553"/>
      <c r="J1642" s="2069"/>
      <c r="K1642" s="2069"/>
    </row>
    <row r="1643" spans="1:11" s="269" customFormat="1" ht="19.5" hidden="1" customHeight="1" x14ac:dyDescent="0.25">
      <c r="A1643" s="350"/>
      <c r="B1643" s="2913"/>
      <c r="C1643" s="3881" t="s">
        <v>1736</v>
      </c>
      <c r="D1643" s="1554">
        <f>SUM(D1644:D1647)</f>
        <v>300000000</v>
      </c>
      <c r="E1643" s="1554">
        <f>SUM(E1644:E1647)</f>
        <v>299800000</v>
      </c>
      <c r="F1643" s="2176">
        <f t="shared" si="36"/>
        <v>99.933333333333323</v>
      </c>
      <c r="G1643" s="4358">
        <v>100</v>
      </c>
      <c r="H1643" s="553"/>
      <c r="J1643" s="2069"/>
      <c r="K1643" s="2069"/>
    </row>
    <row r="1644" spans="1:11" s="266" customFormat="1" ht="14.25" hidden="1" customHeight="1" x14ac:dyDescent="0.25">
      <c r="A1644" s="353"/>
      <c r="B1644" s="5411"/>
      <c r="C1644" s="4104" t="s">
        <v>1737</v>
      </c>
      <c r="D1644" s="1548">
        <v>100000000</v>
      </c>
      <c r="E1644" s="878">
        <v>99800000</v>
      </c>
      <c r="F1644" s="880">
        <f t="shared" si="36"/>
        <v>99.8</v>
      </c>
      <c r="G1644" s="2338">
        <v>100</v>
      </c>
      <c r="H1644" s="354"/>
      <c r="J1644" s="2126"/>
      <c r="K1644" s="2126"/>
    </row>
    <row r="1645" spans="1:11" s="266" customFormat="1" ht="15" hidden="1" customHeight="1" x14ac:dyDescent="0.25">
      <c r="A1645" s="353"/>
      <c r="B1645" s="5411"/>
      <c r="C1645" s="4104" t="s">
        <v>1738</v>
      </c>
      <c r="D1645" s="1548">
        <v>50000000</v>
      </c>
      <c r="E1645" s="1818">
        <v>50000000</v>
      </c>
      <c r="F1645" s="880">
        <f t="shared" si="36"/>
        <v>100</v>
      </c>
      <c r="G1645" s="2338">
        <v>100</v>
      </c>
      <c r="H1645" s="354"/>
      <c r="J1645" s="2126"/>
      <c r="K1645" s="2126"/>
    </row>
    <row r="1646" spans="1:11" s="266" customFormat="1" ht="15" hidden="1" customHeight="1" x14ac:dyDescent="0.25">
      <c r="A1646" s="353"/>
      <c r="B1646" s="5411"/>
      <c r="C1646" s="4104" t="s">
        <v>1739</v>
      </c>
      <c r="D1646" s="1548">
        <v>50000000</v>
      </c>
      <c r="E1646" s="1818">
        <v>50000000</v>
      </c>
      <c r="F1646" s="880">
        <f t="shared" si="36"/>
        <v>100</v>
      </c>
      <c r="G1646" s="2338">
        <v>100</v>
      </c>
      <c r="H1646" s="354"/>
      <c r="J1646" s="2126"/>
      <c r="K1646" s="2126"/>
    </row>
    <row r="1647" spans="1:11" ht="12.75" hidden="1" customHeight="1" x14ac:dyDescent="0.25">
      <c r="B1647" s="2913"/>
      <c r="C1647" s="3861" t="s">
        <v>1740</v>
      </c>
      <c r="D1647" s="1516">
        <v>100000000</v>
      </c>
      <c r="E1647" s="1815">
        <v>100000000</v>
      </c>
      <c r="F1647" s="880">
        <f t="shared" si="36"/>
        <v>100</v>
      </c>
      <c r="G1647" s="2314">
        <v>100</v>
      </c>
      <c r="H1647" s="535"/>
    </row>
    <row r="1648" spans="1:11" ht="12" hidden="1" customHeight="1" x14ac:dyDescent="0.25">
      <c r="B1648" s="2913"/>
      <c r="C1648" s="3890"/>
      <c r="D1648" s="1548"/>
      <c r="E1648" s="878"/>
      <c r="F1648" s="1717"/>
      <c r="G1648" s="2338"/>
      <c r="H1648" s="535"/>
    </row>
    <row r="1649" spans="1:11" ht="15.75" hidden="1" customHeight="1" x14ac:dyDescent="0.25">
      <c r="B1649" s="2913"/>
      <c r="C1649" s="4116" t="s">
        <v>1741</v>
      </c>
      <c r="D1649" s="1549">
        <f>D1650+D1651</f>
        <v>200000000</v>
      </c>
      <c r="E1649" s="1549">
        <f>E1650+E1651</f>
        <v>200000000</v>
      </c>
      <c r="F1649" s="2176">
        <f>E1649/D1649*100</f>
        <v>100</v>
      </c>
      <c r="G1649" s="2484">
        <v>100</v>
      </c>
      <c r="H1649" s="535"/>
    </row>
    <row r="1650" spans="1:11" ht="15.75" hidden="1" customHeight="1" x14ac:dyDescent="0.25">
      <c r="B1650" s="2913"/>
      <c r="C1650" s="4104" t="s">
        <v>1742</v>
      </c>
      <c r="D1650" s="1548">
        <v>100000000</v>
      </c>
      <c r="E1650" s="1818">
        <v>100000000</v>
      </c>
      <c r="F1650" s="880">
        <f>E1650/D1650*100</f>
        <v>100</v>
      </c>
      <c r="G1650" s="880">
        <v>100</v>
      </c>
      <c r="H1650" s="535"/>
    </row>
    <row r="1651" spans="1:11" ht="14.25" hidden="1" customHeight="1" x14ac:dyDescent="0.25">
      <c r="B1651" s="2913"/>
      <c r="C1651" s="4104" t="s">
        <v>1743</v>
      </c>
      <c r="D1651" s="1548">
        <v>100000000</v>
      </c>
      <c r="E1651" s="878">
        <v>100000000</v>
      </c>
      <c r="F1651" s="880">
        <f>E1651/D1651*100</f>
        <v>100</v>
      </c>
      <c r="G1651" s="878">
        <v>100</v>
      </c>
      <c r="H1651" s="535"/>
    </row>
    <row r="1652" spans="1:11" ht="12" hidden="1" customHeight="1" x14ac:dyDescent="0.25">
      <c r="B1652" s="2913"/>
      <c r="C1652" s="3890"/>
      <c r="D1652" s="1548"/>
      <c r="E1652" s="878"/>
      <c r="F1652" s="1717"/>
      <c r="G1652" s="2338"/>
      <c r="H1652" s="535"/>
    </row>
    <row r="1653" spans="1:11" ht="15.75" hidden="1" customHeight="1" x14ac:dyDescent="0.25">
      <c r="B1653" s="2913"/>
      <c r="C1653" s="4116" t="s">
        <v>1744</v>
      </c>
      <c r="D1653" s="1549">
        <f>D1654</f>
        <v>200000000</v>
      </c>
      <c r="E1653" s="1549">
        <f>E1654</f>
        <v>100200000</v>
      </c>
      <c r="F1653" s="2176">
        <f>E1653/D1653*100</f>
        <v>50.1</v>
      </c>
      <c r="G1653" s="2484">
        <v>55</v>
      </c>
      <c r="H1653" s="535"/>
    </row>
    <row r="1654" spans="1:11" ht="15.75" hidden="1" customHeight="1" x14ac:dyDescent="0.25">
      <c r="B1654" s="2913"/>
      <c r="C1654" s="4104" t="s">
        <v>1745</v>
      </c>
      <c r="D1654" s="1548">
        <v>200000000</v>
      </c>
      <c r="E1654" s="878">
        <v>100200000</v>
      </c>
      <c r="F1654" s="880">
        <f>E1654/D1654*100</f>
        <v>50.1</v>
      </c>
      <c r="G1654" s="2338">
        <v>55</v>
      </c>
      <c r="H1654" s="535"/>
    </row>
    <row r="1655" spans="1:11" ht="11.25" hidden="1" customHeight="1" x14ac:dyDescent="0.25">
      <c r="B1655" s="2913"/>
      <c r="C1655" s="3890"/>
      <c r="D1655" s="1548"/>
      <c r="E1655" s="878"/>
      <c r="F1655" s="1717"/>
      <c r="G1655" s="2338"/>
      <c r="H1655" s="535"/>
    </row>
    <row r="1656" spans="1:11" ht="25.5" hidden="1" customHeight="1" x14ac:dyDescent="0.25">
      <c r="B1656" s="2913"/>
      <c r="C1656" s="4116" t="s">
        <v>1746</v>
      </c>
      <c r="D1656" s="1549">
        <f>D1657</f>
        <v>150000000</v>
      </c>
      <c r="E1656" s="1549">
        <f>E1657</f>
        <v>150000000</v>
      </c>
      <c r="F1656" s="2176">
        <f>E1656/D1656*100</f>
        <v>100</v>
      </c>
      <c r="G1656" s="2484">
        <v>100</v>
      </c>
      <c r="H1656" s="535"/>
    </row>
    <row r="1657" spans="1:11" ht="17.25" hidden="1" customHeight="1" x14ac:dyDescent="0.25">
      <c r="B1657" s="2913"/>
      <c r="C1657" s="4104" t="s">
        <v>1747</v>
      </c>
      <c r="D1657" s="1548">
        <v>150000000</v>
      </c>
      <c r="E1657" s="1818">
        <v>150000000</v>
      </c>
      <c r="F1657" s="880">
        <f>E1657/D1657*100</f>
        <v>100</v>
      </c>
      <c r="G1657" s="2338">
        <v>100</v>
      </c>
      <c r="H1657" s="535"/>
    </row>
    <row r="1658" spans="1:11" ht="10.5" hidden="1" customHeight="1" x14ac:dyDescent="0.25">
      <c r="B1658" s="2913"/>
      <c r="C1658" s="3890"/>
      <c r="D1658" s="1548"/>
      <c r="E1658" s="878"/>
      <c r="F1658" s="1717"/>
      <c r="G1658" s="2338"/>
      <c r="H1658" s="535"/>
    </row>
    <row r="1659" spans="1:11" ht="29.25" hidden="1" customHeight="1" x14ac:dyDescent="0.25">
      <c r="B1659" s="2913"/>
      <c r="C1659" s="4116" t="s">
        <v>1748</v>
      </c>
      <c r="D1659" s="1549">
        <f>D1660</f>
        <v>150000000</v>
      </c>
      <c r="E1659" s="1549">
        <f>E1660</f>
        <v>150000000</v>
      </c>
      <c r="F1659" s="2176">
        <f>E1659/D1659*100</f>
        <v>100</v>
      </c>
      <c r="G1659" s="2484">
        <v>100</v>
      </c>
      <c r="H1659" s="535"/>
    </row>
    <row r="1660" spans="1:11" ht="18" hidden="1" customHeight="1" x14ac:dyDescent="0.25">
      <c r="B1660" s="2913"/>
      <c r="C1660" s="4104" t="s">
        <v>1749</v>
      </c>
      <c r="D1660" s="1548">
        <v>150000000</v>
      </c>
      <c r="E1660" s="1548">
        <v>150000000</v>
      </c>
      <c r="F1660" s="880">
        <f>E1660/D1660*100</f>
        <v>100</v>
      </c>
      <c r="G1660" s="2338">
        <v>100</v>
      </c>
      <c r="H1660" s="535"/>
    </row>
    <row r="1661" spans="1:11" ht="12" hidden="1" customHeight="1" x14ac:dyDescent="0.25">
      <c r="B1661" s="2913"/>
      <c r="C1661" s="3857"/>
      <c r="D1661" s="1550"/>
      <c r="E1661" s="887"/>
      <c r="F1661" s="2265"/>
      <c r="G1661" s="3290"/>
      <c r="H1661" s="535"/>
    </row>
    <row r="1662" spans="1:11" s="269" customFormat="1" ht="13.5" hidden="1" customHeight="1" x14ac:dyDescent="0.25">
      <c r="A1662" s="350"/>
      <c r="B1662" s="5397"/>
      <c r="C1662" s="3858" t="s">
        <v>1750</v>
      </c>
      <c r="D1662" s="1546">
        <f>D1663</f>
        <v>1000000000</v>
      </c>
      <c r="E1662" s="1546">
        <f>E1663</f>
        <v>745100000</v>
      </c>
      <c r="F1662" s="2356">
        <f>E1662/D1662*100</f>
        <v>74.510000000000005</v>
      </c>
      <c r="G1662" s="888">
        <v>80</v>
      </c>
      <c r="H1662" s="553"/>
      <c r="J1662" s="2069"/>
      <c r="K1662" s="2069"/>
    </row>
    <row r="1663" spans="1:11" s="269" customFormat="1" ht="15.75" hidden="1" customHeight="1" x14ac:dyDescent="0.25">
      <c r="A1663" s="350"/>
      <c r="B1663" s="2913"/>
      <c r="C1663" s="3881" t="s">
        <v>1751</v>
      </c>
      <c r="D1663" s="1554">
        <f>D1664</f>
        <v>1000000000</v>
      </c>
      <c r="E1663" s="1554">
        <f>E1664</f>
        <v>745100000</v>
      </c>
      <c r="F1663" s="2176">
        <f>E1663/D1663*100</f>
        <v>74.510000000000005</v>
      </c>
      <c r="G1663" s="960">
        <v>80</v>
      </c>
      <c r="H1663" s="553"/>
      <c r="J1663" s="2069"/>
      <c r="K1663" s="2069"/>
    </row>
    <row r="1664" spans="1:11" s="266" customFormat="1" ht="15.75" hidden="1" customHeight="1" x14ac:dyDescent="0.25">
      <c r="A1664" s="353"/>
      <c r="B1664" s="5411"/>
      <c r="C1664" s="4104" t="s">
        <v>1752</v>
      </c>
      <c r="D1664" s="1548">
        <v>1000000000</v>
      </c>
      <c r="E1664" s="878">
        <v>745100000</v>
      </c>
      <c r="F1664" s="880">
        <f>E1664/D1664*100</f>
        <v>74.510000000000005</v>
      </c>
      <c r="G1664" s="878">
        <v>80</v>
      </c>
      <c r="H1664" s="354"/>
      <c r="J1664" s="2126"/>
      <c r="K1664" s="2126"/>
    </row>
    <row r="1665" spans="1:11" ht="12" hidden="1" customHeight="1" x14ac:dyDescent="0.25">
      <c r="B1665" s="2913"/>
      <c r="C1665" s="3848"/>
      <c r="D1665" s="1516"/>
      <c r="E1665" s="894"/>
      <c r="F1665" s="1315"/>
      <c r="G1665" s="1315"/>
      <c r="H1665" s="535"/>
    </row>
    <row r="1666" spans="1:11" s="269" customFormat="1" ht="13.5" hidden="1" customHeight="1" x14ac:dyDescent="0.25">
      <c r="A1666" s="350"/>
      <c r="B1666" s="5397"/>
      <c r="C1666" s="3858" t="s">
        <v>1753</v>
      </c>
      <c r="D1666" s="1546">
        <f>D1667</f>
        <v>500000000</v>
      </c>
      <c r="E1666" s="1546">
        <f>E1667</f>
        <v>499320000</v>
      </c>
      <c r="F1666" s="2356">
        <f>E1666/D1666*100</f>
        <v>99.864000000000004</v>
      </c>
      <c r="G1666" s="888">
        <v>100</v>
      </c>
      <c r="H1666" s="553"/>
      <c r="J1666" s="2069"/>
      <c r="K1666" s="2069"/>
    </row>
    <row r="1667" spans="1:11" s="269" customFormat="1" ht="15.75" hidden="1" customHeight="1" x14ac:dyDescent="0.25">
      <c r="A1667" s="350"/>
      <c r="B1667" s="2913"/>
      <c r="C1667" s="3881" t="s">
        <v>1754</v>
      </c>
      <c r="D1667" s="1554">
        <f>D1668</f>
        <v>500000000</v>
      </c>
      <c r="E1667" s="1554">
        <f>E1668</f>
        <v>499320000</v>
      </c>
      <c r="F1667" s="2176">
        <f>E1667/D1667*100</f>
        <v>99.864000000000004</v>
      </c>
      <c r="G1667" s="960">
        <v>100</v>
      </c>
      <c r="H1667" s="553"/>
      <c r="J1667" s="2069"/>
      <c r="K1667" s="2069"/>
    </row>
    <row r="1668" spans="1:11" s="266" customFormat="1" ht="16.5" hidden="1" customHeight="1" x14ac:dyDescent="0.25">
      <c r="A1668" s="353"/>
      <c r="B1668" s="5411"/>
      <c r="C1668" s="4104" t="s">
        <v>1755</v>
      </c>
      <c r="D1668" s="1548">
        <v>500000000</v>
      </c>
      <c r="E1668" s="878">
        <v>499320000</v>
      </c>
      <c r="F1668" s="880">
        <f>E1668/D1668*100</f>
        <v>99.864000000000004</v>
      </c>
      <c r="G1668" s="878">
        <v>100</v>
      </c>
      <c r="H1668" s="354"/>
      <c r="J1668" s="2126"/>
      <c r="K1668" s="2126"/>
    </row>
    <row r="1669" spans="1:11" ht="12" hidden="1" customHeight="1" x14ac:dyDescent="0.25">
      <c r="B1669" s="2913"/>
      <c r="C1669" s="3848"/>
      <c r="D1669" s="1516"/>
      <c r="E1669" s="788"/>
      <c r="F1669" s="2285"/>
      <c r="G1669" s="1315"/>
      <c r="H1669" s="535"/>
    </row>
    <row r="1670" spans="1:11" s="269" customFormat="1" ht="15.75" hidden="1" customHeight="1" x14ac:dyDescent="0.25">
      <c r="A1670" s="350"/>
      <c r="B1670" s="5397"/>
      <c r="C1670" s="3858" t="s">
        <v>1756</v>
      </c>
      <c r="D1670" s="1546">
        <f>D1671+D1677+D1674</f>
        <v>1000000000</v>
      </c>
      <c r="E1670" s="1546">
        <f>E1671+E1677+E1674</f>
        <v>999730000</v>
      </c>
      <c r="F1670" s="2356">
        <f>E1670/D1670*100</f>
        <v>99.972999999999999</v>
      </c>
      <c r="G1670" s="2315">
        <v>100</v>
      </c>
      <c r="H1670" s="553"/>
      <c r="J1670" s="2069"/>
      <c r="K1670" s="2069"/>
    </row>
    <row r="1671" spans="1:11" s="269" customFormat="1" ht="19.5" hidden="1" customHeight="1" x14ac:dyDescent="0.25">
      <c r="A1671" s="350"/>
      <c r="B1671" s="2913"/>
      <c r="C1671" s="3881" t="s">
        <v>1757</v>
      </c>
      <c r="D1671" s="1554">
        <f>SUM(D1672)</f>
        <v>500000000</v>
      </c>
      <c r="E1671" s="1554">
        <f>SUM(E1672)</f>
        <v>500000000</v>
      </c>
      <c r="F1671" s="2176">
        <f>E1671/D1671*100</f>
        <v>100</v>
      </c>
      <c r="G1671" s="4358">
        <v>100</v>
      </c>
      <c r="H1671" s="553"/>
      <c r="J1671" s="2069"/>
      <c r="K1671" s="2069"/>
    </row>
    <row r="1672" spans="1:11" s="266" customFormat="1" ht="15" hidden="1" customHeight="1" x14ac:dyDescent="0.25">
      <c r="A1672" s="353"/>
      <c r="B1672" s="5411"/>
      <c r="C1672" s="4104" t="s">
        <v>1758</v>
      </c>
      <c r="D1672" s="1548">
        <v>500000000</v>
      </c>
      <c r="E1672" s="1548">
        <v>500000000</v>
      </c>
      <c r="F1672" s="880">
        <f>E1672/D1672*100</f>
        <v>100</v>
      </c>
      <c r="G1672" s="2338">
        <v>100</v>
      </c>
      <c r="H1672" s="354"/>
      <c r="J1672" s="2126"/>
      <c r="K1672" s="2126"/>
    </row>
    <row r="1673" spans="1:11" s="266" customFormat="1" ht="12" hidden="1" customHeight="1" x14ac:dyDescent="0.25">
      <c r="A1673" s="353"/>
      <c r="B1673" s="5411"/>
      <c r="C1673" s="4104"/>
      <c r="D1673" s="1548"/>
      <c r="E1673" s="878"/>
      <c r="F1673" s="2293"/>
      <c r="G1673" s="2338"/>
      <c r="H1673" s="354"/>
      <c r="J1673" s="2126"/>
      <c r="K1673" s="2126"/>
    </row>
    <row r="1674" spans="1:11" s="266" customFormat="1" ht="18" hidden="1" customHeight="1" x14ac:dyDescent="0.25">
      <c r="A1674" s="353"/>
      <c r="B1674" s="5411"/>
      <c r="C1674" s="4116" t="s">
        <v>1759</v>
      </c>
      <c r="D1674" s="1549">
        <f>D1675</f>
        <v>223955000</v>
      </c>
      <c r="E1674" s="1549">
        <f>E1675</f>
        <v>223685000</v>
      </c>
      <c r="F1674" s="2176">
        <f>E1674/D1674*100</f>
        <v>99.879440066084697</v>
      </c>
      <c r="G1674" s="2484">
        <v>100</v>
      </c>
      <c r="H1674" s="354"/>
      <c r="J1674" s="2126"/>
      <c r="K1674" s="2126"/>
    </row>
    <row r="1675" spans="1:11" s="266" customFormat="1" ht="15.75" hidden="1" customHeight="1" x14ac:dyDescent="0.25">
      <c r="A1675" s="353"/>
      <c r="B1675" s="5411"/>
      <c r="C1675" s="4104" t="s">
        <v>1760</v>
      </c>
      <c r="D1675" s="1548">
        <v>223955000</v>
      </c>
      <c r="E1675" s="878">
        <v>223685000</v>
      </c>
      <c r="F1675" s="880">
        <f>E1675/D1675*100</f>
        <v>99.879440066084697</v>
      </c>
      <c r="G1675" s="2338">
        <v>100</v>
      </c>
      <c r="H1675" s="354"/>
      <c r="J1675" s="2126"/>
      <c r="K1675" s="2126"/>
    </row>
    <row r="1676" spans="1:11" s="266" customFormat="1" ht="9.75" hidden="1" customHeight="1" x14ac:dyDescent="0.25">
      <c r="A1676" s="353"/>
      <c r="B1676" s="5411"/>
      <c r="C1676" s="4104"/>
      <c r="D1676" s="1548"/>
      <c r="E1676" s="666"/>
      <c r="F1676" s="2334"/>
      <c r="G1676" s="1717"/>
      <c r="H1676" s="354"/>
      <c r="J1676" s="2126"/>
      <c r="K1676" s="2126"/>
    </row>
    <row r="1677" spans="1:11" s="269" customFormat="1" ht="15.75" hidden="1" customHeight="1" x14ac:dyDescent="0.25">
      <c r="A1677" s="350"/>
      <c r="B1677" s="2913"/>
      <c r="C1677" s="4116" t="s">
        <v>773</v>
      </c>
      <c r="D1677" s="1549">
        <f>D1678+D1679</f>
        <v>276045000</v>
      </c>
      <c r="E1677" s="1549">
        <f>E1678+E1679</f>
        <v>276045000</v>
      </c>
      <c r="F1677" s="2176">
        <f>E1677/D1677*100</f>
        <v>100</v>
      </c>
      <c r="G1677" s="2484">
        <v>100</v>
      </c>
      <c r="H1677" s="553"/>
      <c r="J1677" s="2069"/>
      <c r="K1677" s="2069"/>
    </row>
    <row r="1678" spans="1:11" s="266" customFormat="1" ht="18" hidden="1" customHeight="1" x14ac:dyDescent="0.25">
      <c r="A1678" s="353"/>
      <c r="B1678" s="5411"/>
      <c r="C1678" s="4104" t="s">
        <v>1761</v>
      </c>
      <c r="D1678" s="1548">
        <v>116275000</v>
      </c>
      <c r="E1678" s="878">
        <v>116275000</v>
      </c>
      <c r="F1678" s="880">
        <f>E1678/D1678*100</f>
        <v>100</v>
      </c>
      <c r="G1678" s="2338">
        <v>100</v>
      </c>
      <c r="H1678" s="354"/>
      <c r="J1678" s="2126"/>
      <c r="K1678" s="2126"/>
    </row>
    <row r="1679" spans="1:11" s="266" customFormat="1" ht="14.25" hidden="1" customHeight="1" x14ac:dyDescent="0.25">
      <c r="A1679" s="353"/>
      <c r="B1679" s="5411"/>
      <c r="C1679" s="3861" t="s">
        <v>1762</v>
      </c>
      <c r="D1679" s="1516">
        <v>159770000</v>
      </c>
      <c r="E1679" s="882">
        <v>159770000</v>
      </c>
      <c r="F1679" s="880">
        <f>E1679/D1679*100</f>
        <v>100</v>
      </c>
      <c r="G1679" s="2338">
        <v>100</v>
      </c>
      <c r="H1679" s="354"/>
      <c r="J1679" s="2126"/>
      <c r="K1679" s="2126"/>
    </row>
    <row r="1680" spans="1:11" ht="12" hidden="1" customHeight="1" x14ac:dyDescent="0.25">
      <c r="B1680" s="2913"/>
      <c r="C1680" s="3848"/>
      <c r="D1680" s="1516"/>
      <c r="E1680" s="788"/>
      <c r="F1680" s="2285"/>
      <c r="G1680" s="2285"/>
      <c r="H1680" s="535"/>
    </row>
    <row r="1681" spans="1:11" ht="14.25" hidden="1" customHeight="1" x14ac:dyDescent="0.25">
      <c r="B1681" s="5397"/>
      <c r="C1681" s="3858" t="s">
        <v>1763</v>
      </c>
      <c r="D1681" s="1546">
        <f>D1682</f>
        <v>1000000000</v>
      </c>
      <c r="E1681" s="1546">
        <f>E1682</f>
        <v>1000000000</v>
      </c>
      <c r="F1681" s="2356">
        <f>E1681/D1681*100</f>
        <v>100</v>
      </c>
      <c r="G1681" s="2356">
        <v>100</v>
      </c>
      <c r="H1681" s="535"/>
    </row>
    <row r="1682" spans="1:11" ht="15.75" hidden="1" customHeight="1" x14ac:dyDescent="0.25">
      <c r="B1682" s="2913"/>
      <c r="C1682" s="3893" t="s">
        <v>1764</v>
      </c>
      <c r="D1682" s="1547">
        <f>SUM(D1683,D1684,D1685)</f>
        <v>1000000000</v>
      </c>
      <c r="E1682" s="1547">
        <f>SUM(E1683,E1684,E1685)</f>
        <v>1000000000</v>
      </c>
      <c r="F1682" s="2176">
        <f>E1682/D1682*100</f>
        <v>100</v>
      </c>
      <c r="G1682" s="3691">
        <v>100</v>
      </c>
      <c r="H1682" s="535"/>
    </row>
    <row r="1683" spans="1:11" ht="14.25" hidden="1" customHeight="1" x14ac:dyDescent="0.25">
      <c r="B1683" s="2913"/>
      <c r="C1683" s="4104" t="s">
        <v>1765</v>
      </c>
      <c r="D1683" s="1548">
        <v>250000000</v>
      </c>
      <c r="E1683" s="1548">
        <v>250000000</v>
      </c>
      <c r="F1683" s="880">
        <f>E1683/D1683*100</f>
        <v>100</v>
      </c>
      <c r="G1683" s="878">
        <v>100</v>
      </c>
      <c r="H1683" s="535"/>
    </row>
    <row r="1684" spans="1:11" ht="14.25" hidden="1" customHeight="1" x14ac:dyDescent="0.25">
      <c r="B1684" s="2913"/>
      <c r="C1684" s="4104" t="s">
        <v>1766</v>
      </c>
      <c r="D1684" s="1548">
        <v>350000000</v>
      </c>
      <c r="E1684" s="1548">
        <v>350000000</v>
      </c>
      <c r="F1684" s="880">
        <f>E1684/D1684*100</f>
        <v>100</v>
      </c>
      <c r="G1684" s="1717">
        <v>100</v>
      </c>
      <c r="H1684" s="535"/>
    </row>
    <row r="1685" spans="1:11" ht="18" hidden="1" customHeight="1" x14ac:dyDescent="0.25">
      <c r="B1685" s="2913"/>
      <c r="C1685" s="4104" t="s">
        <v>1767</v>
      </c>
      <c r="D1685" s="1548">
        <v>400000000</v>
      </c>
      <c r="E1685" s="1548">
        <v>400000000</v>
      </c>
      <c r="F1685" s="880">
        <f>E1685/D1685*100</f>
        <v>100</v>
      </c>
      <c r="G1685" s="878">
        <v>100</v>
      </c>
      <c r="H1685" s="535"/>
    </row>
    <row r="1686" spans="1:11" ht="12" hidden="1" customHeight="1" x14ac:dyDescent="0.25">
      <c r="B1686" s="2913"/>
      <c r="C1686" s="3857"/>
      <c r="D1686" s="1550"/>
      <c r="E1686" s="969"/>
      <c r="F1686" s="2279"/>
      <c r="G1686" s="2279"/>
      <c r="H1686" s="535"/>
    </row>
    <row r="1687" spans="1:11" ht="15" hidden="1" customHeight="1" x14ac:dyDescent="0.25">
      <c r="B1687" s="5397"/>
      <c r="C1687" s="3858" t="s">
        <v>1768</v>
      </c>
      <c r="D1687" s="1546">
        <f>D1688</f>
        <v>11000000000</v>
      </c>
      <c r="E1687" s="1546">
        <f>E1688</f>
        <v>10805000000</v>
      </c>
      <c r="F1687" s="2356">
        <f>E1687/D1687*100</f>
        <v>98.227272727272734</v>
      </c>
      <c r="G1687" s="2356">
        <v>100</v>
      </c>
      <c r="H1687" s="535"/>
    </row>
    <row r="1688" spans="1:11" ht="16.5" hidden="1" customHeight="1" x14ac:dyDescent="0.25">
      <c r="B1688" s="2913"/>
      <c r="C1688" s="3893" t="s">
        <v>1769</v>
      </c>
      <c r="D1688" s="1547">
        <f>SUM(D1689:D1690)</f>
        <v>11000000000</v>
      </c>
      <c r="E1688" s="1547">
        <f>SUM(E1689:E1690)</f>
        <v>10805000000</v>
      </c>
      <c r="F1688" s="2176">
        <f>E1688/D1688*100</f>
        <v>98.227272727272734</v>
      </c>
      <c r="G1688" s="3691">
        <v>100</v>
      </c>
      <c r="H1688" s="535"/>
    </row>
    <row r="1689" spans="1:11" ht="14.25" hidden="1" customHeight="1" x14ac:dyDescent="0.25">
      <c r="B1689" s="2913"/>
      <c r="C1689" s="4104" t="s">
        <v>1770</v>
      </c>
      <c r="D1689" s="1548">
        <v>10740000000</v>
      </c>
      <c r="E1689" s="666">
        <v>10545000000</v>
      </c>
      <c r="F1689" s="880">
        <f>E1689/D1689*100</f>
        <v>98.184357541899431</v>
      </c>
      <c r="G1689" s="1717">
        <v>100</v>
      </c>
      <c r="H1689" s="535"/>
    </row>
    <row r="1690" spans="1:11" ht="16.5" hidden="1" customHeight="1" x14ac:dyDescent="0.25">
      <c r="B1690" s="2913"/>
      <c r="C1690" s="4104" t="s">
        <v>1771</v>
      </c>
      <c r="D1690" s="1548">
        <v>260000000</v>
      </c>
      <c r="E1690" s="1818">
        <v>260000000</v>
      </c>
      <c r="F1690" s="880">
        <f>E1690/D1690*100</f>
        <v>100</v>
      </c>
      <c r="G1690" s="1717">
        <v>100</v>
      </c>
      <c r="H1690" s="535"/>
    </row>
    <row r="1691" spans="1:11" ht="11.25" hidden="1" customHeight="1" x14ac:dyDescent="0.25">
      <c r="B1691" s="2913"/>
      <c r="C1691" s="3857"/>
      <c r="D1691" s="1550"/>
      <c r="E1691" s="969"/>
      <c r="F1691" s="2279"/>
      <c r="G1691" s="2279"/>
      <c r="H1691" s="535"/>
    </row>
    <row r="1692" spans="1:11" s="269" customFormat="1" ht="15" hidden="1" customHeight="1" x14ac:dyDescent="0.25">
      <c r="A1692" s="350"/>
      <c r="B1692" s="5397"/>
      <c r="C1692" s="3858" t="s">
        <v>1772</v>
      </c>
      <c r="D1692" s="1546">
        <f>D1693</f>
        <v>500000000</v>
      </c>
      <c r="E1692" s="1546">
        <f>E1693</f>
        <v>500000000</v>
      </c>
      <c r="F1692" s="2356">
        <f>E1692/D1692*100</f>
        <v>100</v>
      </c>
      <c r="G1692" s="2315">
        <v>100</v>
      </c>
      <c r="H1692" s="553"/>
      <c r="J1692" s="2069"/>
      <c r="K1692" s="2069"/>
    </row>
    <row r="1693" spans="1:11" s="269" customFormat="1" ht="17.25" hidden="1" customHeight="1" x14ac:dyDescent="0.25">
      <c r="A1693" s="350"/>
      <c r="B1693" s="2913"/>
      <c r="C1693" s="3881" t="s">
        <v>303</v>
      </c>
      <c r="D1693" s="1554">
        <f>D1694</f>
        <v>500000000</v>
      </c>
      <c r="E1693" s="1554">
        <f>E1694</f>
        <v>500000000</v>
      </c>
      <c r="F1693" s="2176">
        <f>E1693/D1693*100</f>
        <v>100</v>
      </c>
      <c r="G1693" s="5500">
        <v>100</v>
      </c>
      <c r="H1693" s="553"/>
      <c r="J1693" s="2069"/>
      <c r="K1693" s="2069"/>
    </row>
    <row r="1694" spans="1:11" s="266" customFormat="1" ht="18" hidden="1" customHeight="1" x14ac:dyDescent="0.25">
      <c r="A1694" s="353"/>
      <c r="B1694" s="5411"/>
      <c r="C1694" s="4104" t="s">
        <v>304</v>
      </c>
      <c r="D1694" s="1548">
        <v>500000000</v>
      </c>
      <c r="E1694" s="1548">
        <v>500000000</v>
      </c>
      <c r="F1694" s="880">
        <f>E1694/D1694*100</f>
        <v>100</v>
      </c>
      <c r="G1694" s="2338">
        <v>100</v>
      </c>
      <c r="H1694" s="354"/>
      <c r="J1694" s="2126"/>
      <c r="K1694" s="2126"/>
    </row>
    <row r="1695" spans="1:11" ht="12" hidden="1" customHeight="1" x14ac:dyDescent="0.25">
      <c r="B1695" s="2913"/>
      <c r="C1695" s="3848"/>
      <c r="D1695" s="1516"/>
      <c r="E1695" s="894"/>
      <c r="F1695" s="1315"/>
      <c r="G1695" s="1315"/>
      <c r="H1695" s="535"/>
    </row>
    <row r="1696" spans="1:11" s="269" customFormat="1" ht="16.5" hidden="1" customHeight="1" x14ac:dyDescent="0.25">
      <c r="A1696" s="350"/>
      <c r="B1696" s="5397"/>
      <c r="C1696" s="3858" t="s">
        <v>1773</v>
      </c>
      <c r="D1696" s="1546">
        <f>D1697</f>
        <v>500000000</v>
      </c>
      <c r="E1696" s="1546">
        <f>E1697</f>
        <v>500000000</v>
      </c>
      <c r="F1696" s="2356">
        <f>E1696/D1696*100</f>
        <v>100</v>
      </c>
      <c r="G1696" s="2315">
        <v>100</v>
      </c>
      <c r="H1696" s="553"/>
      <c r="J1696" s="2069"/>
      <c r="K1696" s="2069"/>
    </row>
    <row r="1697" spans="1:11" s="269" customFormat="1" ht="15.75" hidden="1" customHeight="1" x14ac:dyDescent="0.25">
      <c r="A1697" s="350"/>
      <c r="B1697" s="2913"/>
      <c r="C1697" s="3881" t="s">
        <v>1774</v>
      </c>
      <c r="D1697" s="1554">
        <f>D1698</f>
        <v>500000000</v>
      </c>
      <c r="E1697" s="1554">
        <f>E1698</f>
        <v>500000000</v>
      </c>
      <c r="F1697" s="2176">
        <f>E1697/D1697*100</f>
        <v>100</v>
      </c>
      <c r="G1697" s="5500">
        <v>100</v>
      </c>
      <c r="H1697" s="553"/>
      <c r="J1697" s="2069"/>
      <c r="K1697" s="2069"/>
    </row>
    <row r="1698" spans="1:11" s="266" customFormat="1" ht="12.75" hidden="1" customHeight="1" x14ac:dyDescent="0.25">
      <c r="A1698" s="353"/>
      <c r="B1698" s="5411"/>
      <c r="C1698" s="4104" t="s">
        <v>1775</v>
      </c>
      <c r="D1698" s="1548">
        <v>500000000</v>
      </c>
      <c r="E1698" s="1548">
        <v>500000000</v>
      </c>
      <c r="F1698" s="880">
        <f>E1698/D1698*100</f>
        <v>100</v>
      </c>
      <c r="G1698" s="2338">
        <v>100</v>
      </c>
      <c r="H1698" s="354"/>
      <c r="J1698" s="2126"/>
      <c r="K1698" s="2126"/>
    </row>
    <row r="1699" spans="1:11" ht="12" hidden="1" customHeight="1" x14ac:dyDescent="0.25">
      <c r="B1699" s="2913"/>
      <c r="C1699" s="3848"/>
      <c r="D1699" s="1516"/>
      <c r="E1699" s="894"/>
      <c r="F1699" s="1315"/>
      <c r="G1699" s="1315"/>
      <c r="H1699" s="535"/>
    </row>
    <row r="1700" spans="1:11" s="269" customFormat="1" ht="15.75" hidden="1" customHeight="1" x14ac:dyDescent="0.25">
      <c r="A1700" s="350"/>
      <c r="B1700" s="5397"/>
      <c r="C1700" s="3858" t="s">
        <v>1776</v>
      </c>
      <c r="D1700" s="1546">
        <f>D1701</f>
        <v>500000000</v>
      </c>
      <c r="E1700" s="1546">
        <f>E1701</f>
        <v>500000000</v>
      </c>
      <c r="F1700" s="2356">
        <f>E1700/D1700*100</f>
        <v>100</v>
      </c>
      <c r="G1700" s="2315">
        <v>100</v>
      </c>
      <c r="H1700" s="553"/>
      <c r="J1700" s="2069"/>
      <c r="K1700" s="2069"/>
    </row>
    <row r="1701" spans="1:11" s="269" customFormat="1" ht="13.5" hidden="1" customHeight="1" x14ac:dyDescent="0.25">
      <c r="A1701" s="350"/>
      <c r="B1701" s="2913"/>
      <c r="C1701" s="3881" t="s">
        <v>1777</v>
      </c>
      <c r="D1701" s="1554">
        <f>D1702</f>
        <v>500000000</v>
      </c>
      <c r="E1701" s="1554">
        <f>E1702</f>
        <v>500000000</v>
      </c>
      <c r="F1701" s="2176">
        <f>E1701/D1701*100</f>
        <v>100</v>
      </c>
      <c r="G1701" s="5500">
        <v>100</v>
      </c>
      <c r="H1701" s="553"/>
      <c r="J1701" s="2069"/>
      <c r="K1701" s="2069"/>
    </row>
    <row r="1702" spans="1:11" s="266" customFormat="1" ht="17.25" hidden="1" customHeight="1" x14ac:dyDescent="0.25">
      <c r="A1702" s="353"/>
      <c r="B1702" s="5411"/>
      <c r="C1702" s="4104" t="s">
        <v>305</v>
      </c>
      <c r="D1702" s="1548">
        <v>500000000</v>
      </c>
      <c r="E1702" s="1548">
        <v>500000000</v>
      </c>
      <c r="F1702" s="880">
        <f>E1702/D1702*100</f>
        <v>100</v>
      </c>
      <c r="G1702" s="2338">
        <v>100</v>
      </c>
      <c r="H1702" s="354"/>
      <c r="J1702" s="2126"/>
      <c r="K1702" s="2126"/>
    </row>
    <row r="1703" spans="1:11" ht="12" hidden="1" customHeight="1" x14ac:dyDescent="0.25">
      <c r="B1703" s="2913"/>
      <c r="C1703" s="3848"/>
      <c r="D1703" s="1516"/>
      <c r="E1703" s="894"/>
      <c r="F1703" s="1315"/>
      <c r="G1703" s="1315"/>
      <c r="H1703" s="535"/>
    </row>
    <row r="1704" spans="1:11" s="269" customFormat="1" ht="14.25" hidden="1" customHeight="1" x14ac:dyDescent="0.25">
      <c r="A1704" s="350"/>
      <c r="B1704" s="5397"/>
      <c r="C1704" s="3858" t="s">
        <v>1778</v>
      </c>
      <c r="D1704" s="1546">
        <f>D1705</f>
        <v>500000000</v>
      </c>
      <c r="E1704" s="1546">
        <f>E1705</f>
        <v>500000000</v>
      </c>
      <c r="F1704" s="2356">
        <f>E1704/D1704*100</f>
        <v>100</v>
      </c>
      <c r="G1704" s="2315">
        <v>100</v>
      </c>
      <c r="H1704" s="553"/>
      <c r="J1704" s="2069"/>
      <c r="K1704" s="2069"/>
    </row>
    <row r="1705" spans="1:11" s="269" customFormat="1" ht="14.25" hidden="1" customHeight="1" x14ac:dyDescent="0.25">
      <c r="A1705" s="350"/>
      <c r="B1705" s="2913"/>
      <c r="C1705" s="3881" t="s">
        <v>306</v>
      </c>
      <c r="D1705" s="1554">
        <f>D1706</f>
        <v>500000000</v>
      </c>
      <c r="E1705" s="1554">
        <f>E1706</f>
        <v>500000000</v>
      </c>
      <c r="F1705" s="2176">
        <f>E1705/D1705*100</f>
        <v>100</v>
      </c>
      <c r="G1705" s="5500">
        <v>100</v>
      </c>
      <c r="H1705" s="553"/>
      <c r="J1705" s="2069"/>
      <c r="K1705" s="2069"/>
    </row>
    <row r="1706" spans="1:11" s="266" customFormat="1" ht="17.25" hidden="1" customHeight="1" x14ac:dyDescent="0.25">
      <c r="A1706" s="353"/>
      <c r="B1706" s="5411"/>
      <c r="C1706" s="4104" t="s">
        <v>1779</v>
      </c>
      <c r="D1706" s="1548">
        <v>500000000</v>
      </c>
      <c r="E1706" s="1548">
        <v>500000000</v>
      </c>
      <c r="F1706" s="880">
        <f>E1706/D1706*100</f>
        <v>100</v>
      </c>
      <c r="G1706" s="2338">
        <v>100</v>
      </c>
      <c r="H1706" s="354"/>
      <c r="J1706" s="2126"/>
      <c r="K1706" s="2126"/>
    </row>
    <row r="1707" spans="1:11" ht="12" hidden="1" customHeight="1" x14ac:dyDescent="0.25">
      <c r="B1707" s="2913"/>
      <c r="C1707" s="3848"/>
      <c r="D1707" s="1516"/>
      <c r="E1707" s="894"/>
      <c r="F1707" s="1315"/>
      <c r="G1707" s="1315"/>
      <c r="H1707" s="535"/>
    </row>
    <row r="1708" spans="1:11" s="269" customFormat="1" ht="15.75" hidden="1" customHeight="1" x14ac:dyDescent="0.25">
      <c r="A1708" s="350"/>
      <c r="B1708" s="5397"/>
      <c r="C1708" s="3858" t="s">
        <v>1780</v>
      </c>
      <c r="D1708" s="1546">
        <f>D1709</f>
        <v>500000000</v>
      </c>
      <c r="E1708" s="1546">
        <f>E1709</f>
        <v>500000000</v>
      </c>
      <c r="F1708" s="2356">
        <f>E1708/D1708*100</f>
        <v>100</v>
      </c>
      <c r="G1708" s="888">
        <v>100</v>
      </c>
      <c r="H1708" s="553"/>
      <c r="J1708" s="2069"/>
      <c r="K1708" s="2069"/>
    </row>
    <row r="1709" spans="1:11" s="269" customFormat="1" ht="14.25" hidden="1" customHeight="1" x14ac:dyDescent="0.25">
      <c r="A1709" s="350"/>
      <c r="B1709" s="2913"/>
      <c r="C1709" s="3881" t="s">
        <v>1781</v>
      </c>
      <c r="D1709" s="1554">
        <f>D1710</f>
        <v>500000000</v>
      </c>
      <c r="E1709" s="1554">
        <f>E1710</f>
        <v>500000000</v>
      </c>
      <c r="F1709" s="2176">
        <f>E1709/D1709*100</f>
        <v>100</v>
      </c>
      <c r="G1709" s="960">
        <v>100</v>
      </c>
      <c r="H1709" s="553"/>
      <c r="J1709" s="2069"/>
      <c r="K1709" s="2069"/>
    </row>
    <row r="1710" spans="1:11" s="266" customFormat="1" ht="16.5" hidden="1" customHeight="1" x14ac:dyDescent="0.25">
      <c r="A1710" s="353"/>
      <c r="B1710" s="5411"/>
      <c r="C1710" s="4104" t="s">
        <v>1782</v>
      </c>
      <c r="D1710" s="1548">
        <v>500000000</v>
      </c>
      <c r="E1710" s="1548">
        <v>500000000</v>
      </c>
      <c r="F1710" s="880">
        <f>E1710/D1710*100</f>
        <v>100</v>
      </c>
      <c r="G1710" s="878">
        <v>100</v>
      </c>
      <c r="H1710" s="354"/>
      <c r="J1710" s="2126"/>
      <c r="K1710" s="2126"/>
    </row>
    <row r="1711" spans="1:11" ht="12" hidden="1" customHeight="1" x14ac:dyDescent="0.25">
      <c r="B1711" s="2913"/>
      <c r="C1711" s="3848"/>
      <c r="D1711" s="1516"/>
      <c r="E1711" s="894"/>
      <c r="F1711" s="1315"/>
      <c r="G1711" s="1315"/>
      <c r="H1711" s="535"/>
    </row>
    <row r="1712" spans="1:11" s="269" customFormat="1" ht="15" hidden="1" customHeight="1" x14ac:dyDescent="0.25">
      <c r="A1712" s="350"/>
      <c r="B1712" s="5397"/>
      <c r="C1712" s="3858" t="s">
        <v>1783</v>
      </c>
      <c r="D1712" s="1546">
        <f>D1713</f>
        <v>600000000</v>
      </c>
      <c r="E1712" s="1546">
        <f>E1713</f>
        <v>600000000</v>
      </c>
      <c r="F1712" s="2356">
        <f>E1712/D1712*100</f>
        <v>100</v>
      </c>
      <c r="G1712" s="2315">
        <v>100</v>
      </c>
      <c r="H1712" s="553"/>
      <c r="J1712" s="2069"/>
      <c r="K1712" s="2069"/>
    </row>
    <row r="1713" spans="1:11" s="269" customFormat="1" ht="16.5" hidden="1" customHeight="1" x14ac:dyDescent="0.25">
      <c r="A1713" s="350"/>
      <c r="B1713" s="2913"/>
      <c r="C1713" s="3881" t="s">
        <v>307</v>
      </c>
      <c r="D1713" s="1554">
        <f>D1714</f>
        <v>600000000</v>
      </c>
      <c r="E1713" s="1554">
        <f>E1714</f>
        <v>600000000</v>
      </c>
      <c r="F1713" s="2176">
        <f>E1713/D1713*100</f>
        <v>100</v>
      </c>
      <c r="G1713" s="5500">
        <v>100</v>
      </c>
      <c r="H1713" s="553"/>
      <c r="J1713" s="2069"/>
      <c r="K1713" s="2069"/>
    </row>
    <row r="1714" spans="1:11" s="266" customFormat="1" ht="17.25" hidden="1" customHeight="1" x14ac:dyDescent="0.25">
      <c r="A1714" s="353"/>
      <c r="B1714" s="5411"/>
      <c r="C1714" s="4104" t="s">
        <v>308</v>
      </c>
      <c r="D1714" s="1548">
        <v>600000000</v>
      </c>
      <c r="E1714" s="1548">
        <v>600000000</v>
      </c>
      <c r="F1714" s="880">
        <f>E1714/D1714*100</f>
        <v>100</v>
      </c>
      <c r="G1714" s="2338">
        <v>100</v>
      </c>
      <c r="H1714" s="354"/>
      <c r="J1714" s="2126"/>
      <c r="K1714" s="2126"/>
    </row>
    <row r="1715" spans="1:11" ht="12" hidden="1" customHeight="1" x14ac:dyDescent="0.25">
      <c r="B1715" s="2913"/>
      <c r="C1715" s="3848"/>
      <c r="D1715" s="1516"/>
      <c r="E1715" s="894"/>
      <c r="F1715" s="1315"/>
      <c r="G1715" s="1315"/>
      <c r="H1715" s="535"/>
    </row>
    <row r="1716" spans="1:11" s="269" customFormat="1" ht="15" hidden="1" customHeight="1" x14ac:dyDescent="0.25">
      <c r="A1716" s="350"/>
      <c r="B1716" s="5397"/>
      <c r="C1716" s="3858" t="s">
        <v>1784</v>
      </c>
      <c r="D1716" s="1546">
        <f>D1717</f>
        <v>500000000</v>
      </c>
      <c r="E1716" s="1546">
        <f>E1717</f>
        <v>500000000</v>
      </c>
      <c r="F1716" s="2356">
        <f>E1716/D1716*100</f>
        <v>100</v>
      </c>
      <c r="G1716" s="2315">
        <v>100</v>
      </c>
      <c r="H1716" s="553"/>
      <c r="J1716" s="2069"/>
      <c r="K1716" s="2069"/>
    </row>
    <row r="1717" spans="1:11" s="269" customFormat="1" ht="17.25" hidden="1" customHeight="1" x14ac:dyDescent="0.25">
      <c r="A1717" s="350"/>
      <c r="B1717" s="2913"/>
      <c r="C1717" s="3881" t="s">
        <v>309</v>
      </c>
      <c r="D1717" s="1554">
        <f>D1718</f>
        <v>500000000</v>
      </c>
      <c r="E1717" s="1554">
        <f>E1718</f>
        <v>500000000</v>
      </c>
      <c r="F1717" s="2176">
        <f>E1717/D1717*100</f>
        <v>100</v>
      </c>
      <c r="G1717" s="5500">
        <v>100</v>
      </c>
      <c r="H1717" s="553"/>
      <c r="J1717" s="2069"/>
      <c r="K1717" s="2069"/>
    </row>
    <row r="1718" spans="1:11" s="266" customFormat="1" ht="13.5" hidden="1" customHeight="1" x14ac:dyDescent="0.25">
      <c r="A1718" s="353"/>
      <c r="B1718" s="5411"/>
      <c r="C1718" s="4104" t="s">
        <v>1785</v>
      </c>
      <c r="D1718" s="1548">
        <v>500000000</v>
      </c>
      <c r="E1718" s="1548">
        <v>500000000</v>
      </c>
      <c r="F1718" s="880">
        <f>E1718/D1718*100</f>
        <v>100</v>
      </c>
      <c r="G1718" s="2338">
        <v>100</v>
      </c>
      <c r="H1718" s="354"/>
      <c r="J1718" s="2126"/>
      <c r="K1718" s="2126"/>
    </row>
    <row r="1719" spans="1:11" ht="12" hidden="1" customHeight="1" x14ac:dyDescent="0.25">
      <c r="B1719" s="2913"/>
      <c r="C1719" s="3848"/>
      <c r="D1719" s="1516"/>
      <c r="E1719" s="894"/>
      <c r="F1719" s="1315"/>
      <c r="G1719" s="1315"/>
      <c r="H1719" s="535"/>
    </row>
    <row r="1720" spans="1:11" s="269" customFormat="1" ht="17.25" hidden="1" customHeight="1" x14ac:dyDescent="0.25">
      <c r="A1720" s="350"/>
      <c r="B1720" s="5397"/>
      <c r="C1720" s="3858" t="s">
        <v>1786</v>
      </c>
      <c r="D1720" s="1546">
        <f>D1721</f>
        <v>500000000</v>
      </c>
      <c r="E1720" s="1546">
        <f>E1721</f>
        <v>500000000</v>
      </c>
      <c r="F1720" s="2356">
        <f>E1720/D1720*100</f>
        <v>100</v>
      </c>
      <c r="G1720" s="2315">
        <v>100</v>
      </c>
      <c r="H1720" s="553"/>
      <c r="J1720" s="2069"/>
      <c r="K1720" s="2069"/>
    </row>
    <row r="1721" spans="1:11" s="269" customFormat="1" ht="18.75" hidden="1" customHeight="1" x14ac:dyDescent="0.25">
      <c r="A1721" s="350"/>
      <c r="B1721" s="2913"/>
      <c r="C1721" s="3881" t="s">
        <v>310</v>
      </c>
      <c r="D1721" s="1554">
        <f>D1722</f>
        <v>500000000</v>
      </c>
      <c r="E1721" s="1554">
        <f>E1722</f>
        <v>500000000</v>
      </c>
      <c r="F1721" s="2176">
        <f>E1721/D1721*100</f>
        <v>100</v>
      </c>
      <c r="G1721" s="5500">
        <v>100</v>
      </c>
      <c r="H1721" s="553"/>
      <c r="J1721" s="2069"/>
      <c r="K1721" s="2069"/>
    </row>
    <row r="1722" spans="1:11" s="266" customFormat="1" ht="15" hidden="1" customHeight="1" x14ac:dyDescent="0.25">
      <c r="A1722" s="353"/>
      <c r="B1722" s="5411"/>
      <c r="C1722" s="4104" t="s">
        <v>311</v>
      </c>
      <c r="D1722" s="1548">
        <v>500000000</v>
      </c>
      <c r="E1722" s="1548">
        <v>500000000</v>
      </c>
      <c r="F1722" s="880">
        <f>E1722/D1722*100</f>
        <v>100</v>
      </c>
      <c r="G1722" s="2338">
        <v>100</v>
      </c>
      <c r="H1722" s="354"/>
      <c r="J1722" s="2126"/>
      <c r="K1722" s="2126"/>
    </row>
    <row r="1723" spans="1:11" ht="12" hidden="1" customHeight="1" x14ac:dyDescent="0.25">
      <c r="B1723" s="2913"/>
      <c r="C1723" s="3848"/>
      <c r="D1723" s="1516"/>
      <c r="E1723" s="894"/>
      <c r="F1723" s="1315"/>
      <c r="G1723" s="1315"/>
      <c r="H1723" s="535"/>
    </row>
    <row r="1724" spans="1:11" s="269" customFormat="1" ht="14.25" hidden="1" customHeight="1" x14ac:dyDescent="0.25">
      <c r="A1724" s="350"/>
      <c r="B1724" s="5397"/>
      <c r="C1724" s="3858" t="s">
        <v>1787</v>
      </c>
      <c r="D1724" s="1546">
        <f>D1725</f>
        <v>500000000</v>
      </c>
      <c r="E1724" s="1546">
        <f>E1725</f>
        <v>500000000</v>
      </c>
      <c r="F1724" s="2356">
        <f>E1724/D1724*100</f>
        <v>100</v>
      </c>
      <c r="G1724" s="2315">
        <v>100</v>
      </c>
      <c r="H1724" s="553"/>
      <c r="J1724" s="2069"/>
      <c r="K1724" s="2069"/>
    </row>
    <row r="1725" spans="1:11" s="269" customFormat="1" ht="21" hidden="1" customHeight="1" x14ac:dyDescent="0.25">
      <c r="A1725" s="350"/>
      <c r="B1725" s="2913"/>
      <c r="C1725" s="3881" t="s">
        <v>1788</v>
      </c>
      <c r="D1725" s="1554">
        <f>D1726</f>
        <v>500000000</v>
      </c>
      <c r="E1725" s="1554">
        <f>E1726</f>
        <v>500000000</v>
      </c>
      <c r="F1725" s="2176">
        <f>E1725/D1725*100</f>
        <v>100</v>
      </c>
      <c r="G1725" s="5500">
        <v>100</v>
      </c>
      <c r="H1725" s="553"/>
      <c r="J1725" s="2069"/>
      <c r="K1725" s="2069"/>
    </row>
    <row r="1726" spans="1:11" s="266" customFormat="1" ht="15" hidden="1" customHeight="1" x14ac:dyDescent="0.25">
      <c r="A1726" s="353"/>
      <c r="B1726" s="5411"/>
      <c r="C1726" s="4104" t="s">
        <v>1789</v>
      </c>
      <c r="D1726" s="1548">
        <v>500000000</v>
      </c>
      <c r="E1726" s="1548">
        <v>500000000</v>
      </c>
      <c r="F1726" s="880">
        <f>E1726/D1726*100</f>
        <v>100</v>
      </c>
      <c r="G1726" s="2338">
        <v>100</v>
      </c>
      <c r="H1726" s="354"/>
      <c r="J1726" s="2126"/>
      <c r="K1726" s="2126"/>
    </row>
    <row r="1727" spans="1:11" ht="12" hidden="1" customHeight="1" x14ac:dyDescent="0.25">
      <c r="B1727" s="2913"/>
      <c r="C1727" s="3848"/>
      <c r="D1727" s="1516"/>
      <c r="E1727" s="894"/>
      <c r="F1727" s="1315"/>
      <c r="G1727" s="1315"/>
      <c r="H1727" s="535"/>
    </row>
    <row r="1728" spans="1:11" s="269" customFormat="1" ht="16.5" hidden="1" customHeight="1" x14ac:dyDescent="0.25">
      <c r="A1728" s="350"/>
      <c r="B1728" s="5397"/>
      <c r="C1728" s="3858" t="s">
        <v>1790</v>
      </c>
      <c r="D1728" s="1546">
        <f>D1729</f>
        <v>500000000</v>
      </c>
      <c r="E1728" s="1546">
        <f>E1729</f>
        <v>500000000</v>
      </c>
      <c r="F1728" s="2356">
        <f>E1728/D1728*100</f>
        <v>100</v>
      </c>
      <c r="G1728" s="2315">
        <v>100</v>
      </c>
      <c r="H1728" s="553"/>
      <c r="J1728" s="2069"/>
      <c r="K1728" s="2069"/>
    </row>
    <row r="1729" spans="1:11" s="269" customFormat="1" ht="14.25" hidden="1" customHeight="1" x14ac:dyDescent="0.25">
      <c r="A1729" s="350"/>
      <c r="B1729" s="2913"/>
      <c r="C1729" s="3881" t="s">
        <v>341</v>
      </c>
      <c r="D1729" s="1554">
        <f>D1730</f>
        <v>500000000</v>
      </c>
      <c r="E1729" s="1554">
        <f>E1730</f>
        <v>500000000</v>
      </c>
      <c r="F1729" s="2176">
        <f>E1729/D1729*100</f>
        <v>100</v>
      </c>
      <c r="G1729" s="5500">
        <v>100</v>
      </c>
      <c r="H1729" s="553"/>
      <c r="J1729" s="2069"/>
      <c r="K1729" s="2069"/>
    </row>
    <row r="1730" spans="1:11" s="266" customFormat="1" ht="15.75" hidden="1" customHeight="1" x14ac:dyDescent="0.25">
      <c r="A1730" s="353"/>
      <c r="B1730" s="5411"/>
      <c r="C1730" s="4104" t="s">
        <v>1791</v>
      </c>
      <c r="D1730" s="1548">
        <v>500000000</v>
      </c>
      <c r="E1730" s="1548">
        <v>500000000</v>
      </c>
      <c r="F1730" s="880">
        <f>E1730/D1730*100</f>
        <v>100</v>
      </c>
      <c r="G1730" s="2338">
        <v>100</v>
      </c>
      <c r="H1730" s="354"/>
      <c r="J1730" s="2126"/>
      <c r="K1730" s="2126"/>
    </row>
    <row r="1731" spans="1:11" ht="12" hidden="1" customHeight="1" x14ac:dyDescent="0.25">
      <c r="B1731" s="2913"/>
      <c r="C1731" s="3848"/>
      <c r="D1731" s="1516"/>
      <c r="E1731" s="894"/>
      <c r="F1731" s="1315"/>
      <c r="G1731" s="1315"/>
      <c r="H1731" s="535"/>
    </row>
    <row r="1732" spans="1:11" s="269" customFormat="1" ht="15.75" hidden="1" customHeight="1" x14ac:dyDescent="0.25">
      <c r="A1732" s="350"/>
      <c r="B1732" s="5397"/>
      <c r="C1732" s="3858" t="s">
        <v>3421</v>
      </c>
      <c r="D1732" s="1546">
        <f>D1733</f>
        <v>1500000000</v>
      </c>
      <c r="E1732" s="1546">
        <f>E1733</f>
        <v>1500000000</v>
      </c>
      <c r="F1732" s="2356">
        <f>E1732/D1732*100</f>
        <v>100</v>
      </c>
      <c r="G1732" s="2315">
        <v>100</v>
      </c>
      <c r="H1732" s="553"/>
      <c r="J1732" s="2069"/>
      <c r="K1732" s="2069"/>
    </row>
    <row r="1733" spans="1:11" s="269" customFormat="1" ht="14.25" hidden="1" customHeight="1" x14ac:dyDescent="0.25">
      <c r="A1733" s="350"/>
      <c r="B1733" s="2913"/>
      <c r="C1733" s="3881" t="s">
        <v>1792</v>
      </c>
      <c r="D1733" s="1554">
        <f>SUM(D1734:D1734)</f>
        <v>1500000000</v>
      </c>
      <c r="E1733" s="1554">
        <f>SUM(E1734:E1734)</f>
        <v>1500000000</v>
      </c>
      <c r="F1733" s="2176">
        <f>E1733/D1733*100</f>
        <v>100</v>
      </c>
      <c r="G1733" s="4358">
        <v>100</v>
      </c>
      <c r="H1733" s="553"/>
      <c r="J1733" s="2069"/>
      <c r="K1733" s="2069"/>
    </row>
    <row r="1734" spans="1:11" s="266" customFormat="1" ht="13.5" hidden="1" customHeight="1" x14ac:dyDescent="0.25">
      <c r="A1734" s="353"/>
      <c r="B1734" s="5411"/>
      <c r="C1734" s="4104" t="s">
        <v>1793</v>
      </c>
      <c r="D1734" s="1548">
        <v>1500000000</v>
      </c>
      <c r="E1734" s="878">
        <v>1500000000</v>
      </c>
      <c r="F1734" s="880">
        <f>E1734/D1734*100</f>
        <v>100</v>
      </c>
      <c r="G1734" s="2338">
        <v>100</v>
      </c>
      <c r="H1734" s="354"/>
      <c r="J1734" s="2126"/>
      <c r="K1734" s="2126"/>
    </row>
    <row r="1735" spans="1:11" ht="12" hidden="1" customHeight="1" x14ac:dyDescent="0.25">
      <c r="B1735" s="2913"/>
      <c r="C1735" s="3848"/>
      <c r="D1735" s="1516"/>
      <c r="E1735" s="894"/>
      <c r="F1735" s="1315"/>
      <c r="G1735" s="1315"/>
      <c r="H1735" s="535"/>
    </row>
    <row r="1736" spans="1:11" s="269" customFormat="1" ht="17.25" hidden="1" customHeight="1" x14ac:dyDescent="0.25">
      <c r="A1736" s="350"/>
      <c r="B1736" s="5397"/>
      <c r="C1736" s="3858" t="s">
        <v>3422</v>
      </c>
      <c r="D1736" s="1546">
        <f>SUM(D1737:D1739)</f>
        <v>2600000000</v>
      </c>
      <c r="E1736" s="1546">
        <f>SUM(E1737:E1739)</f>
        <v>1695000000</v>
      </c>
      <c r="F1736" s="2356">
        <f>E1736/D1736*100</f>
        <v>65.192307692307693</v>
      </c>
      <c r="G1736" s="2315">
        <f>SUM(G1737:G1739)/3</f>
        <v>81.666666666666671</v>
      </c>
      <c r="H1736" s="553"/>
      <c r="J1736" s="2069"/>
      <c r="K1736" s="2069"/>
    </row>
    <row r="1737" spans="1:11" s="266" customFormat="1" ht="15" hidden="1" customHeight="1" x14ac:dyDescent="0.25">
      <c r="A1737" s="353"/>
      <c r="B1737" s="5411"/>
      <c r="C1737" s="3899" t="s">
        <v>1794</v>
      </c>
      <c r="D1737" s="1583">
        <v>600000000</v>
      </c>
      <c r="E1737" s="1888">
        <v>600000000</v>
      </c>
      <c r="F1737" s="2293">
        <f>E1737/D1737*100</f>
        <v>100</v>
      </c>
      <c r="G1737" s="3285">
        <v>100</v>
      </c>
      <c r="H1737" s="354"/>
      <c r="J1737" s="2126"/>
      <c r="K1737" s="2126"/>
    </row>
    <row r="1738" spans="1:11" s="266" customFormat="1" ht="18" hidden="1" customHeight="1" x14ac:dyDescent="0.25">
      <c r="A1738" s="353"/>
      <c r="B1738" s="5411"/>
      <c r="C1738" s="4104" t="s">
        <v>1796</v>
      </c>
      <c r="D1738" s="1548">
        <v>1500000000</v>
      </c>
      <c r="E1738" s="1818">
        <v>770000000</v>
      </c>
      <c r="F1738" s="880">
        <f>E1738/D1738*100</f>
        <v>51.333333333333329</v>
      </c>
      <c r="G1738" s="2338">
        <v>70</v>
      </c>
      <c r="H1738" s="354"/>
      <c r="J1738" s="2126"/>
      <c r="K1738" s="2126"/>
    </row>
    <row r="1739" spans="1:11" s="266" customFormat="1" ht="15.75" hidden="1" customHeight="1" x14ac:dyDescent="0.25">
      <c r="A1739" s="353"/>
      <c r="B1739" s="5411"/>
      <c r="C1739" s="4104" t="s">
        <v>1795</v>
      </c>
      <c r="D1739" s="1548">
        <v>500000000</v>
      </c>
      <c r="E1739" s="1818">
        <v>325000000</v>
      </c>
      <c r="F1739" s="880">
        <f>E1739/D1739*100</f>
        <v>65</v>
      </c>
      <c r="G1739" s="2338">
        <v>75</v>
      </c>
      <c r="H1739" s="354"/>
      <c r="J1739" s="2126"/>
      <c r="K1739" s="2126"/>
    </row>
    <row r="1740" spans="1:11" ht="12" hidden="1" customHeight="1" x14ac:dyDescent="0.25">
      <c r="B1740" s="2913"/>
      <c r="C1740" s="3873"/>
      <c r="D1740" s="1516"/>
      <c r="E1740" s="788"/>
      <c r="F1740" s="2285"/>
      <c r="G1740" s="2285"/>
      <c r="H1740" s="535"/>
    </row>
    <row r="1741" spans="1:11" ht="14.25" customHeight="1" thickBot="1" x14ac:dyDescent="0.3">
      <c r="B1741" s="5414"/>
      <c r="C1741" s="4037" t="s">
        <v>258</v>
      </c>
      <c r="D1741" s="1612">
        <f>SUM(D1743+D1794+D1846+D1870+D1943+D1956+D1967+D1978+D1997+D2009+D2013+D2030+D2058+D2073+D2093+D2122+D2134+D2144)</f>
        <v>151090858000</v>
      </c>
      <c r="E1741" s="1612">
        <f>SUM(E1743+E1794+E1846+E1870+E1943+E1956+E1967+E1978+E1997+E2009+E2013+E2030+E2058+E2073+E2093+E2122+E2134+E2144)</f>
        <v>136468776700</v>
      </c>
      <c r="F1741" s="1471">
        <f>E1741/D1741*100</f>
        <v>90.322325590341151</v>
      </c>
      <c r="G1741" s="2531">
        <f>SUM(G1743+G1794+G1846+G1870+G1943+G1956+G1978+G1997+G2009+G2013+G2030+G2058+G2073+G2093+G2122+G2134+G2144)/18</f>
        <v>90.032821166577207</v>
      </c>
      <c r="H1741" s="1638"/>
      <c r="J1741" s="4518">
        <v>151090858000</v>
      </c>
      <c r="K1741" s="522">
        <f>SUM(D1741-J1741)</f>
        <v>0</v>
      </c>
    </row>
    <row r="1742" spans="1:11" s="5031" customFormat="1" ht="3.75" hidden="1" customHeight="1" x14ac:dyDescent="0.25">
      <c r="A1742" s="5027"/>
      <c r="B1742" s="5415"/>
      <c r="C1742" s="5028"/>
      <c r="D1742" s="5029"/>
      <c r="E1742" s="5029"/>
      <c r="F1742" s="5501"/>
      <c r="G1742" s="5502"/>
      <c r="H1742" s="5030"/>
      <c r="J1742" s="5032"/>
      <c r="K1742" s="5033"/>
    </row>
    <row r="1743" spans="1:11" ht="13.5" hidden="1" customHeight="1" x14ac:dyDescent="0.25">
      <c r="B1743" s="5397"/>
      <c r="C1743" s="3858" t="s">
        <v>259</v>
      </c>
      <c r="D1743" s="1546">
        <f>SUM(D1744+D1747+D1750+D1758+D1767+D1770+D1776+D1779+D1787+D1790)</f>
        <v>21151300000</v>
      </c>
      <c r="E1743" s="1546">
        <f>SUM(E1744+E1747+E1750+E1758+E1767+E1770+E1776+E1779+E1787+E1790)</f>
        <v>17513425000</v>
      </c>
      <c r="F1743" s="1462">
        <f>E1743/D1743*100</f>
        <v>82.800702557289611</v>
      </c>
      <c r="G1743" s="2356">
        <f>SUM(G1744+G1747+G1750+G1758+G1767+G1770+G1776+G1779+G1787)/9</f>
        <v>98.148148148148152</v>
      </c>
      <c r="H1743" s="535"/>
      <c r="J1743" s="299">
        <v>21151300000</v>
      </c>
      <c r="K1743" s="522">
        <v>17464425000</v>
      </c>
    </row>
    <row r="1744" spans="1:11" ht="17.25" hidden="1" customHeight="1" x14ac:dyDescent="0.25">
      <c r="B1744" s="2913"/>
      <c r="C1744" s="3946" t="s">
        <v>702</v>
      </c>
      <c r="D1744" s="1419">
        <f>D1745</f>
        <v>6621300000</v>
      </c>
      <c r="E1744" s="1419">
        <f>E1745</f>
        <v>6525475000</v>
      </c>
      <c r="F1744" s="1394">
        <f>E1744/D1744*100</f>
        <v>98.552776645069699</v>
      </c>
      <c r="G1744" s="2562">
        <v>100</v>
      </c>
      <c r="H1744" s="535"/>
    </row>
    <row r="1745" spans="2:8" ht="14.25" hidden="1" customHeight="1" x14ac:dyDescent="0.25">
      <c r="B1745" s="2913"/>
      <c r="C1745" s="4073" t="s">
        <v>777</v>
      </c>
      <c r="D1745" s="3770">
        <v>6621300000</v>
      </c>
      <c r="E1745" s="1891">
        <v>6525475000</v>
      </c>
      <c r="F1745" s="3557">
        <f>E1745/D1745*100</f>
        <v>98.552776645069699</v>
      </c>
      <c r="G1745" s="1668">
        <v>100</v>
      </c>
      <c r="H1745" s="535"/>
    </row>
    <row r="1746" spans="2:8" ht="13.5" hidden="1" customHeight="1" x14ac:dyDescent="0.25">
      <c r="B1746" s="2913"/>
      <c r="C1746" s="4104"/>
      <c r="D1746" s="1548"/>
      <c r="E1746" s="666"/>
      <c r="F1746" s="1717"/>
      <c r="G1746" s="1668"/>
      <c r="H1746" s="535"/>
    </row>
    <row r="1747" spans="2:8" ht="14.25" hidden="1" customHeight="1" x14ac:dyDescent="0.25">
      <c r="B1747" s="2913"/>
      <c r="C1747" s="3946" t="s">
        <v>703</v>
      </c>
      <c r="D1747" s="966">
        <f>D1748</f>
        <v>20000000</v>
      </c>
      <c r="E1747" s="966">
        <f>E1748</f>
        <v>20000000</v>
      </c>
      <c r="F1747" s="1394">
        <f>E1747/D1747*100</f>
        <v>100</v>
      </c>
      <c r="G1747" s="3632">
        <v>100</v>
      </c>
      <c r="H1747" s="535"/>
    </row>
    <row r="1748" spans="2:8" ht="13.5" hidden="1" customHeight="1" x14ac:dyDescent="0.25">
      <c r="B1748" s="2913"/>
      <c r="C1748" s="4073" t="s">
        <v>778</v>
      </c>
      <c r="D1748" s="3770">
        <v>20000000</v>
      </c>
      <c r="E1748" s="3768">
        <v>20000000</v>
      </c>
      <c r="F1748" s="3557">
        <f>E1748/D1748*100</f>
        <v>100</v>
      </c>
      <c r="G1748" s="3557">
        <v>100</v>
      </c>
      <c r="H1748" s="535"/>
    </row>
    <row r="1749" spans="2:8" ht="11.25" hidden="1" customHeight="1" x14ac:dyDescent="0.25">
      <c r="B1749" s="2913"/>
      <c r="C1749" s="4104"/>
      <c r="D1749" s="1548"/>
      <c r="E1749" s="1891"/>
      <c r="F1749" s="1668"/>
      <c r="G1749" s="1668"/>
      <c r="H1749" s="535"/>
    </row>
    <row r="1750" spans="2:8" ht="15.75" hidden="1" customHeight="1" x14ac:dyDescent="0.25">
      <c r="B1750" s="2913"/>
      <c r="C1750" s="3946" t="s">
        <v>2277</v>
      </c>
      <c r="D1750" s="1166">
        <f>SUM(D1751:D1756)</f>
        <v>4000000000</v>
      </c>
      <c r="E1750" s="1166">
        <f>SUM(E1751:E1756)</f>
        <v>4000000000</v>
      </c>
      <c r="F1750" s="1394">
        <f t="shared" ref="F1750:F1756" si="37">E1750/D1750*100</f>
        <v>100</v>
      </c>
      <c r="G1750" s="3554">
        <v>100</v>
      </c>
      <c r="H1750" s="535"/>
    </row>
    <row r="1751" spans="2:8" ht="16.5" hidden="1" customHeight="1" x14ac:dyDescent="0.25">
      <c r="B1751" s="2913"/>
      <c r="C1751" s="4104" t="s">
        <v>2278</v>
      </c>
      <c r="D1751" s="1167">
        <v>500000000</v>
      </c>
      <c r="E1751" s="1891">
        <v>500000000</v>
      </c>
      <c r="F1751" s="3557">
        <f t="shared" si="37"/>
        <v>100</v>
      </c>
      <c r="G1751" s="1668">
        <v>100</v>
      </c>
      <c r="H1751" s="535"/>
    </row>
    <row r="1752" spans="2:8" ht="16.5" hidden="1" customHeight="1" x14ac:dyDescent="0.25">
      <c r="B1752" s="2913"/>
      <c r="C1752" s="4104" t="s">
        <v>2279</v>
      </c>
      <c r="D1752" s="1167">
        <v>1500000000</v>
      </c>
      <c r="E1752" s="878">
        <v>1500000000</v>
      </c>
      <c r="F1752" s="3557">
        <f t="shared" si="37"/>
        <v>100</v>
      </c>
      <c r="G1752" s="878">
        <v>100</v>
      </c>
      <c r="H1752" s="535"/>
    </row>
    <row r="1753" spans="2:8" ht="17.25" hidden="1" customHeight="1" x14ac:dyDescent="0.25">
      <c r="B1753" s="2913"/>
      <c r="C1753" s="4104" t="s">
        <v>2945</v>
      </c>
      <c r="D1753" s="1167">
        <v>500000000</v>
      </c>
      <c r="E1753" s="878">
        <v>500000000</v>
      </c>
      <c r="F1753" s="3557">
        <f t="shared" si="37"/>
        <v>100</v>
      </c>
      <c r="G1753" s="878">
        <v>100</v>
      </c>
      <c r="H1753" s="535"/>
    </row>
    <row r="1754" spans="2:8" ht="15" hidden="1" customHeight="1" x14ac:dyDescent="0.25">
      <c r="B1754" s="2913"/>
      <c r="C1754" s="4104" t="s">
        <v>2946</v>
      </c>
      <c r="D1754" s="1167">
        <v>500000000</v>
      </c>
      <c r="E1754" s="878">
        <v>500000000</v>
      </c>
      <c r="F1754" s="3557">
        <f t="shared" si="37"/>
        <v>100</v>
      </c>
      <c r="G1754" s="878">
        <v>100</v>
      </c>
      <c r="H1754" s="535"/>
    </row>
    <row r="1755" spans="2:8" ht="15" hidden="1" customHeight="1" x14ac:dyDescent="0.25">
      <c r="B1755" s="2913"/>
      <c r="C1755" s="4104" t="s">
        <v>2947</v>
      </c>
      <c r="D1755" s="1548">
        <v>500000000</v>
      </c>
      <c r="E1755" s="1891">
        <v>500000000</v>
      </c>
      <c r="F1755" s="3557">
        <f t="shared" si="37"/>
        <v>100</v>
      </c>
      <c r="G1755" s="878">
        <v>100</v>
      </c>
      <c r="H1755" s="535"/>
    </row>
    <row r="1756" spans="2:8" ht="16.5" hidden="1" customHeight="1" x14ac:dyDescent="0.25">
      <c r="B1756" s="2913"/>
      <c r="C1756" s="4104" t="s">
        <v>2948</v>
      </c>
      <c r="D1756" s="1548">
        <v>500000000</v>
      </c>
      <c r="E1756" s="1891">
        <v>500000000</v>
      </c>
      <c r="F1756" s="3557">
        <f t="shared" si="37"/>
        <v>100</v>
      </c>
      <c r="G1756" s="878">
        <v>100</v>
      </c>
      <c r="H1756" s="535"/>
    </row>
    <row r="1757" spans="2:8" ht="11.25" hidden="1" customHeight="1" x14ac:dyDescent="0.25">
      <c r="B1757" s="2913"/>
      <c r="C1757" s="4104"/>
      <c r="D1757" s="1548"/>
      <c r="E1757" s="1891"/>
      <c r="F1757" s="883"/>
      <c r="G1757" s="878"/>
      <c r="H1757" s="535"/>
    </row>
    <row r="1758" spans="2:8" ht="18.75" hidden="1" customHeight="1" x14ac:dyDescent="0.25">
      <c r="B1758" s="2913"/>
      <c r="C1758" s="3946" t="s">
        <v>280</v>
      </c>
      <c r="D1758" s="966">
        <f>SUM(D1759:D1765)</f>
        <v>1930000000</v>
      </c>
      <c r="E1758" s="966">
        <f>SUM(E1759:E1765)</f>
        <v>1916400000</v>
      </c>
      <c r="F1758" s="1394">
        <f t="shared" ref="F1758:F1765" si="38">E1758/D1758*100</f>
        <v>99.295336787564764</v>
      </c>
      <c r="G1758" s="877">
        <f>SUM(G1759:G1765)/7</f>
        <v>100</v>
      </c>
      <c r="H1758" s="535"/>
    </row>
    <row r="1759" spans="2:8" ht="17.25" hidden="1" customHeight="1" x14ac:dyDescent="0.25">
      <c r="B1759" s="2913"/>
      <c r="C1759" s="3932" t="s">
        <v>2283</v>
      </c>
      <c r="D1759" s="3770">
        <v>100000000</v>
      </c>
      <c r="E1759" s="1891">
        <v>100000000</v>
      </c>
      <c r="F1759" s="3557">
        <f t="shared" si="38"/>
        <v>100</v>
      </c>
      <c r="G1759" s="1668">
        <v>100</v>
      </c>
      <c r="H1759" s="535"/>
    </row>
    <row r="1760" spans="2:8" ht="19.5" hidden="1" customHeight="1" x14ac:dyDescent="0.25">
      <c r="B1760" s="2913"/>
      <c r="C1760" s="3932" t="s">
        <v>2320</v>
      </c>
      <c r="D1760" s="1167">
        <v>200000000</v>
      </c>
      <c r="E1760" s="1891">
        <v>200000000</v>
      </c>
      <c r="F1760" s="3557">
        <f t="shared" si="38"/>
        <v>100</v>
      </c>
      <c r="G1760" s="1668">
        <v>100</v>
      </c>
      <c r="H1760" s="535"/>
    </row>
    <row r="1761" spans="1:11" ht="17.25" hidden="1" customHeight="1" x14ac:dyDescent="0.25">
      <c r="B1761" s="2913"/>
      <c r="C1761" s="3932" t="s">
        <v>2284</v>
      </c>
      <c r="D1761" s="1167">
        <v>350000000</v>
      </c>
      <c r="E1761" s="1891">
        <v>350000000</v>
      </c>
      <c r="F1761" s="3557">
        <f t="shared" si="38"/>
        <v>100</v>
      </c>
      <c r="G1761" s="878">
        <v>100</v>
      </c>
      <c r="H1761" s="535"/>
    </row>
    <row r="1762" spans="1:11" ht="17.25" hidden="1" customHeight="1" x14ac:dyDescent="0.25">
      <c r="B1762" s="2913"/>
      <c r="C1762" s="3932" t="s">
        <v>2285</v>
      </c>
      <c r="D1762" s="1167">
        <v>280000000</v>
      </c>
      <c r="E1762" s="1891">
        <v>266400000</v>
      </c>
      <c r="F1762" s="3557">
        <f t="shared" si="38"/>
        <v>95.142857142857139</v>
      </c>
      <c r="G1762" s="878">
        <v>100</v>
      </c>
      <c r="H1762" s="535"/>
    </row>
    <row r="1763" spans="1:11" ht="17.25" hidden="1" customHeight="1" x14ac:dyDescent="0.25">
      <c r="B1763" s="2913"/>
      <c r="C1763" s="3932" t="s">
        <v>2322</v>
      </c>
      <c r="D1763" s="1167">
        <v>500000000</v>
      </c>
      <c r="E1763" s="1891">
        <v>500000000</v>
      </c>
      <c r="F1763" s="3557">
        <f t="shared" si="38"/>
        <v>100</v>
      </c>
      <c r="G1763" s="878">
        <v>100</v>
      </c>
      <c r="H1763" s="535"/>
    </row>
    <row r="1764" spans="1:11" ht="17.25" hidden="1" customHeight="1" x14ac:dyDescent="0.25">
      <c r="B1764" s="2913"/>
      <c r="C1764" s="3932" t="s">
        <v>2286</v>
      </c>
      <c r="D1764" s="1167">
        <v>250000000</v>
      </c>
      <c r="E1764" s="1891">
        <v>250000000</v>
      </c>
      <c r="F1764" s="3557">
        <f t="shared" si="38"/>
        <v>100</v>
      </c>
      <c r="G1764" s="878">
        <v>100</v>
      </c>
      <c r="H1764" s="535"/>
    </row>
    <row r="1765" spans="1:11" ht="17.25" hidden="1" customHeight="1" x14ac:dyDescent="0.25">
      <c r="B1765" s="2913"/>
      <c r="C1765" s="3932" t="s">
        <v>2287</v>
      </c>
      <c r="D1765" s="1167">
        <v>250000000</v>
      </c>
      <c r="E1765" s="1891">
        <v>250000000</v>
      </c>
      <c r="F1765" s="3557">
        <f t="shared" si="38"/>
        <v>100</v>
      </c>
      <c r="G1765" s="878">
        <v>100</v>
      </c>
      <c r="H1765" s="535"/>
    </row>
    <row r="1766" spans="1:11" ht="8.25" hidden="1" customHeight="1" x14ac:dyDescent="0.25">
      <c r="B1766" s="2913"/>
      <c r="C1766" s="4104"/>
      <c r="D1766" s="1548"/>
      <c r="E1766" s="666"/>
      <c r="F1766" s="1717"/>
      <c r="G1766" s="1717"/>
      <c r="H1766" s="535"/>
    </row>
    <row r="1767" spans="1:11" ht="17.25" hidden="1" customHeight="1" x14ac:dyDescent="0.25">
      <c r="B1767" s="2913"/>
      <c r="C1767" s="3946" t="s">
        <v>2288</v>
      </c>
      <c r="D1767" s="966">
        <f>D1768</f>
        <v>150000000</v>
      </c>
      <c r="E1767" s="966">
        <f>E1768</f>
        <v>124150000</v>
      </c>
      <c r="F1767" s="1394">
        <f>E1767/D1767*100</f>
        <v>82.766666666666666</v>
      </c>
      <c r="G1767" s="3632">
        <v>100</v>
      </c>
      <c r="H1767" s="535"/>
    </row>
    <row r="1768" spans="1:11" ht="16.5" hidden="1" customHeight="1" x14ac:dyDescent="0.25">
      <c r="B1768" s="2913"/>
      <c r="C1768" s="3932" t="s">
        <v>2289</v>
      </c>
      <c r="D1768" s="3770">
        <v>150000000</v>
      </c>
      <c r="E1768" s="1891">
        <v>124150000</v>
      </c>
      <c r="F1768" s="3557">
        <f>E1768/D1768*100</f>
        <v>82.766666666666666</v>
      </c>
      <c r="G1768" s="3557">
        <v>100</v>
      </c>
      <c r="H1768" s="535"/>
    </row>
    <row r="1769" spans="1:11" ht="8.25" hidden="1" customHeight="1" x14ac:dyDescent="0.25">
      <c r="B1769" s="2913"/>
      <c r="C1769" s="4104"/>
      <c r="D1769" s="1548"/>
      <c r="E1769" s="1891"/>
      <c r="F1769" s="1668"/>
      <c r="G1769" s="1668"/>
      <c r="H1769" s="535"/>
    </row>
    <row r="1770" spans="1:11" ht="19.5" hidden="1" customHeight="1" x14ac:dyDescent="0.25">
      <c r="B1770" s="2913"/>
      <c r="C1770" s="3946" t="s">
        <v>2290</v>
      </c>
      <c r="D1770" s="966">
        <f>SUM(D1771:D1774)</f>
        <v>1334600000</v>
      </c>
      <c r="E1770" s="966">
        <f>SUM(E1771:E1774)</f>
        <v>1334600000</v>
      </c>
      <c r="F1770" s="1394">
        <f>E1770/D1770*100</f>
        <v>100</v>
      </c>
      <c r="G1770" s="2261">
        <v>100</v>
      </c>
      <c r="H1770" s="535"/>
    </row>
    <row r="1771" spans="1:11" s="303" customFormat="1" ht="16.5" hidden="1" customHeight="1" x14ac:dyDescent="0.25">
      <c r="A1771" s="3005"/>
      <c r="B1771" s="2913"/>
      <c r="C1771" s="3932" t="s">
        <v>2291</v>
      </c>
      <c r="D1771" s="971">
        <v>930000000</v>
      </c>
      <c r="E1771" s="1891">
        <v>930000000</v>
      </c>
      <c r="F1771" s="3557">
        <f>E1771/D1771*100</f>
        <v>100</v>
      </c>
      <c r="G1771" s="3557">
        <v>100</v>
      </c>
      <c r="H1771" s="554"/>
      <c r="J1771" s="522"/>
      <c r="K1771" s="522"/>
    </row>
    <row r="1772" spans="1:11" ht="15.75" hidden="1" customHeight="1" x14ac:dyDescent="0.25">
      <c r="B1772" s="2913"/>
      <c r="C1772" s="3932" t="s">
        <v>2292</v>
      </c>
      <c r="D1772" s="3770">
        <v>100000000</v>
      </c>
      <c r="E1772" s="3768">
        <v>100000000</v>
      </c>
      <c r="F1772" s="3557">
        <f>E1772/D1772*100</f>
        <v>100</v>
      </c>
      <c r="G1772" s="1668">
        <v>100</v>
      </c>
      <c r="H1772" s="535"/>
    </row>
    <row r="1773" spans="1:11" ht="15.75" hidden="1" customHeight="1" x14ac:dyDescent="0.25">
      <c r="B1773" s="2913"/>
      <c r="C1773" s="3932" t="s">
        <v>2293</v>
      </c>
      <c r="D1773" s="3770">
        <v>154600000</v>
      </c>
      <c r="E1773" s="3768">
        <v>154600000</v>
      </c>
      <c r="F1773" s="3557">
        <f>E1773/D1773*100</f>
        <v>100</v>
      </c>
      <c r="G1773" s="1668">
        <v>100</v>
      </c>
      <c r="H1773" s="535"/>
    </row>
    <row r="1774" spans="1:11" ht="17.25" hidden="1" customHeight="1" x14ac:dyDescent="0.25">
      <c r="B1774" s="2913"/>
      <c r="C1774" s="3932" t="s">
        <v>2294</v>
      </c>
      <c r="D1774" s="1167">
        <v>150000000</v>
      </c>
      <c r="E1774" s="1979">
        <v>150000000</v>
      </c>
      <c r="F1774" s="3557">
        <f>E1774/D1774*100</f>
        <v>100</v>
      </c>
      <c r="G1774" s="1668">
        <v>100</v>
      </c>
      <c r="H1774" s="535"/>
    </row>
    <row r="1775" spans="1:11" ht="10.5" hidden="1" customHeight="1" x14ac:dyDescent="0.25">
      <c r="B1775" s="2913"/>
      <c r="C1775" s="4104"/>
      <c r="D1775" s="1548"/>
      <c r="E1775" s="1891"/>
      <c r="F1775" s="1668"/>
      <c r="G1775" s="1668"/>
      <c r="H1775" s="535"/>
    </row>
    <row r="1776" spans="1:11" ht="15" hidden="1" customHeight="1" x14ac:dyDescent="0.25">
      <c r="B1776" s="2913"/>
      <c r="C1776" s="1299" t="s">
        <v>2295</v>
      </c>
      <c r="D1776" s="1392">
        <f>D1777</f>
        <v>45400000</v>
      </c>
      <c r="E1776" s="1392">
        <f>E1777</f>
        <v>45400000</v>
      </c>
      <c r="F1776" s="1394">
        <f>E1776/D1776*100</f>
        <v>100</v>
      </c>
      <c r="G1776" s="3554">
        <v>100</v>
      </c>
      <c r="H1776" s="535"/>
    </row>
    <row r="1777" spans="2:8" ht="15" hidden="1" customHeight="1" x14ac:dyDescent="0.25">
      <c r="B1777" s="2913"/>
      <c r="C1777" s="5503" t="s">
        <v>2296</v>
      </c>
      <c r="D1777" s="3770">
        <v>45400000</v>
      </c>
      <c r="E1777" s="1891">
        <v>45400000</v>
      </c>
      <c r="F1777" s="3557">
        <f>E1777/D1777*100</f>
        <v>100</v>
      </c>
      <c r="G1777" s="1668">
        <v>100</v>
      </c>
      <c r="H1777" s="535"/>
    </row>
    <row r="1778" spans="2:8" ht="9" hidden="1" customHeight="1" x14ac:dyDescent="0.25">
      <c r="B1778" s="2913"/>
      <c r="C1778" s="4104"/>
      <c r="D1778" s="1548"/>
      <c r="E1778" s="1891"/>
      <c r="F1778" s="1668"/>
      <c r="G1778" s="1668"/>
      <c r="H1778" s="535"/>
    </row>
    <row r="1779" spans="2:8" ht="16.5" hidden="1" customHeight="1" x14ac:dyDescent="0.25">
      <c r="B1779" s="2913"/>
      <c r="C1779" s="3946" t="s">
        <v>2297</v>
      </c>
      <c r="D1779" s="966">
        <f>SUM(D1780:D1785)</f>
        <v>2750000000</v>
      </c>
      <c r="E1779" s="966">
        <f>SUM(E1780:E1785)</f>
        <v>748000000</v>
      </c>
      <c r="F1779" s="1394">
        <f t="shared" ref="F1779:F1785" si="39">E1779/D1779*100</f>
        <v>27.200000000000003</v>
      </c>
      <c r="G1779" s="3769">
        <f>SUM(G1780:G1785)/6</f>
        <v>83.333333333333329</v>
      </c>
      <c r="H1779" s="535"/>
    </row>
    <row r="1780" spans="2:8" ht="14.25" hidden="1" customHeight="1" x14ac:dyDescent="0.25">
      <c r="B1780" s="2913"/>
      <c r="C1780" s="3932" t="s">
        <v>2298</v>
      </c>
      <c r="D1780" s="3770">
        <v>50000000</v>
      </c>
      <c r="E1780" s="1891">
        <v>49000000</v>
      </c>
      <c r="F1780" s="3557">
        <f t="shared" si="39"/>
        <v>98</v>
      </c>
      <c r="G1780" s="3557">
        <v>100</v>
      </c>
      <c r="H1780" s="535"/>
    </row>
    <row r="1781" spans="2:8" ht="15.75" hidden="1" customHeight="1" x14ac:dyDescent="0.25">
      <c r="B1781" s="2913"/>
      <c r="C1781" s="3932" t="s">
        <v>2299</v>
      </c>
      <c r="D1781" s="3770">
        <v>300000000</v>
      </c>
      <c r="E1781" s="1891">
        <v>300000000</v>
      </c>
      <c r="F1781" s="3557">
        <f t="shared" si="39"/>
        <v>100</v>
      </c>
      <c r="G1781" s="3557">
        <v>100</v>
      </c>
      <c r="H1781" s="535"/>
    </row>
    <row r="1782" spans="2:8" ht="15.75" hidden="1" customHeight="1" x14ac:dyDescent="0.25">
      <c r="B1782" s="2913"/>
      <c r="C1782" s="3932" t="s">
        <v>2300</v>
      </c>
      <c r="D1782" s="1167">
        <v>50000000</v>
      </c>
      <c r="E1782" s="1891">
        <v>50000000</v>
      </c>
      <c r="F1782" s="3557">
        <f t="shared" si="39"/>
        <v>100</v>
      </c>
      <c r="G1782" s="3557">
        <v>100</v>
      </c>
      <c r="H1782" s="535"/>
    </row>
    <row r="1783" spans="2:8" ht="15.75" hidden="1" customHeight="1" x14ac:dyDescent="0.25">
      <c r="B1783" s="2913"/>
      <c r="C1783" s="3932" t="s">
        <v>2301</v>
      </c>
      <c r="D1783" s="1167">
        <v>150000000</v>
      </c>
      <c r="E1783" s="1891">
        <v>150000000</v>
      </c>
      <c r="F1783" s="3557">
        <f t="shared" si="39"/>
        <v>100</v>
      </c>
      <c r="G1783" s="3557">
        <v>100</v>
      </c>
      <c r="H1783" s="535"/>
    </row>
    <row r="1784" spans="2:8" ht="15.75" hidden="1" customHeight="1" x14ac:dyDescent="0.25">
      <c r="B1784" s="2913"/>
      <c r="C1784" s="3932" t="s">
        <v>2302</v>
      </c>
      <c r="D1784" s="1167">
        <v>200000000</v>
      </c>
      <c r="E1784" s="1891">
        <v>199000000</v>
      </c>
      <c r="F1784" s="3557">
        <f t="shared" si="39"/>
        <v>99.5</v>
      </c>
      <c r="G1784" s="3557">
        <v>100</v>
      </c>
      <c r="H1784" s="535"/>
    </row>
    <row r="1785" spans="2:8" ht="15.75" hidden="1" customHeight="1" x14ac:dyDescent="0.25">
      <c r="B1785" s="2913"/>
      <c r="C1785" s="3932" t="s">
        <v>2303</v>
      </c>
      <c r="D1785" s="1167">
        <v>2000000000</v>
      </c>
      <c r="E1785" s="1891">
        <v>0</v>
      </c>
      <c r="F1785" s="3557">
        <f t="shared" si="39"/>
        <v>0</v>
      </c>
      <c r="G1785" s="1891">
        <v>0</v>
      </c>
      <c r="H1785" s="535"/>
    </row>
    <row r="1786" spans="2:8" ht="9.75" hidden="1" customHeight="1" x14ac:dyDescent="0.25">
      <c r="B1786" s="2913"/>
      <c r="C1786" s="4104"/>
      <c r="D1786" s="1548"/>
      <c r="E1786" s="666"/>
      <c r="F1786" s="1717"/>
      <c r="G1786" s="1717"/>
      <c r="H1786" s="535"/>
    </row>
    <row r="1787" spans="2:8" ht="15.75" hidden="1" customHeight="1" x14ac:dyDescent="0.25">
      <c r="B1787" s="2913"/>
      <c r="C1787" s="3946" t="s">
        <v>704</v>
      </c>
      <c r="D1787" s="966">
        <f>D1788</f>
        <v>1300000000</v>
      </c>
      <c r="E1787" s="966">
        <f>E1788</f>
        <v>1299400000</v>
      </c>
      <c r="F1787" s="1394">
        <f>E1787/D1787*100</f>
        <v>99.953846153846143</v>
      </c>
      <c r="G1787" s="2261">
        <v>100</v>
      </c>
      <c r="H1787" s="535"/>
    </row>
    <row r="1788" spans="2:8" ht="16.5" hidden="1" customHeight="1" x14ac:dyDescent="0.25">
      <c r="B1788" s="2913"/>
      <c r="C1788" s="3932" t="s">
        <v>784</v>
      </c>
      <c r="D1788" s="3770">
        <v>1300000000</v>
      </c>
      <c r="E1788" s="666">
        <v>1299400000</v>
      </c>
      <c r="F1788" s="3557">
        <f>E1788/D1788*100</f>
        <v>99.953846153846143</v>
      </c>
      <c r="G1788" s="1668">
        <v>100</v>
      </c>
      <c r="H1788" s="535"/>
    </row>
    <row r="1789" spans="2:8" ht="9.75" hidden="1" customHeight="1" x14ac:dyDescent="0.25">
      <c r="B1789" s="2913"/>
      <c r="C1789" s="3893"/>
      <c r="D1789" s="1550"/>
      <c r="E1789" s="788"/>
      <c r="F1789" s="2285"/>
      <c r="G1789" s="2285"/>
      <c r="H1789" s="535"/>
    </row>
    <row r="1790" spans="2:8" ht="30.75" hidden="1" customHeight="1" x14ac:dyDescent="0.25">
      <c r="B1790" s="2913"/>
      <c r="C1790" s="4116" t="s">
        <v>2304</v>
      </c>
      <c r="D1790" s="1166">
        <f>SUM(D1791:D1792)</f>
        <v>3000000000</v>
      </c>
      <c r="E1790" s="1166">
        <f>SUM(E1791:E1792)</f>
        <v>1500000000</v>
      </c>
      <c r="F1790" s="1413">
        <f>E1790/D1790*100</f>
        <v>50</v>
      </c>
      <c r="G1790" s="3629">
        <f>SUM(G1791:G1792)/2</f>
        <v>50</v>
      </c>
      <c r="H1790" s="535"/>
    </row>
    <row r="1791" spans="2:8" ht="16.5" hidden="1" customHeight="1" x14ac:dyDescent="0.25">
      <c r="B1791" s="2913"/>
      <c r="C1791" s="4104" t="s">
        <v>2305</v>
      </c>
      <c r="D1791" s="1167">
        <v>1500000000</v>
      </c>
      <c r="E1791" s="1891">
        <v>0</v>
      </c>
      <c r="F1791" s="3557">
        <f>E1791/D1791*100</f>
        <v>0</v>
      </c>
      <c r="G1791" s="3557">
        <v>0</v>
      </c>
      <c r="H1791" s="535"/>
    </row>
    <row r="1792" spans="2:8" ht="13.5" hidden="1" customHeight="1" x14ac:dyDescent="0.25">
      <c r="B1792" s="2913"/>
      <c r="C1792" s="4104" t="s">
        <v>2306</v>
      </c>
      <c r="D1792" s="1167">
        <v>1500000000</v>
      </c>
      <c r="E1792" s="1891">
        <v>1500000000</v>
      </c>
      <c r="F1792" s="3557">
        <f>E1792/D1792*100</f>
        <v>100</v>
      </c>
      <c r="G1792" s="3557">
        <v>100</v>
      </c>
      <c r="H1792" s="535"/>
    </row>
    <row r="1793" spans="2:11" ht="9.75" hidden="1" customHeight="1" x14ac:dyDescent="0.25">
      <c r="B1793" s="2913"/>
      <c r="C1793" s="3893"/>
      <c r="D1793" s="1550"/>
      <c r="E1793" s="969"/>
      <c r="F1793" s="2279"/>
      <c r="G1793" s="2279"/>
      <c r="H1793" s="535"/>
    </row>
    <row r="1794" spans="2:11" ht="16.5" hidden="1" customHeight="1" x14ac:dyDescent="0.25">
      <c r="B1794" s="5397"/>
      <c r="C1794" s="3921" t="s">
        <v>248</v>
      </c>
      <c r="D1794" s="1546">
        <f>SUM(D1795+D1801+D1804+D1807+D1814+D1819+D1831+D1836+D1841)</f>
        <v>11585750000</v>
      </c>
      <c r="E1794" s="1546">
        <f>SUM(E1795+E1801+E1804+E1807+E1814+E1819+E1831+E1836+E1841)</f>
        <v>11435850000</v>
      </c>
      <c r="F1794" s="1462">
        <f t="shared" ref="F1794:F1799" si="40">E1794/D1794*100</f>
        <v>98.706169216494402</v>
      </c>
      <c r="G1794" s="2356">
        <f>SUM(G1795+G1801+G1804+G1807+G1814+G1819+G1831+G1836+G1841)/9</f>
        <v>100</v>
      </c>
      <c r="H1794" s="535"/>
      <c r="J1794" s="522">
        <v>11585750000</v>
      </c>
      <c r="K1794" s="522">
        <v>11435850000</v>
      </c>
    </row>
    <row r="1795" spans="2:11" ht="17.25" hidden="1" customHeight="1" x14ac:dyDescent="0.25">
      <c r="B1795" s="2913"/>
      <c r="C1795" s="3922" t="s">
        <v>708</v>
      </c>
      <c r="D1795" s="2374">
        <f>SUM(D1796:D1799)</f>
        <v>7061750000</v>
      </c>
      <c r="E1795" s="2374">
        <f>SUM(E1796:E1799)</f>
        <v>7047350000</v>
      </c>
      <c r="F1795" s="1394">
        <f t="shared" si="40"/>
        <v>99.796084539951153</v>
      </c>
      <c r="G1795" s="2562">
        <v>100</v>
      </c>
      <c r="H1795" s="535"/>
    </row>
    <row r="1796" spans="2:11" ht="15.75" hidden="1" customHeight="1" x14ac:dyDescent="0.25">
      <c r="B1796" s="2913"/>
      <c r="C1796" s="3932" t="s">
        <v>714</v>
      </c>
      <c r="D1796" s="3770">
        <v>4065750000</v>
      </c>
      <c r="E1796" s="666">
        <v>4051350000</v>
      </c>
      <c r="F1796" s="3557">
        <f t="shared" si="40"/>
        <v>99.645821804095178</v>
      </c>
      <c r="G1796" s="1717">
        <v>100</v>
      </c>
      <c r="H1796" s="535"/>
    </row>
    <row r="1797" spans="2:11" ht="15.75" hidden="1" customHeight="1" x14ac:dyDescent="0.25">
      <c r="B1797" s="2913"/>
      <c r="C1797" s="3932" t="s">
        <v>713</v>
      </c>
      <c r="D1797" s="3770">
        <v>510000000</v>
      </c>
      <c r="E1797" s="666">
        <v>510000000</v>
      </c>
      <c r="F1797" s="3557">
        <f t="shared" si="40"/>
        <v>100</v>
      </c>
      <c r="G1797" s="1717">
        <v>100</v>
      </c>
      <c r="H1797" s="535"/>
    </row>
    <row r="1798" spans="2:11" ht="16.5" hidden="1" customHeight="1" x14ac:dyDescent="0.25">
      <c r="B1798" s="2913"/>
      <c r="C1798" s="3932" t="s">
        <v>712</v>
      </c>
      <c r="D1798" s="3770">
        <v>376000000</v>
      </c>
      <c r="E1798" s="666">
        <v>376000000</v>
      </c>
      <c r="F1798" s="3557">
        <f t="shared" si="40"/>
        <v>100</v>
      </c>
      <c r="G1798" s="1717">
        <v>100</v>
      </c>
      <c r="H1798" s="535"/>
    </row>
    <row r="1799" spans="2:11" ht="18" hidden="1" customHeight="1" x14ac:dyDescent="0.25">
      <c r="B1799" s="2913"/>
      <c r="C1799" s="3932" t="s">
        <v>711</v>
      </c>
      <c r="D1799" s="3770">
        <v>2110000000</v>
      </c>
      <c r="E1799" s="666">
        <v>2110000000</v>
      </c>
      <c r="F1799" s="3557">
        <f t="shared" si="40"/>
        <v>100</v>
      </c>
      <c r="G1799" s="1717">
        <v>100</v>
      </c>
      <c r="H1799" s="535"/>
    </row>
    <row r="1800" spans="2:11" ht="8.25" hidden="1" customHeight="1" x14ac:dyDescent="0.25">
      <c r="B1800" s="2913"/>
      <c r="C1800" s="4116"/>
      <c r="D1800" s="1548"/>
      <c r="E1800" s="894"/>
      <c r="F1800" s="1717"/>
      <c r="G1800" s="1315"/>
      <c r="H1800" s="535"/>
    </row>
    <row r="1801" spans="2:11" ht="15.75" hidden="1" customHeight="1" x14ac:dyDescent="0.25">
      <c r="B1801" s="2913"/>
      <c r="C1801" s="3946" t="s">
        <v>707</v>
      </c>
      <c r="D1801" s="966">
        <f>D1802</f>
        <v>500000000</v>
      </c>
      <c r="E1801" s="966">
        <f>E1802</f>
        <v>500000000</v>
      </c>
      <c r="F1801" s="1394">
        <f>E1801/D1801*100</f>
        <v>100</v>
      </c>
      <c r="G1801" s="2261">
        <v>100</v>
      </c>
      <c r="H1801" s="535"/>
    </row>
    <row r="1802" spans="2:11" ht="15" hidden="1" customHeight="1" x14ac:dyDescent="0.25">
      <c r="B1802" s="2913"/>
      <c r="C1802" s="3932" t="s">
        <v>705</v>
      </c>
      <c r="D1802" s="3770">
        <v>500000000</v>
      </c>
      <c r="E1802" s="1891">
        <v>500000000</v>
      </c>
      <c r="F1802" s="3557">
        <f>E1802/D1802*100</f>
        <v>100</v>
      </c>
      <c r="G1802" s="1668">
        <v>100</v>
      </c>
      <c r="H1802" s="535"/>
    </row>
    <row r="1803" spans="2:11" ht="9.75" hidden="1" customHeight="1" x14ac:dyDescent="0.25">
      <c r="B1803" s="2913"/>
      <c r="C1803" s="4116"/>
      <c r="D1803" s="1548"/>
      <c r="E1803" s="894"/>
      <c r="F1803" s="1717"/>
      <c r="G1803" s="1315"/>
      <c r="H1803" s="535"/>
    </row>
    <row r="1804" spans="2:11" ht="17.25" hidden="1" customHeight="1" x14ac:dyDescent="0.25">
      <c r="B1804" s="2913"/>
      <c r="C1804" s="3946" t="s">
        <v>706</v>
      </c>
      <c r="D1804" s="966">
        <f>D1805</f>
        <v>100000000</v>
      </c>
      <c r="E1804" s="966">
        <f>E1805</f>
        <v>100000000</v>
      </c>
      <c r="F1804" s="3632">
        <v>100</v>
      </c>
      <c r="G1804" s="3632">
        <v>100</v>
      </c>
      <c r="H1804" s="535"/>
    </row>
    <row r="1805" spans="2:11" ht="16.5" hidden="1" customHeight="1" x14ac:dyDescent="0.25">
      <c r="B1805" s="2913"/>
      <c r="C1805" s="3932" t="s">
        <v>710</v>
      </c>
      <c r="D1805" s="3770">
        <v>100000000</v>
      </c>
      <c r="E1805" s="1891">
        <v>100000000</v>
      </c>
      <c r="F1805" s="3557">
        <v>100</v>
      </c>
      <c r="G1805" s="3557">
        <v>100</v>
      </c>
      <c r="H1805" s="535"/>
    </row>
    <row r="1806" spans="2:11" ht="9" hidden="1" customHeight="1" x14ac:dyDescent="0.25">
      <c r="B1806" s="2913"/>
      <c r="C1806" s="4116"/>
      <c r="D1806" s="1548"/>
      <c r="E1806" s="894"/>
      <c r="F1806" s="1717"/>
      <c r="G1806" s="1315"/>
      <c r="H1806" s="535"/>
    </row>
    <row r="1807" spans="2:11" ht="14.25" hidden="1" customHeight="1" x14ac:dyDescent="0.25">
      <c r="B1807" s="2913"/>
      <c r="C1807" s="3946" t="s">
        <v>709</v>
      </c>
      <c r="D1807" s="966">
        <f>SUM(D1808:D1813)</f>
        <v>500000000</v>
      </c>
      <c r="E1807" s="966">
        <f>SUM(E1808:E1813)</f>
        <v>500000000</v>
      </c>
      <c r="F1807" s="1394">
        <f t="shared" ref="F1807:F1812" si="41">E1807/D1807*100</f>
        <v>100</v>
      </c>
      <c r="G1807" s="2261">
        <v>100</v>
      </c>
      <c r="H1807" s="535"/>
    </row>
    <row r="1808" spans="2:11" ht="14.25" hidden="1" customHeight="1" x14ac:dyDescent="0.25">
      <c r="B1808" s="2913"/>
      <c r="C1808" s="3932" t="s">
        <v>782</v>
      </c>
      <c r="D1808" s="3770">
        <v>100000000</v>
      </c>
      <c r="E1808" s="3768">
        <v>100000000</v>
      </c>
      <c r="F1808" s="3557">
        <f t="shared" si="41"/>
        <v>100</v>
      </c>
      <c r="G1808" s="3557">
        <v>100</v>
      </c>
      <c r="H1808" s="535"/>
    </row>
    <row r="1809" spans="2:8" ht="15.75" hidden="1" customHeight="1" x14ac:dyDescent="0.25">
      <c r="B1809" s="2913"/>
      <c r="C1809" s="3932" t="s">
        <v>737</v>
      </c>
      <c r="D1809" s="3770">
        <v>100000000</v>
      </c>
      <c r="E1809" s="3768">
        <v>100000000</v>
      </c>
      <c r="F1809" s="3557">
        <f t="shared" si="41"/>
        <v>100</v>
      </c>
      <c r="G1809" s="3557">
        <v>100</v>
      </c>
      <c r="H1809" s="535"/>
    </row>
    <row r="1810" spans="2:8" ht="14.25" hidden="1" customHeight="1" x14ac:dyDescent="0.25">
      <c r="B1810" s="2913"/>
      <c r="C1810" s="3932" t="s">
        <v>738</v>
      </c>
      <c r="D1810" s="3770">
        <v>100000000</v>
      </c>
      <c r="E1810" s="3768">
        <v>100000000</v>
      </c>
      <c r="F1810" s="3557">
        <f t="shared" si="41"/>
        <v>100</v>
      </c>
      <c r="G1810" s="3557">
        <v>100</v>
      </c>
      <c r="H1810" s="535"/>
    </row>
    <row r="1811" spans="2:8" ht="15.75" hidden="1" customHeight="1" x14ac:dyDescent="0.25">
      <c r="B1811" s="2913"/>
      <c r="C1811" s="3932" t="s">
        <v>739</v>
      </c>
      <c r="D1811" s="3770">
        <v>100000000</v>
      </c>
      <c r="E1811" s="1891">
        <v>100000000</v>
      </c>
      <c r="F1811" s="3557">
        <f t="shared" si="41"/>
        <v>100</v>
      </c>
      <c r="G1811" s="3557">
        <v>100</v>
      </c>
      <c r="H1811" s="535"/>
    </row>
    <row r="1812" spans="2:8" ht="32.25" hidden="1" customHeight="1" x14ac:dyDescent="0.25">
      <c r="B1812" s="2913"/>
      <c r="C1812" s="3932" t="s">
        <v>740</v>
      </c>
      <c r="D1812" s="971">
        <v>100000000</v>
      </c>
      <c r="E1812" s="1891">
        <v>100000000</v>
      </c>
      <c r="F1812" s="3557">
        <f t="shared" si="41"/>
        <v>100</v>
      </c>
      <c r="G1812" s="3557">
        <v>100</v>
      </c>
      <c r="H1812" s="535"/>
    </row>
    <row r="1813" spans="2:8" ht="8.25" hidden="1" customHeight="1" x14ac:dyDescent="0.25">
      <c r="B1813" s="2913"/>
      <c r="C1813" s="3893"/>
      <c r="D1813" s="1550"/>
      <c r="E1813" s="894"/>
      <c r="F1813" s="1315"/>
      <c r="G1813" s="1315"/>
      <c r="H1813" s="535"/>
    </row>
    <row r="1814" spans="2:8" ht="17.25" hidden="1" customHeight="1" x14ac:dyDescent="0.25">
      <c r="B1814" s="2913"/>
      <c r="C1814" s="3946" t="s">
        <v>715</v>
      </c>
      <c r="D1814" s="966">
        <f>SUM(D1815:D1817)</f>
        <v>450000000</v>
      </c>
      <c r="E1814" s="966">
        <f>SUM(E1815:E1817)</f>
        <v>399000000</v>
      </c>
      <c r="F1814" s="1394">
        <f>E1814/D1814*100</f>
        <v>88.666666666666671</v>
      </c>
      <c r="G1814" s="2261">
        <v>100</v>
      </c>
      <c r="H1814" s="535"/>
    </row>
    <row r="1815" spans="2:8" ht="16.5" hidden="1" customHeight="1" x14ac:dyDescent="0.25">
      <c r="B1815" s="2913"/>
      <c r="C1815" s="3932" t="s">
        <v>716</v>
      </c>
      <c r="D1815" s="3770">
        <v>100000000</v>
      </c>
      <c r="E1815" s="1891">
        <v>99000000</v>
      </c>
      <c r="F1815" s="3557">
        <f>E1815/D1815*100</f>
        <v>99</v>
      </c>
      <c r="G1815" s="3557">
        <v>100</v>
      </c>
      <c r="H1815" s="535"/>
    </row>
    <row r="1816" spans="2:8" ht="14.25" hidden="1" customHeight="1" x14ac:dyDescent="0.25">
      <c r="B1816" s="2913"/>
      <c r="C1816" s="3932" t="s">
        <v>783</v>
      </c>
      <c r="D1816" s="3770">
        <v>250000000</v>
      </c>
      <c r="E1816" s="1891">
        <v>200000000</v>
      </c>
      <c r="F1816" s="3557">
        <f>E1816/D1816*100</f>
        <v>80</v>
      </c>
      <c r="G1816" s="3557">
        <v>100</v>
      </c>
      <c r="H1816" s="535"/>
    </row>
    <row r="1817" spans="2:8" ht="18" hidden="1" customHeight="1" x14ac:dyDescent="0.25">
      <c r="B1817" s="2913"/>
      <c r="C1817" s="3932" t="s">
        <v>717</v>
      </c>
      <c r="D1817" s="3770">
        <v>100000000</v>
      </c>
      <c r="E1817" s="666">
        <v>100000000</v>
      </c>
      <c r="F1817" s="3557">
        <f>E1817/D1817*100</f>
        <v>100</v>
      </c>
      <c r="G1817" s="3557">
        <v>100</v>
      </c>
      <c r="H1817" s="535"/>
    </row>
    <row r="1818" spans="2:8" ht="7.5" hidden="1" customHeight="1" x14ac:dyDescent="0.25">
      <c r="B1818" s="2913"/>
      <c r="C1818" s="3893"/>
      <c r="D1818" s="1550"/>
      <c r="E1818" s="894"/>
      <c r="F1818" s="1315"/>
      <c r="G1818" s="1315"/>
      <c r="H1818" s="535"/>
    </row>
    <row r="1819" spans="2:8" ht="15.75" hidden="1" customHeight="1" x14ac:dyDescent="0.25">
      <c r="B1819" s="2913"/>
      <c r="C1819" s="3946" t="s">
        <v>718</v>
      </c>
      <c r="D1819" s="966">
        <f>SUM(D1820:D1829)</f>
        <v>1000000000</v>
      </c>
      <c r="E1819" s="966">
        <f>SUM(E1820:E1829)</f>
        <v>948000000</v>
      </c>
      <c r="F1819" s="1394">
        <f t="shared" ref="F1819:F1829" si="42">E1819/D1819*100</f>
        <v>94.8</v>
      </c>
      <c r="G1819" s="2261">
        <f>SUM(G1820:G1829)/10</f>
        <v>100</v>
      </c>
      <c r="H1819" s="535"/>
    </row>
    <row r="1820" spans="2:8" ht="15.75" hidden="1" customHeight="1" x14ac:dyDescent="0.25">
      <c r="B1820" s="2913"/>
      <c r="C1820" s="3932" t="s">
        <v>732</v>
      </c>
      <c r="D1820" s="3770">
        <v>50000000</v>
      </c>
      <c r="E1820" s="1891">
        <v>50000000</v>
      </c>
      <c r="F1820" s="3557">
        <f t="shared" si="42"/>
        <v>100</v>
      </c>
      <c r="G1820" s="3557">
        <v>100</v>
      </c>
      <c r="H1820" s="535"/>
    </row>
    <row r="1821" spans="2:8" ht="15.75" hidden="1" customHeight="1" x14ac:dyDescent="0.25">
      <c r="B1821" s="2913"/>
      <c r="C1821" s="3932" t="s">
        <v>731</v>
      </c>
      <c r="D1821" s="3770">
        <v>50000000</v>
      </c>
      <c r="E1821" s="1891">
        <v>50000000</v>
      </c>
      <c r="F1821" s="3557">
        <f t="shared" si="42"/>
        <v>100</v>
      </c>
      <c r="G1821" s="3557">
        <v>100</v>
      </c>
      <c r="H1821" s="535"/>
    </row>
    <row r="1822" spans="2:8" ht="14.25" hidden="1" customHeight="1" x14ac:dyDescent="0.25">
      <c r="B1822" s="2913"/>
      <c r="C1822" s="3932" t="s">
        <v>730</v>
      </c>
      <c r="D1822" s="3770">
        <v>100000000</v>
      </c>
      <c r="E1822" s="3768">
        <v>100000000</v>
      </c>
      <c r="F1822" s="3557">
        <f t="shared" si="42"/>
        <v>100</v>
      </c>
      <c r="G1822" s="1717">
        <v>100</v>
      </c>
      <c r="H1822" s="535"/>
    </row>
    <row r="1823" spans="2:8" ht="16.5" hidden="1" customHeight="1" x14ac:dyDescent="0.25">
      <c r="B1823" s="2913"/>
      <c r="C1823" s="3932" t="s">
        <v>729</v>
      </c>
      <c r="D1823" s="3770">
        <v>100000000</v>
      </c>
      <c r="E1823" s="666">
        <v>100000000</v>
      </c>
      <c r="F1823" s="3557">
        <f t="shared" si="42"/>
        <v>100</v>
      </c>
      <c r="G1823" s="1717">
        <v>100</v>
      </c>
      <c r="H1823" s="535"/>
    </row>
    <row r="1824" spans="2:8" ht="14.25" hidden="1" customHeight="1" x14ac:dyDescent="0.25">
      <c r="B1824" s="2913"/>
      <c r="C1824" s="3932" t="s">
        <v>728</v>
      </c>
      <c r="D1824" s="3770">
        <v>100000000</v>
      </c>
      <c r="E1824" s="1891">
        <v>100000000</v>
      </c>
      <c r="F1824" s="3557">
        <f t="shared" si="42"/>
        <v>100</v>
      </c>
      <c r="G1824" s="3557">
        <v>100</v>
      </c>
      <c r="H1824" s="535"/>
    </row>
    <row r="1825" spans="2:8" ht="15.75" hidden="1" customHeight="1" x14ac:dyDescent="0.25">
      <c r="B1825" s="2913"/>
      <c r="C1825" s="3932" t="s">
        <v>727</v>
      </c>
      <c r="D1825" s="3770">
        <v>150000000</v>
      </c>
      <c r="E1825" s="666">
        <v>100000000</v>
      </c>
      <c r="F1825" s="3557">
        <f t="shared" si="42"/>
        <v>66.666666666666657</v>
      </c>
      <c r="G1825" s="1717">
        <v>100</v>
      </c>
      <c r="H1825" s="535"/>
    </row>
    <row r="1826" spans="2:8" ht="15.75" hidden="1" customHeight="1" x14ac:dyDescent="0.25">
      <c r="B1826" s="2913"/>
      <c r="C1826" s="3932" t="s">
        <v>726</v>
      </c>
      <c r="D1826" s="3770">
        <v>100000000</v>
      </c>
      <c r="E1826" s="1891">
        <v>100000000</v>
      </c>
      <c r="F1826" s="3557">
        <f t="shared" si="42"/>
        <v>100</v>
      </c>
      <c r="G1826" s="3557">
        <v>100</v>
      </c>
      <c r="H1826" s="535"/>
    </row>
    <row r="1827" spans="2:8" ht="14.25" hidden="1" customHeight="1" x14ac:dyDescent="0.25">
      <c r="B1827" s="2913"/>
      <c r="C1827" s="3932" t="s">
        <v>725</v>
      </c>
      <c r="D1827" s="3770">
        <v>100000000</v>
      </c>
      <c r="E1827" s="666">
        <v>98000000</v>
      </c>
      <c r="F1827" s="3557">
        <f t="shared" si="42"/>
        <v>98</v>
      </c>
      <c r="G1827" s="1717">
        <v>100</v>
      </c>
      <c r="H1827" s="535"/>
    </row>
    <row r="1828" spans="2:8" ht="15.75" hidden="1" customHeight="1" x14ac:dyDescent="0.25">
      <c r="B1828" s="2913"/>
      <c r="C1828" s="3932" t="s">
        <v>724</v>
      </c>
      <c r="D1828" s="3770">
        <v>150000000</v>
      </c>
      <c r="E1828" s="1891">
        <v>150000000</v>
      </c>
      <c r="F1828" s="3557">
        <f t="shared" si="42"/>
        <v>100</v>
      </c>
      <c r="G1828" s="3557">
        <v>100</v>
      </c>
      <c r="H1828" s="535"/>
    </row>
    <row r="1829" spans="2:8" ht="14.25" hidden="1" customHeight="1" x14ac:dyDescent="0.25">
      <c r="B1829" s="2913"/>
      <c r="C1829" s="3932" t="s">
        <v>723</v>
      </c>
      <c r="D1829" s="3770">
        <v>100000000</v>
      </c>
      <c r="E1829" s="666">
        <v>100000000</v>
      </c>
      <c r="F1829" s="3557">
        <f t="shared" si="42"/>
        <v>100</v>
      </c>
      <c r="G1829" s="1717">
        <v>100</v>
      </c>
      <c r="H1829" s="535"/>
    </row>
    <row r="1830" spans="2:8" ht="9" hidden="1" customHeight="1" x14ac:dyDescent="0.25">
      <c r="B1830" s="2913"/>
      <c r="C1830" s="3893"/>
      <c r="D1830" s="1550"/>
      <c r="E1830" s="894"/>
      <c r="F1830" s="1315"/>
      <c r="G1830" s="1315"/>
      <c r="H1830" s="535"/>
    </row>
    <row r="1831" spans="2:8" ht="15.75" hidden="1" customHeight="1" x14ac:dyDescent="0.25">
      <c r="B1831" s="2913"/>
      <c r="C1831" s="3946" t="s">
        <v>719</v>
      </c>
      <c r="D1831" s="966">
        <f>SUM(D1832:D1834)</f>
        <v>260000000</v>
      </c>
      <c r="E1831" s="966">
        <f>SUM(E1832:E1834)</f>
        <v>248000000</v>
      </c>
      <c r="F1831" s="1394">
        <f>E1831/D1831*100</f>
        <v>95.384615384615387</v>
      </c>
      <c r="G1831" s="2261">
        <v>100</v>
      </c>
      <c r="H1831" s="535"/>
    </row>
    <row r="1832" spans="2:8" ht="16.5" hidden="1" customHeight="1" x14ac:dyDescent="0.25">
      <c r="B1832" s="2913"/>
      <c r="C1832" s="3932" t="s">
        <v>722</v>
      </c>
      <c r="D1832" s="3770">
        <v>100000000</v>
      </c>
      <c r="E1832" s="666">
        <v>99000000</v>
      </c>
      <c r="F1832" s="3557">
        <f>E1832/D1832*100</f>
        <v>99</v>
      </c>
      <c r="G1832" s="1717">
        <v>100</v>
      </c>
      <c r="H1832" s="535"/>
    </row>
    <row r="1833" spans="2:8" ht="16.5" hidden="1" customHeight="1" x14ac:dyDescent="0.25">
      <c r="B1833" s="2913"/>
      <c r="C1833" s="3932" t="s">
        <v>721</v>
      </c>
      <c r="D1833" s="3770">
        <v>100000000</v>
      </c>
      <c r="E1833" s="1891">
        <v>89000000</v>
      </c>
      <c r="F1833" s="3557">
        <f>E1833/D1833*100</f>
        <v>89</v>
      </c>
      <c r="G1833" s="3557">
        <v>100</v>
      </c>
      <c r="H1833" s="535"/>
    </row>
    <row r="1834" spans="2:8" ht="27.75" hidden="1" customHeight="1" x14ac:dyDescent="0.25">
      <c r="B1834" s="2913"/>
      <c r="C1834" s="3932" t="s">
        <v>720</v>
      </c>
      <c r="D1834" s="971">
        <v>60000000</v>
      </c>
      <c r="E1834" s="1891">
        <v>60000000</v>
      </c>
      <c r="F1834" s="3557">
        <f>E1834/D1834*100</f>
        <v>100</v>
      </c>
      <c r="G1834" s="3557">
        <v>100</v>
      </c>
      <c r="H1834" s="535"/>
    </row>
    <row r="1835" spans="2:8" ht="10.5" hidden="1" customHeight="1" x14ac:dyDescent="0.25">
      <c r="B1835" s="2913"/>
      <c r="C1835" s="3893"/>
      <c r="D1835" s="1550"/>
      <c r="E1835" s="969"/>
      <c r="F1835" s="2279"/>
      <c r="G1835" s="2279"/>
      <c r="H1835" s="535"/>
    </row>
    <row r="1836" spans="2:8" ht="20.25" hidden="1" customHeight="1" x14ac:dyDescent="0.25">
      <c r="B1836" s="2913"/>
      <c r="C1836" s="3946" t="s">
        <v>733</v>
      </c>
      <c r="D1836" s="966">
        <f>SUM(D1837:D1839)</f>
        <v>1014000000</v>
      </c>
      <c r="E1836" s="966">
        <f>SUM(E1837:E1839)</f>
        <v>996000000</v>
      </c>
      <c r="F1836" s="1413">
        <f>E1836/D1836*100</f>
        <v>98.224852071005913</v>
      </c>
      <c r="G1836" s="2261">
        <f>SUM(G1837:G1839)/3</f>
        <v>100</v>
      </c>
      <c r="H1836" s="535"/>
    </row>
    <row r="1837" spans="2:8" ht="27.75" hidden="1" customHeight="1" x14ac:dyDescent="0.25">
      <c r="B1837" s="2913"/>
      <c r="C1837" s="3932" t="s">
        <v>2063</v>
      </c>
      <c r="D1837" s="971">
        <v>75000000</v>
      </c>
      <c r="E1837" s="1891">
        <v>57000000</v>
      </c>
      <c r="F1837" s="3557">
        <f>E1837/D1837*100</f>
        <v>76</v>
      </c>
      <c r="G1837" s="3557">
        <v>100</v>
      </c>
      <c r="H1837" s="535"/>
    </row>
    <row r="1838" spans="2:8" ht="15.75" hidden="1" customHeight="1" x14ac:dyDescent="0.25">
      <c r="B1838" s="2913"/>
      <c r="C1838" s="3932" t="s">
        <v>757</v>
      </c>
      <c r="D1838" s="3770">
        <v>75000000</v>
      </c>
      <c r="E1838" s="1891">
        <v>75000000</v>
      </c>
      <c r="F1838" s="3557">
        <f>E1838/D1838*100</f>
        <v>100</v>
      </c>
      <c r="G1838" s="3557">
        <v>100</v>
      </c>
      <c r="H1838" s="535"/>
    </row>
    <row r="1839" spans="2:8" ht="15.75" hidden="1" customHeight="1" x14ac:dyDescent="0.25">
      <c r="B1839" s="2913"/>
      <c r="C1839" s="3932" t="s">
        <v>756</v>
      </c>
      <c r="D1839" s="3770">
        <v>864000000</v>
      </c>
      <c r="E1839" s="666">
        <v>864000000</v>
      </c>
      <c r="F1839" s="3557">
        <f>E1839/D1839*100</f>
        <v>100</v>
      </c>
      <c r="G1839" s="1717">
        <v>100</v>
      </c>
      <c r="H1839" s="535"/>
    </row>
    <row r="1840" spans="2:8" ht="10.5" hidden="1" customHeight="1" x14ac:dyDescent="0.25">
      <c r="B1840" s="2913"/>
      <c r="C1840" s="3893"/>
      <c r="D1840" s="1550"/>
      <c r="E1840" s="894"/>
      <c r="F1840" s="1315"/>
      <c r="G1840" s="1315"/>
      <c r="H1840" s="535"/>
    </row>
    <row r="1841" spans="2:11" ht="17.25" hidden="1" customHeight="1" x14ac:dyDescent="0.25">
      <c r="B1841" s="2913"/>
      <c r="C1841" s="3946" t="s">
        <v>734</v>
      </c>
      <c r="D1841" s="966">
        <f>SUM(D1842:D1845)</f>
        <v>700000000</v>
      </c>
      <c r="E1841" s="966">
        <f>SUM(E1842:E1845)</f>
        <v>697500000</v>
      </c>
      <c r="F1841" s="1413">
        <f>E1841/D1841*100</f>
        <v>99.642857142857139</v>
      </c>
      <c r="G1841" s="2261">
        <v>100</v>
      </c>
      <c r="H1841" s="535"/>
    </row>
    <row r="1842" spans="2:11" ht="15.75" hidden="1" customHeight="1" x14ac:dyDescent="0.25">
      <c r="B1842" s="2913"/>
      <c r="C1842" s="3932" t="s">
        <v>735</v>
      </c>
      <c r="D1842" s="3770">
        <v>200000000</v>
      </c>
      <c r="E1842" s="666">
        <v>200000000</v>
      </c>
      <c r="F1842" s="3557">
        <f>E1842/D1842*100</f>
        <v>100</v>
      </c>
      <c r="G1842" s="1717">
        <v>100</v>
      </c>
      <c r="H1842" s="535"/>
    </row>
    <row r="1843" spans="2:11" ht="14.25" hidden="1" customHeight="1" x14ac:dyDescent="0.25">
      <c r="B1843" s="2913"/>
      <c r="C1843" s="3932" t="s">
        <v>736</v>
      </c>
      <c r="D1843" s="3770">
        <v>200000000</v>
      </c>
      <c r="E1843" s="1891">
        <v>198000000</v>
      </c>
      <c r="F1843" s="3557">
        <f>E1843/D1843*100</f>
        <v>99</v>
      </c>
      <c r="G1843" s="1717">
        <v>100</v>
      </c>
      <c r="H1843" s="535"/>
    </row>
    <row r="1844" spans="2:11" ht="14.25" hidden="1" customHeight="1" x14ac:dyDescent="0.25">
      <c r="B1844" s="2913"/>
      <c r="C1844" s="4073" t="s">
        <v>2157</v>
      </c>
      <c r="D1844" s="972">
        <v>300000000</v>
      </c>
      <c r="E1844" s="868">
        <v>299500000</v>
      </c>
      <c r="F1844" s="3557">
        <f>E1844/D1844*100</f>
        <v>99.833333333333329</v>
      </c>
      <c r="G1844" s="1717">
        <v>100</v>
      </c>
      <c r="H1844" s="535"/>
    </row>
    <row r="1845" spans="2:11" ht="12" hidden="1" customHeight="1" x14ac:dyDescent="0.25">
      <c r="B1845" s="2913"/>
      <c r="C1845" s="3893"/>
      <c r="D1845" s="1550"/>
      <c r="E1845" s="973"/>
      <c r="F1845" s="2282"/>
      <c r="G1845" s="2282"/>
      <c r="H1845" s="535"/>
    </row>
    <row r="1846" spans="2:11" ht="15" hidden="1" customHeight="1" x14ac:dyDescent="0.25">
      <c r="B1846" s="5397"/>
      <c r="C1846" s="3924" t="s">
        <v>741</v>
      </c>
      <c r="D1846" s="1584">
        <f>SUM(D1847+D1861+D1864+D1867)</f>
        <v>10461000000</v>
      </c>
      <c r="E1846" s="1584">
        <f>SUM(E1847+E1861+E1864+E1867)</f>
        <v>10245000000</v>
      </c>
      <c r="F1846" s="1462">
        <f t="shared" ref="F1846:F1859" si="43">E1846/D1846*100</f>
        <v>97.935187840550626</v>
      </c>
      <c r="G1846" s="2356">
        <f>SUM(G1847+G1861+G1864+G1867)/4</f>
        <v>100</v>
      </c>
      <c r="H1846" s="535"/>
      <c r="J1846" s="522">
        <v>10061000000</v>
      </c>
      <c r="K1846" s="522">
        <v>10245000000</v>
      </c>
    </row>
    <row r="1847" spans="2:11" ht="29.25" hidden="1" customHeight="1" x14ac:dyDescent="0.25">
      <c r="B1847" s="2913"/>
      <c r="C1847" s="3946" t="s">
        <v>742</v>
      </c>
      <c r="D1847" s="1246">
        <f>SUM(D1848:D1859)</f>
        <v>8461000000</v>
      </c>
      <c r="E1847" s="1246">
        <f>SUM(E1848:E1859)</f>
        <v>8245000000</v>
      </c>
      <c r="F1847" s="1394">
        <f t="shared" si="43"/>
        <v>97.447110270653596</v>
      </c>
      <c r="G1847" s="2562">
        <v>100</v>
      </c>
      <c r="H1847" s="535"/>
      <c r="J1847" s="522">
        <v>8061000000</v>
      </c>
      <c r="K1847" s="522">
        <v>8245000000</v>
      </c>
    </row>
    <row r="1848" spans="2:11" ht="14.25" hidden="1" customHeight="1" x14ac:dyDescent="0.25">
      <c r="B1848" s="2913"/>
      <c r="C1848" s="3932" t="s">
        <v>743</v>
      </c>
      <c r="D1848" s="3770">
        <v>2000000000</v>
      </c>
      <c r="E1848" s="982">
        <v>2000000000</v>
      </c>
      <c r="F1848" s="3557">
        <f t="shared" si="43"/>
        <v>100</v>
      </c>
      <c r="G1848" s="2281">
        <v>100</v>
      </c>
      <c r="H1848" s="535"/>
    </row>
    <row r="1849" spans="2:11" ht="14.25" hidden="1" customHeight="1" x14ac:dyDescent="0.25">
      <c r="B1849" s="2913"/>
      <c r="C1849" s="3932" t="s">
        <v>744</v>
      </c>
      <c r="D1849" s="3770">
        <v>1914000000</v>
      </c>
      <c r="E1849" s="1891">
        <v>1850000000</v>
      </c>
      <c r="F1849" s="3557">
        <f t="shared" si="43"/>
        <v>96.65621734587252</v>
      </c>
      <c r="G1849" s="2281">
        <v>100</v>
      </c>
      <c r="H1849" s="535"/>
    </row>
    <row r="1850" spans="2:11" ht="15.75" hidden="1" customHeight="1" x14ac:dyDescent="0.25">
      <c r="B1850" s="2913"/>
      <c r="C1850" s="3932" t="s">
        <v>745</v>
      </c>
      <c r="D1850" s="3770">
        <v>1850000000</v>
      </c>
      <c r="E1850" s="894">
        <v>1850000000</v>
      </c>
      <c r="F1850" s="3557">
        <f t="shared" si="43"/>
        <v>100</v>
      </c>
      <c r="G1850" s="2281">
        <v>100</v>
      </c>
      <c r="H1850" s="535"/>
    </row>
    <row r="1851" spans="2:11" ht="15.75" hidden="1" customHeight="1" x14ac:dyDescent="0.25">
      <c r="B1851" s="2913"/>
      <c r="C1851" s="3932" t="s">
        <v>746</v>
      </c>
      <c r="D1851" s="3770">
        <v>200000000</v>
      </c>
      <c r="E1851" s="3768">
        <v>200000000</v>
      </c>
      <c r="F1851" s="3557">
        <f t="shared" si="43"/>
        <v>100</v>
      </c>
      <c r="G1851" s="2281">
        <v>100</v>
      </c>
      <c r="H1851" s="535"/>
    </row>
    <row r="1852" spans="2:11" ht="17.25" hidden="1" customHeight="1" x14ac:dyDescent="0.25">
      <c r="B1852" s="2913"/>
      <c r="C1852" s="3932" t="s">
        <v>747</v>
      </c>
      <c r="D1852" s="3770">
        <v>200000000</v>
      </c>
      <c r="E1852" s="3768">
        <v>200000000</v>
      </c>
      <c r="F1852" s="3557">
        <f t="shared" si="43"/>
        <v>100</v>
      </c>
      <c r="G1852" s="2281">
        <v>100</v>
      </c>
      <c r="H1852" s="535"/>
    </row>
    <row r="1853" spans="2:11" ht="14.25" hidden="1" customHeight="1" x14ac:dyDescent="0.25">
      <c r="B1853" s="2913"/>
      <c r="C1853" s="3932" t="s">
        <v>748</v>
      </c>
      <c r="D1853" s="3770">
        <v>450000000</v>
      </c>
      <c r="E1853" s="666">
        <v>450000000</v>
      </c>
      <c r="F1853" s="3557">
        <f t="shared" si="43"/>
        <v>100</v>
      </c>
      <c r="G1853" s="2281">
        <v>100</v>
      </c>
      <c r="H1853" s="535"/>
    </row>
    <row r="1854" spans="2:11" ht="15.75" hidden="1" customHeight="1" x14ac:dyDescent="0.25">
      <c r="B1854" s="2913"/>
      <c r="C1854" s="3932" t="s">
        <v>749</v>
      </c>
      <c r="D1854" s="3770">
        <v>500000000</v>
      </c>
      <c r="E1854" s="666">
        <v>499000000</v>
      </c>
      <c r="F1854" s="3557">
        <f t="shared" si="43"/>
        <v>99.8</v>
      </c>
      <c r="G1854" s="2281">
        <v>100</v>
      </c>
      <c r="H1854" s="535"/>
    </row>
    <row r="1855" spans="2:11" ht="16.5" hidden="1" customHeight="1" x14ac:dyDescent="0.25">
      <c r="B1855" s="2913"/>
      <c r="C1855" s="3932" t="s">
        <v>750</v>
      </c>
      <c r="D1855" s="3770">
        <v>47000000</v>
      </c>
      <c r="E1855" s="666">
        <v>47000000</v>
      </c>
      <c r="F1855" s="3557">
        <f t="shared" si="43"/>
        <v>100</v>
      </c>
      <c r="G1855" s="2281">
        <v>100</v>
      </c>
      <c r="H1855" s="535"/>
    </row>
    <row r="1856" spans="2:11" ht="14.25" hidden="1" customHeight="1" x14ac:dyDescent="0.25">
      <c r="B1856" s="2913"/>
      <c r="C1856" s="3932" t="s">
        <v>751</v>
      </c>
      <c r="D1856" s="3770">
        <v>200000000</v>
      </c>
      <c r="E1856" s="666">
        <v>200000000</v>
      </c>
      <c r="F1856" s="3557">
        <f t="shared" si="43"/>
        <v>100</v>
      </c>
      <c r="G1856" s="2281">
        <v>100</v>
      </c>
      <c r="H1856" s="535"/>
    </row>
    <row r="1857" spans="2:11" ht="14.25" hidden="1" customHeight="1" x14ac:dyDescent="0.25">
      <c r="B1857" s="2913"/>
      <c r="C1857" s="3932" t="s">
        <v>752</v>
      </c>
      <c r="D1857" s="3770">
        <v>300000000</v>
      </c>
      <c r="E1857" s="1891">
        <v>150000000</v>
      </c>
      <c r="F1857" s="3557">
        <f t="shared" si="43"/>
        <v>50</v>
      </c>
      <c r="G1857" s="2281">
        <v>100</v>
      </c>
      <c r="H1857" s="535"/>
    </row>
    <row r="1858" spans="2:11" ht="14.25" hidden="1" customHeight="1" x14ac:dyDescent="0.25">
      <c r="B1858" s="2913"/>
      <c r="C1858" s="3932" t="s">
        <v>2949</v>
      </c>
      <c r="D1858" s="3557">
        <v>300000000</v>
      </c>
      <c r="E1858" s="1891">
        <v>300000000</v>
      </c>
      <c r="F1858" s="3557">
        <f t="shared" si="43"/>
        <v>100</v>
      </c>
      <c r="G1858" s="2281">
        <v>100</v>
      </c>
      <c r="H1858" s="535"/>
    </row>
    <row r="1859" spans="2:11" ht="15" hidden="1" customHeight="1" x14ac:dyDescent="0.25">
      <c r="B1859" s="2913"/>
      <c r="C1859" s="4104" t="s">
        <v>2950</v>
      </c>
      <c r="D1859" s="3770">
        <v>500000000</v>
      </c>
      <c r="E1859" s="666">
        <v>499000000</v>
      </c>
      <c r="F1859" s="3557">
        <f t="shared" si="43"/>
        <v>99.8</v>
      </c>
      <c r="G1859" s="2281">
        <v>100</v>
      </c>
      <c r="H1859" s="535"/>
    </row>
    <row r="1860" spans="2:11" ht="7.5" hidden="1" customHeight="1" x14ac:dyDescent="0.25">
      <c r="B1860" s="2913"/>
      <c r="C1860" s="3873"/>
      <c r="D1860" s="988"/>
      <c r="E1860" s="3360"/>
      <c r="F1860" s="2269"/>
      <c r="G1860" s="2269"/>
      <c r="H1860" s="535"/>
    </row>
    <row r="1861" spans="2:11" ht="15" hidden="1" customHeight="1" x14ac:dyDescent="0.25">
      <c r="B1861" s="2913"/>
      <c r="C1861" s="3873" t="s">
        <v>2307</v>
      </c>
      <c r="D1861" s="3629">
        <f>D1862</f>
        <v>500000000</v>
      </c>
      <c r="E1861" s="3629">
        <f>E1862</f>
        <v>500000000</v>
      </c>
      <c r="F1861" s="1394">
        <f>E1861/D1861*100</f>
        <v>100</v>
      </c>
      <c r="G1861" s="3632">
        <v>100</v>
      </c>
      <c r="H1861" s="535"/>
    </row>
    <row r="1862" spans="2:11" ht="15" hidden="1" customHeight="1" x14ac:dyDescent="0.25">
      <c r="B1862" s="2913"/>
      <c r="C1862" s="4104" t="s">
        <v>2308</v>
      </c>
      <c r="D1862" s="3557">
        <v>500000000</v>
      </c>
      <c r="E1862" s="1891">
        <v>500000000</v>
      </c>
      <c r="F1862" s="3557">
        <f>E1862/D1862*100</f>
        <v>100</v>
      </c>
      <c r="G1862" s="3557">
        <v>100</v>
      </c>
      <c r="H1862" s="535"/>
    </row>
    <row r="1863" spans="2:11" ht="9.75" hidden="1" customHeight="1" x14ac:dyDescent="0.25">
      <c r="B1863" s="2913"/>
      <c r="C1863" s="3881"/>
      <c r="D1863" s="988"/>
      <c r="E1863" s="3360"/>
      <c r="F1863" s="2269"/>
      <c r="G1863" s="2269"/>
      <c r="H1863" s="535"/>
    </row>
    <row r="1864" spans="2:11" ht="16.5" hidden="1" customHeight="1" x14ac:dyDescent="0.25">
      <c r="B1864" s="2913"/>
      <c r="C1864" s="3946" t="s">
        <v>2309</v>
      </c>
      <c r="D1864" s="966">
        <f>D1865</f>
        <v>500000000</v>
      </c>
      <c r="E1864" s="966">
        <f>E1865</f>
        <v>500000000</v>
      </c>
      <c r="F1864" s="1394">
        <f>E1864/D1864*100</f>
        <v>100</v>
      </c>
      <c r="G1864" s="2261">
        <v>100</v>
      </c>
      <c r="H1864" s="535"/>
    </row>
    <row r="1865" spans="2:11" ht="15.75" hidden="1" customHeight="1" x14ac:dyDescent="0.25">
      <c r="B1865" s="2913"/>
      <c r="C1865" s="3932" t="s">
        <v>2310</v>
      </c>
      <c r="D1865" s="3770">
        <v>500000000</v>
      </c>
      <c r="E1865" s="3770">
        <v>500000000</v>
      </c>
      <c r="F1865" s="3557">
        <f>E1865/D1865*100</f>
        <v>100</v>
      </c>
      <c r="G1865" s="1717">
        <v>100</v>
      </c>
      <c r="H1865" s="535"/>
    </row>
    <row r="1866" spans="2:11" ht="7.5" hidden="1" customHeight="1" x14ac:dyDescent="0.25">
      <c r="B1866" s="2913"/>
      <c r="C1866" s="4116"/>
      <c r="D1866" s="988"/>
      <c r="E1866" s="894"/>
      <c r="F1866" s="1315"/>
      <c r="G1866" s="1315"/>
      <c r="H1866" s="535"/>
    </row>
    <row r="1867" spans="2:11" ht="17.25" hidden="1" customHeight="1" x14ac:dyDescent="0.25">
      <c r="B1867" s="2913"/>
      <c r="C1867" s="3946" t="s">
        <v>2311</v>
      </c>
      <c r="D1867" s="966">
        <f>D1868</f>
        <v>1000000000</v>
      </c>
      <c r="E1867" s="966">
        <f>E1868</f>
        <v>1000000000</v>
      </c>
      <c r="F1867" s="1394">
        <f>E1867/D1867*100</f>
        <v>100</v>
      </c>
      <c r="G1867" s="3600">
        <v>100</v>
      </c>
      <c r="H1867" s="535"/>
    </row>
    <row r="1868" spans="2:11" ht="13.5" hidden="1" customHeight="1" x14ac:dyDescent="0.25">
      <c r="B1868" s="2913"/>
      <c r="C1868" s="4073" t="s">
        <v>2312</v>
      </c>
      <c r="D1868" s="978">
        <v>1000000000</v>
      </c>
      <c r="E1868" s="666">
        <v>1000000000</v>
      </c>
      <c r="F1868" s="3557">
        <f>E1868/D1868*100</f>
        <v>100</v>
      </c>
      <c r="G1868" s="1717">
        <v>100</v>
      </c>
      <c r="H1868" s="535"/>
    </row>
    <row r="1869" spans="2:11" ht="13.5" hidden="1" customHeight="1" x14ac:dyDescent="0.25">
      <c r="B1869" s="2913"/>
      <c r="C1869" s="3873"/>
      <c r="D1869" s="1516"/>
      <c r="E1869" s="788"/>
      <c r="F1869" s="2285"/>
      <c r="G1869" s="2285"/>
      <c r="H1869" s="535"/>
    </row>
    <row r="1870" spans="2:11" ht="13.5" hidden="1" customHeight="1" x14ac:dyDescent="0.25">
      <c r="B1870" s="5397"/>
      <c r="C1870" s="3924" t="s">
        <v>263</v>
      </c>
      <c r="D1870" s="1546">
        <f>SUM(D1871+D1876+D1889+D1882+D1892+D1895)</f>
        <v>54987000000</v>
      </c>
      <c r="E1870" s="1546">
        <f>SUM(E1871+E1876+E1889+E1882+E1892+E1895)</f>
        <v>47723500000</v>
      </c>
      <c r="F1870" s="1462">
        <f>E1870/D1870*100</f>
        <v>86.790514121519635</v>
      </c>
      <c r="G1870" s="2356">
        <f>SUM(G1871+G1876+G1882+G1889+G1892+G1895)/6</f>
        <v>76.123188405797109</v>
      </c>
      <c r="H1870" s="535"/>
      <c r="J1870" s="522">
        <v>54987000000</v>
      </c>
      <c r="K1870" s="522">
        <v>45554200000</v>
      </c>
    </row>
    <row r="1871" spans="2:11" ht="14.25" hidden="1" customHeight="1" x14ac:dyDescent="0.25">
      <c r="B1871" s="2913"/>
      <c r="C1871" s="5504" t="s">
        <v>301</v>
      </c>
      <c r="D1871" s="1423">
        <f>SUM(D1872:D1874)</f>
        <v>8000000000</v>
      </c>
      <c r="E1871" s="1423">
        <f>SUM(E1872:E1874)</f>
        <v>7211900000</v>
      </c>
      <c r="F1871" s="1394">
        <f>E1871/D1871*100</f>
        <v>90.148750000000007</v>
      </c>
      <c r="G1871" s="2562">
        <v>100</v>
      </c>
      <c r="H1871" s="535"/>
    </row>
    <row r="1872" spans="2:11" ht="13.5" hidden="1" customHeight="1" x14ac:dyDescent="0.25">
      <c r="B1872" s="2913"/>
      <c r="C1872" s="4073" t="s">
        <v>758</v>
      </c>
      <c r="D1872" s="3770">
        <v>2500000000</v>
      </c>
      <c r="E1872" s="1891">
        <v>2281100000</v>
      </c>
      <c r="F1872" s="3557">
        <f>E1872/D1872*100</f>
        <v>91.244</v>
      </c>
      <c r="G1872" s="3651">
        <v>100</v>
      </c>
      <c r="H1872" s="535"/>
    </row>
    <row r="1873" spans="1:11" ht="13.5" hidden="1" customHeight="1" x14ac:dyDescent="0.25">
      <c r="B1873" s="2913"/>
      <c r="C1873" s="4073" t="s">
        <v>2951</v>
      </c>
      <c r="D1873" s="3557">
        <v>500000000</v>
      </c>
      <c r="E1873" s="1891">
        <v>463700000</v>
      </c>
      <c r="F1873" s="3557">
        <f>E1873/D1873*100</f>
        <v>92.74</v>
      </c>
      <c r="G1873" s="3557">
        <v>100</v>
      </c>
      <c r="H1873" s="535"/>
    </row>
    <row r="1874" spans="1:11" ht="14.25" hidden="1" customHeight="1" x14ac:dyDescent="0.25">
      <c r="B1874" s="2913"/>
      <c r="C1874" s="4073" t="s">
        <v>2313</v>
      </c>
      <c r="D1874" s="3770">
        <v>5000000000</v>
      </c>
      <c r="E1874" s="3768">
        <v>4467100000</v>
      </c>
      <c r="F1874" s="3557">
        <f>E1874/D1874*100</f>
        <v>89.341999999999999</v>
      </c>
      <c r="G1874" s="3798">
        <v>100</v>
      </c>
      <c r="H1874" s="535"/>
    </row>
    <row r="1875" spans="1:11" ht="10.5" hidden="1" customHeight="1" x14ac:dyDescent="0.25">
      <c r="B1875" s="2913"/>
      <c r="C1875" s="4116"/>
      <c r="D1875" s="1548"/>
      <c r="E1875" s="894"/>
      <c r="F1875" s="1315"/>
      <c r="G1875" s="1315"/>
      <c r="H1875" s="535"/>
    </row>
    <row r="1876" spans="1:11" ht="15" hidden="1" customHeight="1" x14ac:dyDescent="0.25">
      <c r="B1876" s="2913"/>
      <c r="C1876" s="4116" t="s">
        <v>2952</v>
      </c>
      <c r="D1876" s="1549">
        <f>SUM(D1877:D1880)</f>
        <v>1770000000</v>
      </c>
      <c r="E1876" s="1549">
        <f>SUM(E1877:E1880)</f>
        <v>1697700000</v>
      </c>
      <c r="F1876" s="1394">
        <f>E1876/D1876*100</f>
        <v>95.915254237288138</v>
      </c>
      <c r="G1876" s="2261">
        <f>SUM(G1877:G1880)/4</f>
        <v>100</v>
      </c>
      <c r="H1876" s="535"/>
    </row>
    <row r="1877" spans="1:11" ht="15" hidden="1" customHeight="1" x14ac:dyDescent="0.25">
      <c r="B1877" s="2913"/>
      <c r="C1877" s="4104" t="s">
        <v>2953</v>
      </c>
      <c r="D1877" s="1548">
        <v>500000000</v>
      </c>
      <c r="E1877" s="894">
        <v>427700000</v>
      </c>
      <c r="F1877" s="3557">
        <f>E1877/D1877*100</f>
        <v>85.54</v>
      </c>
      <c r="G1877" s="1717">
        <v>100</v>
      </c>
      <c r="H1877" s="535"/>
    </row>
    <row r="1878" spans="1:11" ht="15" hidden="1" customHeight="1" x14ac:dyDescent="0.25">
      <c r="B1878" s="2913"/>
      <c r="C1878" s="4104" t="s">
        <v>2954</v>
      </c>
      <c r="D1878" s="1548">
        <v>500000000</v>
      </c>
      <c r="E1878" s="894">
        <v>500000000</v>
      </c>
      <c r="F1878" s="3557">
        <f>E1878/D1878*100</f>
        <v>100</v>
      </c>
      <c r="G1878" s="1717">
        <v>100</v>
      </c>
      <c r="H1878" s="535"/>
    </row>
    <row r="1879" spans="1:11" ht="15" hidden="1" customHeight="1" x14ac:dyDescent="0.25">
      <c r="B1879" s="2913"/>
      <c r="C1879" s="4104" t="s">
        <v>2955</v>
      </c>
      <c r="D1879" s="1548">
        <v>530000000</v>
      </c>
      <c r="E1879" s="894">
        <v>530000000</v>
      </c>
      <c r="F1879" s="3557">
        <f>E1879/D1879*100</f>
        <v>100</v>
      </c>
      <c r="G1879" s="1717">
        <v>100</v>
      </c>
      <c r="H1879" s="535"/>
    </row>
    <row r="1880" spans="1:11" ht="15" hidden="1" customHeight="1" x14ac:dyDescent="0.25">
      <c r="B1880" s="2913"/>
      <c r="C1880" s="4104" t="s">
        <v>2956</v>
      </c>
      <c r="D1880" s="1548">
        <v>240000000</v>
      </c>
      <c r="E1880" s="894">
        <v>240000000</v>
      </c>
      <c r="F1880" s="3557">
        <f>E1880/D1880*100</f>
        <v>100</v>
      </c>
      <c r="G1880" s="1717">
        <v>100</v>
      </c>
      <c r="H1880" s="535"/>
    </row>
    <row r="1881" spans="1:11" ht="8.25" hidden="1" customHeight="1" x14ac:dyDescent="0.25">
      <c r="B1881" s="2913"/>
      <c r="C1881" s="4116"/>
      <c r="D1881" s="1548"/>
      <c r="E1881" s="894"/>
      <c r="F1881" s="2269"/>
      <c r="G1881" s="1315"/>
      <c r="H1881" s="535"/>
    </row>
    <row r="1882" spans="1:11" ht="14.25" hidden="1" customHeight="1" x14ac:dyDescent="0.25">
      <c r="B1882" s="2913"/>
      <c r="C1882" s="3946" t="s">
        <v>2957</v>
      </c>
      <c r="D1882" s="966">
        <f>SUM(D1883:D1887)</f>
        <v>1500000000</v>
      </c>
      <c r="E1882" s="966">
        <f>SUM(E1883:E1887)</f>
        <v>1349600000</v>
      </c>
      <c r="F1882" s="1394">
        <f t="shared" ref="F1882:F1887" si="44">E1882/D1882*100</f>
        <v>89.973333333333343</v>
      </c>
      <c r="G1882" s="2261">
        <v>100</v>
      </c>
      <c r="H1882" s="535"/>
    </row>
    <row r="1883" spans="1:11" ht="13.5" hidden="1" customHeight="1" x14ac:dyDescent="0.25">
      <c r="B1883" s="2913"/>
      <c r="C1883" s="3861" t="s">
        <v>2958</v>
      </c>
      <c r="D1883" s="3557">
        <v>250000000</v>
      </c>
      <c r="E1883" s="868">
        <v>212400000</v>
      </c>
      <c r="F1883" s="3557">
        <f t="shared" si="44"/>
        <v>84.960000000000008</v>
      </c>
      <c r="G1883" s="2281">
        <v>100</v>
      </c>
      <c r="H1883" s="536"/>
    </row>
    <row r="1884" spans="1:11" s="1248" customFormat="1" ht="13.5" hidden="1" customHeight="1" x14ac:dyDescent="0.25">
      <c r="A1884" s="1247"/>
      <c r="B1884" s="5405"/>
      <c r="C1884" s="3861" t="s">
        <v>2959</v>
      </c>
      <c r="D1884" s="3557">
        <v>250000000</v>
      </c>
      <c r="E1884" s="666">
        <v>212400000</v>
      </c>
      <c r="F1884" s="3557">
        <f t="shared" si="44"/>
        <v>84.960000000000008</v>
      </c>
      <c r="G1884" s="1717">
        <v>100</v>
      </c>
      <c r="H1884" s="535"/>
      <c r="J1884" s="3341"/>
      <c r="K1884" s="3341"/>
    </row>
    <row r="1885" spans="1:11" s="1248" customFormat="1" ht="14.25" hidden="1" customHeight="1" x14ac:dyDescent="0.25">
      <c r="A1885" s="1247"/>
      <c r="B1885" s="5405"/>
      <c r="C1885" s="3861" t="s">
        <v>2960</v>
      </c>
      <c r="D1885" s="3557">
        <v>250000000</v>
      </c>
      <c r="E1885" s="666">
        <v>212400000</v>
      </c>
      <c r="F1885" s="3557">
        <f t="shared" si="44"/>
        <v>84.960000000000008</v>
      </c>
      <c r="G1885" s="1717">
        <v>100</v>
      </c>
      <c r="H1885" s="535"/>
      <c r="J1885" s="3341"/>
      <c r="K1885" s="3341"/>
    </row>
    <row r="1886" spans="1:11" s="1248" customFormat="1" ht="13.5" hidden="1" customHeight="1" x14ac:dyDescent="0.25">
      <c r="A1886" s="1247"/>
      <c r="B1886" s="5405"/>
      <c r="C1886" s="3861" t="s">
        <v>2961</v>
      </c>
      <c r="D1886" s="3557">
        <v>250000000</v>
      </c>
      <c r="E1886" s="666">
        <v>212400000</v>
      </c>
      <c r="F1886" s="3557">
        <f t="shared" si="44"/>
        <v>84.960000000000008</v>
      </c>
      <c r="G1886" s="1717">
        <v>100</v>
      </c>
      <c r="H1886" s="535"/>
      <c r="J1886" s="3341"/>
      <c r="K1886" s="3341"/>
    </row>
    <row r="1887" spans="1:11" s="1248" customFormat="1" ht="14.25" hidden="1" customHeight="1" x14ac:dyDescent="0.25">
      <c r="A1887" s="1247"/>
      <c r="B1887" s="5405"/>
      <c r="C1887" s="3861" t="s">
        <v>2962</v>
      </c>
      <c r="D1887" s="3557">
        <v>500000000</v>
      </c>
      <c r="E1887" s="1891">
        <v>500000000</v>
      </c>
      <c r="F1887" s="3557">
        <f t="shared" si="44"/>
        <v>100</v>
      </c>
      <c r="G1887" s="3557">
        <v>100</v>
      </c>
      <c r="H1887" s="535"/>
      <c r="J1887" s="3341"/>
      <c r="K1887" s="3341"/>
    </row>
    <row r="1888" spans="1:11" s="1248" customFormat="1" ht="9.75" hidden="1" customHeight="1" x14ac:dyDescent="0.25">
      <c r="A1888" s="1247"/>
      <c r="B1888" s="5405"/>
      <c r="C1888" s="4104"/>
      <c r="D1888" s="3770"/>
      <c r="E1888" s="666"/>
      <c r="F1888" s="1717"/>
      <c r="G1888" s="1717"/>
      <c r="H1888" s="535"/>
      <c r="J1888" s="3341"/>
      <c r="K1888" s="3341"/>
    </row>
    <row r="1889" spans="2:8" ht="13.5" hidden="1" customHeight="1" x14ac:dyDescent="0.25">
      <c r="B1889" s="2913"/>
      <c r="C1889" s="5504" t="s">
        <v>2963</v>
      </c>
      <c r="D1889" s="1585">
        <f>D1890</f>
        <v>1500000000</v>
      </c>
      <c r="E1889" s="1585">
        <f>E1890</f>
        <v>450000000</v>
      </c>
      <c r="F1889" s="1394">
        <f>E1889/D1889*100</f>
        <v>30</v>
      </c>
      <c r="G1889" s="3632">
        <v>30</v>
      </c>
      <c r="H1889" s="579"/>
    </row>
    <row r="1890" spans="2:8" ht="16.5" hidden="1" customHeight="1" x14ac:dyDescent="0.25">
      <c r="B1890" s="2913"/>
      <c r="C1890" s="3932" t="s">
        <v>2964</v>
      </c>
      <c r="D1890" s="3770">
        <v>1500000000</v>
      </c>
      <c r="E1890" s="1891">
        <v>450000000</v>
      </c>
      <c r="F1890" s="3557">
        <f>E1890/D1890*100</f>
        <v>30</v>
      </c>
      <c r="G1890" s="3557">
        <v>30</v>
      </c>
      <c r="H1890" s="535"/>
    </row>
    <row r="1891" spans="2:8" ht="9" hidden="1" customHeight="1" x14ac:dyDescent="0.25">
      <c r="B1891" s="2913"/>
      <c r="C1891" s="4014"/>
      <c r="D1891" s="1586"/>
      <c r="E1891" s="894"/>
      <c r="F1891" s="1717"/>
      <c r="G1891" s="1315"/>
      <c r="H1891" s="535"/>
    </row>
    <row r="1892" spans="2:8" ht="16.5" hidden="1" customHeight="1" x14ac:dyDescent="0.25">
      <c r="B1892" s="2913"/>
      <c r="C1892" s="3946" t="s">
        <v>759</v>
      </c>
      <c r="D1892" s="1379">
        <f>D1893</f>
        <v>300000000</v>
      </c>
      <c r="E1892" s="1379">
        <f>E1893</f>
        <v>90000000</v>
      </c>
      <c r="F1892" s="1394">
        <f>E1892/D1892*100</f>
        <v>30</v>
      </c>
      <c r="G1892" s="2261">
        <v>30</v>
      </c>
      <c r="H1892" s="535"/>
    </row>
    <row r="1893" spans="2:8" ht="14.25" hidden="1" customHeight="1" x14ac:dyDescent="0.25">
      <c r="B1893" s="2913"/>
      <c r="C1893" s="4073" t="s">
        <v>760</v>
      </c>
      <c r="D1893" s="978">
        <v>300000000</v>
      </c>
      <c r="E1893" s="1818">
        <v>90000000</v>
      </c>
      <c r="F1893" s="3557">
        <f>E1893/D1893*100</f>
        <v>30</v>
      </c>
      <c r="G1893" s="1717">
        <v>30</v>
      </c>
      <c r="H1893" s="535"/>
    </row>
    <row r="1894" spans="2:8" ht="7.5" hidden="1" customHeight="1" x14ac:dyDescent="0.25">
      <c r="B1894" s="2913"/>
      <c r="C1894" s="3861"/>
      <c r="D1894" s="1516"/>
      <c r="E1894" s="788"/>
      <c r="F1894" s="2285"/>
      <c r="G1894" s="2285"/>
      <c r="H1894" s="535"/>
    </row>
    <row r="1895" spans="2:8" ht="18.75" hidden="1" customHeight="1" x14ac:dyDescent="0.25">
      <c r="B1895" s="2913"/>
      <c r="C1895" s="5504" t="s">
        <v>2405</v>
      </c>
      <c r="D1895" s="1379">
        <f>SUM(D1896:D1941)</f>
        <v>41917000000</v>
      </c>
      <c r="E1895" s="1379">
        <f>SUM(E1896:E1941)</f>
        <v>36924300000</v>
      </c>
      <c r="F1895" s="1394">
        <f t="shared" ref="F1895:F1941" si="45">E1895/D1895*100</f>
        <v>88.089080802538348</v>
      </c>
      <c r="G1895" s="2261">
        <f>SUM(G1896:G1941)/46</f>
        <v>96.739130434782609</v>
      </c>
      <c r="H1895" s="535"/>
    </row>
    <row r="1896" spans="2:8" ht="14.25" hidden="1" customHeight="1" x14ac:dyDescent="0.25">
      <c r="B1896" s="2913"/>
      <c r="C1896" s="3932" t="s">
        <v>761</v>
      </c>
      <c r="D1896" s="3770">
        <v>500000000</v>
      </c>
      <c r="E1896" s="666">
        <v>499000000</v>
      </c>
      <c r="F1896" s="3557">
        <f t="shared" si="45"/>
        <v>99.8</v>
      </c>
      <c r="G1896" s="1717">
        <v>100</v>
      </c>
      <c r="H1896" s="535"/>
    </row>
    <row r="1897" spans="2:8" ht="15.75" hidden="1" customHeight="1" x14ac:dyDescent="0.25">
      <c r="B1897" s="2913"/>
      <c r="C1897" s="3932" t="s">
        <v>762</v>
      </c>
      <c r="D1897" s="3770">
        <v>1500000000</v>
      </c>
      <c r="E1897" s="666">
        <v>1354000000</v>
      </c>
      <c r="F1897" s="3557">
        <f t="shared" si="45"/>
        <v>90.266666666666666</v>
      </c>
      <c r="G1897" s="1717">
        <v>100</v>
      </c>
      <c r="H1897" s="535"/>
    </row>
    <row r="1898" spans="2:8" ht="17.25" hidden="1" customHeight="1" x14ac:dyDescent="0.25">
      <c r="B1898" s="2913"/>
      <c r="C1898" s="3932" t="s">
        <v>763</v>
      </c>
      <c r="D1898" s="3770">
        <v>1000000000</v>
      </c>
      <c r="E1898" s="666">
        <v>874800000</v>
      </c>
      <c r="F1898" s="3557">
        <f t="shared" si="45"/>
        <v>87.48</v>
      </c>
      <c r="G1898" s="1717">
        <v>100</v>
      </c>
      <c r="H1898" s="535"/>
    </row>
    <row r="1899" spans="2:8" ht="16.5" hidden="1" customHeight="1" x14ac:dyDescent="0.25">
      <c r="B1899" s="2913"/>
      <c r="C1899" s="3932" t="s">
        <v>764</v>
      </c>
      <c r="D1899" s="3770">
        <v>500000000</v>
      </c>
      <c r="E1899" s="666">
        <v>499000000</v>
      </c>
      <c r="F1899" s="3557">
        <f t="shared" si="45"/>
        <v>99.8</v>
      </c>
      <c r="G1899" s="1717">
        <v>100</v>
      </c>
      <c r="H1899" s="535"/>
    </row>
    <row r="1900" spans="2:8" ht="15.75" hidden="1" customHeight="1" x14ac:dyDescent="0.25">
      <c r="B1900" s="2913"/>
      <c r="C1900" s="3932" t="s">
        <v>765</v>
      </c>
      <c r="D1900" s="3770">
        <v>1000000000</v>
      </c>
      <c r="E1900" s="666">
        <v>897700000</v>
      </c>
      <c r="F1900" s="3557">
        <f t="shared" si="45"/>
        <v>89.77000000000001</v>
      </c>
      <c r="G1900" s="1717">
        <v>100</v>
      </c>
      <c r="H1900" s="535"/>
    </row>
    <row r="1901" spans="2:8" ht="14.25" hidden="1" customHeight="1" x14ac:dyDescent="0.25">
      <c r="B1901" s="2913"/>
      <c r="C1901" s="3932" t="s">
        <v>766</v>
      </c>
      <c r="D1901" s="3770">
        <v>1000000000</v>
      </c>
      <c r="E1901" s="666">
        <v>919900000</v>
      </c>
      <c r="F1901" s="3557">
        <f t="shared" si="45"/>
        <v>91.990000000000009</v>
      </c>
      <c r="G1901" s="1717">
        <v>100</v>
      </c>
      <c r="H1901" s="535"/>
    </row>
    <row r="1902" spans="2:8" ht="15.75" hidden="1" customHeight="1" x14ac:dyDescent="0.25">
      <c r="B1902" s="2913"/>
      <c r="C1902" s="3932" t="s">
        <v>2965</v>
      </c>
      <c r="D1902" s="3770">
        <v>500000000</v>
      </c>
      <c r="E1902" s="666">
        <v>478500000</v>
      </c>
      <c r="F1902" s="3557">
        <f t="shared" si="45"/>
        <v>95.7</v>
      </c>
      <c r="G1902" s="1717">
        <v>100</v>
      </c>
      <c r="H1902" s="535"/>
    </row>
    <row r="1903" spans="2:8" ht="14.25" hidden="1" customHeight="1" x14ac:dyDescent="0.25">
      <c r="B1903" s="2913"/>
      <c r="C1903" s="3932" t="s">
        <v>2966</v>
      </c>
      <c r="D1903" s="3770">
        <v>1000000000</v>
      </c>
      <c r="E1903" s="666">
        <v>888500000</v>
      </c>
      <c r="F1903" s="3557">
        <f t="shared" si="45"/>
        <v>88.85</v>
      </c>
      <c r="G1903" s="1717">
        <v>100</v>
      </c>
      <c r="H1903" s="535"/>
    </row>
    <row r="1904" spans="2:8" ht="17.25" hidden="1" customHeight="1" x14ac:dyDescent="0.25">
      <c r="B1904" s="2913"/>
      <c r="C1904" s="3932" t="s">
        <v>2967</v>
      </c>
      <c r="D1904" s="3770">
        <v>1000000000</v>
      </c>
      <c r="E1904" s="666">
        <v>998000000</v>
      </c>
      <c r="F1904" s="3557">
        <f t="shared" si="45"/>
        <v>99.8</v>
      </c>
      <c r="G1904" s="1717">
        <v>100</v>
      </c>
      <c r="H1904" s="535"/>
    </row>
    <row r="1905" spans="2:8" ht="16.5" hidden="1" customHeight="1" x14ac:dyDescent="0.25">
      <c r="B1905" s="2913"/>
      <c r="C1905" s="3932" t="s">
        <v>2968</v>
      </c>
      <c r="D1905" s="3770">
        <v>2000000000</v>
      </c>
      <c r="E1905" s="666">
        <v>1873600000</v>
      </c>
      <c r="F1905" s="3557">
        <f t="shared" si="45"/>
        <v>93.679999999999993</v>
      </c>
      <c r="G1905" s="1717">
        <v>100</v>
      </c>
      <c r="H1905" s="535"/>
    </row>
    <row r="1906" spans="2:8" ht="14.25" hidden="1" customHeight="1" x14ac:dyDescent="0.25">
      <c r="B1906" s="2913"/>
      <c r="C1906" s="3932" t="s">
        <v>2969</v>
      </c>
      <c r="D1906" s="3770">
        <v>1000000000</v>
      </c>
      <c r="E1906" s="666">
        <v>984550000</v>
      </c>
      <c r="F1906" s="3557">
        <f t="shared" si="45"/>
        <v>98.454999999999998</v>
      </c>
      <c r="G1906" s="1717">
        <v>100</v>
      </c>
      <c r="H1906" s="535"/>
    </row>
    <row r="1907" spans="2:8" ht="14.25" hidden="1" customHeight="1" x14ac:dyDescent="0.25">
      <c r="B1907" s="2913"/>
      <c r="C1907" s="3932" t="s">
        <v>2970</v>
      </c>
      <c r="D1907" s="3770">
        <v>1000000000</v>
      </c>
      <c r="E1907" s="666">
        <v>869000000</v>
      </c>
      <c r="F1907" s="3557">
        <f t="shared" si="45"/>
        <v>86.9</v>
      </c>
      <c r="G1907" s="1717">
        <v>100</v>
      </c>
      <c r="H1907" s="535"/>
    </row>
    <row r="1908" spans="2:8" ht="15.75" hidden="1" customHeight="1" x14ac:dyDescent="0.25">
      <c r="B1908" s="2913"/>
      <c r="C1908" s="3932" t="s">
        <v>2971</v>
      </c>
      <c r="D1908" s="3770">
        <v>2000000000</v>
      </c>
      <c r="E1908" s="666">
        <v>1818000000</v>
      </c>
      <c r="F1908" s="3557">
        <f t="shared" si="45"/>
        <v>90.9</v>
      </c>
      <c r="G1908" s="1717">
        <v>100</v>
      </c>
      <c r="H1908" s="535"/>
    </row>
    <row r="1909" spans="2:8" ht="16.5" hidden="1" customHeight="1" x14ac:dyDescent="0.25">
      <c r="B1909" s="2913"/>
      <c r="C1909" s="3932" t="s">
        <v>2972</v>
      </c>
      <c r="D1909" s="3770">
        <v>2500000000</v>
      </c>
      <c r="E1909" s="666">
        <v>771900000</v>
      </c>
      <c r="F1909" s="3557">
        <f t="shared" si="45"/>
        <v>30.875999999999998</v>
      </c>
      <c r="G1909" s="1717">
        <v>50</v>
      </c>
      <c r="H1909" s="535"/>
    </row>
    <row r="1910" spans="2:8" ht="15" hidden="1" customHeight="1" x14ac:dyDescent="0.25">
      <c r="B1910" s="2913"/>
      <c r="C1910" s="3932" t="s">
        <v>2973</v>
      </c>
      <c r="D1910" s="3770">
        <v>2000000000</v>
      </c>
      <c r="E1910" s="666">
        <v>1890000000</v>
      </c>
      <c r="F1910" s="3557">
        <f t="shared" si="45"/>
        <v>94.5</v>
      </c>
      <c r="G1910" s="1717">
        <v>100</v>
      </c>
      <c r="H1910" s="535"/>
    </row>
    <row r="1911" spans="2:8" ht="15.75" hidden="1" customHeight="1" x14ac:dyDescent="0.25">
      <c r="B1911" s="2913"/>
      <c r="C1911" s="3932" t="s">
        <v>2974</v>
      </c>
      <c r="D1911" s="3770">
        <v>500000000</v>
      </c>
      <c r="E1911" s="666">
        <v>477700000</v>
      </c>
      <c r="F1911" s="3557">
        <f t="shared" si="45"/>
        <v>95.54</v>
      </c>
      <c r="G1911" s="1717">
        <v>100</v>
      </c>
      <c r="H1911" s="535"/>
    </row>
    <row r="1912" spans="2:8" ht="14.25" hidden="1" customHeight="1" x14ac:dyDescent="0.25">
      <c r="B1912" s="2913"/>
      <c r="C1912" s="3932" t="s">
        <v>2975</v>
      </c>
      <c r="D1912" s="3770">
        <v>1500000000</v>
      </c>
      <c r="E1912" s="666">
        <v>1399900000</v>
      </c>
      <c r="F1912" s="3557">
        <f t="shared" si="45"/>
        <v>93.326666666666668</v>
      </c>
      <c r="G1912" s="1717">
        <v>100</v>
      </c>
      <c r="H1912" s="535"/>
    </row>
    <row r="1913" spans="2:8" ht="15" hidden="1" customHeight="1" x14ac:dyDescent="0.25">
      <c r="B1913" s="2913"/>
      <c r="C1913" s="3932" t="s">
        <v>2976</v>
      </c>
      <c r="D1913" s="3770">
        <v>438550000</v>
      </c>
      <c r="E1913" s="666">
        <v>438550000</v>
      </c>
      <c r="F1913" s="3557">
        <f t="shared" si="45"/>
        <v>100</v>
      </c>
      <c r="G1913" s="1717">
        <v>100</v>
      </c>
      <c r="H1913" s="535"/>
    </row>
    <row r="1914" spans="2:8" ht="16.5" hidden="1" customHeight="1" x14ac:dyDescent="0.25">
      <c r="B1914" s="2913"/>
      <c r="C1914" s="3932" t="s">
        <v>2977</v>
      </c>
      <c r="D1914" s="3770">
        <v>500000000</v>
      </c>
      <c r="E1914" s="666">
        <v>499000000</v>
      </c>
      <c r="F1914" s="3557">
        <f t="shared" si="45"/>
        <v>99.8</v>
      </c>
      <c r="G1914" s="1717">
        <v>100</v>
      </c>
      <c r="H1914" s="535"/>
    </row>
    <row r="1915" spans="2:8" ht="14.25" hidden="1" customHeight="1" x14ac:dyDescent="0.25">
      <c r="B1915" s="2913"/>
      <c r="C1915" s="3932" t="s">
        <v>2978</v>
      </c>
      <c r="D1915" s="3770">
        <v>1000000000</v>
      </c>
      <c r="E1915" s="666">
        <v>999000000</v>
      </c>
      <c r="F1915" s="3557">
        <f t="shared" si="45"/>
        <v>99.9</v>
      </c>
      <c r="G1915" s="1717">
        <v>100</v>
      </c>
      <c r="H1915" s="535"/>
    </row>
    <row r="1916" spans="2:8" ht="15.75" hidden="1" customHeight="1" x14ac:dyDescent="0.25">
      <c r="B1916" s="2913"/>
      <c r="C1916" s="3932" t="s">
        <v>2979</v>
      </c>
      <c r="D1916" s="3770">
        <v>1000000000</v>
      </c>
      <c r="E1916" s="666">
        <v>927700000</v>
      </c>
      <c r="F1916" s="3557">
        <f t="shared" si="45"/>
        <v>92.77</v>
      </c>
      <c r="G1916" s="1717">
        <v>100</v>
      </c>
      <c r="H1916" s="535"/>
    </row>
    <row r="1917" spans="2:8" ht="15.75" hidden="1" customHeight="1" x14ac:dyDescent="0.25">
      <c r="B1917" s="2913"/>
      <c r="C1917" s="3932" t="s">
        <v>2980</v>
      </c>
      <c r="D1917" s="3770">
        <v>1000000000</v>
      </c>
      <c r="E1917" s="666">
        <v>894300000</v>
      </c>
      <c r="F1917" s="3557">
        <f t="shared" si="45"/>
        <v>89.429999999999993</v>
      </c>
      <c r="G1917" s="1717">
        <v>100</v>
      </c>
      <c r="H1917" s="535"/>
    </row>
    <row r="1918" spans="2:8" ht="16.5" hidden="1" customHeight="1" x14ac:dyDescent="0.25">
      <c r="B1918" s="2913"/>
      <c r="C1918" s="3932" t="s">
        <v>2981</v>
      </c>
      <c r="D1918" s="3770">
        <v>1000000000</v>
      </c>
      <c r="E1918" s="666">
        <v>830000000</v>
      </c>
      <c r="F1918" s="3557">
        <f t="shared" si="45"/>
        <v>83</v>
      </c>
      <c r="G1918" s="1717">
        <v>100</v>
      </c>
      <c r="H1918" s="535"/>
    </row>
    <row r="1919" spans="2:8" ht="14.25" hidden="1" customHeight="1" x14ac:dyDescent="0.25">
      <c r="B1919" s="2913"/>
      <c r="C1919" s="3932" t="s">
        <v>2982</v>
      </c>
      <c r="D1919" s="3770">
        <v>1000000000</v>
      </c>
      <c r="E1919" s="666">
        <v>830000000</v>
      </c>
      <c r="F1919" s="3557">
        <f t="shared" si="45"/>
        <v>83</v>
      </c>
      <c r="G1919" s="1717">
        <v>100</v>
      </c>
      <c r="H1919" s="535"/>
    </row>
    <row r="1920" spans="2:8" ht="14.25" hidden="1" customHeight="1" x14ac:dyDescent="0.25">
      <c r="B1920" s="2913"/>
      <c r="C1920" s="3932" t="s">
        <v>2983</v>
      </c>
      <c r="D1920" s="3770">
        <v>1000000000</v>
      </c>
      <c r="E1920" s="666">
        <v>1000000000</v>
      </c>
      <c r="F1920" s="3557">
        <f t="shared" si="45"/>
        <v>100</v>
      </c>
      <c r="G1920" s="1717">
        <v>100</v>
      </c>
      <c r="H1920" s="535"/>
    </row>
    <row r="1921" spans="2:8" ht="15.75" hidden="1" customHeight="1" x14ac:dyDescent="0.25">
      <c r="B1921" s="2913"/>
      <c r="C1921" s="3932" t="s">
        <v>2984</v>
      </c>
      <c r="D1921" s="3770">
        <v>2000000000</v>
      </c>
      <c r="E1921" s="666">
        <v>1999000000</v>
      </c>
      <c r="F1921" s="3557">
        <f t="shared" si="45"/>
        <v>99.95</v>
      </c>
      <c r="G1921" s="1717">
        <v>100</v>
      </c>
      <c r="H1921" s="535"/>
    </row>
    <row r="1922" spans="2:8" ht="14.25" hidden="1" customHeight="1" x14ac:dyDescent="0.25">
      <c r="B1922" s="2913"/>
      <c r="C1922" s="3932" t="s">
        <v>2985</v>
      </c>
      <c r="D1922" s="3770">
        <v>500000000</v>
      </c>
      <c r="E1922" s="666">
        <v>498900000</v>
      </c>
      <c r="F1922" s="3557">
        <f t="shared" si="45"/>
        <v>99.78</v>
      </c>
      <c r="G1922" s="1717">
        <v>100</v>
      </c>
      <c r="H1922" s="535"/>
    </row>
    <row r="1923" spans="2:8" ht="15.75" hidden="1" customHeight="1" x14ac:dyDescent="0.25">
      <c r="B1923" s="2913"/>
      <c r="C1923" s="3932" t="s">
        <v>2986</v>
      </c>
      <c r="D1923" s="3770">
        <v>500000000</v>
      </c>
      <c r="E1923" s="666">
        <v>479500000</v>
      </c>
      <c r="F1923" s="3557">
        <f t="shared" si="45"/>
        <v>95.899999999999991</v>
      </c>
      <c r="G1923" s="1717">
        <v>100</v>
      </c>
      <c r="H1923" s="535"/>
    </row>
    <row r="1924" spans="2:8" ht="14.25" hidden="1" customHeight="1" x14ac:dyDescent="0.25">
      <c r="B1924" s="2913"/>
      <c r="C1924" s="3932" t="s">
        <v>2987</v>
      </c>
      <c r="D1924" s="3770">
        <v>500000000</v>
      </c>
      <c r="E1924" s="666">
        <v>459500000</v>
      </c>
      <c r="F1924" s="3557">
        <f t="shared" si="45"/>
        <v>91.9</v>
      </c>
      <c r="G1924" s="1717">
        <v>100</v>
      </c>
      <c r="H1924" s="535"/>
    </row>
    <row r="1925" spans="2:8" ht="14.25" hidden="1" customHeight="1" x14ac:dyDescent="0.25">
      <c r="B1925" s="2913"/>
      <c r="C1925" s="3932" t="s">
        <v>2988</v>
      </c>
      <c r="D1925" s="3770">
        <v>1000000000</v>
      </c>
      <c r="E1925" s="666">
        <v>932000000</v>
      </c>
      <c r="F1925" s="3557">
        <f t="shared" si="45"/>
        <v>93.2</v>
      </c>
      <c r="G1925" s="1717">
        <v>100</v>
      </c>
      <c r="H1925" s="535"/>
    </row>
    <row r="1926" spans="2:8" ht="17.25" hidden="1" customHeight="1" x14ac:dyDescent="0.25">
      <c r="B1926" s="2913"/>
      <c r="C1926" s="3932" t="s">
        <v>2989</v>
      </c>
      <c r="D1926" s="3770">
        <v>528450000</v>
      </c>
      <c r="E1926" s="666">
        <v>504000000</v>
      </c>
      <c r="F1926" s="3557">
        <f t="shared" si="45"/>
        <v>95.373261424921935</v>
      </c>
      <c r="G1926" s="1717">
        <v>100</v>
      </c>
      <c r="H1926" s="535"/>
    </row>
    <row r="1927" spans="2:8" ht="16.5" hidden="1" customHeight="1" x14ac:dyDescent="0.25">
      <c r="B1927" s="2913"/>
      <c r="C1927" s="3932" t="s">
        <v>2990</v>
      </c>
      <c r="D1927" s="3770">
        <v>1000000000</v>
      </c>
      <c r="E1927" s="666">
        <v>933400000</v>
      </c>
      <c r="F1927" s="3557">
        <f t="shared" si="45"/>
        <v>93.34</v>
      </c>
      <c r="G1927" s="1717">
        <v>100</v>
      </c>
      <c r="H1927" s="535"/>
    </row>
    <row r="1928" spans="2:8" ht="14.25" hidden="1" customHeight="1" x14ac:dyDescent="0.25">
      <c r="B1928" s="2913"/>
      <c r="C1928" s="3932" t="s">
        <v>2991</v>
      </c>
      <c r="D1928" s="3770">
        <v>500000000</v>
      </c>
      <c r="E1928" s="666">
        <v>499000000</v>
      </c>
      <c r="F1928" s="3557">
        <f t="shared" si="45"/>
        <v>99.8</v>
      </c>
      <c r="G1928" s="1717">
        <v>100</v>
      </c>
      <c r="H1928" s="535"/>
    </row>
    <row r="1929" spans="2:8" ht="14.25" hidden="1" customHeight="1" x14ac:dyDescent="0.25">
      <c r="B1929" s="2913"/>
      <c r="C1929" s="3932" t="s">
        <v>2992</v>
      </c>
      <c r="D1929" s="3770">
        <v>500000000</v>
      </c>
      <c r="E1929" s="666">
        <v>499400000</v>
      </c>
      <c r="F1929" s="3557">
        <f t="shared" si="45"/>
        <v>99.88</v>
      </c>
      <c r="G1929" s="1717">
        <v>100</v>
      </c>
      <c r="H1929" s="535"/>
    </row>
    <row r="1930" spans="2:8" ht="14.25" hidden="1" customHeight="1" x14ac:dyDescent="0.25">
      <c r="B1930" s="2913"/>
      <c r="C1930" s="3932" t="s">
        <v>2993</v>
      </c>
      <c r="D1930" s="3770">
        <v>500000000</v>
      </c>
      <c r="E1930" s="666">
        <v>499400000</v>
      </c>
      <c r="F1930" s="3557">
        <f t="shared" si="45"/>
        <v>99.88</v>
      </c>
      <c r="G1930" s="1717">
        <v>100</v>
      </c>
      <c r="H1930" s="535"/>
    </row>
    <row r="1931" spans="2:8" ht="15" hidden="1" customHeight="1" x14ac:dyDescent="0.25">
      <c r="B1931" s="2913"/>
      <c r="C1931" s="3932" t="s">
        <v>2994</v>
      </c>
      <c r="D1931" s="3770">
        <v>1450000000</v>
      </c>
      <c r="E1931" s="666">
        <v>1304900000</v>
      </c>
      <c r="F1931" s="3557">
        <f t="shared" si="45"/>
        <v>89.993103448275861</v>
      </c>
      <c r="G1931" s="1717">
        <v>100</v>
      </c>
      <c r="H1931" s="535"/>
    </row>
    <row r="1932" spans="2:8" ht="15.75" hidden="1" customHeight="1" x14ac:dyDescent="0.25">
      <c r="B1932" s="2913"/>
      <c r="C1932" s="4073" t="s">
        <v>2995</v>
      </c>
      <c r="D1932" s="972">
        <v>500000000</v>
      </c>
      <c r="E1932" s="868">
        <v>449500000</v>
      </c>
      <c r="F1932" s="3557">
        <f t="shared" si="45"/>
        <v>89.9</v>
      </c>
      <c r="G1932" s="2281">
        <v>100</v>
      </c>
      <c r="H1932" s="535"/>
    </row>
    <row r="1933" spans="2:8" ht="13.5" hidden="1" customHeight="1" x14ac:dyDescent="0.25">
      <c r="B1933" s="2913"/>
      <c r="C1933" s="4073" t="s">
        <v>2996</v>
      </c>
      <c r="D1933" s="972">
        <v>500000000</v>
      </c>
      <c r="E1933" s="868">
        <v>449500000</v>
      </c>
      <c r="F1933" s="3557">
        <f t="shared" si="45"/>
        <v>89.9</v>
      </c>
      <c r="G1933" s="2281">
        <v>100</v>
      </c>
      <c r="H1933" s="535"/>
    </row>
    <row r="1934" spans="2:8" ht="15" hidden="1" customHeight="1" x14ac:dyDescent="0.25">
      <c r="B1934" s="2913"/>
      <c r="C1934" s="3932" t="s">
        <v>7356</v>
      </c>
      <c r="D1934" s="3770">
        <v>1000000000</v>
      </c>
      <c r="E1934" s="868">
        <v>660000000</v>
      </c>
      <c r="F1934" s="3557">
        <f t="shared" si="45"/>
        <v>66</v>
      </c>
      <c r="G1934" s="2281">
        <v>100</v>
      </c>
      <c r="H1934" s="535"/>
    </row>
    <row r="1935" spans="2:8" ht="13.5" hidden="1" customHeight="1" x14ac:dyDescent="0.25">
      <c r="B1935" s="2913"/>
      <c r="C1935" s="3932" t="s">
        <v>2997</v>
      </c>
      <c r="D1935" s="3557">
        <v>500000000</v>
      </c>
      <c r="E1935" s="868">
        <v>499100000</v>
      </c>
      <c r="F1935" s="3557">
        <f t="shared" si="45"/>
        <v>99.82</v>
      </c>
      <c r="G1935" s="2281">
        <v>100</v>
      </c>
      <c r="H1935" s="535"/>
    </row>
    <row r="1936" spans="2:8" ht="13.5" hidden="1" customHeight="1" x14ac:dyDescent="0.25">
      <c r="B1936" s="2913"/>
      <c r="C1936" s="3932" t="s">
        <v>2998</v>
      </c>
      <c r="D1936" s="3557">
        <v>500000000</v>
      </c>
      <c r="E1936" s="1891">
        <v>399500000</v>
      </c>
      <c r="F1936" s="3557">
        <f t="shared" si="45"/>
        <v>79.900000000000006</v>
      </c>
      <c r="G1936" s="3557">
        <v>100</v>
      </c>
      <c r="H1936" s="535"/>
    </row>
    <row r="1937" spans="2:11" ht="13.5" hidden="1" customHeight="1" x14ac:dyDescent="0.25">
      <c r="B1937" s="2913"/>
      <c r="C1937" s="3932" t="s">
        <v>2999</v>
      </c>
      <c r="D1937" s="3557">
        <v>500000000</v>
      </c>
      <c r="E1937" s="868">
        <v>499800000</v>
      </c>
      <c r="F1937" s="3557">
        <f t="shared" si="45"/>
        <v>99.960000000000008</v>
      </c>
      <c r="G1937" s="2281">
        <v>100</v>
      </c>
      <c r="H1937" s="535"/>
    </row>
    <row r="1938" spans="2:11" ht="13.5" hidden="1" customHeight="1" x14ac:dyDescent="0.25">
      <c r="B1938" s="2913"/>
      <c r="C1938" s="3932" t="s">
        <v>3000</v>
      </c>
      <c r="D1938" s="3557">
        <v>500000000</v>
      </c>
      <c r="E1938" s="1891">
        <v>499800000</v>
      </c>
      <c r="F1938" s="3557">
        <f t="shared" si="45"/>
        <v>99.960000000000008</v>
      </c>
      <c r="G1938" s="3557">
        <v>100</v>
      </c>
      <c r="H1938" s="535"/>
    </row>
    <row r="1939" spans="2:11" ht="13.5" hidden="1" customHeight="1" x14ac:dyDescent="0.25">
      <c r="B1939" s="2913"/>
      <c r="C1939" s="3932" t="s">
        <v>3001</v>
      </c>
      <c r="D1939" s="3557">
        <v>500000000</v>
      </c>
      <c r="E1939" s="1891">
        <v>473900000</v>
      </c>
      <c r="F1939" s="3557">
        <f t="shared" si="45"/>
        <v>94.78</v>
      </c>
      <c r="G1939" s="3557">
        <v>100</v>
      </c>
      <c r="H1939" s="535"/>
    </row>
    <row r="1940" spans="2:11" ht="12.75" hidden="1" customHeight="1" x14ac:dyDescent="0.25">
      <c r="B1940" s="2913"/>
      <c r="C1940" s="3892" t="s">
        <v>3002</v>
      </c>
      <c r="D1940" s="1550">
        <v>500000000</v>
      </c>
      <c r="E1940" s="788">
        <v>471600000</v>
      </c>
      <c r="F1940" s="3557">
        <f t="shared" si="45"/>
        <v>94.320000000000007</v>
      </c>
      <c r="G1940" s="2281">
        <v>100</v>
      </c>
      <c r="H1940" s="535"/>
    </row>
    <row r="1941" spans="2:11" ht="14.25" hidden="1" customHeight="1" x14ac:dyDescent="0.25">
      <c r="B1941" s="2913"/>
      <c r="C1941" s="4104" t="s">
        <v>3003</v>
      </c>
      <c r="D1941" s="1548">
        <v>500000000</v>
      </c>
      <c r="E1941" s="3879">
        <v>0</v>
      </c>
      <c r="F1941" s="3557">
        <f t="shared" si="45"/>
        <v>0</v>
      </c>
      <c r="G1941" s="3879">
        <v>0</v>
      </c>
      <c r="H1941" s="535"/>
    </row>
    <row r="1942" spans="2:11" ht="12" hidden="1" customHeight="1" x14ac:dyDescent="0.25">
      <c r="B1942" s="2913"/>
      <c r="C1942" s="3892"/>
      <c r="D1942" s="1550"/>
      <c r="E1942" s="1644"/>
      <c r="F1942" s="2515"/>
      <c r="G1942" s="2515"/>
      <c r="H1942" s="535"/>
    </row>
    <row r="1943" spans="2:11" ht="15" hidden="1" customHeight="1" x14ac:dyDescent="0.25">
      <c r="B1943" s="5397"/>
      <c r="C1943" s="3924" t="s">
        <v>264</v>
      </c>
      <c r="D1943" s="998">
        <f>D1944+D1949+D1953</f>
        <v>4800000000</v>
      </c>
      <c r="E1943" s="998">
        <f>E1944+E1949+E1953</f>
        <v>4737280000</v>
      </c>
      <c r="F1943" s="1462">
        <f>E1943/D1943*100</f>
        <v>98.693333333333328</v>
      </c>
      <c r="G1943" s="2356">
        <v>100</v>
      </c>
      <c r="H1943" s="535"/>
      <c r="J1943" s="522">
        <v>4800000000</v>
      </c>
      <c r="K1943" s="522">
        <v>4737280000</v>
      </c>
    </row>
    <row r="1944" spans="2:11" ht="13.5" hidden="1" customHeight="1" x14ac:dyDescent="0.25">
      <c r="B1944" s="2913"/>
      <c r="C1944" s="4014" t="s">
        <v>767</v>
      </c>
      <c r="D1944" s="1585">
        <f>SUM(D1945:D1947)</f>
        <v>1500000000</v>
      </c>
      <c r="E1944" s="1423">
        <f>SUM(E1945:E1947)</f>
        <v>1467200000</v>
      </c>
      <c r="F1944" s="3632">
        <f>E1944/D1944*100</f>
        <v>97.813333333333333</v>
      </c>
      <c r="G1944" s="2562">
        <v>100</v>
      </c>
      <c r="H1944" s="535"/>
    </row>
    <row r="1945" spans="2:11" ht="14.25" hidden="1" customHeight="1" x14ac:dyDescent="0.25">
      <c r="B1945" s="2913"/>
      <c r="C1945" s="3932" t="s">
        <v>770</v>
      </c>
      <c r="D1945" s="3770">
        <v>500000000</v>
      </c>
      <c r="E1945" s="868">
        <v>500000000</v>
      </c>
      <c r="F1945" s="3557">
        <f>E1945/D1945*100</f>
        <v>100</v>
      </c>
      <c r="G1945" s="1717">
        <v>100</v>
      </c>
      <c r="H1945" s="535"/>
    </row>
    <row r="1946" spans="2:11" ht="17.25" hidden="1" customHeight="1" x14ac:dyDescent="0.25">
      <c r="B1946" s="2913"/>
      <c r="C1946" s="3932" t="s">
        <v>769</v>
      </c>
      <c r="D1946" s="3770">
        <v>300000000</v>
      </c>
      <c r="E1946" s="666">
        <v>295000000</v>
      </c>
      <c r="F1946" s="3557">
        <f>E1946/D1946*100</f>
        <v>98.333333333333329</v>
      </c>
      <c r="G1946" s="2281">
        <v>100</v>
      </c>
      <c r="H1946" s="535"/>
    </row>
    <row r="1947" spans="2:11" ht="15.75" hidden="1" customHeight="1" x14ac:dyDescent="0.25">
      <c r="B1947" s="2913"/>
      <c r="C1947" s="3932" t="s">
        <v>768</v>
      </c>
      <c r="D1947" s="3770">
        <v>700000000</v>
      </c>
      <c r="E1947" s="666">
        <v>672200000</v>
      </c>
      <c r="F1947" s="3557">
        <f>E1947/D1947*100</f>
        <v>96.028571428571425</v>
      </c>
      <c r="G1947" s="2281">
        <v>100</v>
      </c>
      <c r="H1947" s="535"/>
    </row>
    <row r="1948" spans="2:11" ht="9.75" hidden="1" customHeight="1" x14ac:dyDescent="0.25">
      <c r="B1948" s="2913"/>
      <c r="C1948" s="5505"/>
      <c r="D1948" s="972"/>
      <c r="E1948" s="868"/>
      <c r="F1948" s="2281"/>
      <c r="G1948" s="2281"/>
      <c r="H1948" s="535"/>
    </row>
    <row r="1949" spans="2:11" ht="16.5" hidden="1" customHeight="1" x14ac:dyDescent="0.25">
      <c r="B1949" s="2913"/>
      <c r="C1949" s="3885" t="s">
        <v>2315</v>
      </c>
      <c r="D1949" s="3629">
        <f>SUM(D1950:D1951)</f>
        <v>2800000000</v>
      </c>
      <c r="E1949" s="3629">
        <f>SUM(E1950:E1951)</f>
        <v>2770300000</v>
      </c>
      <c r="F1949" s="3632">
        <f>E1949/D1949*100</f>
        <v>98.939285714285717</v>
      </c>
      <c r="G1949" s="3629">
        <v>100</v>
      </c>
      <c r="H1949" s="535"/>
    </row>
    <row r="1950" spans="2:11" ht="18" hidden="1" customHeight="1" x14ac:dyDescent="0.25">
      <c r="B1950" s="2913"/>
      <c r="C1950" s="5505" t="s">
        <v>2316</v>
      </c>
      <c r="D1950" s="3630">
        <v>300000000</v>
      </c>
      <c r="E1950" s="1891">
        <v>298300000</v>
      </c>
      <c r="F1950" s="3557">
        <f>E1950/D1950*100</f>
        <v>99.433333333333323</v>
      </c>
      <c r="G1950" s="3557">
        <v>100</v>
      </c>
      <c r="H1950" s="535"/>
    </row>
    <row r="1951" spans="2:11" ht="16.5" hidden="1" customHeight="1" x14ac:dyDescent="0.25">
      <c r="B1951" s="2913"/>
      <c r="C1951" s="5505" t="s">
        <v>2317</v>
      </c>
      <c r="D1951" s="3557">
        <v>2500000000</v>
      </c>
      <c r="E1951" s="1891">
        <v>2472000000</v>
      </c>
      <c r="F1951" s="3557">
        <f>E1951/D1951*100</f>
        <v>98.88</v>
      </c>
      <c r="G1951" s="3557">
        <v>100</v>
      </c>
      <c r="H1951" s="535"/>
    </row>
    <row r="1952" spans="2:11" ht="6" hidden="1" customHeight="1" x14ac:dyDescent="0.25">
      <c r="B1952" s="2913"/>
      <c r="C1952" s="5505"/>
      <c r="D1952" s="972"/>
      <c r="E1952" s="1855"/>
      <c r="F1952" s="2281"/>
      <c r="G1952" s="2281"/>
      <c r="H1952" s="535"/>
    </row>
    <row r="1953" spans="2:11" ht="15.75" hidden="1" customHeight="1" x14ac:dyDescent="0.25">
      <c r="B1953" s="2913"/>
      <c r="C1953" s="3946" t="s">
        <v>2318</v>
      </c>
      <c r="D1953" s="966">
        <f>D1954</f>
        <v>500000000</v>
      </c>
      <c r="E1953" s="966">
        <f>E1954</f>
        <v>499780000</v>
      </c>
      <c r="F1953" s="3629">
        <f>E1953/D1953*100</f>
        <v>99.956000000000003</v>
      </c>
      <c r="G1953" s="2512">
        <v>100</v>
      </c>
      <c r="H1953" s="535"/>
    </row>
    <row r="1954" spans="2:11" ht="15.75" hidden="1" customHeight="1" x14ac:dyDescent="0.25">
      <c r="B1954" s="2913"/>
      <c r="C1954" s="3932" t="s">
        <v>2319</v>
      </c>
      <c r="D1954" s="3770">
        <v>500000000</v>
      </c>
      <c r="E1954" s="666">
        <v>499780000</v>
      </c>
      <c r="F1954" s="3557">
        <f>E1954/D1954*100</f>
        <v>99.956000000000003</v>
      </c>
      <c r="G1954" s="2281">
        <v>100</v>
      </c>
      <c r="H1954" s="535"/>
    </row>
    <row r="1955" spans="2:11" ht="12" hidden="1" customHeight="1" x14ac:dyDescent="0.25">
      <c r="B1955" s="2913"/>
      <c r="C1955" s="3873"/>
      <c r="D1955" s="1516"/>
      <c r="E1955" s="788"/>
      <c r="F1955" s="2285"/>
      <c r="G1955" s="2285"/>
      <c r="H1955" s="535"/>
    </row>
    <row r="1956" spans="2:11" ht="15.75" hidden="1" customHeight="1" x14ac:dyDescent="0.25">
      <c r="B1956" s="5397"/>
      <c r="C1956" s="3858" t="s">
        <v>4590</v>
      </c>
      <c r="D1956" s="1546">
        <f>D1957+D1961+D1964</f>
        <v>2600000000</v>
      </c>
      <c r="E1956" s="1546">
        <f>E1957+E1961+E1964</f>
        <v>2370000000</v>
      </c>
      <c r="F1956" s="1462">
        <f>E1956/D1956*100</f>
        <v>91.153846153846146</v>
      </c>
      <c r="G1956" s="980">
        <f>SUM(G1957+G1961+G1964)/3</f>
        <v>100</v>
      </c>
      <c r="H1956" s="535"/>
      <c r="J1956" s="522">
        <v>2600000000</v>
      </c>
      <c r="K1956" s="522">
        <v>1370000000</v>
      </c>
    </row>
    <row r="1957" spans="2:11" ht="15.75" hidden="1" customHeight="1" x14ac:dyDescent="0.25">
      <c r="B1957" s="2913"/>
      <c r="C1957" s="5504" t="s">
        <v>6809</v>
      </c>
      <c r="D1957" s="3328">
        <f>D1958+D1959</f>
        <v>1100000000</v>
      </c>
      <c r="E1957" s="3328">
        <f>E1958+E1959</f>
        <v>870000000</v>
      </c>
      <c r="F1957" s="3632">
        <f>E1957/D1957*100</f>
        <v>79.090909090909093</v>
      </c>
      <c r="G1957" s="3632">
        <f>SUM(G1958:G1959)/2</f>
        <v>100</v>
      </c>
      <c r="H1957" s="535"/>
    </row>
    <row r="1958" spans="2:11" ht="16.5" hidden="1" customHeight="1" x14ac:dyDescent="0.25">
      <c r="B1958" s="2913"/>
      <c r="C1958" s="3932" t="s">
        <v>6810</v>
      </c>
      <c r="D1958" s="3770">
        <v>100000000</v>
      </c>
      <c r="E1958" s="1891">
        <v>100000000</v>
      </c>
      <c r="F1958" s="3557">
        <f>E1958/D1958*100</f>
        <v>100</v>
      </c>
      <c r="G1958" s="3557">
        <v>100</v>
      </c>
      <c r="H1958" s="535"/>
    </row>
    <row r="1959" spans="2:11" ht="14.25" hidden="1" customHeight="1" x14ac:dyDescent="0.25">
      <c r="B1959" s="2913"/>
      <c r="C1959" s="3932" t="s">
        <v>6811</v>
      </c>
      <c r="D1959" s="3557">
        <v>1000000000</v>
      </c>
      <c r="E1959" s="1891">
        <v>770000000</v>
      </c>
      <c r="F1959" s="3557">
        <f>E1959/D1959*100</f>
        <v>77</v>
      </c>
      <c r="G1959" s="3557">
        <v>100</v>
      </c>
      <c r="H1959" s="535"/>
    </row>
    <row r="1960" spans="2:11" ht="12" hidden="1" customHeight="1" x14ac:dyDescent="0.25">
      <c r="B1960" s="2913"/>
      <c r="C1960" s="3932"/>
      <c r="D1960" s="3770"/>
      <c r="E1960" s="666"/>
      <c r="F1960" s="1717"/>
      <c r="G1960" s="1717"/>
      <c r="H1960" s="535"/>
    </row>
    <row r="1961" spans="2:11" ht="14.25" hidden="1" customHeight="1" x14ac:dyDescent="0.25">
      <c r="B1961" s="2913"/>
      <c r="C1961" s="3946" t="s">
        <v>6812</v>
      </c>
      <c r="D1961" s="966">
        <f>D1962</f>
        <v>500000000</v>
      </c>
      <c r="E1961" s="966">
        <f>E1962</f>
        <v>500000000</v>
      </c>
      <c r="F1961" s="3629">
        <f>E1961/D1961*100</f>
        <v>100</v>
      </c>
      <c r="G1961" s="2261">
        <v>100</v>
      </c>
      <c r="H1961" s="535"/>
    </row>
    <row r="1962" spans="2:11" ht="14.25" hidden="1" customHeight="1" x14ac:dyDescent="0.25">
      <c r="B1962" s="2913"/>
      <c r="C1962" s="4073" t="s">
        <v>6814</v>
      </c>
      <c r="D1962" s="3770">
        <v>500000000</v>
      </c>
      <c r="E1962" s="666">
        <v>500000000</v>
      </c>
      <c r="F1962" s="3557">
        <f>E1962/D1962*100</f>
        <v>100</v>
      </c>
      <c r="G1962" s="1717">
        <v>100</v>
      </c>
      <c r="H1962" s="535"/>
    </row>
    <row r="1963" spans="2:11" ht="9.75" hidden="1" customHeight="1" x14ac:dyDescent="0.25">
      <c r="B1963" s="2913"/>
      <c r="C1963" s="3873"/>
      <c r="D1963" s="1516"/>
      <c r="E1963" s="788"/>
      <c r="F1963" s="2281"/>
      <c r="G1963" s="2285"/>
      <c r="H1963" s="535"/>
    </row>
    <row r="1964" spans="2:11" ht="16.5" hidden="1" customHeight="1" x14ac:dyDescent="0.25">
      <c r="B1964" s="2913"/>
      <c r="C1964" s="4116" t="s">
        <v>6813</v>
      </c>
      <c r="D1964" s="3629">
        <f>D1965</f>
        <v>1000000000</v>
      </c>
      <c r="E1964" s="3629">
        <f>E1965</f>
        <v>1000000000</v>
      </c>
      <c r="F1964" s="3629">
        <f>E1964/D1964*100</f>
        <v>100</v>
      </c>
      <c r="G1964" s="3769">
        <v>100</v>
      </c>
      <c r="H1964" s="535"/>
    </row>
    <row r="1965" spans="2:11" ht="15.75" hidden="1" customHeight="1" x14ac:dyDescent="0.25">
      <c r="B1965" s="2913"/>
      <c r="C1965" s="4104" t="s">
        <v>6815</v>
      </c>
      <c r="D1965" s="3557">
        <v>1000000000</v>
      </c>
      <c r="E1965" s="1891">
        <v>1000000000</v>
      </c>
      <c r="F1965" s="3557">
        <f>E1965/D1965*100</f>
        <v>100</v>
      </c>
      <c r="G1965" s="3557">
        <v>100</v>
      </c>
      <c r="H1965" s="535"/>
    </row>
    <row r="1966" spans="2:11" ht="12" hidden="1" customHeight="1" x14ac:dyDescent="0.25">
      <c r="B1966" s="2913"/>
      <c r="C1966" s="4016"/>
      <c r="D1966" s="1553"/>
      <c r="E1966" s="973"/>
      <c r="F1966" s="2283"/>
      <c r="G1966" s="2282"/>
      <c r="H1966" s="535"/>
    </row>
    <row r="1967" spans="2:11" ht="15" hidden="1" customHeight="1" x14ac:dyDescent="0.25">
      <c r="B1967" s="5397"/>
      <c r="C1967" s="3858" t="s">
        <v>6816</v>
      </c>
      <c r="D1967" s="1587">
        <f>D1968+D1972</f>
        <v>3400000000</v>
      </c>
      <c r="E1967" s="1587">
        <f>E1968+E1972</f>
        <v>3200000000</v>
      </c>
      <c r="F1967" s="1462">
        <f>E1967/D1967*100</f>
        <v>94.117647058823522</v>
      </c>
      <c r="G1967" s="2375">
        <f>SUM(G1968+G1972)/2</f>
        <v>87.5</v>
      </c>
      <c r="H1967" s="535"/>
      <c r="J1967" s="522">
        <v>3400000000</v>
      </c>
      <c r="K1967" s="522">
        <v>1399000000</v>
      </c>
    </row>
    <row r="1968" spans="2:11" ht="18" hidden="1" customHeight="1" x14ac:dyDescent="0.25">
      <c r="B1968" s="2913"/>
      <c r="C1968" s="5504" t="s">
        <v>321</v>
      </c>
      <c r="D1968" s="1423">
        <f>D1969+D1970</f>
        <v>400000000</v>
      </c>
      <c r="E1968" s="1423">
        <f>E1969+E1970</f>
        <v>200000000</v>
      </c>
      <c r="F1968" s="3632">
        <f>E1968/D1968*100</f>
        <v>50</v>
      </c>
      <c r="G1968" s="2376">
        <f>SUM(G1969:G1970)/2</f>
        <v>75</v>
      </c>
      <c r="H1968" s="535"/>
    </row>
    <row r="1969" spans="2:11" ht="17.25" hidden="1" customHeight="1" x14ac:dyDescent="0.25">
      <c r="B1969" s="2913"/>
      <c r="C1969" s="3932" t="s">
        <v>6817</v>
      </c>
      <c r="D1969" s="3770">
        <v>100000000</v>
      </c>
      <c r="E1969" s="3768">
        <v>100000000</v>
      </c>
      <c r="F1969" s="3557">
        <f>E1969/D1969*100</f>
        <v>100</v>
      </c>
      <c r="G1969" s="3798">
        <v>100</v>
      </c>
      <c r="H1969" s="535"/>
    </row>
    <row r="1970" spans="2:11" ht="18.75" hidden="1" customHeight="1" x14ac:dyDescent="0.25">
      <c r="B1970" s="2913"/>
      <c r="C1970" s="3947" t="s">
        <v>6818</v>
      </c>
      <c r="D1970" s="3770">
        <v>300000000</v>
      </c>
      <c r="E1970" s="3879">
        <v>100000000</v>
      </c>
      <c r="F1970" s="3557">
        <f>E1970/D1970*100</f>
        <v>33.333333333333329</v>
      </c>
      <c r="G1970" s="3798">
        <v>50</v>
      </c>
      <c r="H1970" s="535"/>
    </row>
    <row r="1971" spans="2:11" ht="12" hidden="1" customHeight="1" x14ac:dyDescent="0.25">
      <c r="B1971" s="2913"/>
      <c r="C1971" s="3947"/>
      <c r="D1971" s="972"/>
      <c r="E1971" s="3879"/>
      <c r="F1971" s="3648"/>
      <c r="G1971" s="3798"/>
      <c r="H1971" s="535"/>
    </row>
    <row r="1972" spans="2:11" ht="13.5" hidden="1" customHeight="1" x14ac:dyDescent="0.25">
      <c r="B1972" s="2913"/>
      <c r="C1972" s="3946" t="s">
        <v>6819</v>
      </c>
      <c r="D1972" s="966">
        <f>SUM(D1973:D1976)</f>
        <v>3000000000</v>
      </c>
      <c r="E1972" s="966">
        <f>SUM(E1973:E1976)</f>
        <v>3000000000</v>
      </c>
      <c r="F1972" s="3632">
        <f>E1972/D1972*100</f>
        <v>100</v>
      </c>
      <c r="G1972" s="2377">
        <v>100</v>
      </c>
      <c r="H1972" s="535"/>
    </row>
    <row r="1973" spans="2:11" ht="14.25" hidden="1" customHeight="1" x14ac:dyDescent="0.25">
      <c r="B1973" s="2913"/>
      <c r="C1973" s="3932" t="s">
        <v>6820</v>
      </c>
      <c r="D1973" s="3770">
        <v>500000000</v>
      </c>
      <c r="E1973" s="3768">
        <v>500000000</v>
      </c>
      <c r="F1973" s="3557">
        <f>E1973/D1973*100</f>
        <v>100</v>
      </c>
      <c r="G1973" s="3798">
        <v>100</v>
      </c>
      <c r="H1973" s="535"/>
    </row>
    <row r="1974" spans="2:11" ht="17.25" hidden="1" customHeight="1" x14ac:dyDescent="0.25">
      <c r="B1974" s="2913"/>
      <c r="C1974" s="4073" t="s">
        <v>6821</v>
      </c>
      <c r="D1974" s="972">
        <v>500000000</v>
      </c>
      <c r="E1974" s="3768">
        <v>500000000</v>
      </c>
      <c r="F1974" s="3557">
        <f>E1974/D1974*100</f>
        <v>100</v>
      </c>
      <c r="G1974" s="2378">
        <v>100</v>
      </c>
      <c r="H1974" s="535"/>
    </row>
    <row r="1975" spans="2:11" ht="17.25" hidden="1" customHeight="1" x14ac:dyDescent="0.25">
      <c r="B1975" s="2913"/>
      <c r="C1975" s="3932" t="s">
        <v>6822</v>
      </c>
      <c r="D1975" s="3630">
        <v>1750000000</v>
      </c>
      <c r="E1975" s="3879">
        <v>1750000000</v>
      </c>
      <c r="F1975" s="3557">
        <f>E1975/D1975*100</f>
        <v>100</v>
      </c>
      <c r="G1975" s="3630">
        <v>100</v>
      </c>
      <c r="H1975" s="535"/>
    </row>
    <row r="1976" spans="2:11" ht="17.25" hidden="1" customHeight="1" x14ac:dyDescent="0.25">
      <c r="B1976" s="2913"/>
      <c r="C1976" s="3932" t="s">
        <v>6823</v>
      </c>
      <c r="D1976" s="3630">
        <v>250000000</v>
      </c>
      <c r="E1976" s="3879">
        <v>250000000</v>
      </c>
      <c r="F1976" s="3557">
        <f>E1976/D1976*100</f>
        <v>100</v>
      </c>
      <c r="G1976" s="3630">
        <v>100</v>
      </c>
      <c r="H1976" s="535"/>
    </row>
    <row r="1977" spans="2:11" ht="12" hidden="1" customHeight="1" x14ac:dyDescent="0.25">
      <c r="B1977" s="2913"/>
      <c r="C1977" s="4017"/>
      <c r="D1977" s="827"/>
      <c r="E1977" s="666"/>
      <c r="F1977" s="1717"/>
      <c r="G1977" s="5506"/>
      <c r="H1977" s="535"/>
    </row>
    <row r="1978" spans="2:11" ht="17.25" hidden="1" customHeight="1" x14ac:dyDescent="0.25">
      <c r="B1978" s="5397"/>
      <c r="C1978" s="3858" t="s">
        <v>6824</v>
      </c>
      <c r="D1978" s="1546">
        <f>SUM(D1979+D1982+D1986+D1989+D1992)</f>
        <v>1000000000</v>
      </c>
      <c r="E1978" s="1546">
        <f>SUM(E1979+E1982+E1986+E1989+E1992)</f>
        <v>1000000000</v>
      </c>
      <c r="F1978" s="1462">
        <f>E1978/D1978*100</f>
        <v>100</v>
      </c>
      <c r="G1978" s="1726">
        <v>100</v>
      </c>
      <c r="H1978" s="535"/>
      <c r="J1978" s="522">
        <v>1000000000</v>
      </c>
      <c r="K1978" s="522">
        <v>1000000000</v>
      </c>
    </row>
    <row r="1979" spans="2:11" ht="16.5" hidden="1" customHeight="1" x14ac:dyDescent="0.25">
      <c r="B1979" s="2913"/>
      <c r="C1979" s="3893" t="s">
        <v>6825</v>
      </c>
      <c r="D1979" s="966">
        <f>D1980</f>
        <v>200000000</v>
      </c>
      <c r="E1979" s="966">
        <f>E1980</f>
        <v>200000000</v>
      </c>
      <c r="F1979" s="3632">
        <f>E1979/D1979*100</f>
        <v>100</v>
      </c>
      <c r="G1979" s="2380">
        <v>100</v>
      </c>
      <c r="H1979" s="535"/>
    </row>
    <row r="1980" spans="2:11" ht="17.25" hidden="1" customHeight="1" x14ac:dyDescent="0.25">
      <c r="B1980" s="2913"/>
      <c r="C1980" s="3932" t="s">
        <v>6826</v>
      </c>
      <c r="D1980" s="985">
        <v>200000000</v>
      </c>
      <c r="E1980" s="982">
        <v>200000000</v>
      </c>
      <c r="F1980" s="3557">
        <f>E1980/D1980*100</f>
        <v>100</v>
      </c>
      <c r="G1980" s="3648">
        <v>100</v>
      </c>
      <c r="H1980" s="535"/>
    </row>
    <row r="1981" spans="2:11" ht="9" hidden="1" customHeight="1" x14ac:dyDescent="0.25">
      <c r="B1981" s="2913"/>
      <c r="C1981" s="3861"/>
      <c r="D1981" s="1516"/>
      <c r="E1981" s="788"/>
      <c r="F1981" s="2285"/>
      <c r="G1981" s="2285"/>
      <c r="H1981" s="535"/>
    </row>
    <row r="1982" spans="2:11" ht="14.25" hidden="1" customHeight="1" x14ac:dyDescent="0.25">
      <c r="B1982" s="2913"/>
      <c r="C1982" s="3946" t="s">
        <v>6827</v>
      </c>
      <c r="D1982" s="966">
        <f>D1983+D1984</f>
        <v>100000000</v>
      </c>
      <c r="E1982" s="966">
        <f>E1983+E1984</f>
        <v>100000000</v>
      </c>
      <c r="F1982" s="3629">
        <f>E1982/D1982*100</f>
        <v>100</v>
      </c>
      <c r="G1982" s="2261">
        <v>100</v>
      </c>
      <c r="H1982" s="535"/>
    </row>
    <row r="1983" spans="2:11" ht="15.75" hidden="1" customHeight="1" x14ac:dyDescent="0.25">
      <c r="B1983" s="2913"/>
      <c r="C1983" s="3932" t="s">
        <v>6828</v>
      </c>
      <c r="D1983" s="3770">
        <v>50000000</v>
      </c>
      <c r="E1983" s="666">
        <v>50000000</v>
      </c>
      <c r="F1983" s="3557">
        <f>E1983/D1983*100</f>
        <v>100</v>
      </c>
      <c r="G1983" s="1717">
        <v>100</v>
      </c>
      <c r="H1983" s="535"/>
    </row>
    <row r="1984" spans="2:11" ht="18.75" hidden="1" customHeight="1" x14ac:dyDescent="0.25">
      <c r="B1984" s="2913"/>
      <c r="C1984" s="3932" t="s">
        <v>6829</v>
      </c>
      <c r="D1984" s="3770">
        <v>50000000</v>
      </c>
      <c r="E1984" s="3879">
        <v>50000000</v>
      </c>
      <c r="F1984" s="3557">
        <f>E1984/D1984*100</f>
        <v>100</v>
      </c>
      <c r="G1984" s="3630">
        <v>100</v>
      </c>
      <c r="H1984" s="535"/>
    </row>
    <row r="1985" spans="1:11" ht="8.25" hidden="1" customHeight="1" x14ac:dyDescent="0.25">
      <c r="B1985" s="2913"/>
      <c r="C1985" s="3892"/>
      <c r="D1985" s="1550"/>
      <c r="E1985" s="894"/>
      <c r="F1985" s="1315"/>
      <c r="G1985" s="1315"/>
      <c r="H1985" s="535"/>
    </row>
    <row r="1986" spans="1:11" ht="14.25" hidden="1" customHeight="1" x14ac:dyDescent="0.25">
      <c r="B1986" s="2913"/>
      <c r="C1986" s="3946" t="s">
        <v>6830</v>
      </c>
      <c r="D1986" s="966">
        <f>D1987</f>
        <v>200000000</v>
      </c>
      <c r="E1986" s="966">
        <f>E1987</f>
        <v>200000000</v>
      </c>
      <c r="F1986" s="3632">
        <f>E1986/D1986*100</f>
        <v>100</v>
      </c>
      <c r="G1986" s="2261">
        <v>100</v>
      </c>
      <c r="H1986" s="535"/>
    </row>
    <row r="1987" spans="1:11" ht="14.25" hidden="1" customHeight="1" x14ac:dyDescent="0.25">
      <c r="B1987" s="2913"/>
      <c r="C1987" s="3932" t="s">
        <v>772</v>
      </c>
      <c r="D1987" s="3770">
        <v>200000000</v>
      </c>
      <c r="E1987" s="666">
        <v>200000000</v>
      </c>
      <c r="F1987" s="3557">
        <f>E1987/D1987*100</f>
        <v>100</v>
      </c>
      <c r="G1987" s="1717">
        <v>100</v>
      </c>
      <c r="H1987" s="535"/>
    </row>
    <row r="1988" spans="1:11" ht="8.25" hidden="1" customHeight="1" x14ac:dyDescent="0.25">
      <c r="B1988" s="2913"/>
      <c r="C1988" s="3892"/>
      <c r="D1988" s="1550"/>
      <c r="E1988" s="894"/>
      <c r="F1988" s="1315"/>
      <c r="G1988" s="1315"/>
      <c r="H1988" s="535"/>
    </row>
    <row r="1989" spans="1:11" ht="14.25" hidden="1" customHeight="1" x14ac:dyDescent="0.25">
      <c r="B1989" s="2913"/>
      <c r="C1989" s="3946" t="s">
        <v>6831</v>
      </c>
      <c r="D1989" s="966">
        <f>D1990</f>
        <v>100000000</v>
      </c>
      <c r="E1989" s="966">
        <f>E1990</f>
        <v>100000000</v>
      </c>
      <c r="F1989" s="3632">
        <f>E1989/D1989*100</f>
        <v>100</v>
      </c>
      <c r="G1989" s="2261">
        <v>100</v>
      </c>
      <c r="H1989" s="535"/>
    </row>
    <row r="1990" spans="1:11" ht="16.5" hidden="1" customHeight="1" x14ac:dyDescent="0.25">
      <c r="B1990" s="2913"/>
      <c r="C1990" s="3932" t="s">
        <v>6832</v>
      </c>
      <c r="D1990" s="3770">
        <v>100000000</v>
      </c>
      <c r="E1990" s="666">
        <v>100000000</v>
      </c>
      <c r="F1990" s="3557">
        <f>E1990/D1990*100</f>
        <v>100</v>
      </c>
      <c r="G1990" s="1717">
        <v>100</v>
      </c>
      <c r="H1990" s="535"/>
    </row>
    <row r="1991" spans="1:11" ht="9.75" hidden="1" customHeight="1" x14ac:dyDescent="0.25">
      <c r="B1991" s="2913"/>
      <c r="C1991" s="3892"/>
      <c r="D1991" s="1550"/>
      <c r="E1991" s="894"/>
      <c r="F1991" s="1315"/>
      <c r="G1991" s="1315"/>
      <c r="H1991" s="535"/>
    </row>
    <row r="1992" spans="1:11" ht="17.25" hidden="1" customHeight="1" x14ac:dyDescent="0.25">
      <c r="B1992" s="2913"/>
      <c r="C1992" s="3946" t="s">
        <v>6833</v>
      </c>
      <c r="D1992" s="966">
        <f>D1993+D1994+D1995</f>
        <v>400000000</v>
      </c>
      <c r="E1992" s="966">
        <f>E1993+E1994+E1995</f>
        <v>400000000</v>
      </c>
      <c r="F1992" s="3632">
        <f>E1992/D1992*100</f>
        <v>100</v>
      </c>
      <c r="G1992" s="2261">
        <v>100</v>
      </c>
      <c r="H1992" s="535"/>
    </row>
    <row r="1993" spans="1:11" s="219" customFormat="1" ht="14.25" hidden="1" customHeight="1" x14ac:dyDescent="0.25">
      <c r="A1993" s="5391"/>
      <c r="B1993" s="5416"/>
      <c r="C1993" s="3932" t="s">
        <v>6834</v>
      </c>
      <c r="D1993" s="5392">
        <v>200000000</v>
      </c>
      <c r="E1993" s="4179">
        <v>200000000</v>
      </c>
      <c r="F1993" s="5393">
        <f>E1993/D1993*100</f>
        <v>100</v>
      </c>
      <c r="G1993" s="5507">
        <v>100</v>
      </c>
      <c r="H1993" s="5394"/>
      <c r="J1993" s="3338"/>
      <c r="K1993" s="3338"/>
    </row>
    <row r="1994" spans="1:11" ht="15.75" hidden="1" customHeight="1" x14ac:dyDescent="0.25">
      <c r="B1994" s="2913"/>
      <c r="C1994" s="3932" t="s">
        <v>6835</v>
      </c>
      <c r="D1994" s="3770">
        <v>150000000</v>
      </c>
      <c r="E1994" s="3879">
        <v>150000000</v>
      </c>
      <c r="F1994" s="3557">
        <f>E1994/D1994*100</f>
        <v>100</v>
      </c>
      <c r="G1994" s="3630">
        <v>100</v>
      </c>
      <c r="H1994" s="535"/>
    </row>
    <row r="1995" spans="1:11" ht="15" hidden="1" customHeight="1" x14ac:dyDescent="0.25">
      <c r="B1995" s="2913"/>
      <c r="C1995" s="3932" t="s">
        <v>6836</v>
      </c>
      <c r="D1995" s="3770">
        <v>50000000</v>
      </c>
      <c r="E1995" s="3879">
        <v>50000000</v>
      </c>
      <c r="F1995" s="3557">
        <f>E1995/D1995*100</f>
        <v>100</v>
      </c>
      <c r="G1995" s="3630">
        <v>100</v>
      </c>
      <c r="H1995" s="535"/>
    </row>
    <row r="1996" spans="1:11" ht="9.75" hidden="1" customHeight="1" x14ac:dyDescent="0.25">
      <c r="B1996" s="2913"/>
      <c r="C1996" s="3892"/>
      <c r="D1996" s="1550"/>
      <c r="E1996" s="969"/>
      <c r="F1996" s="2279"/>
      <c r="G1996" s="2279"/>
      <c r="H1996" s="535"/>
    </row>
    <row r="1997" spans="1:11" ht="13.5" hidden="1" customHeight="1" x14ac:dyDescent="0.25">
      <c r="B1997" s="5397"/>
      <c r="C1997" s="3858" t="s">
        <v>6837</v>
      </c>
      <c r="D1997" s="1546">
        <f>SUM(D1998+D2001+D2005)</f>
        <v>1000000000</v>
      </c>
      <c r="E1997" s="1546">
        <f>SUM(E1998+E2001+E2005)</f>
        <v>997985000</v>
      </c>
      <c r="F1997" s="1462">
        <f>E1997/D1997*100</f>
        <v>99.798500000000004</v>
      </c>
      <c r="G1997" s="2356">
        <v>100</v>
      </c>
      <c r="H1997" s="535"/>
      <c r="J1997" s="522">
        <v>1000000000</v>
      </c>
      <c r="K1997" s="522">
        <v>1094985000</v>
      </c>
    </row>
    <row r="1998" spans="1:11" ht="18.75" hidden="1" customHeight="1" x14ac:dyDescent="0.25">
      <c r="B1998" s="2913"/>
      <c r="C1998" s="5504" t="s">
        <v>771</v>
      </c>
      <c r="D1998" s="1588">
        <f>D1999</f>
        <v>300000000</v>
      </c>
      <c r="E1998" s="1588">
        <f>E1999</f>
        <v>300000000</v>
      </c>
      <c r="F1998" s="3632">
        <f>E1998/D1998*100</f>
        <v>100</v>
      </c>
      <c r="G1998" s="3632">
        <v>100</v>
      </c>
      <c r="H1998" s="535"/>
    </row>
    <row r="1999" spans="1:11" ht="16.5" hidden="1" customHeight="1" x14ac:dyDescent="0.25">
      <c r="B1999" s="2913"/>
      <c r="C1999" s="3932" t="s">
        <v>6838</v>
      </c>
      <c r="D1999" s="3770">
        <v>300000000</v>
      </c>
      <c r="E1999" s="3770">
        <v>300000000</v>
      </c>
      <c r="F1999" s="3557">
        <f>E1999/D1999*100</f>
        <v>100</v>
      </c>
      <c r="G1999" s="3630">
        <v>100</v>
      </c>
      <c r="H1999" s="535"/>
    </row>
    <row r="2000" spans="1:11" ht="7.5" hidden="1" customHeight="1" x14ac:dyDescent="0.25">
      <c r="B2000" s="2913"/>
      <c r="C2000" s="4104"/>
      <c r="D2000" s="1548"/>
      <c r="E2000" s="894"/>
      <c r="F2000" s="1315"/>
      <c r="G2000" s="1315"/>
      <c r="H2000" s="535"/>
    </row>
    <row r="2001" spans="1:11" ht="29.25" hidden="1" customHeight="1" x14ac:dyDescent="0.25">
      <c r="B2001" s="2913"/>
      <c r="C2001" s="3946" t="s">
        <v>6839</v>
      </c>
      <c r="D2001" s="1379">
        <f>D2002+D2003</f>
        <v>400000000</v>
      </c>
      <c r="E2001" s="1379">
        <f>E2002+E2003</f>
        <v>399000000</v>
      </c>
      <c r="F2001" s="3632">
        <f>E2001/D2001*100</f>
        <v>99.75</v>
      </c>
      <c r="G2001" s="3632">
        <v>100</v>
      </c>
      <c r="H2001" s="535"/>
    </row>
    <row r="2002" spans="1:11" ht="16.5" hidden="1" customHeight="1" x14ac:dyDescent="0.25">
      <c r="B2002" s="2913"/>
      <c r="C2002" s="3932" t="s">
        <v>6840</v>
      </c>
      <c r="D2002" s="3770">
        <v>300000000</v>
      </c>
      <c r="E2002" s="3879">
        <v>299000000</v>
      </c>
      <c r="F2002" s="3557">
        <f>E2002/D2002*100</f>
        <v>99.666666666666671</v>
      </c>
      <c r="G2002" s="3630">
        <v>100</v>
      </c>
      <c r="H2002" s="535"/>
    </row>
    <row r="2003" spans="1:11" ht="17.25" hidden="1" customHeight="1" x14ac:dyDescent="0.25">
      <c r="B2003" s="2913"/>
      <c r="C2003" s="3932" t="s">
        <v>6841</v>
      </c>
      <c r="D2003" s="3770">
        <v>100000000</v>
      </c>
      <c r="E2003" s="3770">
        <v>100000000</v>
      </c>
      <c r="F2003" s="3557">
        <f>E2003/D2003*100</f>
        <v>100</v>
      </c>
      <c r="G2003" s="3630">
        <v>100</v>
      </c>
      <c r="H2003" s="535"/>
    </row>
    <row r="2004" spans="1:11" ht="12" hidden="1" customHeight="1" x14ac:dyDescent="0.25">
      <c r="B2004" s="2913"/>
      <c r="C2004" s="4104"/>
      <c r="D2004" s="1548"/>
      <c r="E2004" s="894"/>
      <c r="F2004" s="1315"/>
      <c r="G2004" s="1315"/>
      <c r="H2004" s="535"/>
    </row>
    <row r="2005" spans="1:11" ht="18" hidden="1" customHeight="1" x14ac:dyDescent="0.25">
      <c r="B2005" s="2913"/>
      <c r="C2005" s="3946" t="s">
        <v>6842</v>
      </c>
      <c r="D2005" s="966">
        <f>D2006+D2007</f>
        <v>300000000</v>
      </c>
      <c r="E2005" s="966">
        <f>E2006+E2007</f>
        <v>298985000</v>
      </c>
      <c r="F2005" s="3632">
        <f>E2005/D2005*100</f>
        <v>99.661666666666676</v>
      </c>
      <c r="G2005" s="673">
        <v>100</v>
      </c>
      <c r="H2005" s="535"/>
    </row>
    <row r="2006" spans="1:11" ht="17.25" hidden="1" customHeight="1" x14ac:dyDescent="0.25">
      <c r="B2006" s="2913"/>
      <c r="C2006" s="3932" t="s">
        <v>6843</v>
      </c>
      <c r="D2006" s="3770">
        <v>200000000</v>
      </c>
      <c r="E2006" s="1818">
        <v>199185000</v>
      </c>
      <c r="F2006" s="3557">
        <f>E2006/D2006*100</f>
        <v>99.592500000000001</v>
      </c>
      <c r="G2006" s="666">
        <v>100</v>
      </c>
      <c r="H2006" s="535"/>
    </row>
    <row r="2007" spans="1:11" ht="14.25" hidden="1" customHeight="1" x14ac:dyDescent="0.25">
      <c r="B2007" s="2913"/>
      <c r="C2007" s="3932" t="s">
        <v>6844</v>
      </c>
      <c r="D2007" s="3770">
        <v>100000000</v>
      </c>
      <c r="E2007" s="3879">
        <v>99800000</v>
      </c>
      <c r="F2007" s="3557">
        <f>E2007/D2007*100</f>
        <v>99.8</v>
      </c>
      <c r="G2007" s="666">
        <v>100</v>
      </c>
      <c r="H2007" s="535"/>
    </row>
    <row r="2008" spans="1:11" ht="12" hidden="1" customHeight="1" x14ac:dyDescent="0.25">
      <c r="B2008" s="2913"/>
      <c r="C2008" s="3332"/>
      <c r="D2008" s="1516"/>
      <c r="E2008" s="788"/>
      <c r="F2008" s="2285"/>
      <c r="G2008" s="2285"/>
      <c r="H2008" s="536"/>
    </row>
    <row r="2009" spans="1:11" ht="17.25" hidden="1" customHeight="1" x14ac:dyDescent="0.25">
      <c r="B2009" s="5397"/>
      <c r="C2009" s="3858" t="s">
        <v>6845</v>
      </c>
      <c r="D2009" s="1546">
        <f>D2010</f>
        <v>400000000</v>
      </c>
      <c r="E2009" s="1546">
        <f>E2010</f>
        <v>382900000</v>
      </c>
      <c r="F2009" s="1462">
        <f>E2009/D2009*100</f>
        <v>95.725000000000009</v>
      </c>
      <c r="G2009" s="2356">
        <v>100</v>
      </c>
      <c r="H2009" s="578"/>
      <c r="J2009" s="522">
        <v>400000000</v>
      </c>
      <c r="K2009" s="522">
        <v>382900000</v>
      </c>
    </row>
    <row r="2010" spans="1:11" ht="15.75" hidden="1" customHeight="1" x14ac:dyDescent="0.25">
      <c r="B2010" s="2913"/>
      <c r="C2010" s="3881" t="s">
        <v>6846</v>
      </c>
      <c r="D2010" s="1554">
        <f>D2011</f>
        <v>400000000</v>
      </c>
      <c r="E2010" s="1554">
        <f>E2011</f>
        <v>382900000</v>
      </c>
      <c r="F2010" s="3632">
        <f>E2010/D2010*100</f>
        <v>95.725000000000009</v>
      </c>
      <c r="G2010" s="3632">
        <v>100</v>
      </c>
      <c r="H2010" s="4110"/>
    </row>
    <row r="2011" spans="1:11" ht="16.5" hidden="1" customHeight="1" x14ac:dyDescent="0.25">
      <c r="B2011" s="2913"/>
      <c r="C2011" s="4104" t="s">
        <v>6847</v>
      </c>
      <c r="D2011" s="1548">
        <v>400000000</v>
      </c>
      <c r="E2011" s="666">
        <v>382900000</v>
      </c>
      <c r="F2011" s="3557">
        <f>E2011/D2011*100</f>
        <v>95.725000000000009</v>
      </c>
      <c r="G2011" s="3630">
        <v>100</v>
      </c>
      <c r="H2011" s="4109"/>
    </row>
    <row r="2012" spans="1:11" ht="12" hidden="1" customHeight="1" x14ac:dyDescent="0.25">
      <c r="B2012" s="2913"/>
      <c r="C2012" s="3332"/>
      <c r="D2012" s="1516"/>
      <c r="E2012" s="788"/>
      <c r="F2012" s="2285"/>
      <c r="G2012" s="1315"/>
      <c r="H2012" s="536"/>
    </row>
    <row r="2013" spans="1:11" s="303" customFormat="1" ht="15.75" hidden="1" customHeight="1" x14ac:dyDescent="0.25">
      <c r="A2013" s="3005"/>
      <c r="B2013" s="5397"/>
      <c r="C2013" s="3858" t="s">
        <v>6848</v>
      </c>
      <c r="D2013" s="998">
        <f>SUM(D2014+D2017+D2020+D2024+D2027)</f>
        <v>1000000000</v>
      </c>
      <c r="E2013" s="998">
        <f>SUM(E2014+E2017+E2020+E2024+E2027)</f>
        <v>986895000</v>
      </c>
      <c r="F2013" s="1462">
        <f>E2013/D2013*100</f>
        <v>98.689499999999995</v>
      </c>
      <c r="G2013" s="2356">
        <v>100</v>
      </c>
      <c r="H2013" s="5427"/>
      <c r="J2013" s="522">
        <v>1000000000</v>
      </c>
      <c r="K2013" s="522">
        <v>1086589000</v>
      </c>
    </row>
    <row r="2014" spans="1:11" s="303" customFormat="1" ht="15" hidden="1" customHeight="1" x14ac:dyDescent="0.25">
      <c r="A2014" s="3005"/>
      <c r="B2014" s="2913"/>
      <c r="C2014" s="4014" t="s">
        <v>6849</v>
      </c>
      <c r="D2014" s="1585">
        <f>D2015</f>
        <v>500000000</v>
      </c>
      <c r="E2014" s="1585">
        <f>E2015</f>
        <v>500000000</v>
      </c>
      <c r="F2014" s="3632">
        <f>E2014/D2014*100</f>
        <v>100</v>
      </c>
      <c r="G2014" s="3632">
        <v>100</v>
      </c>
      <c r="H2014" s="3329"/>
      <c r="J2014" s="522"/>
      <c r="K2014" s="522"/>
    </row>
    <row r="2015" spans="1:11" s="303" customFormat="1" ht="17.25" hidden="1" customHeight="1" x14ac:dyDescent="0.25">
      <c r="A2015" s="3005"/>
      <c r="B2015" s="2913"/>
      <c r="C2015" s="3932" t="s">
        <v>6850</v>
      </c>
      <c r="D2015" s="3770">
        <v>500000000</v>
      </c>
      <c r="E2015" s="3768">
        <v>500000000</v>
      </c>
      <c r="F2015" s="3557">
        <f>E2015/D2015*100</f>
        <v>100</v>
      </c>
      <c r="G2015" s="3630">
        <v>100</v>
      </c>
      <c r="H2015" s="554"/>
      <c r="J2015" s="522"/>
      <c r="K2015" s="522"/>
    </row>
    <row r="2016" spans="1:11" s="303" customFormat="1" ht="9" hidden="1" customHeight="1" x14ac:dyDescent="0.25">
      <c r="A2016" s="3005"/>
      <c r="B2016" s="2913"/>
      <c r="C2016" s="5508"/>
      <c r="D2016" s="988"/>
      <c r="E2016" s="894"/>
      <c r="F2016" s="1717"/>
      <c r="G2016" s="1315"/>
      <c r="H2016" s="554"/>
      <c r="J2016" s="522"/>
      <c r="K2016" s="522"/>
    </row>
    <row r="2017" spans="1:11" s="303" customFormat="1" ht="16.5" hidden="1" customHeight="1" x14ac:dyDescent="0.25">
      <c r="A2017" s="3005"/>
      <c r="B2017" s="2913"/>
      <c r="C2017" s="3946" t="s">
        <v>6851</v>
      </c>
      <c r="D2017" s="966">
        <f>D2018</f>
        <v>100000000</v>
      </c>
      <c r="E2017" s="966">
        <f>E2018</f>
        <v>100000000</v>
      </c>
      <c r="F2017" s="3632">
        <f>E2017/D2017*100</f>
        <v>100</v>
      </c>
      <c r="G2017" s="1415">
        <v>100</v>
      </c>
      <c r="H2017" s="554"/>
      <c r="J2017" s="522"/>
      <c r="K2017" s="522"/>
    </row>
    <row r="2018" spans="1:11" s="303" customFormat="1" ht="18" hidden="1" customHeight="1" x14ac:dyDescent="0.25">
      <c r="A2018" s="3005"/>
      <c r="B2018" s="2913"/>
      <c r="C2018" s="3932" t="s">
        <v>6852</v>
      </c>
      <c r="D2018" s="3770">
        <v>100000000</v>
      </c>
      <c r="E2018" s="3768">
        <v>100000000</v>
      </c>
      <c r="F2018" s="3557">
        <f>E2018/D2018*100</f>
        <v>100</v>
      </c>
      <c r="G2018" s="880">
        <v>100</v>
      </c>
      <c r="H2018" s="554"/>
      <c r="J2018" s="522"/>
      <c r="K2018" s="522"/>
    </row>
    <row r="2019" spans="1:11" s="303" customFormat="1" ht="11.25" hidden="1" customHeight="1" x14ac:dyDescent="0.25">
      <c r="A2019" s="3005"/>
      <c r="B2019" s="2913"/>
      <c r="C2019" s="5508"/>
      <c r="D2019" s="988"/>
      <c r="E2019" s="894"/>
      <c r="F2019" s="1717"/>
      <c r="G2019" s="1315"/>
      <c r="H2019" s="554"/>
      <c r="J2019" s="522"/>
      <c r="K2019" s="522"/>
    </row>
    <row r="2020" spans="1:11" s="303" customFormat="1" ht="15.75" hidden="1" customHeight="1" x14ac:dyDescent="0.25">
      <c r="A2020" s="3005"/>
      <c r="B2020" s="2913"/>
      <c r="C2020" s="3946" t="s">
        <v>773</v>
      </c>
      <c r="D2020" s="966">
        <f>D2021+D2022</f>
        <v>250000000</v>
      </c>
      <c r="E2020" s="966">
        <f>E2021+E2022</f>
        <v>237895000</v>
      </c>
      <c r="F2020" s="3632">
        <f>E2020/D2020*100</f>
        <v>95.158000000000001</v>
      </c>
      <c r="G2020" s="3632">
        <v>100</v>
      </c>
      <c r="H2020" s="554"/>
      <c r="J2020" s="522"/>
      <c r="K2020" s="522"/>
    </row>
    <row r="2021" spans="1:11" s="303" customFormat="1" ht="15.75" hidden="1" customHeight="1" x14ac:dyDescent="0.25">
      <c r="A2021" s="3005"/>
      <c r="B2021" s="2913"/>
      <c r="C2021" s="3932" t="s">
        <v>6853</v>
      </c>
      <c r="D2021" s="3770">
        <v>100000000</v>
      </c>
      <c r="E2021" s="3770">
        <v>100000000</v>
      </c>
      <c r="F2021" s="3557">
        <f>E2021/D2021*100</f>
        <v>100</v>
      </c>
      <c r="G2021" s="3630">
        <v>100</v>
      </c>
      <c r="H2021" s="554"/>
      <c r="J2021" s="522"/>
      <c r="K2021" s="522"/>
    </row>
    <row r="2022" spans="1:11" s="303" customFormat="1" ht="15.75" hidden="1" customHeight="1" x14ac:dyDescent="0.25">
      <c r="A2022" s="3005"/>
      <c r="B2022" s="2913"/>
      <c r="C2022" s="3932" t="s">
        <v>6854</v>
      </c>
      <c r="D2022" s="3770">
        <v>150000000</v>
      </c>
      <c r="E2022" s="3879">
        <v>137895000</v>
      </c>
      <c r="F2022" s="3557">
        <f>E2022/D2022*100</f>
        <v>91.93</v>
      </c>
      <c r="G2022" s="3630">
        <v>100</v>
      </c>
      <c r="H2022" s="554"/>
      <c r="J2022" s="522"/>
      <c r="K2022" s="522"/>
    </row>
    <row r="2023" spans="1:11" s="303" customFormat="1" ht="11.25" hidden="1" customHeight="1" x14ac:dyDescent="0.25">
      <c r="A2023" s="3005"/>
      <c r="B2023" s="2913"/>
      <c r="C2023" s="5508"/>
      <c r="D2023" s="988"/>
      <c r="E2023" s="894"/>
      <c r="F2023" s="1717"/>
      <c r="G2023" s="1315"/>
      <c r="H2023" s="554"/>
      <c r="J2023" s="522"/>
      <c r="K2023" s="522"/>
    </row>
    <row r="2024" spans="1:11" s="303" customFormat="1" ht="17.25" hidden="1" customHeight="1" x14ac:dyDescent="0.25">
      <c r="A2024" s="3005"/>
      <c r="B2024" s="2913"/>
      <c r="C2024" s="1299" t="s">
        <v>6855</v>
      </c>
      <c r="D2024" s="966">
        <f>D2025</f>
        <v>100000000</v>
      </c>
      <c r="E2024" s="966">
        <f>E2025</f>
        <v>99000000</v>
      </c>
      <c r="F2024" s="3632">
        <f>E2024/D2024*100</f>
        <v>99</v>
      </c>
      <c r="G2024" s="3632">
        <v>100</v>
      </c>
      <c r="H2024" s="554"/>
      <c r="J2024" s="522"/>
      <c r="K2024" s="522"/>
    </row>
    <row r="2025" spans="1:11" s="303" customFormat="1" ht="15" hidden="1" customHeight="1" x14ac:dyDescent="0.25">
      <c r="A2025" s="3005"/>
      <c r="B2025" s="2913"/>
      <c r="C2025" s="3932" t="s">
        <v>6856</v>
      </c>
      <c r="D2025" s="3770">
        <v>100000000</v>
      </c>
      <c r="E2025" s="3879">
        <v>99000000</v>
      </c>
      <c r="F2025" s="3557">
        <f>E2025/D2025*100</f>
        <v>99</v>
      </c>
      <c r="G2025" s="3630">
        <v>100</v>
      </c>
      <c r="H2025" s="554"/>
      <c r="J2025" s="522"/>
      <c r="K2025" s="522"/>
    </row>
    <row r="2026" spans="1:11" s="303" customFormat="1" ht="11.25" hidden="1" customHeight="1" x14ac:dyDescent="0.25">
      <c r="A2026" s="3005"/>
      <c r="B2026" s="2913"/>
      <c r="C2026" s="5508"/>
      <c r="D2026" s="988"/>
      <c r="E2026" s="894"/>
      <c r="F2026" s="1717"/>
      <c r="G2026" s="1315"/>
      <c r="H2026" s="554"/>
      <c r="J2026" s="522"/>
      <c r="K2026" s="522"/>
    </row>
    <row r="2027" spans="1:11" s="303" customFormat="1" ht="17.25" hidden="1" customHeight="1" x14ac:dyDescent="0.25">
      <c r="A2027" s="3005"/>
      <c r="B2027" s="2913"/>
      <c r="C2027" s="1299" t="s">
        <v>774</v>
      </c>
      <c r="D2027" s="966">
        <f>D2028</f>
        <v>50000000</v>
      </c>
      <c r="E2027" s="966">
        <f>E2028</f>
        <v>50000000</v>
      </c>
      <c r="F2027" s="3632">
        <f>E2027/D2027*100</f>
        <v>100</v>
      </c>
      <c r="G2027" s="3632">
        <v>100</v>
      </c>
      <c r="H2027" s="554"/>
      <c r="J2027" s="522"/>
      <c r="K2027" s="522"/>
    </row>
    <row r="2028" spans="1:11" s="303" customFormat="1" ht="12.75" hidden="1" customHeight="1" x14ac:dyDescent="0.25">
      <c r="A2028" s="3005"/>
      <c r="B2028" s="2913"/>
      <c r="C2028" s="3932" t="s">
        <v>776</v>
      </c>
      <c r="D2028" s="3770">
        <v>50000000</v>
      </c>
      <c r="E2028" s="3879">
        <v>50000000</v>
      </c>
      <c r="F2028" s="3557">
        <f>E2028/D2028*100</f>
        <v>100</v>
      </c>
      <c r="G2028" s="3630">
        <v>100</v>
      </c>
      <c r="H2028" s="554"/>
      <c r="J2028" s="522"/>
      <c r="K2028" s="522"/>
    </row>
    <row r="2029" spans="1:11" ht="11.25" hidden="1" customHeight="1" x14ac:dyDescent="0.25">
      <c r="B2029" s="2913"/>
      <c r="C2029" s="5508"/>
      <c r="D2029" s="988"/>
      <c r="E2029" s="973"/>
      <c r="F2029" s="1717"/>
      <c r="G2029" s="1315"/>
      <c r="H2029" s="535"/>
    </row>
    <row r="2030" spans="1:11" ht="16.5" hidden="1" customHeight="1" x14ac:dyDescent="0.25">
      <c r="B2030" s="5397"/>
      <c r="C2030" s="3858" t="s">
        <v>6857</v>
      </c>
      <c r="D2030" s="1546">
        <f>SUM(D2031+D2036+D2041+D2045+D2049+D2054)</f>
        <v>2951000000</v>
      </c>
      <c r="E2030" s="1546">
        <f>SUM(E2031+E2036+E2041+E2045+E2049+E2054)</f>
        <v>2806400000</v>
      </c>
      <c r="F2030" s="1462">
        <f>E2030/D2030*100</f>
        <v>95.099966113181978</v>
      </c>
      <c r="G2030" s="2356">
        <f>SUM(G2031+G2036+G2041+G2045+G2049+G2054)/6</f>
        <v>99.444444444444457</v>
      </c>
      <c r="H2030" s="535"/>
    </row>
    <row r="2031" spans="1:11" ht="16.5" hidden="1" customHeight="1" x14ac:dyDescent="0.25">
      <c r="B2031" s="2913"/>
      <c r="C2031" s="3946" t="s">
        <v>332</v>
      </c>
      <c r="D2031" s="966">
        <f>SUM(D2032:D2034)</f>
        <v>275000000</v>
      </c>
      <c r="E2031" s="966">
        <f>SUM(E2032:E2034)</f>
        <v>275000000</v>
      </c>
      <c r="F2031" s="3632">
        <f>E2031/D2031*100</f>
        <v>100</v>
      </c>
      <c r="G2031" s="2562">
        <v>100</v>
      </c>
      <c r="H2031" s="535"/>
    </row>
    <row r="2032" spans="1:11" ht="14.25" hidden="1" customHeight="1" x14ac:dyDescent="0.25">
      <c r="B2032" s="2913"/>
      <c r="C2032" s="3932" t="s">
        <v>6858</v>
      </c>
      <c r="D2032" s="3770">
        <v>100000000</v>
      </c>
      <c r="E2032" s="3768">
        <v>100000000</v>
      </c>
      <c r="F2032" s="3557">
        <f>E2032/D2032*100</f>
        <v>100</v>
      </c>
      <c r="G2032" s="1717">
        <v>100</v>
      </c>
      <c r="H2032" s="535"/>
    </row>
    <row r="2033" spans="2:8" ht="14.25" hidden="1" customHeight="1" x14ac:dyDescent="0.25">
      <c r="B2033" s="2913"/>
      <c r="C2033" s="3932" t="s">
        <v>6859</v>
      </c>
      <c r="D2033" s="3770">
        <v>100000000</v>
      </c>
      <c r="E2033" s="3768">
        <v>100000000</v>
      </c>
      <c r="F2033" s="3557">
        <f>E2033/D2033*100</f>
        <v>100</v>
      </c>
      <c r="G2033" s="1717">
        <v>100</v>
      </c>
      <c r="H2033" s="535"/>
    </row>
    <row r="2034" spans="2:8" ht="18" hidden="1" customHeight="1" x14ac:dyDescent="0.25">
      <c r="B2034" s="2913"/>
      <c r="C2034" s="3932" t="s">
        <v>6860</v>
      </c>
      <c r="D2034" s="3770">
        <v>75000000</v>
      </c>
      <c r="E2034" s="3768">
        <v>75000000</v>
      </c>
      <c r="F2034" s="3557">
        <f>E2034/D2034*100</f>
        <v>100</v>
      </c>
      <c r="G2034" s="1717">
        <v>100</v>
      </c>
      <c r="H2034" s="535"/>
    </row>
    <row r="2035" spans="2:8" ht="12" hidden="1" customHeight="1" x14ac:dyDescent="0.25">
      <c r="B2035" s="2913"/>
      <c r="C2035" s="4104"/>
      <c r="D2035" s="972"/>
      <c r="E2035" s="3768"/>
      <c r="F2035" s="1717"/>
      <c r="G2035" s="1315"/>
      <c r="H2035" s="535"/>
    </row>
    <row r="2036" spans="2:8" ht="15.75" hidden="1" customHeight="1" x14ac:dyDescent="0.25">
      <c r="B2036" s="2913"/>
      <c r="C2036" s="4116" t="s">
        <v>6861</v>
      </c>
      <c r="D2036" s="966">
        <f>SUM(D2037:D2039)</f>
        <v>1200000000</v>
      </c>
      <c r="E2036" s="966">
        <f>SUM(E2037:E2039)</f>
        <v>1056750000</v>
      </c>
      <c r="F2036" s="3632">
        <f>E2036/D2036*100</f>
        <v>88.0625</v>
      </c>
      <c r="G2036" s="2562">
        <f>SUM(G2037:G2039)/3</f>
        <v>96.666666666666671</v>
      </c>
      <c r="H2036" s="535"/>
    </row>
    <row r="2037" spans="2:8" ht="14.25" hidden="1" customHeight="1" x14ac:dyDescent="0.25">
      <c r="B2037" s="2913"/>
      <c r="C2037" s="3932" t="s">
        <v>6862</v>
      </c>
      <c r="D2037" s="3770">
        <v>500000000</v>
      </c>
      <c r="E2037" s="3879">
        <v>498400000</v>
      </c>
      <c r="F2037" s="3557">
        <f>E2037/D2037*100</f>
        <v>99.68</v>
      </c>
      <c r="G2037" s="1717">
        <v>100</v>
      </c>
      <c r="H2037" s="535"/>
    </row>
    <row r="2038" spans="2:8" ht="14.25" hidden="1" customHeight="1" x14ac:dyDescent="0.25">
      <c r="B2038" s="2913"/>
      <c r="C2038" s="3932" t="s">
        <v>6863</v>
      </c>
      <c r="D2038" s="3770">
        <v>300000000</v>
      </c>
      <c r="E2038" s="865">
        <v>299000000</v>
      </c>
      <c r="F2038" s="3557">
        <f>E2038/D2038*100</f>
        <v>99.666666666666671</v>
      </c>
      <c r="G2038" s="1717">
        <v>100</v>
      </c>
      <c r="H2038" s="535"/>
    </row>
    <row r="2039" spans="2:8" ht="15.75" hidden="1" customHeight="1" x14ac:dyDescent="0.25">
      <c r="B2039" s="2913"/>
      <c r="C2039" s="3932" t="s">
        <v>6864</v>
      </c>
      <c r="D2039" s="3770">
        <v>400000000</v>
      </c>
      <c r="E2039" s="865">
        <v>259350000</v>
      </c>
      <c r="F2039" s="3557">
        <f>E2039/D2039*100</f>
        <v>64.837500000000006</v>
      </c>
      <c r="G2039" s="1717">
        <v>90</v>
      </c>
      <c r="H2039" s="535"/>
    </row>
    <row r="2040" spans="2:8" ht="12" hidden="1" customHeight="1" x14ac:dyDescent="0.25">
      <c r="B2040" s="2913"/>
      <c r="C2040" s="5509"/>
      <c r="D2040" s="988"/>
      <c r="E2040" s="865"/>
      <c r="F2040" s="3553"/>
      <c r="G2040" s="3553"/>
      <c r="H2040" s="535"/>
    </row>
    <row r="2041" spans="2:8" ht="15.75" hidden="1" customHeight="1" x14ac:dyDescent="0.25">
      <c r="B2041" s="2913"/>
      <c r="C2041" s="3946" t="s">
        <v>6865</v>
      </c>
      <c r="D2041" s="966">
        <f>D2042+D2043</f>
        <v>150000000</v>
      </c>
      <c r="E2041" s="966">
        <f>E2042+E2043</f>
        <v>150000000</v>
      </c>
      <c r="F2041" s="3629">
        <f>E2041/D2041*100</f>
        <v>100</v>
      </c>
      <c r="G2041" s="2261">
        <v>100</v>
      </c>
      <c r="H2041" s="535"/>
    </row>
    <row r="2042" spans="2:8" ht="15.75" hidden="1" customHeight="1" x14ac:dyDescent="0.25">
      <c r="B2042" s="2913"/>
      <c r="C2042" s="3932" t="s">
        <v>6952</v>
      </c>
      <c r="D2042" s="972">
        <v>100000000</v>
      </c>
      <c r="E2042" s="979">
        <v>100000000</v>
      </c>
      <c r="F2042" s="3557">
        <f>E2042/D2042*100</f>
        <v>100</v>
      </c>
      <c r="G2042" s="1717">
        <v>100</v>
      </c>
      <c r="H2042" s="535"/>
    </row>
    <row r="2043" spans="2:8" ht="18" hidden="1" customHeight="1" x14ac:dyDescent="0.25">
      <c r="B2043" s="2913"/>
      <c r="C2043" s="3884" t="s">
        <v>6866</v>
      </c>
      <c r="D2043" s="3770">
        <v>50000000</v>
      </c>
      <c r="E2043" s="3768">
        <v>50000000</v>
      </c>
      <c r="F2043" s="3557">
        <f>E2043/D2043*100</f>
        <v>100</v>
      </c>
      <c r="G2043" s="1717">
        <v>100</v>
      </c>
      <c r="H2043" s="535"/>
    </row>
    <row r="2044" spans="2:8" ht="10.5" hidden="1" customHeight="1" x14ac:dyDescent="0.25">
      <c r="B2044" s="2913"/>
      <c r="C2044" s="4073"/>
      <c r="D2044" s="972"/>
      <c r="E2044" s="865"/>
      <c r="F2044" s="3553"/>
      <c r="G2044" s="1717"/>
      <c r="H2044" s="535"/>
    </row>
    <row r="2045" spans="2:8" ht="15.75" hidden="1" customHeight="1" x14ac:dyDescent="0.25">
      <c r="B2045" s="2913"/>
      <c r="C2045" s="3946" t="s">
        <v>6867</v>
      </c>
      <c r="D2045" s="966">
        <f>D2046+D2047</f>
        <v>176000000</v>
      </c>
      <c r="E2045" s="966">
        <f>E2046+E2047</f>
        <v>175200000</v>
      </c>
      <c r="F2045" s="3632">
        <f>E2045/D2045*100</f>
        <v>99.545454545454547</v>
      </c>
      <c r="G2045" s="2275">
        <v>100</v>
      </c>
      <c r="H2045" s="535"/>
    </row>
    <row r="2046" spans="2:8" ht="17.25" hidden="1" customHeight="1" x14ac:dyDescent="0.25">
      <c r="B2046" s="2913"/>
      <c r="C2046" s="3932" t="s">
        <v>6868</v>
      </c>
      <c r="D2046" s="3770">
        <v>100000000</v>
      </c>
      <c r="E2046" s="865">
        <v>100000000</v>
      </c>
      <c r="F2046" s="3557">
        <f>E2046/D2046*100</f>
        <v>100</v>
      </c>
      <c r="G2046" s="3553">
        <v>100</v>
      </c>
      <c r="H2046" s="535"/>
    </row>
    <row r="2047" spans="2:8" ht="29.25" hidden="1" customHeight="1" x14ac:dyDescent="0.25">
      <c r="B2047" s="2913"/>
      <c r="C2047" s="3932" t="s">
        <v>6869</v>
      </c>
      <c r="D2047" s="971">
        <v>76000000</v>
      </c>
      <c r="E2047" s="865">
        <v>75200000</v>
      </c>
      <c r="F2047" s="3557">
        <f>E2047/D2047*100</f>
        <v>98.94736842105263</v>
      </c>
      <c r="G2047" s="3553">
        <v>100</v>
      </c>
      <c r="H2047" s="535"/>
    </row>
    <row r="2048" spans="2:8" ht="7.5" hidden="1" customHeight="1" x14ac:dyDescent="0.25">
      <c r="B2048" s="2913"/>
      <c r="C2048" s="5431"/>
      <c r="D2048" s="988"/>
      <c r="E2048" s="865"/>
      <c r="F2048" s="3553"/>
      <c r="G2048" s="3553"/>
      <c r="H2048" s="535"/>
    </row>
    <row r="2049" spans="2:8" ht="27.75" hidden="1" customHeight="1" x14ac:dyDescent="0.25">
      <c r="B2049" s="2913"/>
      <c r="C2049" s="3946" t="s">
        <v>6870</v>
      </c>
      <c r="D2049" s="1379">
        <f>SUM(D2050:D2052)</f>
        <v>900000000</v>
      </c>
      <c r="E2049" s="1379">
        <f>SUM(E2050:E2052)</f>
        <v>899950000</v>
      </c>
      <c r="F2049" s="3629">
        <f>E2049/D2049*100</f>
        <v>99.99444444444444</v>
      </c>
      <c r="G2049" s="2275">
        <v>100</v>
      </c>
      <c r="H2049" s="535"/>
    </row>
    <row r="2050" spans="2:8" ht="15.75" hidden="1" customHeight="1" x14ac:dyDescent="0.25">
      <c r="B2050" s="2913"/>
      <c r="C2050" s="3932" t="s">
        <v>6871</v>
      </c>
      <c r="D2050" s="3770">
        <v>450000000</v>
      </c>
      <c r="E2050" s="3768">
        <v>450000000</v>
      </c>
      <c r="F2050" s="3557">
        <f>E2050/D2050*100</f>
        <v>100</v>
      </c>
      <c r="G2050" s="3553">
        <v>100</v>
      </c>
      <c r="H2050" s="535"/>
    </row>
    <row r="2051" spans="2:8" ht="16.5" hidden="1" customHeight="1" x14ac:dyDescent="0.25">
      <c r="B2051" s="2913"/>
      <c r="C2051" s="3932" t="s">
        <v>6872</v>
      </c>
      <c r="D2051" s="3770">
        <v>350000000</v>
      </c>
      <c r="E2051" s="865">
        <v>350000000</v>
      </c>
      <c r="F2051" s="3557">
        <f>E2051/D2051*100</f>
        <v>100</v>
      </c>
      <c r="G2051" s="3553">
        <v>100</v>
      </c>
      <c r="H2051" s="535"/>
    </row>
    <row r="2052" spans="2:8" ht="21" hidden="1" customHeight="1" x14ac:dyDescent="0.25">
      <c r="B2052" s="2913"/>
      <c r="C2052" s="3932" t="s">
        <v>6873</v>
      </c>
      <c r="D2052" s="3770">
        <v>100000000</v>
      </c>
      <c r="E2052" s="865">
        <v>99950000</v>
      </c>
      <c r="F2052" s="3557">
        <f>E2052/D2052*100</f>
        <v>99.95</v>
      </c>
      <c r="G2052" s="3553">
        <v>100</v>
      </c>
      <c r="H2052" s="535"/>
    </row>
    <row r="2053" spans="2:8" ht="9.75" hidden="1" customHeight="1" x14ac:dyDescent="0.25">
      <c r="B2053" s="2913"/>
      <c r="C2053" s="5510"/>
      <c r="D2053" s="1410"/>
      <c r="E2053" s="865"/>
      <c r="F2053" s="3553"/>
      <c r="G2053" s="3553"/>
      <c r="H2053" s="535"/>
    </row>
    <row r="2054" spans="2:8" ht="17.25" hidden="1" customHeight="1" x14ac:dyDescent="0.25">
      <c r="B2054" s="2913"/>
      <c r="C2054" s="3946" t="s">
        <v>6874</v>
      </c>
      <c r="D2054" s="966">
        <f>D2055+D2056</f>
        <v>250000000</v>
      </c>
      <c r="E2054" s="966">
        <f>E2055+E2056</f>
        <v>249500000</v>
      </c>
      <c r="F2054" s="3632">
        <f>E2054/D2054*100</f>
        <v>99.8</v>
      </c>
      <c r="G2054" s="2275">
        <v>100</v>
      </c>
      <c r="H2054" s="535"/>
    </row>
    <row r="2055" spans="2:8" ht="15.75" hidden="1" customHeight="1" x14ac:dyDescent="0.25">
      <c r="B2055" s="2913"/>
      <c r="C2055" s="3932" t="s">
        <v>6875</v>
      </c>
      <c r="D2055" s="3770">
        <v>100000000</v>
      </c>
      <c r="E2055" s="865">
        <v>100000000</v>
      </c>
      <c r="F2055" s="3557">
        <f>E2055/D2055*100</f>
        <v>100</v>
      </c>
      <c r="G2055" s="3553">
        <v>100</v>
      </c>
      <c r="H2055" s="535"/>
    </row>
    <row r="2056" spans="2:8" ht="28.5" hidden="1" customHeight="1" x14ac:dyDescent="0.25">
      <c r="B2056" s="2913"/>
      <c r="C2056" s="3932" t="s">
        <v>6876</v>
      </c>
      <c r="D2056" s="971">
        <v>150000000</v>
      </c>
      <c r="E2056" s="3879">
        <v>149500000</v>
      </c>
      <c r="F2056" s="3557">
        <f>E2056/D2056*100</f>
        <v>99.666666666666671</v>
      </c>
      <c r="G2056" s="3553">
        <v>100</v>
      </c>
      <c r="H2056" s="535"/>
    </row>
    <row r="2057" spans="2:8" ht="12" hidden="1" customHeight="1" x14ac:dyDescent="0.25">
      <c r="B2057" s="2913"/>
      <c r="C2057" s="3873"/>
      <c r="D2057" s="1516"/>
      <c r="E2057" s="788"/>
      <c r="F2057" s="2285"/>
      <c r="G2057" s="2285"/>
      <c r="H2057" s="535"/>
    </row>
    <row r="2058" spans="2:8" ht="15.75" hidden="1" customHeight="1" x14ac:dyDescent="0.25">
      <c r="B2058" s="5397"/>
      <c r="C2058" s="3858" t="s">
        <v>6877</v>
      </c>
      <c r="D2058" s="992">
        <f>SUM(D2059+D2070)</f>
        <v>7650000000</v>
      </c>
      <c r="E2058" s="992">
        <f>SUM(E2059+E2070)</f>
        <v>7215900000</v>
      </c>
      <c r="F2058" s="1462">
        <f t="shared" ref="F2058:F2068" si="46">E2058/D2058*100</f>
        <v>94.325490196078434</v>
      </c>
      <c r="G2058" s="2356">
        <f>SUM(G2059+G2070)/2</f>
        <v>100</v>
      </c>
      <c r="H2058" s="535"/>
    </row>
    <row r="2059" spans="2:8" ht="17.25" hidden="1" customHeight="1" x14ac:dyDescent="0.25">
      <c r="B2059" s="2913"/>
      <c r="C2059" s="4116" t="s">
        <v>6616</v>
      </c>
      <c r="D2059" s="1423">
        <f>SUM(D2060:D2068)</f>
        <v>7300000000</v>
      </c>
      <c r="E2059" s="1423">
        <f>SUM(E2060:E2068)</f>
        <v>6865900000</v>
      </c>
      <c r="F2059" s="3632">
        <f t="shared" si="46"/>
        <v>94.053424657534251</v>
      </c>
      <c r="G2059" s="2261">
        <f>SUM(G2060:G2068)/9</f>
        <v>100</v>
      </c>
      <c r="H2059" s="535"/>
    </row>
    <row r="2060" spans="2:8" ht="13.5" hidden="1" customHeight="1" x14ac:dyDescent="0.25">
      <c r="B2060" s="2913"/>
      <c r="C2060" s="3932" t="s">
        <v>6878</v>
      </c>
      <c r="D2060" s="3770">
        <v>300000000</v>
      </c>
      <c r="E2060" s="666">
        <v>298200000</v>
      </c>
      <c r="F2060" s="3557">
        <f t="shared" si="46"/>
        <v>99.4</v>
      </c>
      <c r="G2060" s="1717">
        <v>100</v>
      </c>
      <c r="H2060" s="535"/>
    </row>
    <row r="2061" spans="2:8" ht="14.25" hidden="1" customHeight="1" x14ac:dyDescent="0.25">
      <c r="B2061" s="2913"/>
      <c r="C2061" s="3932" t="s">
        <v>6879</v>
      </c>
      <c r="D2061" s="3770">
        <v>300000000</v>
      </c>
      <c r="E2061" s="666">
        <v>296700000</v>
      </c>
      <c r="F2061" s="3557">
        <f t="shared" si="46"/>
        <v>98.9</v>
      </c>
      <c r="G2061" s="1717">
        <v>100</v>
      </c>
      <c r="H2061" s="535"/>
    </row>
    <row r="2062" spans="2:8" ht="14.25" hidden="1" customHeight="1" x14ac:dyDescent="0.25">
      <c r="B2062" s="2913"/>
      <c r="C2062" s="3932" t="s">
        <v>6880</v>
      </c>
      <c r="D2062" s="3770">
        <v>100000000</v>
      </c>
      <c r="E2062" s="3879">
        <v>100000000</v>
      </c>
      <c r="F2062" s="3557">
        <f t="shared" si="46"/>
        <v>100</v>
      </c>
      <c r="G2062" s="3630">
        <v>100</v>
      </c>
      <c r="H2062" s="535"/>
    </row>
    <row r="2063" spans="2:8" ht="15.75" hidden="1" customHeight="1" x14ac:dyDescent="0.25">
      <c r="B2063" s="2913"/>
      <c r="C2063" s="3932" t="s">
        <v>6881</v>
      </c>
      <c r="D2063" s="3770">
        <v>1900000000</v>
      </c>
      <c r="E2063" s="666">
        <v>1671000000</v>
      </c>
      <c r="F2063" s="3557">
        <f t="shared" si="46"/>
        <v>87.94736842105263</v>
      </c>
      <c r="G2063" s="1717">
        <v>100</v>
      </c>
      <c r="H2063" s="535"/>
    </row>
    <row r="2064" spans="2:8" ht="15.75" hidden="1" customHeight="1" x14ac:dyDescent="0.25">
      <c r="B2064" s="2913"/>
      <c r="C2064" s="3932" t="s">
        <v>6882</v>
      </c>
      <c r="D2064" s="3770">
        <v>1900000000</v>
      </c>
      <c r="E2064" s="666">
        <v>1900000000</v>
      </c>
      <c r="F2064" s="3557">
        <f t="shared" si="46"/>
        <v>100</v>
      </c>
      <c r="G2064" s="1717">
        <v>100</v>
      </c>
      <c r="H2064" s="535"/>
    </row>
    <row r="2065" spans="2:8" ht="14.25" hidden="1" customHeight="1" x14ac:dyDescent="0.25">
      <c r="B2065" s="2913"/>
      <c r="C2065" s="3932" t="s">
        <v>6883</v>
      </c>
      <c r="D2065" s="3770">
        <v>1900000000</v>
      </c>
      <c r="E2065" s="666">
        <v>1701000000</v>
      </c>
      <c r="F2065" s="3557">
        <f t="shared" si="46"/>
        <v>89.526315789473685</v>
      </c>
      <c r="G2065" s="3651">
        <v>100</v>
      </c>
      <c r="H2065" s="535"/>
    </row>
    <row r="2066" spans="2:8" ht="17.25" hidden="1" customHeight="1" x14ac:dyDescent="0.25">
      <c r="B2066" s="2913"/>
      <c r="C2066" s="3932" t="s">
        <v>6884</v>
      </c>
      <c r="D2066" s="3770">
        <v>100000000</v>
      </c>
      <c r="E2066" s="3879">
        <v>99000000</v>
      </c>
      <c r="F2066" s="3557">
        <f t="shared" si="46"/>
        <v>99</v>
      </c>
      <c r="G2066" s="3630">
        <v>100</v>
      </c>
      <c r="H2066" s="535"/>
    </row>
    <row r="2067" spans="2:8" ht="17.25" hidden="1" customHeight="1" x14ac:dyDescent="0.25">
      <c r="B2067" s="2913"/>
      <c r="C2067" s="5505" t="s">
        <v>6885</v>
      </c>
      <c r="D2067" s="3630">
        <v>300000000</v>
      </c>
      <c r="E2067" s="3879">
        <v>300000000</v>
      </c>
      <c r="F2067" s="3557">
        <f t="shared" si="46"/>
        <v>100</v>
      </c>
      <c r="G2067" s="3630">
        <v>100</v>
      </c>
      <c r="H2067" s="535"/>
    </row>
    <row r="2068" spans="2:8" ht="17.25" hidden="1" customHeight="1" x14ac:dyDescent="0.25">
      <c r="B2068" s="2913"/>
      <c r="C2068" s="5505" t="s">
        <v>6886</v>
      </c>
      <c r="D2068" s="3630">
        <v>500000000</v>
      </c>
      <c r="E2068" s="3879">
        <v>500000000</v>
      </c>
      <c r="F2068" s="3557">
        <f t="shared" si="46"/>
        <v>100</v>
      </c>
      <c r="G2068" s="3630">
        <v>100</v>
      </c>
      <c r="H2068" s="535"/>
    </row>
    <row r="2069" spans="2:8" ht="8.25" hidden="1" customHeight="1" x14ac:dyDescent="0.25">
      <c r="B2069" s="2913"/>
      <c r="C2069" s="3861"/>
      <c r="D2069" s="985"/>
      <c r="E2069" s="788"/>
      <c r="F2069" s="2281"/>
      <c r="G2069" s="2285"/>
      <c r="H2069" s="535"/>
    </row>
    <row r="2070" spans="2:8" ht="18.75" hidden="1" customHeight="1" x14ac:dyDescent="0.25">
      <c r="B2070" s="2913"/>
      <c r="C2070" s="4116" t="s">
        <v>6887</v>
      </c>
      <c r="D2070" s="966">
        <f>D2071</f>
        <v>350000000</v>
      </c>
      <c r="E2070" s="966">
        <f>E2071</f>
        <v>350000000</v>
      </c>
      <c r="F2070" s="3629">
        <f>E2070/D2070*100</f>
        <v>100</v>
      </c>
      <c r="G2070" s="2261">
        <v>100</v>
      </c>
      <c r="H2070" s="535"/>
    </row>
    <row r="2071" spans="2:8" ht="14.25" hidden="1" customHeight="1" x14ac:dyDescent="0.25">
      <c r="B2071" s="2913"/>
      <c r="C2071" s="4104" t="s">
        <v>6888</v>
      </c>
      <c r="D2071" s="3770">
        <v>350000000</v>
      </c>
      <c r="E2071" s="894">
        <v>350000000</v>
      </c>
      <c r="F2071" s="3557">
        <f>E2071/D2071*100</f>
        <v>100</v>
      </c>
      <c r="G2071" s="1717">
        <v>100</v>
      </c>
      <c r="H2071" s="535"/>
    </row>
    <row r="2072" spans="2:8" ht="12" hidden="1" customHeight="1" x14ac:dyDescent="0.25">
      <c r="B2072" s="2913"/>
      <c r="C2072" s="3892"/>
      <c r="D2072" s="3505"/>
      <c r="E2072" s="973"/>
      <c r="F2072" s="2265"/>
      <c r="G2072" s="2279"/>
      <c r="H2072" s="535"/>
    </row>
    <row r="2073" spans="2:8" ht="16.5" hidden="1" customHeight="1" x14ac:dyDescent="0.25">
      <c r="B2073" s="5397"/>
      <c r="C2073" s="3858" t="s">
        <v>6889</v>
      </c>
      <c r="D2073" s="998">
        <f>SUM(D2074+D2077+D2083+D2087)</f>
        <v>6000000000</v>
      </c>
      <c r="E2073" s="998">
        <f>SUM(E2074+E2077+E2083+E2087)</f>
        <v>5499469000</v>
      </c>
      <c r="F2073" s="1462">
        <f>E2073/D2073*100</f>
        <v>91.657816666666676</v>
      </c>
      <c r="G2073" s="2356">
        <f>SUM(G2074+G2077+G2083+G2087)/4</f>
        <v>96.875</v>
      </c>
      <c r="H2073" s="535"/>
    </row>
    <row r="2074" spans="2:8" ht="18.75" hidden="1" customHeight="1" x14ac:dyDescent="0.25">
      <c r="B2074" s="2913"/>
      <c r="C2074" s="3946" t="s">
        <v>6890</v>
      </c>
      <c r="D2074" s="1423">
        <f>D2075</f>
        <v>200000000</v>
      </c>
      <c r="E2074" s="1423">
        <f>E2075</f>
        <v>199569000</v>
      </c>
      <c r="F2074" s="3632">
        <f>E2074/D2074*100</f>
        <v>99.784499999999994</v>
      </c>
      <c r="G2074" s="2562">
        <v>100</v>
      </c>
      <c r="H2074" s="535"/>
    </row>
    <row r="2075" spans="2:8" ht="16.5" hidden="1" customHeight="1" x14ac:dyDescent="0.25">
      <c r="B2075" s="2913"/>
      <c r="C2075" s="4073" t="s">
        <v>6891</v>
      </c>
      <c r="D2075" s="985">
        <v>200000000</v>
      </c>
      <c r="E2075" s="666">
        <v>199569000</v>
      </c>
      <c r="F2075" s="3557">
        <f>E2075/D2075*100</f>
        <v>99.784499999999994</v>
      </c>
      <c r="G2075" s="1717">
        <v>100</v>
      </c>
      <c r="H2075" s="535"/>
    </row>
    <row r="2076" spans="2:8" ht="9" hidden="1" customHeight="1" x14ac:dyDescent="0.25">
      <c r="B2076" s="2913"/>
      <c r="C2076" s="3861"/>
      <c r="D2076" s="985"/>
      <c r="E2076" s="788"/>
      <c r="F2076" s="2281"/>
      <c r="G2076" s="2285"/>
      <c r="H2076" s="535"/>
    </row>
    <row r="2077" spans="2:8" ht="14.25" hidden="1" customHeight="1" x14ac:dyDescent="0.25">
      <c r="B2077" s="2913"/>
      <c r="C2077" s="3946" t="s">
        <v>6892</v>
      </c>
      <c r="D2077" s="966">
        <f>SUM(D2078:D2081)</f>
        <v>800000000</v>
      </c>
      <c r="E2077" s="966">
        <f>SUM(E2078:E2081)</f>
        <v>800000000</v>
      </c>
      <c r="F2077" s="3629">
        <f>E2077/D2077*100</f>
        <v>100</v>
      </c>
      <c r="G2077" s="2261">
        <v>100</v>
      </c>
      <c r="H2077" s="535"/>
    </row>
    <row r="2078" spans="2:8" ht="13.5" hidden="1" customHeight="1" x14ac:dyDescent="0.25">
      <c r="B2078" s="2913"/>
      <c r="C2078" s="3932" t="s">
        <v>6893</v>
      </c>
      <c r="D2078" s="3770">
        <v>200000000</v>
      </c>
      <c r="E2078" s="666">
        <v>200000000</v>
      </c>
      <c r="F2078" s="3557">
        <f>E2078/D2078*100</f>
        <v>100</v>
      </c>
      <c r="G2078" s="1717">
        <v>100</v>
      </c>
      <c r="H2078" s="535"/>
    </row>
    <row r="2079" spans="2:8" ht="14.25" hidden="1" customHeight="1" x14ac:dyDescent="0.25">
      <c r="B2079" s="2913"/>
      <c r="C2079" s="3932" t="s">
        <v>6894</v>
      </c>
      <c r="D2079" s="3770">
        <v>200000000</v>
      </c>
      <c r="E2079" s="666">
        <v>200000000</v>
      </c>
      <c r="F2079" s="3557">
        <f>E2079/D2079*100</f>
        <v>100</v>
      </c>
      <c r="G2079" s="1717">
        <v>100</v>
      </c>
      <c r="H2079" s="535"/>
    </row>
    <row r="2080" spans="2:8" ht="14.25" hidden="1" customHeight="1" x14ac:dyDescent="0.25">
      <c r="B2080" s="2913"/>
      <c r="C2080" s="3932" t="s">
        <v>6895</v>
      </c>
      <c r="D2080" s="3770">
        <v>200000000</v>
      </c>
      <c r="E2080" s="666">
        <v>200000000</v>
      </c>
      <c r="F2080" s="3557">
        <f>E2080/D2080*100</f>
        <v>100</v>
      </c>
      <c r="G2080" s="1717">
        <v>100</v>
      </c>
      <c r="H2080" s="535"/>
    </row>
    <row r="2081" spans="2:8" ht="16.5" hidden="1" customHeight="1" x14ac:dyDescent="0.25">
      <c r="B2081" s="2913"/>
      <c r="C2081" s="3932" t="s">
        <v>6896</v>
      </c>
      <c r="D2081" s="3770">
        <v>200000000</v>
      </c>
      <c r="E2081" s="666">
        <v>200000000</v>
      </c>
      <c r="F2081" s="3557">
        <f>E2081/D2081*100</f>
        <v>100</v>
      </c>
      <c r="G2081" s="1717">
        <v>100</v>
      </c>
      <c r="H2081" s="535"/>
    </row>
    <row r="2082" spans="2:8" ht="11.25" hidden="1" customHeight="1" x14ac:dyDescent="0.25">
      <c r="B2082" s="2913"/>
      <c r="C2082" s="3892"/>
      <c r="D2082" s="972"/>
      <c r="E2082" s="894"/>
      <c r="F2082" s="1717"/>
      <c r="G2082" s="1315"/>
      <c r="H2082" s="535"/>
    </row>
    <row r="2083" spans="2:8" ht="16.5" hidden="1" customHeight="1" x14ac:dyDescent="0.25">
      <c r="B2083" s="2913"/>
      <c r="C2083" s="3946" t="s">
        <v>6897</v>
      </c>
      <c r="D2083" s="966">
        <f>D2084+D2085</f>
        <v>3000000000</v>
      </c>
      <c r="E2083" s="966">
        <f>E2084+E2085</f>
        <v>2894900000</v>
      </c>
      <c r="F2083" s="3629">
        <f>E2083/D2083*100</f>
        <v>96.49666666666667</v>
      </c>
      <c r="G2083" s="2261">
        <v>100</v>
      </c>
      <c r="H2083" s="535"/>
    </row>
    <row r="2084" spans="2:8" ht="16.5" hidden="1" customHeight="1" x14ac:dyDescent="0.25">
      <c r="B2084" s="2913"/>
      <c r="C2084" s="3932" t="s">
        <v>6898</v>
      </c>
      <c r="D2084" s="3770">
        <v>2000000000</v>
      </c>
      <c r="E2084" s="3879">
        <v>1895000000</v>
      </c>
      <c r="F2084" s="3557">
        <f>E2084/D2084*100</f>
        <v>94.75</v>
      </c>
      <c r="G2084" s="3630">
        <v>100</v>
      </c>
      <c r="H2084" s="535"/>
    </row>
    <row r="2085" spans="2:8" ht="13.5" hidden="1" customHeight="1" x14ac:dyDescent="0.25">
      <c r="B2085" s="2913"/>
      <c r="C2085" s="3932" t="s">
        <v>6899</v>
      </c>
      <c r="D2085" s="3770">
        <v>1000000000</v>
      </c>
      <c r="E2085" s="894">
        <v>999900000</v>
      </c>
      <c r="F2085" s="3557">
        <f>E2085/D2085*100</f>
        <v>99.99</v>
      </c>
      <c r="G2085" s="1717">
        <v>100</v>
      </c>
      <c r="H2085" s="535"/>
    </row>
    <row r="2086" spans="2:8" ht="9.75" hidden="1" customHeight="1" x14ac:dyDescent="0.25">
      <c r="B2086" s="2913"/>
      <c r="C2086" s="3857"/>
      <c r="D2086" s="988"/>
      <c r="E2086" s="894"/>
      <c r="F2086" s="1717"/>
      <c r="G2086" s="1315"/>
      <c r="H2086" s="535"/>
    </row>
    <row r="2087" spans="2:8" ht="16.5" hidden="1" customHeight="1" x14ac:dyDescent="0.25">
      <c r="B2087" s="2913"/>
      <c r="C2087" s="3946" t="s">
        <v>6900</v>
      </c>
      <c r="D2087" s="966">
        <f>SUM(D2088:D2091)</f>
        <v>2000000000</v>
      </c>
      <c r="E2087" s="966">
        <f>SUM(E2088:E2091)</f>
        <v>1605000000</v>
      </c>
      <c r="F2087" s="3629">
        <f>E2087/D2087*100</f>
        <v>80.25</v>
      </c>
      <c r="G2087" s="2261">
        <f>SUM(G2088:G2091)/4</f>
        <v>87.5</v>
      </c>
      <c r="H2087" s="535"/>
    </row>
    <row r="2088" spans="2:8" ht="15.75" hidden="1" customHeight="1" x14ac:dyDescent="0.25">
      <c r="B2088" s="2913"/>
      <c r="C2088" s="3932" t="s">
        <v>6901</v>
      </c>
      <c r="D2088" s="3770">
        <v>500000000</v>
      </c>
      <c r="E2088" s="3879">
        <v>455000000</v>
      </c>
      <c r="F2088" s="3557">
        <f>E2088/D2088*100</f>
        <v>91</v>
      </c>
      <c r="G2088" s="3630">
        <v>100</v>
      </c>
      <c r="H2088" s="535"/>
    </row>
    <row r="2089" spans="2:8" ht="15.75" hidden="1" customHeight="1" x14ac:dyDescent="0.25">
      <c r="B2089" s="2913"/>
      <c r="C2089" s="3932" t="s">
        <v>6902</v>
      </c>
      <c r="D2089" s="3770">
        <v>500000000</v>
      </c>
      <c r="E2089" s="666">
        <v>500000000</v>
      </c>
      <c r="F2089" s="3557">
        <f>E2089/D2089*100</f>
        <v>100</v>
      </c>
      <c r="G2089" s="1717">
        <v>100</v>
      </c>
      <c r="H2089" s="535"/>
    </row>
    <row r="2090" spans="2:8" ht="15.75" hidden="1" customHeight="1" x14ac:dyDescent="0.25">
      <c r="B2090" s="2913"/>
      <c r="C2090" s="3932" t="s">
        <v>6903</v>
      </c>
      <c r="D2090" s="3770">
        <v>500000000</v>
      </c>
      <c r="E2090" s="666">
        <v>500000000</v>
      </c>
      <c r="F2090" s="3557">
        <f>E2090/D2090*100</f>
        <v>100</v>
      </c>
      <c r="G2090" s="1717">
        <v>100</v>
      </c>
      <c r="H2090" s="535"/>
    </row>
    <row r="2091" spans="2:8" ht="15.75" hidden="1" customHeight="1" x14ac:dyDescent="0.25">
      <c r="B2091" s="2913"/>
      <c r="C2091" s="3932" t="s">
        <v>6904</v>
      </c>
      <c r="D2091" s="3770">
        <v>500000000</v>
      </c>
      <c r="E2091" s="666">
        <v>150000000</v>
      </c>
      <c r="F2091" s="3557">
        <f>E2091/D2091*100</f>
        <v>30</v>
      </c>
      <c r="G2091" s="3630">
        <v>50</v>
      </c>
      <c r="H2091" s="535"/>
    </row>
    <row r="2092" spans="2:8" ht="12" hidden="1" customHeight="1" x14ac:dyDescent="0.25">
      <c r="B2092" s="2913"/>
      <c r="C2092" s="3892"/>
      <c r="D2092" s="972"/>
      <c r="E2092" s="973"/>
      <c r="F2092" s="2265"/>
      <c r="G2092" s="2279"/>
      <c r="H2092" s="535"/>
    </row>
    <row r="2093" spans="2:8" ht="17.25" hidden="1" customHeight="1" x14ac:dyDescent="0.25">
      <c r="B2093" s="5397"/>
      <c r="C2093" s="3858" t="s">
        <v>2343</v>
      </c>
      <c r="D2093" s="998">
        <f>SUM(D2094+D2100+D2115+D2119)</f>
        <v>5650000000</v>
      </c>
      <c r="E2093" s="998">
        <f>SUM(E2094+E2100+E2115+E2119)</f>
        <v>5634616700</v>
      </c>
      <c r="F2093" s="1462">
        <f t="shared" ref="F2093:F2098" si="47">E2093/D2093*100</f>
        <v>99.727729203539823</v>
      </c>
      <c r="G2093" s="2356">
        <v>100</v>
      </c>
      <c r="H2093" s="535"/>
    </row>
    <row r="2094" spans="2:8" ht="16.5" hidden="1" customHeight="1" x14ac:dyDescent="0.25">
      <c r="B2094" s="2913"/>
      <c r="C2094" s="3881" t="s">
        <v>6905</v>
      </c>
      <c r="D2094" s="1585">
        <f>SUM(D2095:D2098)</f>
        <v>900000000</v>
      </c>
      <c r="E2094" s="1585">
        <f>SUM(E2095:E2098)</f>
        <v>898700000</v>
      </c>
      <c r="F2094" s="3632">
        <f t="shared" si="47"/>
        <v>99.855555555555554</v>
      </c>
      <c r="G2094" s="2562">
        <v>100</v>
      </c>
      <c r="H2094" s="535"/>
    </row>
    <row r="2095" spans="2:8" ht="14.25" hidden="1" customHeight="1" x14ac:dyDescent="0.25">
      <c r="B2095" s="2913"/>
      <c r="C2095" s="3932" t="s">
        <v>6906</v>
      </c>
      <c r="D2095" s="3770">
        <v>500000000</v>
      </c>
      <c r="E2095" s="1890">
        <v>498700000</v>
      </c>
      <c r="F2095" s="3557">
        <f t="shared" si="47"/>
        <v>99.74</v>
      </c>
      <c r="G2095" s="1717">
        <v>100</v>
      </c>
      <c r="H2095" s="535"/>
    </row>
    <row r="2096" spans="2:8" ht="13.5" hidden="1" customHeight="1" x14ac:dyDescent="0.25">
      <c r="B2096" s="2913"/>
      <c r="C2096" s="3932" t="s">
        <v>6907</v>
      </c>
      <c r="D2096" s="3770">
        <v>200000000</v>
      </c>
      <c r="E2096" s="3768">
        <v>200000000</v>
      </c>
      <c r="F2096" s="3557">
        <f t="shared" si="47"/>
        <v>100</v>
      </c>
      <c r="G2096" s="1717">
        <v>100</v>
      </c>
      <c r="H2096" s="535"/>
    </row>
    <row r="2097" spans="2:8" ht="15" hidden="1" customHeight="1" x14ac:dyDescent="0.25">
      <c r="B2097" s="2913"/>
      <c r="C2097" s="3932" t="s">
        <v>6908</v>
      </c>
      <c r="D2097" s="3770">
        <v>100000000</v>
      </c>
      <c r="E2097" s="3768">
        <v>100000000</v>
      </c>
      <c r="F2097" s="3557">
        <f t="shared" si="47"/>
        <v>100</v>
      </c>
      <c r="G2097" s="1717">
        <v>100</v>
      </c>
      <c r="H2097" s="535"/>
    </row>
    <row r="2098" spans="2:8" ht="16.5" hidden="1" customHeight="1" x14ac:dyDescent="0.25">
      <c r="B2098" s="2913"/>
      <c r="C2098" s="3932" t="s">
        <v>6909</v>
      </c>
      <c r="D2098" s="3770">
        <v>100000000</v>
      </c>
      <c r="E2098" s="3768">
        <v>100000000</v>
      </c>
      <c r="F2098" s="3557">
        <f t="shared" si="47"/>
        <v>100</v>
      </c>
      <c r="G2098" s="1717">
        <v>100</v>
      </c>
      <c r="H2098" s="535"/>
    </row>
    <row r="2099" spans="2:8" ht="8.25" hidden="1" customHeight="1" x14ac:dyDescent="0.25">
      <c r="B2099" s="2913"/>
      <c r="C2099" s="4104"/>
      <c r="D2099" s="3770"/>
      <c r="E2099" s="894"/>
      <c r="F2099" s="1717"/>
      <c r="G2099" s="1315"/>
      <c r="H2099" s="535"/>
    </row>
    <row r="2100" spans="2:8" ht="14.25" hidden="1" customHeight="1" x14ac:dyDescent="0.25">
      <c r="B2100" s="2913"/>
      <c r="C2100" s="4116" t="s">
        <v>6910</v>
      </c>
      <c r="D2100" s="966">
        <f>SUM(D2101:D2113)</f>
        <v>4400000000</v>
      </c>
      <c r="E2100" s="966">
        <f>SUM(E2101:E2113)</f>
        <v>4385916700</v>
      </c>
      <c r="F2100" s="3632">
        <f t="shared" ref="F2100:F2113" si="48">E2100/D2100*100</f>
        <v>99.679924999999997</v>
      </c>
      <c r="G2100" s="2261">
        <v>100</v>
      </c>
      <c r="H2100" s="535"/>
    </row>
    <row r="2101" spans="2:8" ht="14.25" hidden="1" customHeight="1" x14ac:dyDescent="0.25">
      <c r="B2101" s="2913"/>
      <c r="C2101" s="3932" t="s">
        <v>6911</v>
      </c>
      <c r="D2101" s="3770">
        <v>250000000</v>
      </c>
      <c r="E2101" s="666">
        <v>248200000</v>
      </c>
      <c r="F2101" s="3557">
        <f t="shared" si="48"/>
        <v>99.28</v>
      </c>
      <c r="G2101" s="1717">
        <v>100</v>
      </c>
      <c r="H2101" s="535"/>
    </row>
    <row r="2102" spans="2:8" ht="16.5" hidden="1" customHeight="1" x14ac:dyDescent="0.25">
      <c r="B2102" s="2913"/>
      <c r="C2102" s="3932" t="s">
        <v>6912</v>
      </c>
      <c r="D2102" s="3770">
        <v>300000000</v>
      </c>
      <c r="E2102" s="1927">
        <v>297100000</v>
      </c>
      <c r="F2102" s="3557">
        <f t="shared" si="48"/>
        <v>99.033333333333331</v>
      </c>
      <c r="G2102" s="1717">
        <v>100</v>
      </c>
      <c r="H2102" s="535"/>
    </row>
    <row r="2103" spans="2:8" ht="14.25" hidden="1" customHeight="1" x14ac:dyDescent="0.25">
      <c r="B2103" s="2913"/>
      <c r="C2103" s="3932" t="s">
        <v>6913</v>
      </c>
      <c r="D2103" s="3770">
        <v>300000000</v>
      </c>
      <c r="E2103" s="666">
        <v>300000000</v>
      </c>
      <c r="F2103" s="3557">
        <f t="shared" si="48"/>
        <v>100</v>
      </c>
      <c r="G2103" s="1717">
        <v>100</v>
      </c>
      <c r="H2103" s="535"/>
    </row>
    <row r="2104" spans="2:8" ht="13.5" hidden="1" customHeight="1" x14ac:dyDescent="0.25">
      <c r="B2104" s="2913"/>
      <c r="C2104" s="3932" t="s">
        <v>6914</v>
      </c>
      <c r="D2104" s="3770">
        <v>300000000</v>
      </c>
      <c r="E2104" s="666">
        <v>298300000</v>
      </c>
      <c r="F2104" s="3557">
        <f t="shared" si="48"/>
        <v>99.433333333333323</v>
      </c>
      <c r="G2104" s="1717">
        <v>100</v>
      </c>
      <c r="H2104" s="535"/>
    </row>
    <row r="2105" spans="2:8" ht="15.75" hidden="1" customHeight="1" x14ac:dyDescent="0.25">
      <c r="B2105" s="2913"/>
      <c r="C2105" s="3932" t="s">
        <v>6915</v>
      </c>
      <c r="D2105" s="3770">
        <v>300000000</v>
      </c>
      <c r="E2105" s="666">
        <v>300000000</v>
      </c>
      <c r="F2105" s="3557">
        <f t="shared" si="48"/>
        <v>100</v>
      </c>
      <c r="G2105" s="1717">
        <v>100</v>
      </c>
      <c r="H2105" s="535"/>
    </row>
    <row r="2106" spans="2:8" ht="15.75" hidden="1" customHeight="1" x14ac:dyDescent="0.25">
      <c r="B2106" s="2913"/>
      <c r="C2106" s="3932" t="s">
        <v>6916</v>
      </c>
      <c r="D2106" s="3770">
        <v>300000000</v>
      </c>
      <c r="E2106" s="3879">
        <v>300000000</v>
      </c>
      <c r="F2106" s="3557">
        <f t="shared" si="48"/>
        <v>100</v>
      </c>
      <c r="G2106" s="1717">
        <v>100</v>
      </c>
      <c r="H2106" s="535"/>
    </row>
    <row r="2107" spans="2:8" ht="13.5" hidden="1" customHeight="1" x14ac:dyDescent="0.25">
      <c r="B2107" s="2913"/>
      <c r="C2107" s="3932" t="s">
        <v>6917</v>
      </c>
      <c r="D2107" s="3770">
        <v>750000000</v>
      </c>
      <c r="E2107" s="3879">
        <v>749516700</v>
      </c>
      <c r="F2107" s="3557">
        <f t="shared" si="48"/>
        <v>99.935559999999995</v>
      </c>
      <c r="G2107" s="1717">
        <v>100</v>
      </c>
      <c r="H2107" s="535"/>
    </row>
    <row r="2108" spans="2:8" ht="14.25" hidden="1" customHeight="1" x14ac:dyDescent="0.25">
      <c r="B2108" s="2913"/>
      <c r="C2108" s="3932" t="s">
        <v>6918</v>
      </c>
      <c r="D2108" s="3770">
        <v>300000000</v>
      </c>
      <c r="E2108" s="1927">
        <v>298900000</v>
      </c>
      <c r="F2108" s="3557">
        <f t="shared" si="48"/>
        <v>99.633333333333326</v>
      </c>
      <c r="G2108" s="1717">
        <v>100</v>
      </c>
      <c r="H2108" s="535"/>
    </row>
    <row r="2109" spans="2:8" ht="13.5" hidden="1" customHeight="1" x14ac:dyDescent="0.25">
      <c r="B2109" s="2913"/>
      <c r="C2109" s="3932" t="s">
        <v>6919</v>
      </c>
      <c r="D2109" s="3770">
        <v>300000000</v>
      </c>
      <c r="E2109" s="3879">
        <v>300000000</v>
      </c>
      <c r="F2109" s="3557">
        <f t="shared" si="48"/>
        <v>100</v>
      </c>
      <c r="G2109" s="1717">
        <v>100</v>
      </c>
      <c r="H2109" s="535"/>
    </row>
    <row r="2110" spans="2:8" ht="15.75" hidden="1" customHeight="1" x14ac:dyDescent="0.25">
      <c r="B2110" s="2913"/>
      <c r="C2110" s="3932" t="s">
        <v>6920</v>
      </c>
      <c r="D2110" s="3770">
        <v>300000000</v>
      </c>
      <c r="E2110" s="3879">
        <v>296600000</v>
      </c>
      <c r="F2110" s="3557">
        <f t="shared" si="48"/>
        <v>98.866666666666674</v>
      </c>
      <c r="G2110" s="1717">
        <v>100</v>
      </c>
      <c r="H2110" s="535"/>
    </row>
    <row r="2111" spans="2:8" ht="13.5" hidden="1" customHeight="1" x14ac:dyDescent="0.25">
      <c r="B2111" s="2913"/>
      <c r="C2111" s="3932" t="s">
        <v>6921</v>
      </c>
      <c r="D2111" s="3770">
        <v>300000000</v>
      </c>
      <c r="E2111" s="3879">
        <v>297300000</v>
      </c>
      <c r="F2111" s="3557">
        <f t="shared" si="48"/>
        <v>99.1</v>
      </c>
      <c r="G2111" s="1717">
        <v>100</v>
      </c>
      <c r="H2111" s="535"/>
    </row>
    <row r="2112" spans="2:8" ht="14.25" hidden="1" customHeight="1" x14ac:dyDescent="0.25">
      <c r="B2112" s="2913"/>
      <c r="C2112" s="3932" t="s">
        <v>6922</v>
      </c>
      <c r="D2112" s="3770">
        <v>500000000</v>
      </c>
      <c r="E2112" s="3879">
        <v>500000000</v>
      </c>
      <c r="F2112" s="3557">
        <f t="shared" si="48"/>
        <v>100</v>
      </c>
      <c r="G2112" s="1717">
        <v>100</v>
      </c>
      <c r="H2112" s="535"/>
    </row>
    <row r="2113" spans="2:8" ht="14.25" hidden="1" customHeight="1" x14ac:dyDescent="0.25">
      <c r="B2113" s="2913"/>
      <c r="C2113" s="3932" t="s">
        <v>6923</v>
      </c>
      <c r="D2113" s="3630">
        <v>200000000</v>
      </c>
      <c r="E2113" s="3879">
        <v>200000000</v>
      </c>
      <c r="F2113" s="3557">
        <f t="shared" si="48"/>
        <v>100</v>
      </c>
      <c r="G2113" s="1717">
        <v>100</v>
      </c>
      <c r="H2113" s="535"/>
    </row>
    <row r="2114" spans="2:8" ht="9" hidden="1" customHeight="1" x14ac:dyDescent="0.25">
      <c r="B2114" s="2913"/>
      <c r="C2114" s="3932"/>
      <c r="D2114" s="972"/>
      <c r="E2114" s="3879"/>
      <c r="F2114" s="3648"/>
      <c r="G2114" s="3648"/>
      <c r="H2114" s="535"/>
    </row>
    <row r="2115" spans="2:8" ht="15.75" hidden="1" customHeight="1" x14ac:dyDescent="0.25">
      <c r="B2115" s="2913"/>
      <c r="C2115" s="3946" t="s">
        <v>6924</v>
      </c>
      <c r="D2115" s="966">
        <f>D2116+D2117</f>
        <v>100000000</v>
      </c>
      <c r="E2115" s="966">
        <f>E2116+E2117</f>
        <v>100000000</v>
      </c>
      <c r="F2115" s="3632">
        <f>E2115/D2115*100</f>
        <v>100</v>
      </c>
      <c r="G2115" s="2261">
        <v>100</v>
      </c>
      <c r="H2115" s="535"/>
    </row>
    <row r="2116" spans="2:8" ht="13.5" hidden="1" customHeight="1" x14ac:dyDescent="0.25">
      <c r="B2116" s="2913"/>
      <c r="C2116" s="3932" t="s">
        <v>6925</v>
      </c>
      <c r="D2116" s="3770">
        <v>50000000</v>
      </c>
      <c r="E2116" s="3879">
        <v>50000000</v>
      </c>
      <c r="F2116" s="3557">
        <f>E2116/D2116*100</f>
        <v>100</v>
      </c>
      <c r="G2116" s="3630">
        <v>100</v>
      </c>
      <c r="H2116" s="535"/>
    </row>
    <row r="2117" spans="2:8" ht="14.25" hidden="1" customHeight="1" x14ac:dyDescent="0.25">
      <c r="B2117" s="2913"/>
      <c r="C2117" s="3932" t="s">
        <v>6926</v>
      </c>
      <c r="D2117" s="3770">
        <v>50000000</v>
      </c>
      <c r="E2117" s="3768">
        <v>50000000</v>
      </c>
      <c r="F2117" s="3557">
        <f>E2117/D2117*100</f>
        <v>100</v>
      </c>
      <c r="G2117" s="880">
        <v>100</v>
      </c>
      <c r="H2117" s="535"/>
    </row>
    <row r="2118" spans="2:8" ht="8.25" hidden="1" customHeight="1" x14ac:dyDescent="0.25">
      <c r="B2118" s="2913"/>
      <c r="C2118" s="4104"/>
      <c r="D2118" s="972"/>
      <c r="E2118" s="3879"/>
      <c r="F2118" s="3648"/>
      <c r="G2118" s="3648"/>
      <c r="H2118" s="535"/>
    </row>
    <row r="2119" spans="2:8" ht="15.75" hidden="1" customHeight="1" x14ac:dyDescent="0.25">
      <c r="B2119" s="2913"/>
      <c r="C2119" s="3946" t="s">
        <v>6927</v>
      </c>
      <c r="D2119" s="966">
        <f>D2120</f>
        <v>250000000</v>
      </c>
      <c r="E2119" s="966">
        <f>E2120</f>
        <v>250000000</v>
      </c>
      <c r="F2119" s="3632">
        <f>E2119/D2119*100</f>
        <v>100</v>
      </c>
      <c r="G2119" s="1415">
        <v>100</v>
      </c>
      <c r="H2119" s="535"/>
    </row>
    <row r="2120" spans="2:8" ht="13.5" hidden="1" customHeight="1" x14ac:dyDescent="0.25">
      <c r="B2120" s="2913"/>
      <c r="C2120" s="3932" t="s">
        <v>6928</v>
      </c>
      <c r="D2120" s="3770">
        <v>250000000</v>
      </c>
      <c r="E2120" s="3879">
        <v>250000000</v>
      </c>
      <c r="F2120" s="3557">
        <f>E2120/D2120*100</f>
        <v>100</v>
      </c>
      <c r="G2120" s="880">
        <v>100</v>
      </c>
      <c r="H2120" s="535"/>
    </row>
    <row r="2121" spans="2:8" ht="13.5" hidden="1" customHeight="1" x14ac:dyDescent="0.25">
      <c r="B2121" s="2913"/>
      <c r="C2121" s="5505"/>
      <c r="D2121" s="985"/>
      <c r="E2121" s="865"/>
      <c r="F2121" s="3553"/>
      <c r="G2121" s="3553"/>
      <c r="H2121" s="535"/>
    </row>
    <row r="2122" spans="2:8" ht="16.5" hidden="1" customHeight="1" x14ac:dyDescent="0.25">
      <c r="B2122" s="5397"/>
      <c r="C2122" s="4076" t="s">
        <v>6651</v>
      </c>
      <c r="D2122" s="998">
        <f>D2123</f>
        <v>3550000000</v>
      </c>
      <c r="E2122" s="998">
        <f>E2123</f>
        <v>3461900000</v>
      </c>
      <c r="F2122" s="1462">
        <f t="shared" ref="F2122:F2132" si="49">E2122/D2122*100</f>
        <v>97.518309859154925</v>
      </c>
      <c r="G2122" s="1726">
        <v>100</v>
      </c>
      <c r="H2122" s="535"/>
    </row>
    <row r="2123" spans="2:8" ht="13.5" hidden="1" customHeight="1" x14ac:dyDescent="0.25">
      <c r="B2123" s="2913"/>
      <c r="C2123" s="3965" t="s">
        <v>6929</v>
      </c>
      <c r="D2123" s="999">
        <f>D2124</f>
        <v>3550000000</v>
      </c>
      <c r="E2123" s="999">
        <f>E2124</f>
        <v>3461900000</v>
      </c>
      <c r="F2123" s="3632">
        <f t="shared" si="49"/>
        <v>97.518309859154925</v>
      </c>
      <c r="G2123" s="2380">
        <v>100</v>
      </c>
      <c r="H2123" s="535"/>
    </row>
    <row r="2124" spans="2:8" ht="13.5" hidden="1" customHeight="1" x14ac:dyDescent="0.25">
      <c r="B2124" s="2913"/>
      <c r="C2124" s="3946" t="s">
        <v>3211</v>
      </c>
      <c r="D2124" s="966">
        <f>SUM(D2125:D2132)</f>
        <v>3550000000</v>
      </c>
      <c r="E2124" s="966">
        <f>SUM(E2125:E2132)</f>
        <v>3461900000</v>
      </c>
      <c r="F2124" s="3632">
        <f t="shared" si="49"/>
        <v>97.518309859154925</v>
      </c>
      <c r="G2124" s="2275">
        <v>100</v>
      </c>
      <c r="H2124" s="535"/>
    </row>
    <row r="2125" spans="2:8" ht="15.75" hidden="1" customHeight="1" x14ac:dyDescent="0.25">
      <c r="B2125" s="2913"/>
      <c r="C2125" s="3932" t="s">
        <v>6930</v>
      </c>
      <c r="D2125" s="3770">
        <v>300000000</v>
      </c>
      <c r="E2125" s="865">
        <v>300000000</v>
      </c>
      <c r="F2125" s="3557">
        <f t="shared" si="49"/>
        <v>100</v>
      </c>
      <c r="G2125" s="3553">
        <v>100</v>
      </c>
      <c r="H2125" s="535"/>
    </row>
    <row r="2126" spans="2:8" ht="15.75" hidden="1" customHeight="1" x14ac:dyDescent="0.25">
      <c r="B2126" s="2913"/>
      <c r="C2126" s="3932" t="s">
        <v>6931</v>
      </c>
      <c r="D2126" s="3770">
        <v>300000000</v>
      </c>
      <c r="E2126" s="865">
        <v>300000000</v>
      </c>
      <c r="F2126" s="3557">
        <f t="shared" si="49"/>
        <v>100</v>
      </c>
      <c r="G2126" s="3553">
        <v>100</v>
      </c>
      <c r="H2126" s="535"/>
    </row>
    <row r="2127" spans="2:8" ht="13.5" hidden="1" customHeight="1" x14ac:dyDescent="0.25">
      <c r="B2127" s="2913"/>
      <c r="C2127" s="3932" t="s">
        <v>6932</v>
      </c>
      <c r="D2127" s="3770">
        <v>300000000</v>
      </c>
      <c r="E2127" s="865">
        <v>299500000</v>
      </c>
      <c r="F2127" s="3557">
        <f t="shared" si="49"/>
        <v>99.833333333333329</v>
      </c>
      <c r="G2127" s="3553">
        <v>100</v>
      </c>
      <c r="H2127" s="535"/>
    </row>
    <row r="2128" spans="2:8" ht="13.5" hidden="1" customHeight="1" x14ac:dyDescent="0.25">
      <c r="B2128" s="2913"/>
      <c r="C2128" s="3932" t="s">
        <v>6933</v>
      </c>
      <c r="D2128" s="3770">
        <v>300000000</v>
      </c>
      <c r="E2128" s="865">
        <v>299800000</v>
      </c>
      <c r="F2128" s="3557">
        <f t="shared" si="49"/>
        <v>99.933333333333323</v>
      </c>
      <c r="G2128" s="3553">
        <v>100</v>
      </c>
      <c r="H2128" s="535"/>
    </row>
    <row r="2129" spans="2:8" ht="13.5" hidden="1" customHeight="1" x14ac:dyDescent="0.25">
      <c r="B2129" s="2913"/>
      <c r="C2129" s="3932" t="s">
        <v>6934</v>
      </c>
      <c r="D2129" s="3770">
        <v>350000000</v>
      </c>
      <c r="E2129" s="3879">
        <v>350000000</v>
      </c>
      <c r="F2129" s="3557">
        <f t="shared" si="49"/>
        <v>100</v>
      </c>
      <c r="G2129" s="3553">
        <v>100</v>
      </c>
      <c r="H2129" s="535"/>
    </row>
    <row r="2130" spans="2:8" ht="13.5" hidden="1" customHeight="1" x14ac:dyDescent="0.25">
      <c r="B2130" s="2913"/>
      <c r="C2130" s="3932" t="s">
        <v>6935</v>
      </c>
      <c r="D2130" s="3770">
        <v>500000000</v>
      </c>
      <c r="E2130" s="865">
        <v>499500000</v>
      </c>
      <c r="F2130" s="3557">
        <f t="shared" si="49"/>
        <v>99.9</v>
      </c>
      <c r="G2130" s="3553">
        <v>100</v>
      </c>
      <c r="H2130" s="535"/>
    </row>
    <row r="2131" spans="2:8" ht="13.5" hidden="1" customHeight="1" x14ac:dyDescent="0.25">
      <c r="B2131" s="2913"/>
      <c r="C2131" s="3932" t="s">
        <v>6936</v>
      </c>
      <c r="D2131" s="3770">
        <v>500000000</v>
      </c>
      <c r="E2131" s="3879">
        <v>499500000</v>
      </c>
      <c r="F2131" s="3557">
        <f t="shared" si="49"/>
        <v>99.9</v>
      </c>
      <c r="G2131" s="3553">
        <v>100</v>
      </c>
      <c r="H2131" s="535"/>
    </row>
    <row r="2132" spans="2:8" ht="13.5" hidden="1" customHeight="1" x14ac:dyDescent="0.25">
      <c r="B2132" s="2913"/>
      <c r="C2132" s="3932" t="s">
        <v>6937</v>
      </c>
      <c r="D2132" s="3770">
        <v>1000000000</v>
      </c>
      <c r="E2132" s="865">
        <v>913600000</v>
      </c>
      <c r="F2132" s="3557">
        <f t="shared" si="49"/>
        <v>91.36</v>
      </c>
      <c r="G2132" s="3553">
        <v>100</v>
      </c>
      <c r="H2132" s="535"/>
    </row>
    <row r="2133" spans="2:8" ht="13.5" hidden="1" customHeight="1" x14ac:dyDescent="0.25">
      <c r="B2133" s="2913"/>
      <c r="C2133" s="5505"/>
      <c r="D2133" s="985"/>
      <c r="E2133" s="865"/>
      <c r="F2133" s="3553"/>
      <c r="G2133" s="3553"/>
      <c r="H2133" s="535"/>
    </row>
    <row r="2134" spans="2:8" ht="17.25" hidden="1" customHeight="1" x14ac:dyDescent="0.25">
      <c r="B2134" s="5397"/>
      <c r="C2134" s="4076" t="s">
        <v>6654</v>
      </c>
      <c r="D2134" s="998">
        <f>D2135+D2139</f>
        <v>1171000000</v>
      </c>
      <c r="E2134" s="998">
        <f>E2135+E2139</f>
        <v>809085000</v>
      </c>
      <c r="F2134" s="1462">
        <f>E2134/D2134*100</f>
        <v>69.0935098206661</v>
      </c>
      <c r="G2134" s="1726">
        <f>SUM(G2135+G2139)/2</f>
        <v>79.166666666666657</v>
      </c>
      <c r="H2134" s="535"/>
    </row>
    <row r="2135" spans="2:8" ht="15.75" hidden="1" customHeight="1" x14ac:dyDescent="0.25">
      <c r="B2135" s="2913"/>
      <c r="C2135" s="4014" t="s">
        <v>779</v>
      </c>
      <c r="D2135" s="1585">
        <f>D2136+D2137</f>
        <v>350000000</v>
      </c>
      <c r="E2135" s="1585">
        <f>E2136+E2137</f>
        <v>160000000</v>
      </c>
      <c r="F2135" s="3632">
        <f>E2135/D2135*100</f>
        <v>45.714285714285715</v>
      </c>
      <c r="G2135" s="857">
        <f>SUM(G2136:G2137)/2</f>
        <v>75</v>
      </c>
      <c r="H2135" s="535"/>
    </row>
    <row r="2136" spans="2:8" ht="15.75" hidden="1" customHeight="1" x14ac:dyDescent="0.25">
      <c r="B2136" s="2913"/>
      <c r="C2136" s="3932" t="s">
        <v>6938</v>
      </c>
      <c r="D2136" s="3770">
        <v>250000000</v>
      </c>
      <c r="E2136" s="865">
        <v>60000000</v>
      </c>
      <c r="F2136" s="3557">
        <f>E2136/D2136*100</f>
        <v>24</v>
      </c>
      <c r="G2136" s="798">
        <v>50</v>
      </c>
      <c r="H2136" s="535"/>
    </row>
    <row r="2137" spans="2:8" ht="18" hidden="1" customHeight="1" x14ac:dyDescent="0.25">
      <c r="B2137" s="2913"/>
      <c r="C2137" s="3932" t="s">
        <v>6939</v>
      </c>
      <c r="D2137" s="3770">
        <v>100000000</v>
      </c>
      <c r="E2137" s="865">
        <v>100000000</v>
      </c>
      <c r="F2137" s="3557">
        <f>E2137/D2137*100</f>
        <v>100</v>
      </c>
      <c r="G2137" s="798">
        <v>100</v>
      </c>
      <c r="H2137" s="535"/>
    </row>
    <row r="2138" spans="2:8" ht="9.75" hidden="1" customHeight="1" x14ac:dyDescent="0.25">
      <c r="B2138" s="2913"/>
      <c r="C2138" s="5505"/>
      <c r="D2138" s="3770"/>
      <c r="E2138" s="865"/>
      <c r="F2138" s="3553"/>
      <c r="G2138" s="3553"/>
      <c r="H2138" s="535"/>
    </row>
    <row r="2139" spans="2:8" ht="18" hidden="1" customHeight="1" x14ac:dyDescent="0.25">
      <c r="B2139" s="2913"/>
      <c r="C2139" s="3946" t="s">
        <v>6940</v>
      </c>
      <c r="D2139" s="1392">
        <f>D2140+D2141+D2142</f>
        <v>821000000</v>
      </c>
      <c r="E2139" s="1392">
        <f>E2140+E2141+E2142</f>
        <v>649085000</v>
      </c>
      <c r="F2139" s="3632">
        <f>E2139/D2139*100</f>
        <v>79.060292326431181</v>
      </c>
      <c r="G2139" s="2275">
        <f>SUM(G2140:G2142)/3</f>
        <v>83.333333333333329</v>
      </c>
      <c r="H2139" s="535"/>
    </row>
    <row r="2140" spans="2:8" ht="17.25" hidden="1" customHeight="1" x14ac:dyDescent="0.25">
      <c r="B2140" s="2913"/>
      <c r="C2140" s="3932" t="s">
        <v>6941</v>
      </c>
      <c r="D2140" s="3770">
        <v>300000000</v>
      </c>
      <c r="E2140" s="865">
        <v>300000000</v>
      </c>
      <c r="F2140" s="3557">
        <f>E2140/D2140*100</f>
        <v>100</v>
      </c>
      <c r="G2140" s="798">
        <v>100</v>
      </c>
      <c r="H2140" s="535"/>
    </row>
    <row r="2141" spans="2:8" ht="15.75" hidden="1" customHeight="1" x14ac:dyDescent="0.25">
      <c r="B2141" s="2913"/>
      <c r="C2141" s="3932" t="s">
        <v>6942</v>
      </c>
      <c r="D2141" s="3770">
        <v>300000000</v>
      </c>
      <c r="E2141" s="865">
        <v>250000000</v>
      </c>
      <c r="F2141" s="3557">
        <f>E2141/D2141*100</f>
        <v>83.333333333333343</v>
      </c>
      <c r="G2141" s="798">
        <v>100</v>
      </c>
      <c r="H2141" s="535"/>
    </row>
    <row r="2142" spans="2:8" ht="15" hidden="1" customHeight="1" x14ac:dyDescent="0.25">
      <c r="B2142" s="2913"/>
      <c r="C2142" s="3932" t="s">
        <v>6943</v>
      </c>
      <c r="D2142" s="3770">
        <v>221000000</v>
      </c>
      <c r="E2142" s="3768">
        <v>99085000</v>
      </c>
      <c r="F2142" s="3557">
        <f>E2142/D2142*100</f>
        <v>44.834841628959275</v>
      </c>
      <c r="G2142" s="798">
        <v>50</v>
      </c>
      <c r="H2142" s="535"/>
    </row>
    <row r="2143" spans="2:8" ht="13.5" hidden="1" customHeight="1" x14ac:dyDescent="0.25">
      <c r="B2143" s="2913"/>
      <c r="C2143" s="5505"/>
      <c r="D2143" s="3770"/>
      <c r="E2143" s="865"/>
      <c r="F2143" s="3553"/>
      <c r="G2143" s="3553"/>
      <c r="H2143" s="535"/>
    </row>
    <row r="2144" spans="2:8" ht="15.75" hidden="1" customHeight="1" x14ac:dyDescent="0.25">
      <c r="B2144" s="5397"/>
      <c r="C2144" s="3858" t="s">
        <v>6944</v>
      </c>
      <c r="D2144" s="998">
        <f>SUM(D2145+D2152)</f>
        <v>11733808000</v>
      </c>
      <c r="E2144" s="998">
        <f>SUM(E2145+E2152)</f>
        <v>10448571000</v>
      </c>
      <c r="F2144" s="1462">
        <f t="shared" ref="F2144:F2150" si="50">E2144/D2144*100</f>
        <v>89.046718678198928</v>
      </c>
      <c r="G2144" s="2356">
        <f>SUM(G2145+G2152)/2</f>
        <v>70.833333333333343</v>
      </c>
      <c r="H2144" s="535"/>
    </row>
    <row r="2145" spans="1:11" ht="14.25" hidden="1" customHeight="1" x14ac:dyDescent="0.25">
      <c r="B2145" s="2913"/>
      <c r="C2145" s="3881" t="s">
        <v>6945</v>
      </c>
      <c r="D2145" s="1554">
        <f>SUM(D2146:D2150)</f>
        <v>5202983000</v>
      </c>
      <c r="E2145" s="1554">
        <f>SUM(E2146:E2150)</f>
        <v>5141543000</v>
      </c>
      <c r="F2145" s="3632">
        <f t="shared" si="50"/>
        <v>98.819138943948118</v>
      </c>
      <c r="G2145" s="2562">
        <f>SUM(G2146:G2150)/6</f>
        <v>66.666666666666671</v>
      </c>
      <c r="H2145" s="535"/>
    </row>
    <row r="2146" spans="1:11" ht="31.5" hidden="1" customHeight="1" x14ac:dyDescent="0.25">
      <c r="B2146" s="2913"/>
      <c r="C2146" s="4049" t="s">
        <v>6946</v>
      </c>
      <c r="D2146" s="1252">
        <v>1000000000</v>
      </c>
      <c r="E2146" s="3879">
        <v>1000000000</v>
      </c>
      <c r="F2146" s="3557">
        <f t="shared" si="50"/>
        <v>100</v>
      </c>
      <c r="G2146" s="3630">
        <v>100</v>
      </c>
      <c r="H2146" s="535"/>
    </row>
    <row r="2147" spans="1:11" ht="16.5" hidden="1" customHeight="1" x14ac:dyDescent="0.25">
      <c r="B2147" s="2913"/>
      <c r="C2147" s="4049" t="s">
        <v>6956</v>
      </c>
      <c r="D2147" s="1411">
        <v>3202983000</v>
      </c>
      <c r="E2147" s="1891">
        <v>3192983000</v>
      </c>
      <c r="F2147" s="3557">
        <f t="shared" si="50"/>
        <v>99.687791037292428</v>
      </c>
      <c r="G2147" s="3651">
        <v>100</v>
      </c>
      <c r="H2147" s="535"/>
    </row>
    <row r="2148" spans="1:11" ht="16.5" hidden="1" customHeight="1" x14ac:dyDescent="0.25">
      <c r="B2148" s="2913"/>
      <c r="C2148" s="4049" t="s">
        <v>6955</v>
      </c>
      <c r="D2148" s="798">
        <v>500000000</v>
      </c>
      <c r="E2148" s="1891">
        <v>500000000</v>
      </c>
      <c r="F2148" s="3557">
        <f t="shared" si="50"/>
        <v>100</v>
      </c>
      <c r="G2148" s="3651">
        <v>100</v>
      </c>
      <c r="H2148" s="535"/>
    </row>
    <row r="2149" spans="1:11" ht="16.5" hidden="1" customHeight="1" x14ac:dyDescent="0.25">
      <c r="B2149" s="2913"/>
      <c r="C2149" s="4049" t="s">
        <v>6957</v>
      </c>
      <c r="D2149" s="798">
        <v>448560000</v>
      </c>
      <c r="E2149" s="1000">
        <v>448560000</v>
      </c>
      <c r="F2149" s="3557">
        <f t="shared" si="50"/>
        <v>100</v>
      </c>
      <c r="G2149" s="3651">
        <v>100</v>
      </c>
      <c r="H2149" s="535"/>
    </row>
    <row r="2150" spans="1:11" ht="16.5" hidden="1" customHeight="1" x14ac:dyDescent="0.25">
      <c r="B2150" s="2913"/>
      <c r="C2150" s="4049" t="s">
        <v>6958</v>
      </c>
      <c r="D2150" s="798">
        <f>425237000-373797000</f>
        <v>51440000</v>
      </c>
      <c r="E2150" s="865">
        <v>0</v>
      </c>
      <c r="F2150" s="3557">
        <f t="shared" si="50"/>
        <v>0</v>
      </c>
      <c r="G2150" s="798">
        <v>0</v>
      </c>
      <c r="H2150" s="535"/>
    </row>
    <row r="2151" spans="1:11" ht="6" hidden="1" customHeight="1" x14ac:dyDescent="0.25">
      <c r="B2151" s="2913"/>
      <c r="C2151" s="4104"/>
      <c r="D2151" s="1591"/>
      <c r="E2151" s="666"/>
      <c r="F2151" s="1315"/>
      <c r="G2151" s="1315"/>
      <c r="H2151" s="535"/>
    </row>
    <row r="2152" spans="1:11" ht="15.75" hidden="1" customHeight="1" x14ac:dyDescent="0.25">
      <c r="B2152" s="2913"/>
      <c r="C2152" s="3946" t="s">
        <v>6947</v>
      </c>
      <c r="D2152" s="1392">
        <f>SUM(D2153:D2155)</f>
        <v>6530825000</v>
      </c>
      <c r="E2152" s="1392">
        <f>SUM(E2153:E2155)</f>
        <v>5307028000</v>
      </c>
      <c r="F2152" s="3632">
        <f>E2152/D2152*100</f>
        <v>81.261218911852637</v>
      </c>
      <c r="G2152" s="2261">
        <f>SUM(G2153:G2155)/4</f>
        <v>75</v>
      </c>
      <c r="H2152" s="535"/>
    </row>
    <row r="2153" spans="1:11" ht="18.75" hidden="1" customHeight="1" x14ac:dyDescent="0.25">
      <c r="B2153" s="2913"/>
      <c r="C2153" s="3947" t="s">
        <v>6948</v>
      </c>
      <c r="D2153" s="971">
        <f>900000000+973797000</f>
        <v>1873797000</v>
      </c>
      <c r="E2153" s="1238">
        <v>900000000</v>
      </c>
      <c r="F2153" s="3557">
        <f>E2153/D2153*100</f>
        <v>48.030816571912538</v>
      </c>
      <c r="G2153" s="3651">
        <v>100</v>
      </c>
      <c r="H2153" s="535"/>
    </row>
    <row r="2154" spans="1:11" ht="21.75" hidden="1" customHeight="1" x14ac:dyDescent="0.25">
      <c r="B2154" s="2913"/>
      <c r="C2154" s="3947" t="s">
        <v>6949</v>
      </c>
      <c r="D2154" s="971">
        <v>300000000</v>
      </c>
      <c r="E2154" s="865">
        <v>50000000</v>
      </c>
      <c r="F2154" s="3557">
        <f>E2154/D2154*100</f>
        <v>16.666666666666664</v>
      </c>
      <c r="G2154" s="798">
        <v>100</v>
      </c>
      <c r="H2154" s="535"/>
    </row>
    <row r="2155" spans="1:11" ht="21.75" hidden="1" customHeight="1" x14ac:dyDescent="0.25">
      <c r="B2155" s="2913"/>
      <c r="C2155" s="4374" t="s">
        <v>6954</v>
      </c>
      <c r="D2155" s="3538">
        <v>4357028000</v>
      </c>
      <c r="E2155" s="865">
        <v>4357028000</v>
      </c>
      <c r="F2155" s="3557">
        <f>E2155/D2155*100</f>
        <v>100</v>
      </c>
      <c r="G2155" s="798">
        <v>100</v>
      </c>
      <c r="H2155" s="535"/>
    </row>
    <row r="2156" spans="1:11" ht="12" hidden="1" customHeight="1" thickBot="1" x14ac:dyDescent="0.3">
      <c r="B2156" s="2913"/>
      <c r="C2156" s="3861"/>
      <c r="D2156" s="985"/>
      <c r="E2156" s="3493"/>
      <c r="F2156" s="2279"/>
      <c r="G2156" s="2279"/>
      <c r="H2156" s="535"/>
    </row>
    <row r="2157" spans="1:11" ht="17.25" customHeight="1" thickBot="1" x14ac:dyDescent="0.3">
      <c r="B2157" s="5417"/>
      <c r="C2157" s="4527" t="s">
        <v>267</v>
      </c>
      <c r="D2157" s="4530">
        <f>SUM(D2159+D2224+D2256+D2263+D2268+D2275+D2293+D2297)</f>
        <v>148459001000</v>
      </c>
      <c r="E2157" s="4530">
        <f>SUM(E2159+E2224+E2256+E2263+E2268+E2275+E2293+E2297)</f>
        <v>130635177732</v>
      </c>
      <c r="F2157" s="5511">
        <f>E2157/D2157*100</f>
        <v>87.994110732295709</v>
      </c>
      <c r="G2157" s="5512">
        <f>SUM(G2159+G2224+G2256+G2263+G2268+G2275+G2294+G2297)/8</f>
        <v>95.306653911564624</v>
      </c>
      <c r="H2157" s="1638"/>
    </row>
    <row r="2158" spans="1:11" s="2029" customFormat="1" ht="9.75" hidden="1" customHeight="1" x14ac:dyDescent="0.25">
      <c r="A2158" s="2041"/>
      <c r="B2158" s="5407"/>
      <c r="C2158" s="3968"/>
      <c r="D2158" s="5513"/>
      <c r="E2158" s="5035"/>
      <c r="F2158" s="2774"/>
      <c r="G2158" s="5514"/>
      <c r="H2158" s="2122"/>
      <c r="J2158" s="2142"/>
      <c r="K2158" s="2142"/>
    </row>
    <row r="2159" spans="1:11" ht="15" hidden="1" customHeight="1" x14ac:dyDescent="0.25">
      <c r="B2159" s="5397"/>
      <c r="C2159" s="4047" t="s">
        <v>238</v>
      </c>
      <c r="D2159" s="3631">
        <f>SUM(D2160+D2163+D2168+D2185+D2193+D2202+D2214)</f>
        <v>28995780000</v>
      </c>
      <c r="E2159" s="3631">
        <f>SUM(E2160+E2163+E2168+E2185+E2193+E2202+E2214)</f>
        <v>27903080000</v>
      </c>
      <c r="F2159" s="2065">
        <f>E2159/D2159*100</f>
        <v>96.231520586788832</v>
      </c>
      <c r="G2159" s="5034">
        <f>SUM(G2160+G2163+G2168+G2185+G2193+G2202+G2214)/7</f>
        <v>95.578231292517003</v>
      </c>
      <c r="H2159" s="535"/>
    </row>
    <row r="2160" spans="1:11" ht="15.75" hidden="1" customHeight="1" x14ac:dyDescent="0.25">
      <c r="B2160" s="2913"/>
      <c r="C2160" s="4021" t="s">
        <v>899</v>
      </c>
      <c r="D2160" s="3633">
        <f>D2161</f>
        <v>1200000000</v>
      </c>
      <c r="E2160" s="3633">
        <f>E2161</f>
        <v>1197600000</v>
      </c>
      <c r="F2160" s="2380">
        <f>E2160/D2160*100</f>
        <v>99.8</v>
      </c>
      <c r="G2160" s="2380">
        <v>100</v>
      </c>
      <c r="H2160" s="535"/>
    </row>
    <row r="2161" spans="2:8" ht="15.75" hidden="1" customHeight="1" x14ac:dyDescent="0.25">
      <c r="B2161" s="2913"/>
      <c r="C2161" s="4067" t="s">
        <v>900</v>
      </c>
      <c r="D2161" s="1569">
        <v>1200000000</v>
      </c>
      <c r="E2161" s="1352">
        <v>1197600000</v>
      </c>
      <c r="F2161" s="3557">
        <f>E2161/D2161*100</f>
        <v>99.8</v>
      </c>
      <c r="G2161" s="3648">
        <v>100</v>
      </c>
      <c r="H2161" s="535"/>
    </row>
    <row r="2162" spans="2:8" ht="7.5" hidden="1" customHeight="1" x14ac:dyDescent="0.25">
      <c r="B2162" s="2913"/>
      <c r="C2162" s="4118"/>
      <c r="D2162" s="3638"/>
      <c r="E2162" s="1927"/>
      <c r="F2162" s="2861"/>
      <c r="G2162" s="1315"/>
      <c r="H2162" s="535"/>
    </row>
    <row r="2163" spans="2:8" ht="17.25" hidden="1" customHeight="1" x14ac:dyDescent="0.25">
      <c r="B2163" s="2913"/>
      <c r="C2163" s="3938" t="s">
        <v>268</v>
      </c>
      <c r="D2163" s="3639">
        <f>SUM(D2164:D2166)</f>
        <v>876000000</v>
      </c>
      <c r="E2163" s="3639">
        <f>SUM(E2164:E2166)</f>
        <v>876000000</v>
      </c>
      <c r="F2163" s="2380">
        <f>E2163/D2163*100</f>
        <v>100</v>
      </c>
      <c r="G2163" s="2261">
        <v>100</v>
      </c>
      <c r="H2163" s="535"/>
    </row>
    <row r="2164" spans="2:8" ht="16.5" hidden="1" customHeight="1" x14ac:dyDescent="0.25">
      <c r="B2164" s="2913"/>
      <c r="C2164" s="4067" t="s">
        <v>901</v>
      </c>
      <c r="D2164" s="1569">
        <v>378000000</v>
      </c>
      <c r="E2164" s="1352">
        <v>378000000</v>
      </c>
      <c r="F2164" s="3557">
        <f>E2164/D2164*100</f>
        <v>100</v>
      </c>
      <c r="G2164" s="3651">
        <v>100</v>
      </c>
      <c r="H2164" s="535"/>
    </row>
    <row r="2165" spans="2:8" ht="18" hidden="1" customHeight="1" x14ac:dyDescent="0.25">
      <c r="B2165" s="2913"/>
      <c r="C2165" s="4067" t="s">
        <v>902</v>
      </c>
      <c r="D2165" s="1569">
        <v>200000000</v>
      </c>
      <c r="E2165" s="865">
        <v>200000000</v>
      </c>
      <c r="F2165" s="3557">
        <f>E2165/D2165*100</f>
        <v>100</v>
      </c>
      <c r="G2165" s="798">
        <v>100</v>
      </c>
      <c r="H2165" s="535"/>
    </row>
    <row r="2166" spans="2:8" ht="17.25" hidden="1" customHeight="1" x14ac:dyDescent="0.25">
      <c r="B2166" s="2913"/>
      <c r="C2166" s="4067" t="s">
        <v>903</v>
      </c>
      <c r="D2166" s="1569">
        <v>298000000</v>
      </c>
      <c r="E2166" s="865">
        <v>298000000</v>
      </c>
      <c r="F2166" s="3557">
        <f>E2166/D2166*100</f>
        <v>100</v>
      </c>
      <c r="G2166" s="798">
        <v>100</v>
      </c>
      <c r="H2166" s="535"/>
    </row>
    <row r="2167" spans="2:8" ht="6.75" hidden="1" customHeight="1" x14ac:dyDescent="0.25">
      <c r="B2167" s="2913"/>
      <c r="C2167" s="4118"/>
      <c r="D2167" s="827"/>
      <c r="E2167" s="1927"/>
      <c r="F2167" s="1507"/>
      <c r="G2167" s="1315"/>
      <c r="H2167" s="535"/>
    </row>
    <row r="2168" spans="2:8" ht="17.25" hidden="1" customHeight="1" x14ac:dyDescent="0.25">
      <c r="B2168" s="2913"/>
      <c r="C2168" s="3938" t="s">
        <v>269</v>
      </c>
      <c r="D2168" s="3629">
        <f>SUM(D2169:D2183)</f>
        <v>5106280000</v>
      </c>
      <c r="E2168" s="3629">
        <f>SUM(E2169:E2183)</f>
        <v>5106000000</v>
      </c>
      <c r="F2168" s="2380">
        <f t="shared" ref="F2168:F2183" si="51">E2168/D2168*100</f>
        <v>99.99451655608388</v>
      </c>
      <c r="G2168" s="2261">
        <v>100</v>
      </c>
      <c r="H2168" s="535"/>
    </row>
    <row r="2169" spans="2:8" ht="15.75" hidden="1" customHeight="1" x14ac:dyDescent="0.25">
      <c r="B2169" s="2913"/>
      <c r="C2169" s="4067" t="s">
        <v>904</v>
      </c>
      <c r="D2169" s="1569">
        <v>200000000</v>
      </c>
      <c r="E2169" s="865">
        <v>200000000</v>
      </c>
      <c r="F2169" s="3557">
        <f t="shared" si="51"/>
        <v>100</v>
      </c>
      <c r="G2169" s="798">
        <v>100</v>
      </c>
      <c r="H2169" s="535"/>
    </row>
    <row r="2170" spans="2:8" ht="16.5" hidden="1" customHeight="1" x14ac:dyDescent="0.25">
      <c r="B2170" s="2913"/>
      <c r="C2170" s="4067" t="s">
        <v>905</v>
      </c>
      <c r="D2170" s="1569">
        <v>1122000000</v>
      </c>
      <c r="E2170" s="1352">
        <v>1122000000</v>
      </c>
      <c r="F2170" s="3557">
        <f t="shared" si="51"/>
        <v>100</v>
      </c>
      <c r="G2170" s="798">
        <v>100</v>
      </c>
      <c r="H2170" s="535"/>
    </row>
    <row r="2171" spans="2:8" ht="15.75" hidden="1" customHeight="1" x14ac:dyDescent="0.25">
      <c r="B2171" s="2913"/>
      <c r="C2171" s="4067" t="s">
        <v>906</v>
      </c>
      <c r="D2171" s="1569">
        <v>612000000</v>
      </c>
      <c r="E2171" s="1352">
        <v>612000000</v>
      </c>
      <c r="F2171" s="3557">
        <f t="shared" si="51"/>
        <v>100</v>
      </c>
      <c r="G2171" s="798">
        <v>100</v>
      </c>
      <c r="H2171" s="535"/>
    </row>
    <row r="2172" spans="2:8" ht="15" hidden="1" customHeight="1" x14ac:dyDescent="0.25">
      <c r="B2172" s="2913"/>
      <c r="C2172" s="4067" t="s">
        <v>907</v>
      </c>
      <c r="D2172" s="1569">
        <v>812280000</v>
      </c>
      <c r="E2172" s="1352">
        <v>812000000</v>
      </c>
      <c r="F2172" s="3557">
        <f t="shared" si="51"/>
        <v>99.965529127886938</v>
      </c>
      <c r="G2172" s="798">
        <v>100</v>
      </c>
      <c r="H2172" s="535"/>
    </row>
    <row r="2173" spans="2:8" ht="17.25" hidden="1" customHeight="1" x14ac:dyDescent="0.25">
      <c r="B2173" s="2913"/>
      <c r="C2173" s="4067" t="s">
        <v>908</v>
      </c>
      <c r="D2173" s="1569">
        <v>200000000</v>
      </c>
      <c r="E2173" s="1352">
        <v>200000000</v>
      </c>
      <c r="F2173" s="3557">
        <f t="shared" si="51"/>
        <v>100</v>
      </c>
      <c r="G2173" s="798">
        <v>100</v>
      </c>
      <c r="H2173" s="535"/>
    </row>
    <row r="2174" spans="2:8" ht="13.5" hidden="1" customHeight="1" x14ac:dyDescent="0.25">
      <c r="B2174" s="2913"/>
      <c r="C2174" s="4067" t="s">
        <v>909</v>
      </c>
      <c r="D2174" s="1569">
        <v>60000000</v>
      </c>
      <c r="E2174" s="1352">
        <v>60000000</v>
      </c>
      <c r="F2174" s="3557">
        <f t="shared" si="51"/>
        <v>100</v>
      </c>
      <c r="G2174" s="798">
        <v>100</v>
      </c>
      <c r="H2174" s="535"/>
    </row>
    <row r="2175" spans="2:8" ht="17.25" hidden="1" customHeight="1" x14ac:dyDescent="0.25">
      <c r="B2175" s="2913"/>
      <c r="C2175" s="4067" t="s">
        <v>910</v>
      </c>
      <c r="D2175" s="1569">
        <v>600000000</v>
      </c>
      <c r="E2175" s="1352">
        <v>600000000</v>
      </c>
      <c r="F2175" s="3557">
        <f t="shared" si="51"/>
        <v>100</v>
      </c>
      <c r="G2175" s="798">
        <v>100</v>
      </c>
      <c r="H2175" s="535"/>
    </row>
    <row r="2176" spans="2:8" ht="16.5" hidden="1" customHeight="1" x14ac:dyDescent="0.25">
      <c r="B2176" s="2913"/>
      <c r="C2176" s="4067" t="s">
        <v>911</v>
      </c>
      <c r="D2176" s="1569">
        <v>600000000</v>
      </c>
      <c r="E2176" s="1352">
        <v>600000000</v>
      </c>
      <c r="F2176" s="3557">
        <f t="shared" si="51"/>
        <v>100</v>
      </c>
      <c r="G2176" s="798">
        <v>100</v>
      </c>
      <c r="H2176" s="535"/>
    </row>
    <row r="2177" spans="2:8" ht="18" hidden="1" customHeight="1" x14ac:dyDescent="0.25">
      <c r="B2177" s="2913"/>
      <c r="C2177" s="4067" t="s">
        <v>912</v>
      </c>
      <c r="D2177" s="1569">
        <v>100000000</v>
      </c>
      <c r="E2177" s="1352">
        <v>100000000</v>
      </c>
      <c r="F2177" s="3557">
        <f t="shared" si="51"/>
        <v>100</v>
      </c>
      <c r="G2177" s="798">
        <v>100</v>
      </c>
      <c r="H2177" s="535"/>
    </row>
    <row r="2178" spans="2:8" ht="15.75" hidden="1" customHeight="1" x14ac:dyDescent="0.25">
      <c r="B2178" s="2913"/>
      <c r="C2178" s="4067" t="s">
        <v>913</v>
      </c>
      <c r="D2178" s="1569">
        <v>100000000</v>
      </c>
      <c r="E2178" s="1352">
        <v>100000000</v>
      </c>
      <c r="F2178" s="3557">
        <f t="shared" si="51"/>
        <v>100</v>
      </c>
      <c r="G2178" s="798">
        <v>100</v>
      </c>
      <c r="H2178" s="535"/>
    </row>
    <row r="2179" spans="2:8" ht="14.25" hidden="1" customHeight="1" x14ac:dyDescent="0.25">
      <c r="B2179" s="2913"/>
      <c r="C2179" s="4067" t="s">
        <v>914</v>
      </c>
      <c r="D2179" s="1569">
        <v>100000000</v>
      </c>
      <c r="E2179" s="1352">
        <v>100000000</v>
      </c>
      <c r="F2179" s="3557">
        <f t="shared" si="51"/>
        <v>100</v>
      </c>
      <c r="G2179" s="798">
        <v>100</v>
      </c>
      <c r="H2179" s="535"/>
    </row>
    <row r="2180" spans="2:8" ht="14.25" hidden="1" customHeight="1" x14ac:dyDescent="0.25">
      <c r="B2180" s="2913"/>
      <c r="C2180" s="4067" t="s">
        <v>915</v>
      </c>
      <c r="D2180" s="1569">
        <v>100000000</v>
      </c>
      <c r="E2180" s="1352">
        <v>100000000</v>
      </c>
      <c r="F2180" s="3557">
        <f t="shared" si="51"/>
        <v>100</v>
      </c>
      <c r="G2180" s="798">
        <v>100</v>
      </c>
      <c r="H2180" s="535"/>
    </row>
    <row r="2181" spans="2:8" ht="18" hidden="1" customHeight="1" x14ac:dyDescent="0.25">
      <c r="B2181" s="2913"/>
      <c r="C2181" s="4067" t="s">
        <v>916</v>
      </c>
      <c r="D2181" s="1569">
        <v>100000000</v>
      </c>
      <c r="E2181" s="1352">
        <v>100000000</v>
      </c>
      <c r="F2181" s="3557">
        <f t="shared" si="51"/>
        <v>100</v>
      </c>
      <c r="G2181" s="798">
        <v>100</v>
      </c>
      <c r="H2181" s="535"/>
    </row>
    <row r="2182" spans="2:8" ht="15.75" hidden="1" customHeight="1" x14ac:dyDescent="0.25">
      <c r="B2182" s="2913"/>
      <c r="C2182" s="4067" t="s">
        <v>917</v>
      </c>
      <c r="D2182" s="1569">
        <v>200000000</v>
      </c>
      <c r="E2182" s="1352">
        <v>200000000</v>
      </c>
      <c r="F2182" s="3557">
        <f t="shared" si="51"/>
        <v>100</v>
      </c>
      <c r="G2182" s="798">
        <v>100</v>
      </c>
      <c r="H2182" s="535"/>
    </row>
    <row r="2183" spans="2:8" ht="16.5" hidden="1" customHeight="1" x14ac:dyDescent="0.25">
      <c r="B2183" s="2913"/>
      <c r="C2183" s="4067" t="s">
        <v>918</v>
      </c>
      <c r="D2183" s="1569">
        <v>200000000</v>
      </c>
      <c r="E2183" s="1352">
        <v>200000000</v>
      </c>
      <c r="F2183" s="3557">
        <f t="shared" si="51"/>
        <v>100</v>
      </c>
      <c r="G2183" s="798">
        <v>100</v>
      </c>
      <c r="H2183" s="535"/>
    </row>
    <row r="2184" spans="2:8" ht="8.25" hidden="1" customHeight="1" x14ac:dyDescent="0.25">
      <c r="B2184" s="2913"/>
      <c r="C2184" s="4118"/>
      <c r="D2184" s="3638"/>
      <c r="E2184" s="3494"/>
      <c r="F2184" s="2681"/>
      <c r="G2184" s="2681"/>
      <c r="H2184" s="535"/>
    </row>
    <row r="2185" spans="2:8" ht="16.5" hidden="1" customHeight="1" x14ac:dyDescent="0.25">
      <c r="B2185" s="2913"/>
      <c r="C2185" s="3938" t="s">
        <v>807</v>
      </c>
      <c r="D2185" s="3639">
        <f>SUM(D2186:D2191)</f>
        <v>2100000000</v>
      </c>
      <c r="E2185" s="3639">
        <f>SUM(E2186:E2191)</f>
        <v>1250000000</v>
      </c>
      <c r="F2185" s="2380">
        <f t="shared" ref="F2185:F2190" si="52">E2185/D2185*100</f>
        <v>59.523809523809526</v>
      </c>
      <c r="G2185" s="2261">
        <f>SUM(G2186:G2191)/6</f>
        <v>83.333333333333329</v>
      </c>
      <c r="H2185" s="535"/>
    </row>
    <row r="2186" spans="2:8" ht="15.75" hidden="1" customHeight="1" x14ac:dyDescent="0.25">
      <c r="B2186" s="2913"/>
      <c r="C2186" s="4067" t="s">
        <v>919</v>
      </c>
      <c r="D2186" s="1569">
        <v>500000000</v>
      </c>
      <c r="E2186" s="1352">
        <v>500000000</v>
      </c>
      <c r="F2186" s="3557">
        <f t="shared" si="52"/>
        <v>100</v>
      </c>
      <c r="G2186" s="3648">
        <v>100</v>
      </c>
      <c r="H2186" s="535"/>
    </row>
    <row r="2187" spans="2:8" ht="15" hidden="1" customHeight="1" x14ac:dyDescent="0.25">
      <c r="B2187" s="2913"/>
      <c r="C2187" s="4067" t="s">
        <v>920</v>
      </c>
      <c r="D2187" s="1569">
        <v>200000000</v>
      </c>
      <c r="E2187" s="1352">
        <v>200000000</v>
      </c>
      <c r="F2187" s="3557">
        <f t="shared" si="52"/>
        <v>100</v>
      </c>
      <c r="G2187" s="3648">
        <v>100</v>
      </c>
      <c r="H2187" s="535"/>
    </row>
    <row r="2188" spans="2:8" ht="13.5" hidden="1" customHeight="1" x14ac:dyDescent="0.25">
      <c r="B2188" s="2913"/>
      <c r="C2188" s="4067" t="s">
        <v>921</v>
      </c>
      <c r="D2188" s="1569">
        <v>200000000</v>
      </c>
      <c r="E2188" s="1352">
        <v>200000000</v>
      </c>
      <c r="F2188" s="3557">
        <f t="shared" si="52"/>
        <v>100</v>
      </c>
      <c r="G2188" s="3648">
        <v>100</v>
      </c>
      <c r="H2188" s="535"/>
    </row>
    <row r="2189" spans="2:8" ht="14.25" hidden="1" customHeight="1" x14ac:dyDescent="0.25">
      <c r="B2189" s="2913"/>
      <c r="C2189" s="4067" t="s">
        <v>922</v>
      </c>
      <c r="D2189" s="1569">
        <v>200000000</v>
      </c>
      <c r="E2189" s="1352">
        <v>200000000</v>
      </c>
      <c r="F2189" s="3557">
        <f t="shared" si="52"/>
        <v>100</v>
      </c>
      <c r="G2189" s="3648">
        <v>100</v>
      </c>
      <c r="H2189" s="535"/>
    </row>
    <row r="2190" spans="2:8" ht="15.75" hidden="1" customHeight="1" x14ac:dyDescent="0.25">
      <c r="B2190" s="2913"/>
      <c r="C2190" s="4067" t="s">
        <v>923</v>
      </c>
      <c r="D2190" s="1569">
        <v>150000000</v>
      </c>
      <c r="E2190" s="1352">
        <v>150000000</v>
      </c>
      <c r="F2190" s="3557">
        <f t="shared" si="52"/>
        <v>100</v>
      </c>
      <c r="G2190" s="3648">
        <v>100</v>
      </c>
      <c r="H2190" s="535"/>
    </row>
    <row r="2191" spans="2:8" ht="15.75" hidden="1" customHeight="1" x14ac:dyDescent="0.25">
      <c r="B2191" s="2913"/>
      <c r="C2191" s="4067" t="s">
        <v>924</v>
      </c>
      <c r="D2191" s="1569">
        <v>850000000</v>
      </c>
      <c r="E2191" s="865">
        <v>0</v>
      </c>
      <c r="F2191" s="865">
        <v>0</v>
      </c>
      <c r="G2191" s="865">
        <v>0</v>
      </c>
      <c r="H2191" s="535"/>
    </row>
    <row r="2192" spans="2:8" ht="6.75" hidden="1" customHeight="1" x14ac:dyDescent="0.25">
      <c r="B2192" s="2913"/>
      <c r="C2192" s="4118"/>
      <c r="D2192" s="3638"/>
      <c r="E2192" s="3879"/>
      <c r="F2192" s="1507"/>
      <c r="G2192" s="1315"/>
      <c r="H2192" s="535"/>
    </row>
    <row r="2193" spans="2:8" ht="16.5" hidden="1" customHeight="1" x14ac:dyDescent="0.25">
      <c r="B2193" s="2913"/>
      <c r="C2193" s="3938" t="s">
        <v>926</v>
      </c>
      <c r="D2193" s="3639">
        <f>SUM(D2194:D2200)</f>
        <v>1500000000</v>
      </c>
      <c r="E2193" s="3639">
        <f>SUM(E2194:E2200)</f>
        <v>1300000000</v>
      </c>
      <c r="F2193" s="2380">
        <f t="shared" ref="F2193:F2200" si="53">E2193/D2193*100</f>
        <v>86.666666666666671</v>
      </c>
      <c r="G2193" s="2261">
        <f>SUM(G2194:G2200)/7</f>
        <v>85.714285714285708</v>
      </c>
      <c r="H2193" s="535"/>
    </row>
    <row r="2194" spans="2:8" ht="16.5" hidden="1" customHeight="1" x14ac:dyDescent="0.25">
      <c r="B2194" s="2913"/>
      <c r="C2194" s="4067" t="s">
        <v>925</v>
      </c>
      <c r="D2194" s="1569">
        <v>500000000</v>
      </c>
      <c r="E2194" s="1352">
        <v>500000000</v>
      </c>
      <c r="F2194" s="3557">
        <f t="shared" si="53"/>
        <v>100</v>
      </c>
      <c r="G2194" s="1717">
        <v>100</v>
      </c>
      <c r="H2194" s="535"/>
    </row>
    <row r="2195" spans="2:8" ht="17.25" hidden="1" customHeight="1" x14ac:dyDescent="0.25">
      <c r="B2195" s="2913"/>
      <c r="C2195" s="4067" t="s">
        <v>927</v>
      </c>
      <c r="D2195" s="1569">
        <v>100000000</v>
      </c>
      <c r="E2195" s="1352">
        <v>100000000</v>
      </c>
      <c r="F2195" s="3557">
        <f t="shared" si="53"/>
        <v>100</v>
      </c>
      <c r="G2195" s="1717">
        <v>100</v>
      </c>
      <c r="H2195" s="535"/>
    </row>
    <row r="2196" spans="2:8" ht="15.75" hidden="1" customHeight="1" x14ac:dyDescent="0.25">
      <c r="B2196" s="2913"/>
      <c r="C2196" s="4067" t="s">
        <v>928</v>
      </c>
      <c r="D2196" s="1569">
        <v>100000000</v>
      </c>
      <c r="E2196" s="1352">
        <v>100000000</v>
      </c>
      <c r="F2196" s="3557">
        <f t="shared" si="53"/>
        <v>100</v>
      </c>
      <c r="G2196" s="1717">
        <v>100</v>
      </c>
      <c r="H2196" s="535"/>
    </row>
    <row r="2197" spans="2:8" ht="15.75" hidden="1" customHeight="1" x14ac:dyDescent="0.25">
      <c r="B2197" s="2913"/>
      <c r="C2197" s="4067" t="s">
        <v>929</v>
      </c>
      <c r="D2197" s="1569">
        <v>200000000</v>
      </c>
      <c r="E2197" s="1352">
        <v>200000000</v>
      </c>
      <c r="F2197" s="3557">
        <f t="shared" si="53"/>
        <v>100</v>
      </c>
      <c r="G2197" s="1717">
        <v>100</v>
      </c>
      <c r="H2197" s="535"/>
    </row>
    <row r="2198" spans="2:8" ht="15.75" hidden="1" customHeight="1" x14ac:dyDescent="0.25">
      <c r="B2198" s="2913"/>
      <c r="C2198" s="4067" t="s">
        <v>930</v>
      </c>
      <c r="D2198" s="1569">
        <v>200000000</v>
      </c>
      <c r="E2198" s="1352">
        <v>200000000</v>
      </c>
      <c r="F2198" s="3557">
        <f t="shared" si="53"/>
        <v>100</v>
      </c>
      <c r="G2198" s="1717">
        <v>100</v>
      </c>
      <c r="H2198" s="535"/>
    </row>
    <row r="2199" spans="2:8" ht="15.75" hidden="1" customHeight="1" x14ac:dyDescent="0.25">
      <c r="B2199" s="2913"/>
      <c r="C2199" s="4067" t="s">
        <v>931</v>
      </c>
      <c r="D2199" s="1569">
        <v>200000000</v>
      </c>
      <c r="E2199" s="865">
        <v>0</v>
      </c>
      <c r="F2199" s="3557">
        <f t="shared" si="53"/>
        <v>0</v>
      </c>
      <c r="G2199" s="3557">
        <v>0</v>
      </c>
      <c r="H2199" s="535"/>
    </row>
    <row r="2200" spans="2:8" ht="15.75" hidden="1" customHeight="1" x14ac:dyDescent="0.25">
      <c r="B2200" s="2913"/>
      <c r="C2200" s="4067" t="s">
        <v>932</v>
      </c>
      <c r="D2200" s="1569">
        <v>200000000</v>
      </c>
      <c r="E2200" s="1352">
        <v>200000000</v>
      </c>
      <c r="F2200" s="3557">
        <f t="shared" si="53"/>
        <v>100</v>
      </c>
      <c r="G2200" s="1717">
        <v>100</v>
      </c>
      <c r="H2200" s="535"/>
    </row>
    <row r="2201" spans="2:8" ht="5.25" hidden="1" customHeight="1" x14ac:dyDescent="0.25">
      <c r="B2201" s="2913"/>
      <c r="C2201" s="4118"/>
      <c r="D2201" s="3638"/>
      <c r="E2201" s="3879"/>
      <c r="F2201" s="1507"/>
      <c r="G2201" s="1315"/>
      <c r="H2201" s="535"/>
    </row>
    <row r="2202" spans="2:8" ht="18.75" hidden="1" customHeight="1" x14ac:dyDescent="0.25">
      <c r="B2202" s="2913"/>
      <c r="C2202" s="3938" t="s">
        <v>809</v>
      </c>
      <c r="D2202" s="3639">
        <f>SUM(D2203:D2212)</f>
        <v>14513500000</v>
      </c>
      <c r="E2202" s="3639">
        <f>SUM(E2203:E2212)</f>
        <v>14513500000</v>
      </c>
      <c r="F2202" s="2380">
        <f t="shared" ref="F2202:F2212" si="54">E2202/D2202*100</f>
        <v>100</v>
      </c>
      <c r="G2202" s="3600">
        <v>100</v>
      </c>
      <c r="H2202" s="535"/>
    </row>
    <row r="2203" spans="2:8" ht="17.25" hidden="1" customHeight="1" x14ac:dyDescent="0.25">
      <c r="B2203" s="2913"/>
      <c r="C2203" s="4067" t="s">
        <v>933</v>
      </c>
      <c r="D2203" s="1569">
        <v>200000000</v>
      </c>
      <c r="E2203" s="1352">
        <v>200000000</v>
      </c>
      <c r="F2203" s="3557">
        <f t="shared" si="54"/>
        <v>100</v>
      </c>
      <c r="G2203" s="3648">
        <v>100</v>
      </c>
      <c r="H2203" s="535"/>
    </row>
    <row r="2204" spans="2:8" ht="18" hidden="1" customHeight="1" x14ac:dyDescent="0.25">
      <c r="B2204" s="2913"/>
      <c r="C2204" s="4067" t="s">
        <v>934</v>
      </c>
      <c r="D2204" s="1569">
        <v>813500000</v>
      </c>
      <c r="E2204" s="1352">
        <v>813500000</v>
      </c>
      <c r="F2204" s="3557">
        <f t="shared" si="54"/>
        <v>100</v>
      </c>
      <c r="G2204" s="3648">
        <v>100</v>
      </c>
      <c r="H2204" s="535"/>
    </row>
    <row r="2205" spans="2:8" ht="16.5" hidden="1" customHeight="1" x14ac:dyDescent="0.25">
      <c r="B2205" s="2913"/>
      <c r="C2205" s="4067" t="s">
        <v>935</v>
      </c>
      <c r="D2205" s="1569">
        <v>100000000</v>
      </c>
      <c r="E2205" s="1352">
        <v>100000000</v>
      </c>
      <c r="F2205" s="3557">
        <f t="shared" si="54"/>
        <v>100</v>
      </c>
      <c r="G2205" s="3648">
        <v>100</v>
      </c>
      <c r="H2205" s="535"/>
    </row>
    <row r="2206" spans="2:8" ht="14.25" hidden="1" customHeight="1" x14ac:dyDescent="0.25">
      <c r="B2206" s="2913"/>
      <c r="C2206" s="4067" t="s">
        <v>936</v>
      </c>
      <c r="D2206" s="1569">
        <v>200000000</v>
      </c>
      <c r="E2206" s="1352">
        <v>200000000</v>
      </c>
      <c r="F2206" s="3557">
        <f t="shared" si="54"/>
        <v>100</v>
      </c>
      <c r="G2206" s="3648">
        <v>100</v>
      </c>
      <c r="H2206" s="535"/>
    </row>
    <row r="2207" spans="2:8" ht="15.75" hidden="1" customHeight="1" x14ac:dyDescent="0.25">
      <c r="B2207" s="2913"/>
      <c r="C2207" s="4067" t="s">
        <v>937</v>
      </c>
      <c r="D2207" s="1569">
        <v>1700000000</v>
      </c>
      <c r="E2207" s="1352">
        <v>1700000000</v>
      </c>
      <c r="F2207" s="3557">
        <f t="shared" si="54"/>
        <v>100</v>
      </c>
      <c r="G2207" s="3648">
        <v>100</v>
      </c>
      <c r="H2207" s="535"/>
    </row>
    <row r="2208" spans="2:8" ht="15.75" hidden="1" customHeight="1" x14ac:dyDescent="0.25">
      <c r="B2208" s="2913"/>
      <c r="C2208" s="4067" t="s">
        <v>938</v>
      </c>
      <c r="D2208" s="1569">
        <v>200000000</v>
      </c>
      <c r="E2208" s="1352">
        <v>200000000</v>
      </c>
      <c r="F2208" s="3557">
        <f t="shared" si="54"/>
        <v>100</v>
      </c>
      <c r="G2208" s="3553">
        <v>100</v>
      </c>
      <c r="H2208" s="535"/>
    </row>
    <row r="2209" spans="2:8" ht="15.75" hidden="1" customHeight="1" x14ac:dyDescent="0.25">
      <c r="B2209" s="2913"/>
      <c r="C2209" s="4067" t="s">
        <v>939</v>
      </c>
      <c r="D2209" s="1569">
        <v>150000000</v>
      </c>
      <c r="E2209" s="1352">
        <v>150000000</v>
      </c>
      <c r="F2209" s="3557">
        <f t="shared" si="54"/>
        <v>100</v>
      </c>
      <c r="G2209" s="3553">
        <v>100</v>
      </c>
      <c r="H2209" s="535"/>
    </row>
    <row r="2210" spans="2:8" ht="15.75" hidden="1" customHeight="1" x14ac:dyDescent="0.25">
      <c r="B2210" s="2913"/>
      <c r="C2210" s="4067" t="s">
        <v>940</v>
      </c>
      <c r="D2210" s="1569">
        <v>5000000000</v>
      </c>
      <c r="E2210" s="1352">
        <v>5000000000</v>
      </c>
      <c r="F2210" s="3557">
        <f t="shared" si="54"/>
        <v>100</v>
      </c>
      <c r="G2210" s="3553">
        <v>100</v>
      </c>
      <c r="H2210" s="535"/>
    </row>
    <row r="2211" spans="2:8" ht="15.75" hidden="1" customHeight="1" x14ac:dyDescent="0.25">
      <c r="B2211" s="2913"/>
      <c r="C2211" s="4067" t="s">
        <v>941</v>
      </c>
      <c r="D2211" s="1569">
        <v>6000000000</v>
      </c>
      <c r="E2211" s="865">
        <v>6000000000</v>
      </c>
      <c r="F2211" s="3557">
        <f t="shared" si="54"/>
        <v>100</v>
      </c>
      <c r="G2211" s="798">
        <v>100</v>
      </c>
      <c r="H2211" s="535"/>
    </row>
    <row r="2212" spans="2:8" ht="15.75" hidden="1" customHeight="1" x14ac:dyDescent="0.25">
      <c r="B2212" s="2913"/>
      <c r="C2212" s="4067" t="s">
        <v>942</v>
      </c>
      <c r="D2212" s="1569">
        <v>150000000</v>
      </c>
      <c r="E2212" s="1352">
        <v>150000000</v>
      </c>
      <c r="F2212" s="3557">
        <f t="shared" si="54"/>
        <v>100</v>
      </c>
      <c r="G2212" s="3553">
        <v>100</v>
      </c>
      <c r="H2212" s="535"/>
    </row>
    <row r="2213" spans="2:8" ht="9" hidden="1" customHeight="1" x14ac:dyDescent="0.25">
      <c r="B2213" s="2913"/>
      <c r="C2213" s="4001"/>
      <c r="D2213" s="827"/>
      <c r="E2213" s="3879"/>
      <c r="F2213" s="3648"/>
      <c r="G2213" s="3553"/>
      <c r="H2213" s="535"/>
    </row>
    <row r="2214" spans="2:8" ht="15.75" hidden="1" customHeight="1" x14ac:dyDescent="0.25">
      <c r="B2214" s="2913"/>
      <c r="C2214" s="3972" t="s">
        <v>943</v>
      </c>
      <c r="D2214" s="3629">
        <f>SUM(D2215:D2222)</f>
        <v>3700000000</v>
      </c>
      <c r="E2214" s="3629">
        <f>SUM(E2215:E2222)</f>
        <v>3659980000</v>
      </c>
      <c r="F2214" s="2380">
        <f t="shared" ref="F2214:F2222" si="55">E2214/D2214*100</f>
        <v>98.918378378378378</v>
      </c>
      <c r="G2214" s="2275">
        <v>100</v>
      </c>
      <c r="H2214" s="535"/>
    </row>
    <row r="2215" spans="2:8" ht="15.75" hidden="1" customHeight="1" x14ac:dyDescent="0.25">
      <c r="B2215" s="2913"/>
      <c r="C2215" s="4067" t="s">
        <v>944</v>
      </c>
      <c r="D2215" s="1569">
        <v>200000000</v>
      </c>
      <c r="E2215" s="865">
        <v>200000000</v>
      </c>
      <c r="F2215" s="3557">
        <f t="shared" si="55"/>
        <v>100</v>
      </c>
      <c r="G2215" s="798">
        <v>100</v>
      </c>
      <c r="H2215" s="535"/>
    </row>
    <row r="2216" spans="2:8" ht="15.75" hidden="1" customHeight="1" x14ac:dyDescent="0.25">
      <c r="B2216" s="2913"/>
      <c r="C2216" s="4067" t="s">
        <v>945</v>
      </c>
      <c r="D2216" s="1569">
        <v>300000000</v>
      </c>
      <c r="E2216" s="865">
        <v>299980000</v>
      </c>
      <c r="F2216" s="3557">
        <f t="shared" si="55"/>
        <v>99.993333333333339</v>
      </c>
      <c r="G2216" s="798">
        <v>100</v>
      </c>
      <c r="H2216" s="535"/>
    </row>
    <row r="2217" spans="2:8" ht="15.75" hidden="1" customHeight="1" x14ac:dyDescent="0.25">
      <c r="B2217" s="2913"/>
      <c r="C2217" s="4067" t="s">
        <v>946</v>
      </c>
      <c r="D2217" s="1569">
        <v>500000000</v>
      </c>
      <c r="E2217" s="1352">
        <v>500000000</v>
      </c>
      <c r="F2217" s="3557">
        <f t="shared" si="55"/>
        <v>100</v>
      </c>
      <c r="G2217" s="798">
        <v>100</v>
      </c>
      <c r="H2217" s="535"/>
    </row>
    <row r="2218" spans="2:8" ht="15.75" hidden="1" customHeight="1" x14ac:dyDescent="0.25">
      <c r="B2218" s="2913"/>
      <c r="C2218" s="4067" t="s">
        <v>947</v>
      </c>
      <c r="D2218" s="1569">
        <v>600000000</v>
      </c>
      <c r="E2218" s="1352">
        <v>579000000</v>
      </c>
      <c r="F2218" s="3557">
        <f t="shared" si="55"/>
        <v>96.5</v>
      </c>
      <c r="G2218" s="798">
        <v>100</v>
      </c>
      <c r="H2218" s="535"/>
    </row>
    <row r="2219" spans="2:8" ht="15.75" hidden="1" customHeight="1" x14ac:dyDescent="0.25">
      <c r="B2219" s="2913"/>
      <c r="C2219" s="4067" t="s">
        <v>948</v>
      </c>
      <c r="D2219" s="1569">
        <v>500000000</v>
      </c>
      <c r="E2219" s="1352">
        <v>500000000</v>
      </c>
      <c r="F2219" s="3557">
        <f t="shared" si="55"/>
        <v>100</v>
      </c>
      <c r="G2219" s="798">
        <v>100</v>
      </c>
      <c r="H2219" s="535"/>
    </row>
    <row r="2220" spans="2:8" ht="15.75" hidden="1" customHeight="1" x14ac:dyDescent="0.25">
      <c r="B2220" s="2913"/>
      <c r="C2220" s="4067" t="s">
        <v>949</v>
      </c>
      <c r="D2220" s="1569">
        <v>600000000</v>
      </c>
      <c r="E2220" s="1352">
        <v>582000000</v>
      </c>
      <c r="F2220" s="3557">
        <f t="shared" si="55"/>
        <v>97</v>
      </c>
      <c r="G2220" s="798">
        <v>100</v>
      </c>
      <c r="H2220" s="535"/>
    </row>
    <row r="2221" spans="2:8" ht="15.75" hidden="1" customHeight="1" x14ac:dyDescent="0.25">
      <c r="B2221" s="2913"/>
      <c r="C2221" s="4067" t="s">
        <v>950</v>
      </c>
      <c r="D2221" s="1569">
        <v>500000000</v>
      </c>
      <c r="E2221" s="1352">
        <v>500000000</v>
      </c>
      <c r="F2221" s="3557">
        <f t="shared" si="55"/>
        <v>100</v>
      </c>
      <c r="G2221" s="798">
        <v>100</v>
      </c>
      <c r="H2221" s="535"/>
    </row>
    <row r="2222" spans="2:8" ht="15.75" hidden="1" customHeight="1" x14ac:dyDescent="0.25">
      <c r="B2222" s="2913"/>
      <c r="C2222" s="4067" t="s">
        <v>951</v>
      </c>
      <c r="D2222" s="1569">
        <v>500000000</v>
      </c>
      <c r="E2222" s="865">
        <v>499000000</v>
      </c>
      <c r="F2222" s="3557">
        <f t="shared" si="55"/>
        <v>99.8</v>
      </c>
      <c r="G2222" s="798">
        <v>100</v>
      </c>
      <c r="H2222" s="535"/>
    </row>
    <row r="2223" spans="2:8" ht="12.75" hidden="1" customHeight="1" x14ac:dyDescent="0.25">
      <c r="B2223" s="2913"/>
      <c r="C2223" s="4001"/>
      <c r="D2223" s="2051"/>
      <c r="E2223" s="3491"/>
      <c r="F2223" s="827"/>
      <c r="G2223" s="2285"/>
      <c r="H2223" s="535"/>
    </row>
    <row r="2224" spans="2:8" ht="15" hidden="1" customHeight="1" x14ac:dyDescent="0.25">
      <c r="B2224" s="5397"/>
      <c r="C2224" s="3913" t="s">
        <v>248</v>
      </c>
      <c r="D2224" s="3631">
        <f>SUM(D2225+D2229+D2234+D2237+D2241+D2245+D2250+D2253)</f>
        <v>15358499000</v>
      </c>
      <c r="E2224" s="3631">
        <f>SUM(E2225+E2229+E2234+E2237+E2241+E2245+E2250+E2253)</f>
        <v>15356499000</v>
      </c>
      <c r="F2224" s="3631">
        <f>E2224/D2224*100</f>
        <v>99.986977894128842</v>
      </c>
      <c r="G2224" s="2356">
        <v>100</v>
      </c>
      <c r="H2224" s="535"/>
    </row>
    <row r="2225" spans="2:8" ht="15" hidden="1" customHeight="1" x14ac:dyDescent="0.25">
      <c r="B2225" s="2913"/>
      <c r="C2225" s="4021" t="s">
        <v>610</v>
      </c>
      <c r="D2225" s="3632">
        <f>D2226+D2227</f>
        <v>350000000</v>
      </c>
      <c r="E2225" s="3632">
        <f>E2226+E2227</f>
        <v>350000000</v>
      </c>
      <c r="F2225" s="3550">
        <f>E2225/D2225*100</f>
        <v>100</v>
      </c>
      <c r="G2225" s="2380">
        <v>100</v>
      </c>
      <c r="H2225" s="535"/>
    </row>
    <row r="2226" spans="2:8" ht="17.25" hidden="1" customHeight="1" x14ac:dyDescent="0.25">
      <c r="B2226" s="2913"/>
      <c r="C2226" s="4067" t="s">
        <v>952</v>
      </c>
      <c r="D2226" s="1569">
        <v>150000000</v>
      </c>
      <c r="E2226" s="1354">
        <v>150000000</v>
      </c>
      <c r="F2226" s="3557">
        <f>E2226/D2226*100</f>
        <v>100</v>
      </c>
      <c r="G2226" s="880">
        <v>100</v>
      </c>
      <c r="H2226" s="535"/>
    </row>
    <row r="2227" spans="2:8" ht="20.25" hidden="1" customHeight="1" x14ac:dyDescent="0.25">
      <c r="B2227" s="2913"/>
      <c r="C2227" s="4067" t="s">
        <v>953</v>
      </c>
      <c r="D2227" s="1569">
        <v>200000000</v>
      </c>
      <c r="E2227" s="1354">
        <v>200000000</v>
      </c>
      <c r="F2227" s="3557">
        <f>E2227/D2227*100</f>
        <v>100</v>
      </c>
      <c r="G2227" s="880">
        <v>100</v>
      </c>
      <c r="H2227" s="535"/>
    </row>
    <row r="2228" spans="2:8" ht="9" hidden="1" customHeight="1" x14ac:dyDescent="0.25">
      <c r="B2228" s="2913"/>
      <c r="C2228" s="4118"/>
      <c r="D2228" s="3630"/>
      <c r="E2228" s="3879"/>
      <c r="F2228" s="2681"/>
      <c r="G2228" s="1315"/>
      <c r="H2228" s="535"/>
    </row>
    <row r="2229" spans="2:8" ht="16.5" hidden="1" customHeight="1" x14ac:dyDescent="0.25">
      <c r="B2229" s="2913"/>
      <c r="C2229" s="3938" t="s">
        <v>611</v>
      </c>
      <c r="D2229" s="3629">
        <f>D2230+D2231+D2232</f>
        <v>1150000000</v>
      </c>
      <c r="E2229" s="3629">
        <f>E2230+E2231+E2232</f>
        <v>1150000000</v>
      </c>
      <c r="F2229" s="3600">
        <f>E2229/D2229*100</f>
        <v>100</v>
      </c>
      <c r="G2229" s="2261">
        <v>100</v>
      </c>
      <c r="H2229" s="535"/>
    </row>
    <row r="2230" spans="2:8" ht="15.75" hidden="1" customHeight="1" x14ac:dyDescent="0.25">
      <c r="B2230" s="2913"/>
      <c r="C2230" s="4067" t="s">
        <v>954</v>
      </c>
      <c r="D2230" s="1569">
        <v>1000000000</v>
      </c>
      <c r="E2230" s="1354">
        <v>1000000000</v>
      </c>
      <c r="F2230" s="3557">
        <f>E2230/D2230*100</f>
        <v>100</v>
      </c>
      <c r="G2230" s="1717">
        <v>100</v>
      </c>
      <c r="H2230" s="535"/>
    </row>
    <row r="2231" spans="2:8" ht="13.5" hidden="1" customHeight="1" x14ac:dyDescent="0.25">
      <c r="B2231" s="2913"/>
      <c r="C2231" s="4067" t="s">
        <v>955</v>
      </c>
      <c r="D2231" s="1569">
        <v>100000000</v>
      </c>
      <c r="E2231" s="1354">
        <v>100000000</v>
      </c>
      <c r="F2231" s="3557">
        <f>E2231/D2231*100</f>
        <v>100</v>
      </c>
      <c r="G2231" s="3648">
        <v>100</v>
      </c>
      <c r="H2231" s="535"/>
    </row>
    <row r="2232" spans="2:8" ht="16.5" hidden="1" customHeight="1" x14ac:dyDescent="0.25">
      <c r="B2232" s="2913"/>
      <c r="C2232" s="4067" t="s">
        <v>956</v>
      </c>
      <c r="D2232" s="1569">
        <v>50000000</v>
      </c>
      <c r="E2232" s="1354">
        <v>50000000</v>
      </c>
      <c r="F2232" s="3557">
        <f>E2232/D2232*100</f>
        <v>100</v>
      </c>
      <c r="G2232" s="3648">
        <v>100</v>
      </c>
      <c r="H2232" s="535"/>
    </row>
    <row r="2233" spans="2:8" ht="12" hidden="1" customHeight="1" x14ac:dyDescent="0.25">
      <c r="B2233" s="2913"/>
      <c r="C2233" s="4118"/>
      <c r="D2233" s="3630"/>
      <c r="E2233" s="3879"/>
      <c r="F2233" s="2681"/>
      <c r="G2233" s="1315"/>
      <c r="H2233" s="535"/>
    </row>
    <row r="2234" spans="2:8" ht="16.5" hidden="1" customHeight="1" x14ac:dyDescent="0.25">
      <c r="B2234" s="2913"/>
      <c r="C2234" s="3938" t="s">
        <v>612</v>
      </c>
      <c r="D2234" s="3629">
        <f>D2235</f>
        <v>150000000</v>
      </c>
      <c r="E2234" s="3629">
        <f>E2235</f>
        <v>150000000</v>
      </c>
      <c r="F2234" s="3600">
        <f>E2234/D2234*100</f>
        <v>100</v>
      </c>
      <c r="G2234" s="3600">
        <v>100</v>
      </c>
      <c r="H2234" s="535"/>
    </row>
    <row r="2235" spans="2:8" ht="16.5" hidden="1" customHeight="1" x14ac:dyDescent="0.25">
      <c r="B2235" s="2913"/>
      <c r="C2235" s="4067" t="s">
        <v>957</v>
      </c>
      <c r="D2235" s="1569">
        <v>150000000</v>
      </c>
      <c r="E2235" s="1569">
        <v>150000000</v>
      </c>
      <c r="F2235" s="3630">
        <f>E2235/D2235*100</f>
        <v>100</v>
      </c>
      <c r="G2235" s="3648">
        <v>100</v>
      </c>
      <c r="H2235" s="535"/>
    </row>
    <row r="2236" spans="2:8" ht="12" hidden="1" customHeight="1" x14ac:dyDescent="0.25">
      <c r="B2236" s="2913"/>
      <c r="C2236" s="4118"/>
      <c r="D2236" s="3630"/>
      <c r="E2236" s="3879"/>
      <c r="F2236" s="1507"/>
      <c r="G2236" s="1315"/>
      <c r="H2236" s="535"/>
    </row>
    <row r="2237" spans="2:8" ht="15.75" hidden="1" customHeight="1" x14ac:dyDescent="0.25">
      <c r="B2237" s="2913"/>
      <c r="C2237" s="3938" t="s">
        <v>958</v>
      </c>
      <c r="D2237" s="3629">
        <f>D2238+D2239</f>
        <v>300000000</v>
      </c>
      <c r="E2237" s="3629">
        <f>E2238+E2239</f>
        <v>300000000</v>
      </c>
      <c r="F2237" s="3554">
        <f>E2237/D2237*100</f>
        <v>100</v>
      </c>
      <c r="G2237" s="3600">
        <v>100</v>
      </c>
      <c r="H2237" s="535"/>
    </row>
    <row r="2238" spans="2:8" ht="13.5" hidden="1" customHeight="1" x14ac:dyDescent="0.25">
      <c r="B2238" s="2913"/>
      <c r="C2238" s="4067" t="s">
        <v>959</v>
      </c>
      <c r="D2238" s="1569">
        <v>200000000</v>
      </c>
      <c r="E2238" s="1569">
        <v>200000000</v>
      </c>
      <c r="F2238" s="3557">
        <f>E2238/D2238*100</f>
        <v>100</v>
      </c>
      <c r="G2238" s="3648">
        <v>100</v>
      </c>
      <c r="H2238" s="535"/>
    </row>
    <row r="2239" spans="2:8" ht="18" hidden="1" customHeight="1" x14ac:dyDescent="0.25">
      <c r="B2239" s="2913"/>
      <c r="C2239" s="4067" t="s">
        <v>960</v>
      </c>
      <c r="D2239" s="1569">
        <v>100000000</v>
      </c>
      <c r="E2239" s="1569">
        <v>100000000</v>
      </c>
      <c r="F2239" s="3557">
        <f>E2239/D2239*100</f>
        <v>100</v>
      </c>
      <c r="G2239" s="3648">
        <v>100</v>
      </c>
      <c r="H2239" s="535"/>
    </row>
    <row r="2240" spans="2:8" ht="12" hidden="1" customHeight="1" x14ac:dyDescent="0.25">
      <c r="B2240" s="2913"/>
      <c r="C2240" s="4118"/>
      <c r="D2240" s="3630"/>
      <c r="E2240" s="3879"/>
      <c r="F2240" s="2681"/>
      <c r="G2240" s="1315"/>
      <c r="H2240" s="535"/>
    </row>
    <row r="2241" spans="2:8" ht="33" hidden="1" customHeight="1" x14ac:dyDescent="0.25">
      <c r="B2241" s="2913"/>
      <c r="C2241" s="3938" t="s">
        <v>1797</v>
      </c>
      <c r="D2241" s="3629">
        <f>SUM(D2242:D2243)</f>
        <v>11240299000</v>
      </c>
      <c r="E2241" s="3629">
        <f>SUM(E2242:E2243)</f>
        <v>11238299000</v>
      </c>
      <c r="F2241" s="3600">
        <f>E2241/D2241*100</f>
        <v>99.982206879016303</v>
      </c>
      <c r="G2241" s="2395">
        <v>100</v>
      </c>
      <c r="H2241" s="535"/>
    </row>
    <row r="2242" spans="2:8" ht="15.75" hidden="1" customHeight="1" x14ac:dyDescent="0.25">
      <c r="B2242" s="2913"/>
      <c r="C2242" s="4067" t="s">
        <v>961</v>
      </c>
      <c r="D2242" s="1569">
        <v>10990299000</v>
      </c>
      <c r="E2242" s="1354">
        <v>10990299000</v>
      </c>
      <c r="F2242" s="3557">
        <f>E2242/D2242*100</f>
        <v>100</v>
      </c>
      <c r="G2242" s="3648">
        <v>100</v>
      </c>
      <c r="H2242" s="535"/>
    </row>
    <row r="2243" spans="2:8" ht="16.5" hidden="1" customHeight="1" x14ac:dyDescent="0.25">
      <c r="B2243" s="2913"/>
      <c r="C2243" s="4067" t="s">
        <v>962</v>
      </c>
      <c r="D2243" s="1569">
        <v>250000000</v>
      </c>
      <c r="E2243" s="1354">
        <v>248000000</v>
      </c>
      <c r="F2243" s="3557">
        <f>E2243/D2243*100</f>
        <v>99.2</v>
      </c>
      <c r="G2243" s="3648">
        <v>100</v>
      </c>
      <c r="H2243" s="535"/>
    </row>
    <row r="2244" spans="2:8" ht="9.75" hidden="1" customHeight="1" x14ac:dyDescent="0.25">
      <c r="B2244" s="2913"/>
      <c r="C2244" s="4118"/>
      <c r="D2244" s="3630"/>
      <c r="E2244" s="3879"/>
      <c r="F2244" s="2681"/>
      <c r="G2244" s="1315"/>
      <c r="H2244" s="535"/>
    </row>
    <row r="2245" spans="2:8" ht="15.75" hidden="1" customHeight="1" x14ac:dyDescent="0.25">
      <c r="B2245" s="2913"/>
      <c r="C2245" s="3938" t="s">
        <v>613</v>
      </c>
      <c r="D2245" s="3629">
        <f>SUM(D2246:D2248)</f>
        <v>1668200000</v>
      </c>
      <c r="E2245" s="3629">
        <f>SUM(E2246:E2248)</f>
        <v>1668200000</v>
      </c>
      <c r="F2245" s="3600">
        <f>E2245/D2245*100</f>
        <v>100</v>
      </c>
      <c r="G2245" s="2261">
        <v>100</v>
      </c>
      <c r="H2245" s="535"/>
    </row>
    <row r="2246" spans="2:8" ht="16.5" hidden="1" customHeight="1" x14ac:dyDescent="0.25">
      <c r="B2246" s="2913"/>
      <c r="C2246" s="4067" t="s">
        <v>963</v>
      </c>
      <c r="D2246" s="1569">
        <v>478200000</v>
      </c>
      <c r="E2246" s="1354">
        <v>478200000</v>
      </c>
      <c r="F2246" s="3630">
        <f>E2246/D2246*100</f>
        <v>100</v>
      </c>
      <c r="G2246" s="1717">
        <v>100</v>
      </c>
      <c r="H2246" s="535"/>
    </row>
    <row r="2247" spans="2:8" ht="18" hidden="1" customHeight="1" x14ac:dyDescent="0.25">
      <c r="B2247" s="2913"/>
      <c r="C2247" s="4067" t="s">
        <v>964</v>
      </c>
      <c r="D2247" s="1569">
        <v>350000000</v>
      </c>
      <c r="E2247" s="1354">
        <v>350000000</v>
      </c>
      <c r="F2247" s="3630">
        <f>E2247/D2247*100</f>
        <v>100</v>
      </c>
      <c r="G2247" s="1717">
        <v>100</v>
      </c>
      <c r="H2247" s="535"/>
    </row>
    <row r="2248" spans="2:8" ht="18" hidden="1" customHeight="1" x14ac:dyDescent="0.25">
      <c r="B2248" s="2913"/>
      <c r="C2248" s="4067" t="s">
        <v>965</v>
      </c>
      <c r="D2248" s="1569">
        <v>840000000</v>
      </c>
      <c r="E2248" s="1354">
        <v>840000000</v>
      </c>
      <c r="F2248" s="3630">
        <f>E2248/D2248*100</f>
        <v>100</v>
      </c>
      <c r="G2248" s="1717">
        <v>100</v>
      </c>
      <c r="H2248" s="535"/>
    </row>
    <row r="2249" spans="2:8" ht="12" hidden="1" customHeight="1" x14ac:dyDescent="0.25">
      <c r="B2249" s="2913"/>
      <c r="C2249" s="4067"/>
      <c r="D2249" s="1593"/>
      <c r="E2249" s="3879"/>
      <c r="F2249" s="1507"/>
      <c r="G2249" s="1315"/>
      <c r="H2249" s="535"/>
    </row>
    <row r="2250" spans="2:8" ht="16.5" hidden="1" customHeight="1" x14ac:dyDescent="0.25">
      <c r="B2250" s="2913"/>
      <c r="C2250" s="3938" t="s">
        <v>614</v>
      </c>
      <c r="D2250" s="3629">
        <f>SUM(D2251)</f>
        <v>200000000</v>
      </c>
      <c r="E2250" s="3629">
        <f>SUM(E2251)</f>
        <v>200000000</v>
      </c>
      <c r="F2250" s="3600">
        <f>E2250/D2250*100</f>
        <v>100</v>
      </c>
      <c r="G2250" s="2261">
        <v>100</v>
      </c>
      <c r="H2250" s="535"/>
    </row>
    <row r="2251" spans="2:8" ht="17.25" hidden="1" customHeight="1" x14ac:dyDescent="0.25">
      <c r="B2251" s="2913"/>
      <c r="C2251" s="4067" t="s">
        <v>966</v>
      </c>
      <c r="D2251" s="1569">
        <v>200000000</v>
      </c>
      <c r="E2251" s="1569">
        <v>200000000</v>
      </c>
      <c r="F2251" s="3630">
        <f>E2251/D2251*100</f>
        <v>100</v>
      </c>
      <c r="G2251" s="3648">
        <v>100</v>
      </c>
      <c r="H2251" s="535"/>
    </row>
    <row r="2252" spans="2:8" ht="9.75" hidden="1" customHeight="1" x14ac:dyDescent="0.25">
      <c r="B2252" s="2913"/>
      <c r="C2252" s="5515"/>
      <c r="D2252" s="1577"/>
      <c r="E2252" s="865"/>
      <c r="F2252" s="3648"/>
      <c r="G2252" s="3553"/>
      <c r="H2252" s="535"/>
    </row>
    <row r="2253" spans="2:8" ht="17.25" hidden="1" customHeight="1" x14ac:dyDescent="0.25">
      <c r="B2253" s="2913"/>
      <c r="C2253" s="5516" t="s">
        <v>967</v>
      </c>
      <c r="D2253" s="723">
        <f>D2254</f>
        <v>300000000</v>
      </c>
      <c r="E2253" s="723">
        <f>E2254</f>
        <v>300000000</v>
      </c>
      <c r="F2253" s="3554">
        <f>E2253/D2253*100</f>
        <v>100</v>
      </c>
      <c r="G2253" s="2275">
        <v>100</v>
      </c>
      <c r="H2253" s="535"/>
    </row>
    <row r="2254" spans="2:8" ht="17.25" hidden="1" customHeight="1" x14ac:dyDescent="0.25">
      <c r="B2254" s="2913"/>
      <c r="C2254" s="4067" t="s">
        <v>968</v>
      </c>
      <c r="D2254" s="1569">
        <v>300000000</v>
      </c>
      <c r="E2254" s="1569">
        <v>300000000</v>
      </c>
      <c r="F2254" s="3557">
        <f>E2254/D2254*100</f>
        <v>100</v>
      </c>
      <c r="G2254" s="3553">
        <v>100</v>
      </c>
      <c r="H2254" s="535"/>
    </row>
    <row r="2255" spans="2:8" ht="7.5" hidden="1" customHeight="1" x14ac:dyDescent="0.25">
      <c r="B2255" s="2913"/>
      <c r="C2255" s="4001"/>
      <c r="D2255" s="2051"/>
      <c r="E2255" s="660"/>
      <c r="F2255" s="2681"/>
      <c r="G2255" s="2285"/>
      <c r="H2255" s="535"/>
    </row>
    <row r="2256" spans="2:8" ht="15.75" hidden="1" customHeight="1" x14ac:dyDescent="0.25">
      <c r="B2256" s="5397"/>
      <c r="C2256" s="3913" t="s">
        <v>270</v>
      </c>
      <c r="D2256" s="3631">
        <f>SUM(D2257+D2260)</f>
        <v>63890000000</v>
      </c>
      <c r="E2256" s="3631">
        <f>SUM(E2257+E2260)</f>
        <v>62220098732</v>
      </c>
      <c r="F2256" s="2065">
        <f>E2256/D2256*100</f>
        <v>97.386286949444354</v>
      </c>
      <c r="G2256" s="2356">
        <v>100</v>
      </c>
      <c r="H2256" s="535"/>
    </row>
    <row r="2257" spans="2:8" ht="15.75" hidden="1" customHeight="1" x14ac:dyDescent="0.25">
      <c r="B2257" s="2913"/>
      <c r="C2257" s="3938" t="s">
        <v>4190</v>
      </c>
      <c r="D2257" s="3629">
        <f>D2258</f>
        <v>50000000000</v>
      </c>
      <c r="E2257" s="3629">
        <f>E2258</f>
        <v>48473242000</v>
      </c>
      <c r="F2257" s="1415">
        <f>E2257/D2257*100</f>
        <v>96.946483999999998</v>
      </c>
      <c r="G2257" s="2261">
        <v>100</v>
      </c>
      <c r="H2257" s="535"/>
    </row>
    <row r="2258" spans="2:8" ht="15.75" hidden="1" customHeight="1" x14ac:dyDescent="0.25">
      <c r="B2258" s="2913"/>
      <c r="C2258" s="4067" t="s">
        <v>4191</v>
      </c>
      <c r="D2258" s="1569">
        <v>50000000000</v>
      </c>
      <c r="E2258" s="1354">
        <v>48473242000</v>
      </c>
      <c r="F2258" s="880">
        <f>E2258/D2258*100</f>
        <v>96.946483999999998</v>
      </c>
      <c r="G2258" s="1717">
        <v>100</v>
      </c>
      <c r="H2258" s="535"/>
    </row>
    <row r="2259" spans="2:8" ht="8.25" hidden="1" customHeight="1" x14ac:dyDescent="0.25">
      <c r="B2259" s="2913"/>
      <c r="C2259" s="4118"/>
      <c r="D2259" s="3630"/>
      <c r="E2259" s="3879"/>
      <c r="F2259" s="2861"/>
      <c r="G2259" s="1315"/>
      <c r="H2259" s="535"/>
    </row>
    <row r="2260" spans="2:8" ht="14.25" hidden="1" customHeight="1" x14ac:dyDescent="0.25">
      <c r="B2260" s="2913"/>
      <c r="C2260" s="3938" t="s">
        <v>4192</v>
      </c>
      <c r="D2260" s="3629">
        <f>SUM(D2261:D2261)</f>
        <v>13890000000</v>
      </c>
      <c r="E2260" s="3629">
        <f>SUM(E2261:E2261)</f>
        <v>13746856732</v>
      </c>
      <c r="F2260" s="1415">
        <f>E2260/D2260*100</f>
        <v>98.969450914326856</v>
      </c>
      <c r="G2260" s="2261">
        <v>100</v>
      </c>
      <c r="H2260" s="535"/>
    </row>
    <row r="2261" spans="2:8" ht="15.75" hidden="1" customHeight="1" x14ac:dyDescent="0.25">
      <c r="B2261" s="2913"/>
      <c r="C2261" s="4067" t="s">
        <v>4193</v>
      </c>
      <c r="D2261" s="1569">
        <v>13890000000</v>
      </c>
      <c r="E2261" s="1354">
        <v>13746856732</v>
      </c>
      <c r="F2261" s="880">
        <f>E2261/D2261*100</f>
        <v>98.969450914326856</v>
      </c>
      <c r="G2261" s="1717">
        <v>100</v>
      </c>
      <c r="H2261" s="535"/>
    </row>
    <row r="2262" spans="2:8" ht="12" hidden="1" customHeight="1" x14ac:dyDescent="0.25">
      <c r="B2262" s="2913"/>
      <c r="C2262" s="4001"/>
      <c r="D2262" s="2051"/>
      <c r="E2262" s="660"/>
      <c r="F2262" s="2681"/>
      <c r="G2262" s="2285"/>
      <c r="H2262" s="535"/>
    </row>
    <row r="2263" spans="2:8" ht="16.5" hidden="1" customHeight="1" x14ac:dyDescent="0.25">
      <c r="B2263" s="5397"/>
      <c r="C2263" s="3913" t="s">
        <v>969</v>
      </c>
      <c r="D2263" s="3631">
        <f>SUM(D2264)</f>
        <v>8915400000</v>
      </c>
      <c r="E2263" s="3631">
        <f>SUM(E2264)</f>
        <v>8915400000</v>
      </c>
      <c r="F2263" s="2065">
        <f>E2263/D2263*100</f>
        <v>100</v>
      </c>
      <c r="G2263" s="1726">
        <v>100</v>
      </c>
      <c r="H2263" s="535"/>
    </row>
    <row r="2264" spans="2:8" ht="19.5" hidden="1" customHeight="1" x14ac:dyDescent="0.25">
      <c r="B2264" s="2913"/>
      <c r="C2264" s="4021" t="s">
        <v>970</v>
      </c>
      <c r="D2264" s="3632">
        <f>D2265+D2266</f>
        <v>8915400000</v>
      </c>
      <c r="E2264" s="3632">
        <f>E2265+E2266</f>
        <v>8915400000</v>
      </c>
      <c r="F2264" s="1415">
        <f>E2264/D2264*100</f>
        <v>100</v>
      </c>
      <c r="G2264" s="3554">
        <v>100</v>
      </c>
      <c r="H2264" s="535"/>
    </row>
    <row r="2265" spans="2:8" ht="20.25" hidden="1" customHeight="1" x14ac:dyDescent="0.25">
      <c r="B2265" s="2913"/>
      <c r="C2265" s="4067" t="s">
        <v>971</v>
      </c>
      <c r="D2265" s="1570">
        <v>4652400000</v>
      </c>
      <c r="E2265" s="1355">
        <v>4652400000</v>
      </c>
      <c r="F2265" s="880">
        <f>E2265/D2265*100</f>
        <v>100</v>
      </c>
      <c r="G2265" s="3648">
        <v>100</v>
      </c>
      <c r="H2265" s="535"/>
    </row>
    <row r="2266" spans="2:8" ht="16.5" hidden="1" customHeight="1" x14ac:dyDescent="0.25">
      <c r="B2266" s="2913"/>
      <c r="C2266" s="4067" t="s">
        <v>972</v>
      </c>
      <c r="D2266" s="1569">
        <v>4263000000</v>
      </c>
      <c r="E2266" s="3879">
        <v>4263000000</v>
      </c>
      <c r="F2266" s="880">
        <f>E2266/D2266*100</f>
        <v>100</v>
      </c>
      <c r="G2266" s="3630">
        <v>100</v>
      </c>
      <c r="H2266" s="535"/>
    </row>
    <row r="2267" spans="2:8" ht="12.75" hidden="1" customHeight="1" x14ac:dyDescent="0.25">
      <c r="B2267" s="2913"/>
      <c r="C2267" s="4001"/>
      <c r="D2267" s="1594"/>
      <c r="E2267" s="660"/>
      <c r="F2267" s="2681"/>
      <c r="G2267" s="2285"/>
      <c r="H2267" s="535"/>
    </row>
    <row r="2268" spans="2:8" ht="17.25" hidden="1" customHeight="1" x14ac:dyDescent="0.25">
      <c r="B2268" s="5397"/>
      <c r="C2268" s="3913" t="s">
        <v>1004</v>
      </c>
      <c r="D2268" s="3631">
        <f>SUM(D2269+D2272)</f>
        <v>1000000000</v>
      </c>
      <c r="E2268" s="3631">
        <f>SUM(E2269+E2272)</f>
        <v>995600000</v>
      </c>
      <c r="F2268" s="2065">
        <f>E2268/D2268*100</f>
        <v>99.56</v>
      </c>
      <c r="G2268" s="2356">
        <v>100</v>
      </c>
      <c r="H2268" s="535"/>
    </row>
    <row r="2269" spans="2:8" ht="18.75" hidden="1" customHeight="1" x14ac:dyDescent="0.25">
      <c r="B2269" s="2913"/>
      <c r="C2269" s="4021" t="s">
        <v>973</v>
      </c>
      <c r="D2269" s="3632">
        <f>D2270</f>
        <v>800000000</v>
      </c>
      <c r="E2269" s="3632">
        <f>E2270</f>
        <v>795600000</v>
      </c>
      <c r="F2269" s="1415">
        <f>E2269/D2269*100</f>
        <v>99.45</v>
      </c>
      <c r="G2269" s="2397">
        <v>100</v>
      </c>
      <c r="H2269" s="535"/>
    </row>
    <row r="2270" spans="2:8" ht="16.5" hidden="1" customHeight="1" x14ac:dyDescent="0.25">
      <c r="B2270" s="2913"/>
      <c r="C2270" s="4067" t="s">
        <v>975</v>
      </c>
      <c r="D2270" s="1570">
        <v>800000000</v>
      </c>
      <c r="E2270" s="1355">
        <v>795600000</v>
      </c>
      <c r="F2270" s="880">
        <f>E2270/D2270*100</f>
        <v>99.45</v>
      </c>
      <c r="G2270" s="1717">
        <v>100</v>
      </c>
      <c r="H2270" s="535"/>
    </row>
    <row r="2271" spans="2:8" ht="12" hidden="1" customHeight="1" x14ac:dyDescent="0.25">
      <c r="B2271" s="2913"/>
      <c r="C2271" s="4067"/>
      <c r="D2271" s="5517"/>
      <c r="E2271" s="4056"/>
      <c r="F2271" s="5518"/>
      <c r="G2271" s="5519"/>
      <c r="H2271" s="535"/>
    </row>
    <row r="2272" spans="2:8" ht="18" hidden="1" customHeight="1" x14ac:dyDescent="0.25">
      <c r="B2272" s="2913"/>
      <c r="C2272" s="3938" t="s">
        <v>974</v>
      </c>
      <c r="D2272" s="3629">
        <v>200000000</v>
      </c>
      <c r="E2272" s="3629">
        <v>200000000</v>
      </c>
      <c r="F2272" s="1415">
        <f>E2272/D2272*100</f>
        <v>100</v>
      </c>
      <c r="G2272" s="1013">
        <v>100</v>
      </c>
      <c r="H2272" s="535"/>
    </row>
    <row r="2273" spans="2:8" ht="15.75" hidden="1" customHeight="1" x14ac:dyDescent="0.25">
      <c r="B2273" s="2913"/>
      <c r="C2273" s="4067" t="s">
        <v>976</v>
      </c>
      <c r="D2273" s="1570">
        <v>200000000</v>
      </c>
      <c r="E2273" s="1570">
        <v>200000000</v>
      </c>
      <c r="F2273" s="880">
        <f>E2273/D2273*100</f>
        <v>100</v>
      </c>
      <c r="G2273" s="3879">
        <v>100</v>
      </c>
      <c r="H2273" s="535"/>
    </row>
    <row r="2274" spans="2:8" ht="12" hidden="1" customHeight="1" x14ac:dyDescent="0.25">
      <c r="B2274" s="2913"/>
      <c r="C2274" s="4001"/>
      <c r="D2274" s="1594"/>
      <c r="E2274" s="660"/>
      <c r="F2274" s="2681"/>
      <c r="G2274" s="2285"/>
      <c r="H2274" s="535"/>
    </row>
    <row r="2275" spans="2:8" ht="18" hidden="1" customHeight="1" x14ac:dyDescent="0.25">
      <c r="B2275" s="5397"/>
      <c r="C2275" s="3913" t="s">
        <v>977</v>
      </c>
      <c r="D2275" s="3631">
        <f>SUM(D2276+D2279+D2286+D2289)</f>
        <v>4582000000</v>
      </c>
      <c r="E2275" s="3631">
        <f>SUM(E2276+E2279+E2286+E2289)</f>
        <v>3732000000</v>
      </c>
      <c r="F2275" s="2065">
        <f>E2275/D2275*100</f>
        <v>81.449148843299866</v>
      </c>
      <c r="G2275" s="2356">
        <f>SUM(G2276+G2279+G2286+G2289)/4</f>
        <v>91.25</v>
      </c>
      <c r="H2275" s="535"/>
    </row>
    <row r="2276" spans="2:8" ht="18.75" hidden="1" customHeight="1" x14ac:dyDescent="0.25">
      <c r="B2276" s="2913"/>
      <c r="C2276" s="3968" t="s">
        <v>979</v>
      </c>
      <c r="D2276" s="3633">
        <f>SUM(D2277)</f>
        <v>750000000</v>
      </c>
      <c r="E2276" s="3633">
        <f>SUM(E2277)</f>
        <v>750000000</v>
      </c>
      <c r="F2276" s="1415">
        <f>E2276/D2276*100</f>
        <v>100</v>
      </c>
      <c r="G2276" s="2380">
        <v>100</v>
      </c>
      <c r="H2276" s="535"/>
    </row>
    <row r="2277" spans="2:8" ht="18" hidden="1" customHeight="1" x14ac:dyDescent="0.25">
      <c r="B2277" s="2913"/>
      <c r="C2277" s="4067" t="s">
        <v>978</v>
      </c>
      <c r="D2277" s="1570">
        <v>750000000</v>
      </c>
      <c r="E2277" s="868">
        <v>750000000</v>
      </c>
      <c r="F2277" s="880">
        <f>E2277/D2277*100</f>
        <v>100</v>
      </c>
      <c r="G2277" s="3648">
        <v>100</v>
      </c>
      <c r="H2277" s="535"/>
    </row>
    <row r="2278" spans="2:8" ht="9.75" hidden="1" customHeight="1" x14ac:dyDescent="0.25">
      <c r="B2278" s="2913"/>
      <c r="C2278" s="4118"/>
      <c r="D2278" s="3630"/>
      <c r="E2278" s="3879"/>
      <c r="F2278" s="2861"/>
      <c r="G2278" s="1315"/>
      <c r="H2278" s="535"/>
    </row>
    <row r="2279" spans="2:8" ht="17.25" hidden="1" customHeight="1" x14ac:dyDescent="0.25">
      <c r="B2279" s="2913"/>
      <c r="C2279" s="3938" t="s">
        <v>980</v>
      </c>
      <c r="D2279" s="3629">
        <f>SUM(D2280:D2284)</f>
        <v>1782000000</v>
      </c>
      <c r="E2279" s="3629">
        <f>SUM(E2280:E2284)</f>
        <v>1532000000</v>
      </c>
      <c r="F2279" s="1415">
        <f>E2279/D2279*100</f>
        <v>85.970819304152641</v>
      </c>
      <c r="G2279" s="2261">
        <f>SUM(G2280:G2284)/5</f>
        <v>80</v>
      </c>
      <c r="H2279" s="535"/>
    </row>
    <row r="2280" spans="2:8" ht="18" hidden="1" customHeight="1" x14ac:dyDescent="0.25">
      <c r="B2280" s="2913"/>
      <c r="C2280" s="4067" t="s">
        <v>981</v>
      </c>
      <c r="D2280" s="1570">
        <v>750000000</v>
      </c>
      <c r="E2280" s="1355">
        <v>750000000</v>
      </c>
      <c r="F2280" s="880">
        <f>E2280/D2280*100</f>
        <v>100</v>
      </c>
      <c r="G2280" s="1717">
        <v>100</v>
      </c>
      <c r="H2280" s="535"/>
    </row>
    <row r="2281" spans="2:8" ht="17.25" hidden="1" customHeight="1" x14ac:dyDescent="0.25">
      <c r="B2281" s="2913"/>
      <c r="C2281" s="4067" t="s">
        <v>982</v>
      </c>
      <c r="D2281" s="1570">
        <v>250000000</v>
      </c>
      <c r="E2281" s="1355">
        <v>250000000</v>
      </c>
      <c r="F2281" s="880">
        <f>E2281/D2281*100</f>
        <v>100</v>
      </c>
      <c r="G2281" s="1717">
        <v>100</v>
      </c>
      <c r="H2281" s="535"/>
    </row>
    <row r="2282" spans="2:8" ht="27.75" hidden="1" customHeight="1" x14ac:dyDescent="0.25">
      <c r="B2282" s="2913"/>
      <c r="C2282" s="4067" t="s">
        <v>983</v>
      </c>
      <c r="D2282" s="1570">
        <v>282000000</v>
      </c>
      <c r="E2282" s="1355">
        <v>282000000</v>
      </c>
      <c r="F2282" s="880">
        <f>E2282/D2282*100</f>
        <v>100</v>
      </c>
      <c r="G2282" s="1717">
        <v>100</v>
      </c>
      <c r="H2282" s="535"/>
    </row>
    <row r="2283" spans="2:8" ht="18" hidden="1" customHeight="1" x14ac:dyDescent="0.25">
      <c r="B2283" s="2913"/>
      <c r="C2283" s="4067" t="s">
        <v>984</v>
      </c>
      <c r="D2283" s="1570">
        <v>250000000</v>
      </c>
      <c r="E2283" s="1355">
        <v>250000000</v>
      </c>
      <c r="F2283" s="880">
        <f>E2283/D2283*100</f>
        <v>100</v>
      </c>
      <c r="G2283" s="1717">
        <v>100</v>
      </c>
      <c r="H2283" s="535"/>
    </row>
    <row r="2284" spans="2:8" ht="16.5" hidden="1" customHeight="1" x14ac:dyDescent="0.25">
      <c r="B2284" s="2913"/>
      <c r="C2284" s="4067" t="s">
        <v>985</v>
      </c>
      <c r="D2284" s="1570">
        <v>250000000</v>
      </c>
      <c r="E2284" s="3879">
        <v>0</v>
      </c>
      <c r="F2284" s="3879">
        <v>0</v>
      </c>
      <c r="G2284" s="3879">
        <v>0</v>
      </c>
      <c r="H2284" s="535"/>
    </row>
    <row r="2285" spans="2:8" ht="11.25" hidden="1" customHeight="1" x14ac:dyDescent="0.25">
      <c r="B2285" s="2913"/>
      <c r="C2285" s="4067"/>
      <c r="D2285" s="5517"/>
      <c r="E2285" s="3879"/>
      <c r="F2285" s="2861"/>
      <c r="G2285" s="1315"/>
      <c r="H2285" s="535"/>
    </row>
    <row r="2286" spans="2:8" ht="17.25" hidden="1" customHeight="1" x14ac:dyDescent="0.25">
      <c r="B2286" s="2913"/>
      <c r="C2286" s="3938" t="s">
        <v>986</v>
      </c>
      <c r="D2286" s="3629">
        <f>SUM(D2287)</f>
        <v>1000000000</v>
      </c>
      <c r="E2286" s="3629">
        <f>SUM(E2287)</f>
        <v>1000000000</v>
      </c>
      <c r="F2286" s="1415">
        <f>E2286/D2286*100</f>
        <v>100</v>
      </c>
      <c r="G2286" s="3629">
        <v>100</v>
      </c>
      <c r="H2286" s="535"/>
    </row>
    <row r="2287" spans="2:8" ht="16.5" hidden="1" customHeight="1" x14ac:dyDescent="0.25">
      <c r="B2287" s="2913"/>
      <c r="C2287" s="4067" t="s">
        <v>987</v>
      </c>
      <c r="D2287" s="1570">
        <v>1000000000</v>
      </c>
      <c r="E2287" s="1570">
        <v>1000000000</v>
      </c>
      <c r="F2287" s="880">
        <f>E2287/D2287*100</f>
        <v>100</v>
      </c>
      <c r="G2287" s="3630">
        <v>100</v>
      </c>
      <c r="H2287" s="535"/>
    </row>
    <row r="2288" spans="2:8" ht="12" hidden="1" customHeight="1" x14ac:dyDescent="0.25">
      <c r="B2288" s="2913"/>
      <c r="C2288" s="5515"/>
      <c r="D2288" s="1569"/>
      <c r="E2288" s="865"/>
      <c r="F2288" s="2681"/>
      <c r="G2288" s="2281"/>
      <c r="H2288" s="535"/>
    </row>
    <row r="2289" spans="2:8" ht="16.5" hidden="1" customHeight="1" x14ac:dyDescent="0.25">
      <c r="B2289" s="2913"/>
      <c r="C2289" s="5516" t="s">
        <v>988</v>
      </c>
      <c r="D2289" s="5520">
        <f>SUM(D2290:D2291)</f>
        <v>1050000000</v>
      </c>
      <c r="E2289" s="723">
        <f>SUM(E2290:E2291)</f>
        <v>450000000</v>
      </c>
      <c r="F2289" s="1415">
        <f>E2289/D2289*100</f>
        <v>42.857142857142854</v>
      </c>
      <c r="G2289" s="3629">
        <f>SUM(G2290:G2291)/2</f>
        <v>85</v>
      </c>
      <c r="H2289" s="535"/>
    </row>
    <row r="2290" spans="2:8" ht="16.5" hidden="1" customHeight="1" x14ac:dyDescent="0.25">
      <c r="B2290" s="2913"/>
      <c r="C2290" s="4067" t="s">
        <v>989</v>
      </c>
      <c r="D2290" s="1570">
        <v>1000000000</v>
      </c>
      <c r="E2290" s="3879">
        <v>400000000</v>
      </c>
      <c r="F2290" s="880">
        <f>E2290/D2290*100</f>
        <v>40</v>
      </c>
      <c r="G2290" s="3630">
        <v>70</v>
      </c>
      <c r="H2290" s="535"/>
    </row>
    <row r="2291" spans="2:8" ht="16.5" hidden="1" customHeight="1" x14ac:dyDescent="0.25">
      <c r="B2291" s="2913"/>
      <c r="C2291" s="4067" t="s">
        <v>990</v>
      </c>
      <c r="D2291" s="1570">
        <v>50000000</v>
      </c>
      <c r="E2291" s="1355">
        <v>50000000</v>
      </c>
      <c r="F2291" s="880">
        <f>E2291/D2291*100</f>
        <v>100</v>
      </c>
      <c r="G2291" s="2281">
        <v>100</v>
      </c>
      <c r="H2291" s="535"/>
    </row>
    <row r="2292" spans="2:8" ht="12" hidden="1" customHeight="1" x14ac:dyDescent="0.25">
      <c r="B2292" s="2913"/>
      <c r="C2292" s="4001"/>
      <c r="D2292" s="1594"/>
      <c r="E2292" s="799"/>
      <c r="F2292" s="2400"/>
      <c r="G2292" s="2285"/>
      <c r="H2292" s="535"/>
    </row>
    <row r="2293" spans="2:8" ht="15" hidden="1" customHeight="1" x14ac:dyDescent="0.25">
      <c r="B2293" s="5397"/>
      <c r="C2293" s="3913" t="s">
        <v>991</v>
      </c>
      <c r="D2293" s="3631">
        <f>SUM(D2294)</f>
        <v>500000000</v>
      </c>
      <c r="E2293" s="3631">
        <f>SUM(E2294)</f>
        <v>500000000</v>
      </c>
      <c r="F2293" s="3631">
        <v>100</v>
      </c>
      <c r="G2293" s="3631">
        <v>100</v>
      </c>
      <c r="H2293" s="535"/>
    </row>
    <row r="2294" spans="2:8" ht="18" hidden="1" customHeight="1" x14ac:dyDescent="0.25">
      <c r="B2294" s="2913"/>
      <c r="C2294" s="3968" t="s">
        <v>993</v>
      </c>
      <c r="D2294" s="3633">
        <f>SUM(D2295:D2295)</f>
        <v>500000000</v>
      </c>
      <c r="E2294" s="3633">
        <f>SUM(E2295:E2295)</f>
        <v>500000000</v>
      </c>
      <c r="F2294" s="3633">
        <v>100</v>
      </c>
      <c r="G2294" s="3633">
        <v>100</v>
      </c>
      <c r="H2294" s="535"/>
    </row>
    <row r="2295" spans="2:8" ht="18" hidden="1" customHeight="1" x14ac:dyDescent="0.25">
      <c r="B2295" s="2913"/>
      <c r="C2295" s="4067" t="s">
        <v>992</v>
      </c>
      <c r="D2295" s="1570">
        <v>500000000</v>
      </c>
      <c r="E2295" s="1570">
        <v>500000000</v>
      </c>
      <c r="F2295" s="3630">
        <v>100</v>
      </c>
      <c r="G2295" s="3630">
        <v>100</v>
      </c>
      <c r="H2295" s="535"/>
    </row>
    <row r="2296" spans="2:8" ht="12" hidden="1" customHeight="1" x14ac:dyDescent="0.25">
      <c r="B2296" s="2913"/>
      <c r="C2296" s="4001"/>
      <c r="D2296" s="2051"/>
      <c r="E2296" s="660"/>
      <c r="F2296" s="2681"/>
      <c r="G2296" s="2285"/>
      <c r="H2296" s="535"/>
    </row>
    <row r="2297" spans="2:8" ht="15.75" hidden="1" customHeight="1" x14ac:dyDescent="0.25">
      <c r="B2297" s="5397"/>
      <c r="C2297" s="3913" t="s">
        <v>994</v>
      </c>
      <c r="D2297" s="3631">
        <f>SUM(D2298)</f>
        <v>25217322000</v>
      </c>
      <c r="E2297" s="3631">
        <f>SUM(E2298)</f>
        <v>11012500000</v>
      </c>
      <c r="F2297" s="2065">
        <f t="shared" ref="F2297:F2302" si="56">E2297/D2297*100</f>
        <v>43.670378638937159</v>
      </c>
      <c r="G2297" s="2356">
        <f>G2298/1</f>
        <v>75.625</v>
      </c>
      <c r="H2297" s="535"/>
    </row>
    <row r="2298" spans="2:8" ht="19.5" hidden="1" customHeight="1" x14ac:dyDescent="0.25">
      <c r="B2298" s="2913"/>
      <c r="C2298" s="4021" t="s">
        <v>995</v>
      </c>
      <c r="D2298" s="3632">
        <f>SUM(D2299:D2306)</f>
        <v>25217322000</v>
      </c>
      <c r="E2298" s="3632">
        <f>SUM(E2299:E2306)</f>
        <v>11012500000</v>
      </c>
      <c r="F2298" s="1415">
        <f t="shared" si="56"/>
        <v>43.670378638937159</v>
      </c>
      <c r="G2298" s="2562">
        <f>SUM(G2299:G2306)/8</f>
        <v>75.625</v>
      </c>
      <c r="H2298" s="535"/>
    </row>
    <row r="2299" spans="2:8" ht="16.5" hidden="1" customHeight="1" x14ac:dyDescent="0.25">
      <c r="B2299" s="2913"/>
      <c r="C2299" s="4067" t="s">
        <v>996</v>
      </c>
      <c r="D2299" s="1570">
        <v>10000000000</v>
      </c>
      <c r="E2299" s="1355">
        <v>2050000000</v>
      </c>
      <c r="F2299" s="880">
        <f t="shared" si="56"/>
        <v>20.5</v>
      </c>
      <c r="G2299" s="1717">
        <v>30</v>
      </c>
      <c r="H2299" s="535"/>
    </row>
    <row r="2300" spans="2:8" ht="17.25" hidden="1" customHeight="1" x14ac:dyDescent="0.25">
      <c r="B2300" s="2913"/>
      <c r="C2300" s="5515" t="s">
        <v>997</v>
      </c>
      <c r="D2300" s="1570">
        <v>1767322000</v>
      </c>
      <c r="E2300" s="1355">
        <v>1300000000</v>
      </c>
      <c r="F2300" s="880">
        <f t="shared" si="56"/>
        <v>73.55761994701588</v>
      </c>
      <c r="G2300" s="3553">
        <v>75</v>
      </c>
      <c r="H2300" s="535"/>
    </row>
    <row r="2301" spans="2:8" ht="15.75" hidden="1" customHeight="1" x14ac:dyDescent="0.25">
      <c r="B2301" s="2913"/>
      <c r="C2301" s="5515" t="s">
        <v>998</v>
      </c>
      <c r="D2301" s="1570">
        <v>1000000000</v>
      </c>
      <c r="E2301" s="1355">
        <v>1000000000</v>
      </c>
      <c r="F2301" s="880">
        <f t="shared" si="56"/>
        <v>100</v>
      </c>
      <c r="G2301" s="3553">
        <v>100</v>
      </c>
      <c r="H2301" s="535"/>
    </row>
    <row r="2302" spans="2:8" ht="15.75" hidden="1" customHeight="1" x14ac:dyDescent="0.25">
      <c r="B2302" s="2913"/>
      <c r="C2302" s="5515" t="s">
        <v>999</v>
      </c>
      <c r="D2302" s="1570">
        <v>11000000000</v>
      </c>
      <c r="E2302" s="1355">
        <v>6212500000</v>
      </c>
      <c r="F2302" s="880">
        <f t="shared" si="56"/>
        <v>56.477272727272734</v>
      </c>
      <c r="G2302" s="3553">
        <v>100</v>
      </c>
      <c r="H2302" s="535"/>
    </row>
    <row r="2303" spans="2:8" ht="17.25" hidden="1" customHeight="1" x14ac:dyDescent="0.25">
      <c r="B2303" s="2913"/>
      <c r="C2303" s="5515" t="s">
        <v>1000</v>
      </c>
      <c r="D2303" s="1570">
        <v>1000000000</v>
      </c>
      <c r="E2303" s="3879">
        <v>0</v>
      </c>
      <c r="F2303" s="3879">
        <v>0</v>
      </c>
      <c r="G2303" s="3879">
        <v>0</v>
      </c>
      <c r="H2303" s="535"/>
    </row>
    <row r="2304" spans="2:8" ht="16.5" hidden="1" customHeight="1" x14ac:dyDescent="0.25">
      <c r="B2304" s="2913"/>
      <c r="C2304" s="5515" t="s">
        <v>1001</v>
      </c>
      <c r="D2304" s="1570">
        <v>50000000</v>
      </c>
      <c r="E2304" s="3879">
        <v>50000000</v>
      </c>
      <c r="F2304" s="880">
        <f>E2304/D2304*100</f>
        <v>100</v>
      </c>
      <c r="G2304" s="3630">
        <v>100</v>
      </c>
      <c r="H2304" s="535"/>
    </row>
    <row r="2305" spans="1:12" ht="16.5" hidden="1" customHeight="1" x14ac:dyDescent="0.25">
      <c r="B2305" s="2913"/>
      <c r="C2305" s="5515" t="s">
        <v>1002</v>
      </c>
      <c r="D2305" s="1570">
        <v>50000000</v>
      </c>
      <c r="E2305" s="1355">
        <v>50000000</v>
      </c>
      <c r="F2305" s="880">
        <f>E2305/D2305*100</f>
        <v>100</v>
      </c>
      <c r="G2305" s="3553">
        <v>100</v>
      </c>
      <c r="H2305" s="535"/>
    </row>
    <row r="2306" spans="1:12" ht="15.75" hidden="1" customHeight="1" x14ac:dyDescent="0.25">
      <c r="B2306" s="2913"/>
      <c r="C2306" s="5515" t="s">
        <v>1003</v>
      </c>
      <c r="D2306" s="1570">
        <v>350000000</v>
      </c>
      <c r="E2306" s="3879">
        <v>350000000</v>
      </c>
      <c r="F2306" s="880">
        <f>E2306/D2306*100</f>
        <v>100</v>
      </c>
      <c r="G2306" s="3630">
        <v>100</v>
      </c>
      <c r="H2306" s="535"/>
    </row>
    <row r="2307" spans="1:12" ht="12" hidden="1" customHeight="1" thickBot="1" x14ac:dyDescent="0.3">
      <c r="B2307" s="2913"/>
      <c r="C2307" s="3896"/>
      <c r="D2307" s="827"/>
      <c r="E2307" s="3493"/>
      <c r="F2307" s="2285"/>
      <c r="G2307" s="2285"/>
      <c r="H2307" s="535"/>
      <c r="J2307" s="2093"/>
    </row>
    <row r="2308" spans="1:12" s="269" customFormat="1" ht="16.5" customHeight="1" thickBot="1" x14ac:dyDescent="0.3">
      <c r="A2308" s="350"/>
      <c r="B2308" s="5417"/>
      <c r="C2308" s="4527" t="s">
        <v>604</v>
      </c>
      <c r="D2308" s="4530">
        <f>SUM(D2310+D2383+D2420+D2428+D2519+D2527+D2554+D2584+D2588+D2606+D2612+D2650+D2661+D2679+D2705)</f>
        <v>141822234000</v>
      </c>
      <c r="E2308" s="4530">
        <f>SUM(E2310+E2383+E2420+E2428+E2519+E2527+E2554+E2584+E2588+E2606+E2612+E2650+E2661+E2679+E2705)</f>
        <v>139131351850</v>
      </c>
      <c r="F2308" s="4531">
        <f>E2308/D2308*100</f>
        <v>98.102637312848984</v>
      </c>
      <c r="G2308" s="4528">
        <f>SUM(G2310+G2383+G2420+G2428+G2519+G2527+G2554+G2584+G2588+G2606+G2612+G2650+G2661+G2679+G2705)/15</f>
        <v>97.814232755214405</v>
      </c>
      <c r="H2308" s="2077"/>
      <c r="J2308" s="2085"/>
      <c r="K2308" s="2069"/>
      <c r="L2308" s="3509">
        <f>SUM(K2308-K2307)</f>
        <v>0</v>
      </c>
    </row>
    <row r="2309" spans="1:12" s="269" customFormat="1" ht="9" hidden="1" customHeight="1" x14ac:dyDescent="0.25">
      <c r="A2309" s="350"/>
      <c r="B2309" s="5407"/>
      <c r="C2309" s="3977"/>
      <c r="D2309" s="5521"/>
      <c r="E2309" s="1021"/>
      <c r="F2309" s="2407"/>
      <c r="G2309" s="5091"/>
      <c r="H2309" s="553"/>
      <c r="J2309" s="2069"/>
      <c r="K2309" s="2069"/>
    </row>
    <row r="2310" spans="1:12" ht="14.25" hidden="1" customHeight="1" x14ac:dyDescent="0.25">
      <c r="B2310" s="5397"/>
      <c r="C2310" s="4023" t="s">
        <v>238</v>
      </c>
      <c r="D2310" s="1022">
        <f>SUM(D2311+D2314+D2342+D2346+D2353+D2356+D2378+D2372)</f>
        <v>31478042900</v>
      </c>
      <c r="E2310" s="1022">
        <f>SUM(E2311+E2314+E2342+E2346+E2353+E2356+E2378+E2372)</f>
        <v>30587935739</v>
      </c>
      <c r="F2310" s="1745">
        <f>E2310/D2310*100</f>
        <v>97.172291924794337</v>
      </c>
      <c r="G2310" s="2356">
        <f>SUM(G2311+G2314+G2342+G2346+G2353+G2356+G2372+G2378)/8</f>
        <v>98.09305156162587</v>
      </c>
      <c r="H2310" s="535"/>
    </row>
    <row r="2311" spans="1:12" ht="18" hidden="1" customHeight="1" x14ac:dyDescent="0.25">
      <c r="B2311" s="2913"/>
      <c r="C2311" s="3942" t="s">
        <v>3806</v>
      </c>
      <c r="D2311" s="4114">
        <f>SUM(D2312:D2312)</f>
        <v>150000000</v>
      </c>
      <c r="E2311" s="4114">
        <f>SUM(E2312:E2312)</f>
        <v>149500000</v>
      </c>
      <c r="F2311" s="2410">
        <f>E2311/D2311*100</f>
        <v>99.666666666666671</v>
      </c>
      <c r="G2311" s="2410">
        <v>99.666666666666671</v>
      </c>
      <c r="H2311" s="535"/>
    </row>
    <row r="2312" spans="1:12" ht="13.5" hidden="1" customHeight="1" x14ac:dyDescent="0.25">
      <c r="B2312" s="2913"/>
      <c r="C2312" s="3940" t="s">
        <v>4189</v>
      </c>
      <c r="D2312" s="4113">
        <v>150000000</v>
      </c>
      <c r="E2312" s="1328">
        <v>149500000</v>
      </c>
      <c r="F2312" s="880">
        <f>E2312/D2312*100</f>
        <v>99.666666666666671</v>
      </c>
      <c r="G2312" s="880">
        <v>99.666666666666671</v>
      </c>
      <c r="H2312" s="535"/>
    </row>
    <row r="2313" spans="1:12" ht="9.75" hidden="1" customHeight="1" x14ac:dyDescent="0.25">
      <c r="B2313" s="2913"/>
      <c r="C2313" s="3940"/>
      <c r="D2313" s="311"/>
      <c r="E2313" s="1846"/>
      <c r="F2313" s="2411"/>
      <c r="G2313" s="2411"/>
      <c r="H2313" s="535"/>
    </row>
    <row r="2314" spans="1:12" ht="14.25" hidden="1" customHeight="1" x14ac:dyDescent="0.25">
      <c r="B2314" s="2913"/>
      <c r="C2314" s="3942" t="s">
        <v>356</v>
      </c>
      <c r="D2314" s="4053">
        <f>SUM(D2315:D2340)</f>
        <v>13608042900</v>
      </c>
      <c r="E2314" s="4053">
        <f>SUM(E2315:E2340)</f>
        <v>12983591641</v>
      </c>
      <c r="F2314" s="2410">
        <f t="shared" ref="F2314:F2340" si="57">E2314/D2314*100</f>
        <v>95.411160417491033</v>
      </c>
      <c r="G2314" s="2410">
        <f>SUM(G2315:G2340)/26</f>
        <v>93.865213047428369</v>
      </c>
      <c r="H2314" s="535"/>
    </row>
    <row r="2315" spans="1:12" ht="16.5" hidden="1" customHeight="1" x14ac:dyDescent="0.25">
      <c r="B2315" s="2913"/>
      <c r="C2315" s="3940" t="s">
        <v>3643</v>
      </c>
      <c r="D2315" s="4113">
        <v>4500000000</v>
      </c>
      <c r="E2315" s="1929">
        <v>4411830000</v>
      </c>
      <c r="F2315" s="880">
        <f t="shared" si="57"/>
        <v>98.040666666666667</v>
      </c>
      <c r="G2315" s="2411">
        <v>98.040666666666667</v>
      </c>
      <c r="H2315" s="535"/>
    </row>
    <row r="2316" spans="1:12" ht="15" hidden="1" customHeight="1" x14ac:dyDescent="0.25">
      <c r="B2316" s="2913"/>
      <c r="C2316" s="3940" t="s">
        <v>3644</v>
      </c>
      <c r="D2316" s="4113">
        <v>943975000</v>
      </c>
      <c r="E2316" s="1929">
        <v>941538641</v>
      </c>
      <c r="F2316" s="880">
        <f t="shared" si="57"/>
        <v>99.741904287719478</v>
      </c>
      <c r="G2316" s="2411">
        <v>99.741904287719478</v>
      </c>
      <c r="H2316" s="535"/>
    </row>
    <row r="2317" spans="1:12" ht="16.5" hidden="1" customHeight="1" x14ac:dyDescent="0.25">
      <c r="B2317" s="2913"/>
      <c r="C2317" s="3940" t="s">
        <v>3645</v>
      </c>
      <c r="D2317" s="4113">
        <v>500000000</v>
      </c>
      <c r="E2317" s="666">
        <v>499600000</v>
      </c>
      <c r="F2317" s="880">
        <f t="shared" si="57"/>
        <v>99.92</v>
      </c>
      <c r="G2317" s="2411">
        <v>99.92</v>
      </c>
      <c r="H2317" s="535"/>
    </row>
    <row r="2318" spans="1:12" ht="13.5" hidden="1" customHeight="1" x14ac:dyDescent="0.25">
      <c r="B2318" s="2913"/>
      <c r="C2318" s="3940" t="s">
        <v>3646</v>
      </c>
      <c r="D2318" s="4113">
        <v>200000000</v>
      </c>
      <c r="E2318" s="666">
        <v>199600000</v>
      </c>
      <c r="F2318" s="880">
        <f t="shared" si="57"/>
        <v>99.8</v>
      </c>
      <c r="G2318" s="2411">
        <v>99.8</v>
      </c>
      <c r="H2318" s="535"/>
    </row>
    <row r="2319" spans="1:12" ht="13.5" hidden="1" customHeight="1" x14ac:dyDescent="0.25">
      <c r="B2319" s="2913"/>
      <c r="C2319" s="3940" t="s">
        <v>3605</v>
      </c>
      <c r="D2319" s="4113">
        <v>300000000</v>
      </c>
      <c r="E2319" s="666">
        <v>299500000</v>
      </c>
      <c r="F2319" s="880">
        <f t="shared" si="57"/>
        <v>99.833333333333329</v>
      </c>
      <c r="G2319" s="2411">
        <v>99.833333333333329</v>
      </c>
      <c r="H2319" s="535"/>
    </row>
    <row r="2320" spans="1:12" ht="12" hidden="1" customHeight="1" x14ac:dyDescent="0.25">
      <c r="B2320" s="2913"/>
      <c r="C2320" s="3940" t="s">
        <v>3606</v>
      </c>
      <c r="D2320" s="4113">
        <v>300000000</v>
      </c>
      <c r="E2320" s="666">
        <v>299500000</v>
      </c>
      <c r="F2320" s="880">
        <f t="shared" si="57"/>
        <v>99.833333333333329</v>
      </c>
      <c r="G2320" s="2411">
        <v>99.833333333333329</v>
      </c>
      <c r="H2320" s="535"/>
    </row>
    <row r="2321" spans="2:8" ht="12.75" hidden="1" customHeight="1" x14ac:dyDescent="0.25">
      <c r="B2321" s="2913"/>
      <c r="C2321" s="3940" t="s">
        <v>3607</v>
      </c>
      <c r="D2321" s="4113">
        <v>350000000</v>
      </c>
      <c r="E2321" s="1929">
        <v>349500000</v>
      </c>
      <c r="F2321" s="880">
        <f t="shared" si="57"/>
        <v>99.857142857142861</v>
      </c>
      <c r="G2321" s="2411">
        <v>99.857142857142861</v>
      </c>
      <c r="H2321" s="535"/>
    </row>
    <row r="2322" spans="2:8" ht="13.5" hidden="1" customHeight="1" x14ac:dyDescent="0.25">
      <c r="B2322" s="2913"/>
      <c r="C2322" s="3940" t="s">
        <v>3608</v>
      </c>
      <c r="D2322" s="4113">
        <v>200000000</v>
      </c>
      <c r="E2322" s="1929">
        <v>193500000</v>
      </c>
      <c r="F2322" s="880">
        <f t="shared" si="57"/>
        <v>96.75</v>
      </c>
      <c r="G2322" s="2411">
        <v>96.75</v>
      </c>
      <c r="H2322" s="535"/>
    </row>
    <row r="2323" spans="2:8" ht="13.5" hidden="1" customHeight="1" x14ac:dyDescent="0.25">
      <c r="B2323" s="2913"/>
      <c r="C2323" s="3940" t="s">
        <v>3609</v>
      </c>
      <c r="D2323" s="4113">
        <v>500000000</v>
      </c>
      <c r="E2323" s="1929">
        <v>450000000</v>
      </c>
      <c r="F2323" s="880">
        <f t="shared" si="57"/>
        <v>90</v>
      </c>
      <c r="G2323" s="2411">
        <v>90</v>
      </c>
      <c r="H2323" s="535"/>
    </row>
    <row r="2324" spans="2:8" ht="15.75" hidden="1" customHeight="1" x14ac:dyDescent="0.25">
      <c r="B2324" s="2913"/>
      <c r="C2324" s="3940" t="s">
        <v>3610</v>
      </c>
      <c r="D2324" s="4113">
        <v>545000000</v>
      </c>
      <c r="E2324" s="666">
        <v>545000000</v>
      </c>
      <c r="F2324" s="880">
        <f t="shared" si="57"/>
        <v>100</v>
      </c>
      <c r="G2324" s="2411">
        <v>100</v>
      </c>
      <c r="H2324" s="535"/>
    </row>
    <row r="2325" spans="2:8" ht="13.5" hidden="1" customHeight="1" x14ac:dyDescent="0.25">
      <c r="B2325" s="2913"/>
      <c r="C2325" s="3940" t="s">
        <v>3611</v>
      </c>
      <c r="D2325" s="4113">
        <v>350000000</v>
      </c>
      <c r="E2325" s="666">
        <v>349600000</v>
      </c>
      <c r="F2325" s="880">
        <f t="shared" si="57"/>
        <v>99.885714285714286</v>
      </c>
      <c r="G2325" s="2411">
        <v>99.885714285714286</v>
      </c>
      <c r="H2325" s="535"/>
    </row>
    <row r="2326" spans="2:8" ht="13.5" hidden="1" customHeight="1" x14ac:dyDescent="0.25">
      <c r="B2326" s="2913"/>
      <c r="C2326" s="3940" t="s">
        <v>3612</v>
      </c>
      <c r="D2326" s="4113">
        <v>250000000</v>
      </c>
      <c r="E2326" s="666">
        <v>249750000</v>
      </c>
      <c r="F2326" s="880">
        <f t="shared" si="57"/>
        <v>99.9</v>
      </c>
      <c r="G2326" s="2411">
        <v>99.9</v>
      </c>
      <c r="H2326" s="535"/>
    </row>
    <row r="2327" spans="2:8" ht="14.25" hidden="1" customHeight="1" x14ac:dyDescent="0.25">
      <c r="B2327" s="2913"/>
      <c r="C2327" s="3940" t="s">
        <v>3613</v>
      </c>
      <c r="D2327" s="4113">
        <v>306894900</v>
      </c>
      <c r="E2327" s="666">
        <v>299500000</v>
      </c>
      <c r="F2327" s="880">
        <f t="shared" si="57"/>
        <v>97.590412874244564</v>
      </c>
      <c r="G2327" s="2411">
        <v>97.590412874244564</v>
      </c>
      <c r="H2327" s="535"/>
    </row>
    <row r="2328" spans="2:8" ht="15.75" hidden="1" customHeight="1" x14ac:dyDescent="0.25">
      <c r="B2328" s="2913"/>
      <c r="C2328" s="3940" t="s">
        <v>3614</v>
      </c>
      <c r="D2328" s="4113">
        <v>300000000</v>
      </c>
      <c r="E2328" s="666">
        <v>299500000</v>
      </c>
      <c r="F2328" s="880">
        <f t="shared" si="57"/>
        <v>99.833333333333329</v>
      </c>
      <c r="G2328" s="2411">
        <v>99.833333333333329</v>
      </c>
      <c r="H2328" s="535"/>
    </row>
    <row r="2329" spans="2:8" ht="14.25" hidden="1" customHeight="1" x14ac:dyDescent="0.25">
      <c r="B2329" s="2913"/>
      <c r="C2329" s="3940" t="s">
        <v>3615</v>
      </c>
      <c r="D2329" s="4113">
        <v>300000000</v>
      </c>
      <c r="E2329" s="666">
        <v>299500000</v>
      </c>
      <c r="F2329" s="880">
        <f t="shared" si="57"/>
        <v>99.833333333333329</v>
      </c>
      <c r="G2329" s="2411">
        <v>99.833333333333329</v>
      </c>
      <c r="H2329" s="535"/>
    </row>
    <row r="2330" spans="2:8" ht="13.5" hidden="1" customHeight="1" x14ac:dyDescent="0.25">
      <c r="B2330" s="2913"/>
      <c r="C2330" s="3940" t="s">
        <v>3616</v>
      </c>
      <c r="D2330" s="4113">
        <v>350000000</v>
      </c>
      <c r="E2330" s="3879">
        <v>349050000</v>
      </c>
      <c r="F2330" s="880">
        <f t="shared" si="57"/>
        <v>99.728571428571428</v>
      </c>
      <c r="G2330" s="2411">
        <v>99.728571428571428</v>
      </c>
      <c r="H2330" s="535"/>
    </row>
    <row r="2331" spans="2:8" ht="12.75" hidden="1" customHeight="1" x14ac:dyDescent="0.25">
      <c r="B2331" s="2913"/>
      <c r="C2331" s="3940" t="s">
        <v>3617</v>
      </c>
      <c r="D2331" s="4113">
        <v>350000000</v>
      </c>
      <c r="E2331" s="3879">
        <v>349500000</v>
      </c>
      <c r="F2331" s="880">
        <f t="shared" si="57"/>
        <v>99.857142857142861</v>
      </c>
      <c r="G2331" s="2411">
        <v>99.857142857142861</v>
      </c>
      <c r="H2331" s="535"/>
    </row>
    <row r="2332" spans="2:8" ht="14.25" hidden="1" customHeight="1" x14ac:dyDescent="0.25">
      <c r="B2332" s="2913"/>
      <c r="C2332" s="3940" t="s">
        <v>3618</v>
      </c>
      <c r="D2332" s="4113">
        <v>350000000</v>
      </c>
      <c r="E2332" s="3879">
        <v>337000000</v>
      </c>
      <c r="F2332" s="880">
        <f t="shared" si="57"/>
        <v>96.285714285714292</v>
      </c>
      <c r="G2332" s="2411">
        <v>96.285714285714292</v>
      </c>
      <c r="H2332" s="535"/>
    </row>
    <row r="2333" spans="2:8" ht="14.25" hidden="1" customHeight="1" x14ac:dyDescent="0.25">
      <c r="B2333" s="2913"/>
      <c r="C2333" s="3940" t="s">
        <v>3619</v>
      </c>
      <c r="D2333" s="4113">
        <v>350000000</v>
      </c>
      <c r="E2333" s="3879">
        <v>349500000</v>
      </c>
      <c r="F2333" s="880">
        <f t="shared" si="57"/>
        <v>99.857142857142861</v>
      </c>
      <c r="G2333" s="2411">
        <v>99.857142857142861</v>
      </c>
      <c r="H2333" s="535"/>
    </row>
    <row r="2334" spans="2:8" ht="17.25" hidden="1" customHeight="1" x14ac:dyDescent="0.25">
      <c r="B2334" s="2913"/>
      <c r="C2334" s="3940" t="s">
        <v>3620</v>
      </c>
      <c r="D2334" s="4113">
        <v>350000000</v>
      </c>
      <c r="E2334" s="3879">
        <v>338500000</v>
      </c>
      <c r="F2334" s="880">
        <f t="shared" si="57"/>
        <v>96.714285714285722</v>
      </c>
      <c r="G2334" s="2411">
        <v>96.714285714285722</v>
      </c>
      <c r="H2334" s="535"/>
    </row>
    <row r="2335" spans="2:8" ht="14.25" hidden="1" customHeight="1" x14ac:dyDescent="0.25">
      <c r="B2335" s="2913"/>
      <c r="C2335" s="3940" t="s">
        <v>3621</v>
      </c>
      <c r="D2335" s="4113">
        <v>350000000</v>
      </c>
      <c r="E2335" s="3879">
        <v>129850000</v>
      </c>
      <c r="F2335" s="880">
        <f t="shared" si="57"/>
        <v>37.1</v>
      </c>
      <c r="G2335" s="2411">
        <v>37.1</v>
      </c>
      <c r="H2335" s="535"/>
    </row>
    <row r="2336" spans="2:8" ht="17.25" hidden="1" customHeight="1" x14ac:dyDescent="0.25">
      <c r="B2336" s="2913"/>
      <c r="C2336" s="3940" t="s">
        <v>3622</v>
      </c>
      <c r="D2336" s="4113">
        <v>200000000</v>
      </c>
      <c r="E2336" s="666">
        <v>199500000</v>
      </c>
      <c r="F2336" s="880">
        <f t="shared" si="57"/>
        <v>99.75</v>
      </c>
      <c r="G2336" s="2411">
        <v>99.75</v>
      </c>
      <c r="H2336" s="535"/>
    </row>
    <row r="2337" spans="2:8" ht="15.75" hidden="1" customHeight="1" x14ac:dyDescent="0.25">
      <c r="B2337" s="2913"/>
      <c r="C2337" s="3940" t="s">
        <v>3623</v>
      </c>
      <c r="D2337" s="4113">
        <v>300000000</v>
      </c>
      <c r="E2337" s="666">
        <v>110850000</v>
      </c>
      <c r="F2337" s="880">
        <f t="shared" si="57"/>
        <v>36.950000000000003</v>
      </c>
      <c r="G2337" s="2411">
        <v>36.950000000000003</v>
      </c>
      <c r="H2337" s="535"/>
    </row>
    <row r="2338" spans="2:8" ht="14.25" hidden="1" customHeight="1" x14ac:dyDescent="0.25">
      <c r="B2338" s="2913"/>
      <c r="C2338" s="3940" t="s">
        <v>3624</v>
      </c>
      <c r="D2338" s="4113">
        <v>250000000</v>
      </c>
      <c r="E2338" s="3768">
        <v>244250000</v>
      </c>
      <c r="F2338" s="880">
        <f t="shared" si="57"/>
        <v>97.7</v>
      </c>
      <c r="G2338" s="2411">
        <v>97.7</v>
      </c>
      <c r="H2338" s="535"/>
    </row>
    <row r="2339" spans="2:8" ht="14.25" hidden="1" customHeight="1" x14ac:dyDescent="0.25">
      <c r="B2339" s="2913"/>
      <c r="C2339" s="3940" t="s">
        <v>3625</v>
      </c>
      <c r="D2339" s="4113">
        <v>562523000</v>
      </c>
      <c r="E2339" s="3879">
        <v>538523000</v>
      </c>
      <c r="F2339" s="880">
        <f t="shared" si="57"/>
        <v>95.733507785459437</v>
      </c>
      <c r="G2339" s="2411">
        <v>95.733507785459437</v>
      </c>
      <c r="H2339" s="535"/>
    </row>
    <row r="2340" spans="2:8" ht="17.25" hidden="1" customHeight="1" x14ac:dyDescent="0.25">
      <c r="B2340" s="2913"/>
      <c r="C2340" s="3940" t="s">
        <v>3626</v>
      </c>
      <c r="D2340" s="971">
        <v>349650000</v>
      </c>
      <c r="E2340" s="3879">
        <v>349650000</v>
      </c>
      <c r="F2340" s="880">
        <f t="shared" si="57"/>
        <v>100</v>
      </c>
      <c r="G2340" s="2411">
        <v>100</v>
      </c>
      <c r="H2340" s="535"/>
    </row>
    <row r="2341" spans="2:8" ht="11.25" hidden="1" customHeight="1" x14ac:dyDescent="0.25">
      <c r="B2341" s="2913"/>
      <c r="C2341" s="3940"/>
      <c r="D2341" s="311"/>
      <c r="E2341" s="3879"/>
      <c r="F2341" s="1668"/>
      <c r="G2341" s="3648"/>
      <c r="H2341" s="535"/>
    </row>
    <row r="2342" spans="2:8" ht="13.5" hidden="1" customHeight="1" x14ac:dyDescent="0.25">
      <c r="B2342" s="2913"/>
      <c r="C2342" s="3942" t="s">
        <v>1334</v>
      </c>
      <c r="D2342" s="4114">
        <f>SUM(D2343:D2344)</f>
        <v>450000000</v>
      </c>
      <c r="E2342" s="4114">
        <f>SUM(E2343:E2344)</f>
        <v>445590000</v>
      </c>
      <c r="F2342" s="2410">
        <f>E2342/D2342*100</f>
        <v>99.02</v>
      </c>
      <c r="G2342" s="2261">
        <f>SUM(G2343:G2344)/2</f>
        <v>99.263666666666666</v>
      </c>
      <c r="H2342" s="535"/>
    </row>
    <row r="2343" spans="2:8" ht="15.75" hidden="1" customHeight="1" x14ac:dyDescent="0.25">
      <c r="B2343" s="2913"/>
      <c r="C2343" s="3940" t="s">
        <v>1937</v>
      </c>
      <c r="D2343" s="4113">
        <v>150000000</v>
      </c>
      <c r="E2343" s="666">
        <v>149992000</v>
      </c>
      <c r="F2343" s="880">
        <f>E2343/D2343*100</f>
        <v>99.99466666666666</v>
      </c>
      <c r="G2343" s="1717">
        <v>99.99466666666666</v>
      </c>
      <c r="H2343" s="535"/>
    </row>
    <row r="2344" spans="2:8" ht="14.25" hidden="1" customHeight="1" x14ac:dyDescent="0.25">
      <c r="B2344" s="2913"/>
      <c r="C2344" s="3940" t="s">
        <v>1938</v>
      </c>
      <c r="D2344" s="4113">
        <v>300000000</v>
      </c>
      <c r="E2344" s="3879">
        <v>295598000</v>
      </c>
      <c r="F2344" s="880">
        <f>E2344/D2344*100</f>
        <v>98.532666666666671</v>
      </c>
      <c r="G2344" s="3648">
        <v>98.532666666666671</v>
      </c>
      <c r="H2344" s="535"/>
    </row>
    <row r="2345" spans="2:8" ht="12" hidden="1" customHeight="1" x14ac:dyDescent="0.25">
      <c r="B2345" s="2913"/>
      <c r="C2345" s="3940"/>
      <c r="D2345" s="311"/>
      <c r="E2345" s="666"/>
      <c r="F2345" s="880"/>
      <c r="G2345" s="1717"/>
      <c r="H2345" s="535"/>
    </row>
    <row r="2346" spans="2:8" ht="16.5" hidden="1" customHeight="1" x14ac:dyDescent="0.25">
      <c r="B2346" s="2913"/>
      <c r="C2346" s="3942" t="s">
        <v>1897</v>
      </c>
      <c r="D2346" s="4114">
        <f>SUM(D2347:D2351)</f>
        <v>11570000000</v>
      </c>
      <c r="E2346" s="4114">
        <f>SUM(E2347:E2351)</f>
        <v>11441080632</v>
      </c>
      <c r="F2346" s="2410">
        <f t="shared" ref="F2346:F2351" si="58">E2346/D2346*100</f>
        <v>98.885744442523773</v>
      </c>
      <c r="G2346" s="2261">
        <f>SUM(G2347:G2351)/5</f>
        <v>98.953449664286637</v>
      </c>
      <c r="H2346" s="535"/>
    </row>
    <row r="2347" spans="2:8" ht="16.5" hidden="1" customHeight="1" x14ac:dyDescent="0.25">
      <c r="B2347" s="2913"/>
      <c r="C2347" s="3940" t="s">
        <v>3628</v>
      </c>
      <c r="D2347" s="4113">
        <v>10420000000</v>
      </c>
      <c r="E2347" s="3879">
        <v>10300760000</v>
      </c>
      <c r="F2347" s="880">
        <f t="shared" si="58"/>
        <v>98.855662188099814</v>
      </c>
      <c r="G2347" s="1717">
        <v>98.855662188099814</v>
      </c>
      <c r="H2347" s="535"/>
    </row>
    <row r="2348" spans="2:8" ht="15.75" hidden="1" customHeight="1" x14ac:dyDescent="0.25">
      <c r="B2348" s="2913"/>
      <c r="C2348" s="3940" t="s">
        <v>3627</v>
      </c>
      <c r="D2348" s="4113">
        <v>500000000</v>
      </c>
      <c r="E2348" s="666">
        <v>499450000</v>
      </c>
      <c r="F2348" s="880">
        <f t="shared" si="58"/>
        <v>99.89</v>
      </c>
      <c r="G2348" s="3648">
        <v>99.89</v>
      </c>
      <c r="H2348" s="535"/>
    </row>
    <row r="2349" spans="2:8" ht="17.25" hidden="1" customHeight="1" x14ac:dyDescent="0.25">
      <c r="B2349" s="2913"/>
      <c r="C2349" s="3940" t="s">
        <v>3629</v>
      </c>
      <c r="D2349" s="4113">
        <v>150000000</v>
      </c>
      <c r="E2349" s="894">
        <v>148775000</v>
      </c>
      <c r="F2349" s="880">
        <f t="shared" si="58"/>
        <v>99.183333333333337</v>
      </c>
      <c r="G2349" s="3648">
        <v>99.183333333333337</v>
      </c>
      <c r="H2349" s="535"/>
    </row>
    <row r="2350" spans="2:8" ht="18" hidden="1" customHeight="1" x14ac:dyDescent="0.25">
      <c r="B2350" s="2913"/>
      <c r="C2350" s="3940" t="s">
        <v>3630</v>
      </c>
      <c r="D2350" s="4113">
        <v>250000000</v>
      </c>
      <c r="E2350" s="666">
        <v>243152000</v>
      </c>
      <c r="F2350" s="880">
        <f t="shared" si="58"/>
        <v>97.260800000000003</v>
      </c>
      <c r="G2350" s="3648">
        <v>97.260800000000003</v>
      </c>
      <c r="H2350" s="535"/>
    </row>
    <row r="2351" spans="2:8" ht="15.75" hidden="1" customHeight="1" x14ac:dyDescent="0.25">
      <c r="B2351" s="2913"/>
      <c r="C2351" s="3940" t="s">
        <v>3631</v>
      </c>
      <c r="D2351" s="4113">
        <v>250000000</v>
      </c>
      <c r="E2351" s="666">
        <v>248943632</v>
      </c>
      <c r="F2351" s="880">
        <f t="shared" si="58"/>
        <v>99.577452800000003</v>
      </c>
      <c r="G2351" s="3648">
        <v>99.577452800000003</v>
      </c>
      <c r="H2351" s="535"/>
    </row>
    <row r="2352" spans="2:8" ht="12" hidden="1" customHeight="1" x14ac:dyDescent="0.25">
      <c r="B2352" s="2913"/>
      <c r="C2352" s="3940"/>
      <c r="D2352" s="4113"/>
      <c r="E2352" s="666"/>
      <c r="F2352" s="2411"/>
      <c r="G2352" s="1717"/>
      <c r="H2352" s="535"/>
    </row>
    <row r="2353" spans="1:11" ht="18" hidden="1" customHeight="1" x14ac:dyDescent="0.25">
      <c r="B2353" s="2913"/>
      <c r="C2353" s="3942" t="s">
        <v>261</v>
      </c>
      <c r="D2353" s="4114">
        <f>D2354</f>
        <v>150000000</v>
      </c>
      <c r="E2353" s="4114">
        <f>E2354</f>
        <v>144500000</v>
      </c>
      <c r="F2353" s="2410">
        <f>E2353/D2353*100</f>
        <v>96.333333333333343</v>
      </c>
      <c r="G2353" s="2261">
        <v>96.333333333333343</v>
      </c>
      <c r="H2353" s="535"/>
    </row>
    <row r="2354" spans="1:11" ht="18.75" hidden="1" customHeight="1" x14ac:dyDescent="0.25">
      <c r="B2354" s="2913"/>
      <c r="C2354" s="3940" t="s">
        <v>3632</v>
      </c>
      <c r="D2354" s="4113">
        <v>150000000</v>
      </c>
      <c r="E2354" s="3768">
        <v>144500000</v>
      </c>
      <c r="F2354" s="880">
        <f>E2354/D2354*100</f>
        <v>96.333333333333343</v>
      </c>
      <c r="G2354" s="1717">
        <v>96.333333333333343</v>
      </c>
      <c r="H2354" s="535"/>
    </row>
    <row r="2355" spans="1:11" ht="12" hidden="1" customHeight="1" x14ac:dyDescent="0.25">
      <c r="B2355" s="2913"/>
      <c r="C2355" s="3940"/>
      <c r="D2355" s="4113"/>
      <c r="E2355" s="666"/>
      <c r="F2355" s="2411"/>
      <c r="G2355" s="1717"/>
      <c r="H2355" s="535"/>
    </row>
    <row r="2356" spans="1:11" ht="17.25" hidden="1" customHeight="1" x14ac:dyDescent="0.25">
      <c r="B2356" s="2913"/>
      <c r="C2356" s="3942" t="s">
        <v>3633</v>
      </c>
      <c r="D2356" s="4114">
        <f>SUM(D2357:D2370)</f>
        <v>4150000000</v>
      </c>
      <c r="E2356" s="4114">
        <f>SUM(E2357:E2370)</f>
        <v>4031138466</v>
      </c>
      <c r="F2356" s="2410">
        <f t="shared" ref="F2356:F2370" si="59">E2356/D2356*100</f>
        <v>97.135866650602409</v>
      </c>
      <c r="G2356" s="2261">
        <f>SUM(G2357:G2370)/14</f>
        <v>97.595208114625322</v>
      </c>
      <c r="H2356" s="535"/>
    </row>
    <row r="2357" spans="1:11" ht="14.25" hidden="1" customHeight="1" x14ac:dyDescent="0.25">
      <c r="B2357" s="2913"/>
      <c r="C2357" s="3940" t="s">
        <v>3634</v>
      </c>
      <c r="D2357" s="4113">
        <v>200000000</v>
      </c>
      <c r="E2357" s="666">
        <v>198963573</v>
      </c>
      <c r="F2357" s="880">
        <f t="shared" si="59"/>
        <v>99.481786499999998</v>
      </c>
      <c r="G2357" s="1717">
        <v>99.481786499999998</v>
      </c>
      <c r="H2357" s="535"/>
    </row>
    <row r="2358" spans="1:11" ht="14.25" hidden="1" customHeight="1" x14ac:dyDescent="0.25">
      <c r="B2358" s="2913"/>
      <c r="C2358" s="3940" t="s">
        <v>1901</v>
      </c>
      <c r="D2358" s="4113">
        <v>300000000</v>
      </c>
      <c r="E2358" s="666">
        <v>269140000</v>
      </c>
      <c r="F2358" s="880">
        <f t="shared" si="59"/>
        <v>89.713333333333338</v>
      </c>
      <c r="G2358" s="1717">
        <v>89.713333333333338</v>
      </c>
      <c r="H2358" s="535"/>
    </row>
    <row r="2359" spans="1:11" ht="16.5" hidden="1" customHeight="1" x14ac:dyDescent="0.25">
      <c r="B2359" s="2913"/>
      <c r="C2359" s="3940" t="s">
        <v>1902</v>
      </c>
      <c r="D2359" s="4113">
        <v>50000000</v>
      </c>
      <c r="E2359" s="3879">
        <v>50000000</v>
      </c>
      <c r="F2359" s="880">
        <f t="shared" si="59"/>
        <v>100</v>
      </c>
      <c r="G2359" s="3648">
        <v>100</v>
      </c>
      <c r="H2359" s="535"/>
    </row>
    <row r="2360" spans="1:11" ht="15.75" hidden="1" customHeight="1" x14ac:dyDescent="0.25">
      <c r="B2360" s="2913"/>
      <c r="C2360" s="3940" t="s">
        <v>3635</v>
      </c>
      <c r="D2360" s="4113">
        <v>396000000</v>
      </c>
      <c r="E2360" s="4058">
        <v>395228893</v>
      </c>
      <c r="F2360" s="880">
        <f t="shared" si="59"/>
        <v>99.805276010101011</v>
      </c>
      <c r="G2360" s="2281">
        <v>99.805276010101011</v>
      </c>
      <c r="H2360" s="535"/>
    </row>
    <row r="2361" spans="1:11" ht="14.25" hidden="1" customHeight="1" x14ac:dyDescent="0.25">
      <c r="B2361" s="2913"/>
      <c r="C2361" s="3940" t="s">
        <v>3636</v>
      </c>
      <c r="D2361" s="4113">
        <v>374000000</v>
      </c>
      <c r="E2361" s="3768">
        <v>361873800</v>
      </c>
      <c r="F2361" s="880">
        <f t="shared" si="59"/>
        <v>96.757700534759365</v>
      </c>
      <c r="G2361" s="3768">
        <v>96.757700534759365</v>
      </c>
      <c r="H2361" s="535"/>
    </row>
    <row r="2362" spans="1:11" ht="15" hidden="1" customHeight="1" x14ac:dyDescent="0.25">
      <c r="B2362" s="2913"/>
      <c r="C2362" s="3940" t="s">
        <v>1900</v>
      </c>
      <c r="D2362" s="4113">
        <v>348000000</v>
      </c>
      <c r="E2362" s="3360">
        <v>287670000</v>
      </c>
      <c r="F2362" s="880">
        <f t="shared" si="59"/>
        <v>82.663793103448285</v>
      </c>
      <c r="G2362" s="3768">
        <v>82.663793103448285</v>
      </c>
      <c r="H2362" s="535"/>
    </row>
    <row r="2363" spans="1:11" s="3504" customFormat="1" ht="15" hidden="1" customHeight="1" x14ac:dyDescent="0.25">
      <c r="A2363" s="352"/>
      <c r="B2363" s="2913"/>
      <c r="C2363" s="3940" t="s">
        <v>3637</v>
      </c>
      <c r="D2363" s="4113">
        <v>400000000</v>
      </c>
      <c r="E2363" s="1855">
        <v>399100000</v>
      </c>
      <c r="F2363" s="880">
        <f t="shared" si="59"/>
        <v>99.775000000000006</v>
      </c>
      <c r="G2363" s="3768">
        <v>99.775000000000006</v>
      </c>
      <c r="H2363" s="535"/>
      <c r="J2363" s="522"/>
      <c r="K2363" s="522"/>
    </row>
    <row r="2364" spans="1:11" s="3504" customFormat="1" ht="15" hidden="1" customHeight="1" x14ac:dyDescent="0.25">
      <c r="A2364" s="352"/>
      <c r="B2364" s="2913"/>
      <c r="C2364" s="3940" t="s">
        <v>3638</v>
      </c>
      <c r="D2364" s="4113">
        <v>100000000</v>
      </c>
      <c r="E2364" s="1855">
        <v>99988000</v>
      </c>
      <c r="F2364" s="880">
        <f t="shared" si="59"/>
        <v>99.988</v>
      </c>
      <c r="G2364" s="3768">
        <v>99.988</v>
      </c>
      <c r="H2364" s="535"/>
      <c r="J2364" s="522"/>
      <c r="K2364" s="522"/>
    </row>
    <row r="2365" spans="1:11" s="3504" customFormat="1" ht="15" hidden="1" customHeight="1" x14ac:dyDescent="0.25">
      <c r="A2365" s="352"/>
      <c r="B2365" s="2913"/>
      <c r="C2365" s="3940" t="s">
        <v>1899</v>
      </c>
      <c r="D2365" s="4113">
        <v>250000000</v>
      </c>
      <c r="E2365" s="1855">
        <v>249091200</v>
      </c>
      <c r="F2365" s="880">
        <f t="shared" si="59"/>
        <v>99.636480000000006</v>
      </c>
      <c r="G2365" s="3768">
        <v>99.636480000000006</v>
      </c>
      <c r="H2365" s="535"/>
      <c r="J2365" s="522"/>
      <c r="K2365" s="522"/>
    </row>
    <row r="2366" spans="1:11" s="3504" customFormat="1" ht="15" hidden="1" customHeight="1" x14ac:dyDescent="0.25">
      <c r="A2366" s="352"/>
      <c r="B2366" s="2913"/>
      <c r="C2366" s="3940" t="s">
        <v>3639</v>
      </c>
      <c r="D2366" s="4113">
        <v>1000000000</v>
      </c>
      <c r="E2366" s="1855">
        <v>988732900</v>
      </c>
      <c r="F2366" s="880">
        <f t="shared" si="59"/>
        <v>98.873289999999997</v>
      </c>
      <c r="G2366" s="3768">
        <v>98.873289999999997</v>
      </c>
      <c r="H2366" s="535"/>
      <c r="J2366" s="522"/>
      <c r="K2366" s="522"/>
    </row>
    <row r="2367" spans="1:11" s="3504" customFormat="1" ht="17.25" hidden="1" customHeight="1" x14ac:dyDescent="0.25">
      <c r="A2367" s="352"/>
      <c r="B2367" s="2913"/>
      <c r="C2367" s="3940" t="s">
        <v>3640</v>
      </c>
      <c r="D2367" s="4113">
        <v>164000000</v>
      </c>
      <c r="E2367" s="1855">
        <v>163843500</v>
      </c>
      <c r="F2367" s="880">
        <f t="shared" si="59"/>
        <v>99.904573170731709</v>
      </c>
      <c r="G2367" s="3768">
        <v>99.904573170731709</v>
      </c>
      <c r="H2367" s="535"/>
      <c r="J2367" s="522"/>
      <c r="K2367" s="522"/>
    </row>
    <row r="2368" spans="1:11" s="3504" customFormat="1" ht="15.75" hidden="1" customHeight="1" x14ac:dyDescent="0.25">
      <c r="A2368" s="352"/>
      <c r="B2368" s="2913"/>
      <c r="C2368" s="3940" t="s">
        <v>3763</v>
      </c>
      <c r="D2368" s="4113">
        <v>200000000</v>
      </c>
      <c r="E2368" s="1855">
        <v>199990600</v>
      </c>
      <c r="F2368" s="880">
        <f t="shared" si="59"/>
        <v>99.9953</v>
      </c>
      <c r="G2368" s="3768">
        <v>99.9953</v>
      </c>
      <c r="H2368" s="535"/>
      <c r="J2368" s="522"/>
      <c r="K2368" s="522"/>
    </row>
    <row r="2369" spans="1:11" s="3504" customFormat="1" ht="12.75" hidden="1" customHeight="1" x14ac:dyDescent="0.25">
      <c r="A2369" s="352"/>
      <c r="B2369" s="2913"/>
      <c r="C2369" s="3940" t="s">
        <v>3760</v>
      </c>
      <c r="D2369" s="4113">
        <v>200000000</v>
      </c>
      <c r="E2369" s="1855">
        <v>199722000</v>
      </c>
      <c r="F2369" s="880">
        <f t="shared" si="59"/>
        <v>99.861000000000004</v>
      </c>
      <c r="G2369" s="3768">
        <v>99.861000000000004</v>
      </c>
      <c r="H2369" s="535"/>
      <c r="J2369" s="522"/>
      <c r="K2369" s="522"/>
    </row>
    <row r="2370" spans="1:11" s="3504" customFormat="1" ht="15.75" hidden="1" customHeight="1" x14ac:dyDescent="0.25">
      <c r="A2370" s="352"/>
      <c r="B2370" s="2913"/>
      <c r="C2370" s="3940" t="s">
        <v>3642</v>
      </c>
      <c r="D2370" s="4113">
        <v>168000000</v>
      </c>
      <c r="E2370" s="1855">
        <v>167794000</v>
      </c>
      <c r="F2370" s="880">
        <f t="shared" si="59"/>
        <v>99.87738095238096</v>
      </c>
      <c r="G2370" s="3768">
        <v>99.87738095238096</v>
      </c>
      <c r="H2370" s="535"/>
      <c r="J2370" s="522"/>
      <c r="K2370" s="522"/>
    </row>
    <row r="2371" spans="1:11" s="3504" customFormat="1" ht="10.5" hidden="1" customHeight="1" x14ac:dyDescent="0.25">
      <c r="A2371" s="352"/>
      <c r="B2371" s="2913"/>
      <c r="C2371" s="3940"/>
      <c r="D2371" s="4113"/>
      <c r="E2371" s="3360"/>
      <c r="F2371" s="2411"/>
      <c r="G2371" s="2269"/>
      <c r="H2371" s="535"/>
      <c r="J2371" s="522"/>
      <c r="K2371" s="522"/>
    </row>
    <row r="2372" spans="1:11" ht="18" hidden="1" customHeight="1" x14ac:dyDescent="0.25">
      <c r="B2372" s="2913"/>
      <c r="C2372" s="3942" t="s">
        <v>3752</v>
      </c>
      <c r="D2372" s="4114">
        <f>SUM(D2373:D2376)</f>
        <v>800000000</v>
      </c>
      <c r="E2372" s="4114">
        <f>SUM(E2373:E2376)</f>
        <v>792535000</v>
      </c>
      <c r="F2372" s="2410">
        <f>E2372/D2372*100</f>
        <v>99.066874999999996</v>
      </c>
      <c r="G2372" s="2261">
        <f>SUM(G2373:G2376)/4</f>
        <v>99.066874999999996</v>
      </c>
      <c r="H2372" s="535"/>
    </row>
    <row r="2373" spans="1:11" ht="14.25" hidden="1" customHeight="1" x14ac:dyDescent="0.25">
      <c r="B2373" s="2913"/>
      <c r="C2373" s="3940" t="s">
        <v>3762</v>
      </c>
      <c r="D2373" s="4113">
        <v>200000000</v>
      </c>
      <c r="E2373" s="666">
        <v>194819000</v>
      </c>
      <c r="F2373" s="880">
        <f>E2373/D2373*100</f>
        <v>97.409500000000008</v>
      </c>
      <c r="G2373" s="1717">
        <v>97.409500000000008</v>
      </c>
      <c r="H2373" s="535"/>
    </row>
    <row r="2374" spans="1:11" ht="17.25" hidden="1" customHeight="1" x14ac:dyDescent="0.25">
      <c r="B2374" s="2913"/>
      <c r="C2374" s="3892" t="s">
        <v>3753</v>
      </c>
      <c r="D2374" s="985">
        <v>200000000</v>
      </c>
      <c r="E2374" s="868">
        <v>198283000</v>
      </c>
      <c r="F2374" s="880">
        <f>E2374/D2374*100</f>
        <v>99.141500000000008</v>
      </c>
      <c r="G2374" s="1717">
        <v>99.141500000000008</v>
      </c>
      <c r="H2374" s="535"/>
    </row>
    <row r="2375" spans="1:11" s="3504" customFormat="1" ht="15" hidden="1" customHeight="1" x14ac:dyDescent="0.25">
      <c r="A2375" s="352"/>
      <c r="B2375" s="2913"/>
      <c r="C2375" s="4104" t="s">
        <v>3754</v>
      </c>
      <c r="D2375" s="3770">
        <v>200000000</v>
      </c>
      <c r="E2375" s="666">
        <v>199677000</v>
      </c>
      <c r="F2375" s="880">
        <f>E2375/D2375*100</f>
        <v>99.838499999999996</v>
      </c>
      <c r="G2375" s="1717">
        <v>99.838499999999996</v>
      </c>
      <c r="H2375" s="535"/>
      <c r="J2375" s="522"/>
      <c r="K2375" s="522"/>
    </row>
    <row r="2376" spans="1:11" s="3504" customFormat="1" ht="27" hidden="1" customHeight="1" x14ac:dyDescent="0.25">
      <c r="A2376" s="352"/>
      <c r="B2376" s="2913"/>
      <c r="C2376" s="4104" t="s">
        <v>3755</v>
      </c>
      <c r="D2376" s="971">
        <v>200000000</v>
      </c>
      <c r="E2376" s="666">
        <v>199756000</v>
      </c>
      <c r="F2376" s="880">
        <f>E2376/D2376*100</f>
        <v>99.878</v>
      </c>
      <c r="G2376" s="1717">
        <v>99.878</v>
      </c>
      <c r="H2376" s="535"/>
      <c r="J2376" s="522"/>
      <c r="K2376" s="522"/>
    </row>
    <row r="2377" spans="1:11" s="3504" customFormat="1" ht="9.75" hidden="1" customHeight="1" x14ac:dyDescent="0.25">
      <c r="A2377" s="352"/>
      <c r="B2377" s="2913"/>
      <c r="C2377" s="3892"/>
      <c r="D2377" s="972"/>
      <c r="E2377" s="671"/>
      <c r="F2377" s="2416"/>
      <c r="G2377" s="2265"/>
      <c r="H2377" s="535"/>
      <c r="J2377" s="522"/>
      <c r="K2377" s="522"/>
    </row>
    <row r="2378" spans="1:11" s="3504" customFormat="1" ht="13.5" hidden="1" customHeight="1" x14ac:dyDescent="0.25">
      <c r="A2378" s="352"/>
      <c r="B2378" s="2913"/>
      <c r="C2378" s="4116" t="s">
        <v>3756</v>
      </c>
      <c r="D2378" s="1379">
        <v>600000000</v>
      </c>
      <c r="E2378" s="1415">
        <v>600000000</v>
      </c>
      <c r="F2378" s="3507">
        <f>E2378/D2378*100</f>
        <v>100</v>
      </c>
      <c r="G2378" s="2261">
        <v>100</v>
      </c>
      <c r="H2378" s="535"/>
      <c r="J2378" s="522"/>
      <c r="K2378" s="522"/>
    </row>
    <row r="2379" spans="1:11" s="3504" customFormat="1" ht="12.75" hidden="1" customHeight="1" x14ac:dyDescent="0.25">
      <c r="A2379" s="352"/>
      <c r="B2379" s="2913"/>
      <c r="C2379" s="4104" t="s">
        <v>3757</v>
      </c>
      <c r="D2379" s="3770">
        <v>150000000</v>
      </c>
      <c r="E2379" s="666">
        <v>150000000</v>
      </c>
      <c r="F2379" s="880">
        <f>E2379/D2379*100</f>
        <v>100</v>
      </c>
      <c r="G2379" s="1717">
        <v>100</v>
      </c>
      <c r="H2379" s="535"/>
      <c r="J2379" s="522"/>
      <c r="K2379" s="522"/>
    </row>
    <row r="2380" spans="1:11" s="3504" customFormat="1" ht="15.75" hidden="1" customHeight="1" x14ac:dyDescent="0.25">
      <c r="A2380" s="352"/>
      <c r="B2380" s="2913"/>
      <c r="C2380" s="4104" t="s">
        <v>3758</v>
      </c>
      <c r="D2380" s="3770">
        <v>300000000</v>
      </c>
      <c r="E2380" s="666">
        <v>300000000</v>
      </c>
      <c r="F2380" s="880">
        <f>E2380/D2380*100</f>
        <v>100</v>
      </c>
      <c r="G2380" s="1717">
        <v>100</v>
      </c>
      <c r="H2380" s="535"/>
      <c r="J2380" s="522"/>
      <c r="K2380" s="522"/>
    </row>
    <row r="2381" spans="1:11" s="3504" customFormat="1" ht="15" hidden="1" customHeight="1" x14ac:dyDescent="0.25">
      <c r="A2381" s="352"/>
      <c r="B2381" s="2913"/>
      <c r="C2381" s="4104" t="s">
        <v>3759</v>
      </c>
      <c r="D2381" s="3770">
        <v>150000000</v>
      </c>
      <c r="E2381" s="666">
        <v>150000000</v>
      </c>
      <c r="F2381" s="880">
        <f>E2381/D2381*100</f>
        <v>100</v>
      </c>
      <c r="G2381" s="1717">
        <v>100</v>
      </c>
      <c r="H2381" s="535"/>
      <c r="J2381" s="522"/>
      <c r="K2381" s="522"/>
    </row>
    <row r="2382" spans="1:11" s="3504" customFormat="1" ht="9" hidden="1" customHeight="1" x14ac:dyDescent="0.25">
      <c r="A2382" s="352"/>
      <c r="B2382" s="2913"/>
      <c r="C2382" s="3892"/>
      <c r="D2382" s="3505"/>
      <c r="E2382" s="671"/>
      <c r="F2382" s="2416"/>
      <c r="G2382" s="2265"/>
      <c r="H2382" s="535"/>
      <c r="J2382" s="522"/>
      <c r="K2382" s="522"/>
    </row>
    <row r="2383" spans="1:11" ht="17.25" hidden="1" customHeight="1" x14ac:dyDescent="0.25">
      <c r="B2383" s="5397"/>
      <c r="C2383" s="4024" t="s">
        <v>357</v>
      </c>
      <c r="D2383" s="1030">
        <f>SUM(D2384+D2387+D2390+D2393+D2397+D2401+D2404+D2407+D2413+D2416)</f>
        <v>11200037800</v>
      </c>
      <c r="E2383" s="1030">
        <f>SUM(E2384+E2387+E2390+E2393+E2397+E2401+E2404+E2407+E2413+E2416)</f>
        <v>11156946492</v>
      </c>
      <c r="F2383" s="2417">
        <f>E2383/D2383*100</f>
        <v>99.615257477077449</v>
      </c>
      <c r="G2383" s="2356">
        <f>SUM(G2384+G2387+G2390+G2393+G2397+G2401+G2404+G2407+G2413+G2416)/10</f>
        <v>98.280308631061047</v>
      </c>
      <c r="H2383" s="535"/>
    </row>
    <row r="2384" spans="1:11" ht="16.5" hidden="1" customHeight="1" x14ac:dyDescent="0.25">
      <c r="B2384" s="2913"/>
      <c r="C2384" s="3944" t="s">
        <v>1903</v>
      </c>
      <c r="D2384" s="4115">
        <f>SUM(D2385)</f>
        <v>500000000</v>
      </c>
      <c r="E2384" s="4115">
        <f>SUM(E2385)</f>
        <v>486800000</v>
      </c>
      <c r="F2384" s="2410">
        <f>E2384/D2384*100</f>
        <v>97.36</v>
      </c>
      <c r="G2384" s="2261">
        <v>97.36</v>
      </c>
      <c r="H2384" s="535"/>
    </row>
    <row r="2385" spans="2:8" ht="15.75" hidden="1" customHeight="1" x14ac:dyDescent="0.25">
      <c r="B2385" s="2913"/>
      <c r="C2385" s="3940" t="s">
        <v>1910</v>
      </c>
      <c r="D2385" s="4113">
        <v>500000000</v>
      </c>
      <c r="E2385" s="666">
        <v>486800000</v>
      </c>
      <c r="F2385" s="880">
        <f>E2385/D2385*100</f>
        <v>97.36</v>
      </c>
      <c r="G2385" s="1717">
        <v>97.36</v>
      </c>
      <c r="H2385" s="535"/>
    </row>
    <row r="2386" spans="2:8" ht="9" hidden="1" customHeight="1" x14ac:dyDescent="0.25">
      <c r="B2386" s="2913"/>
      <c r="C2386" s="4025"/>
      <c r="D2386" s="4113"/>
      <c r="E2386" s="894"/>
      <c r="F2386" s="2415"/>
      <c r="G2386" s="1315"/>
      <c r="H2386" s="535"/>
    </row>
    <row r="2387" spans="2:8" ht="15.75" hidden="1" customHeight="1" x14ac:dyDescent="0.25">
      <c r="B2387" s="2913"/>
      <c r="C2387" s="3941" t="s">
        <v>1911</v>
      </c>
      <c r="D2387" s="4115">
        <f>SUM(D2388)</f>
        <v>1000000000</v>
      </c>
      <c r="E2387" s="4115">
        <f>SUM(E2388)</f>
        <v>1000000000</v>
      </c>
      <c r="F2387" s="2410">
        <f>E2387/D2387*100</f>
        <v>100</v>
      </c>
      <c r="G2387" s="2261">
        <v>100</v>
      </c>
      <c r="H2387" s="535"/>
    </row>
    <row r="2388" spans="2:8" ht="15" hidden="1" customHeight="1" x14ac:dyDescent="0.25">
      <c r="B2388" s="2913"/>
      <c r="C2388" s="3940" t="s">
        <v>1904</v>
      </c>
      <c r="D2388" s="4113">
        <v>1000000000</v>
      </c>
      <c r="E2388" s="666">
        <v>1000000000</v>
      </c>
      <c r="F2388" s="880">
        <f>E2388/D2388*100</f>
        <v>100</v>
      </c>
      <c r="G2388" s="1717">
        <v>100</v>
      </c>
      <c r="H2388" s="535"/>
    </row>
    <row r="2389" spans="2:8" ht="9.75" hidden="1" customHeight="1" x14ac:dyDescent="0.25">
      <c r="B2389" s="2913"/>
      <c r="C2389" s="4025"/>
      <c r="D2389" s="4113"/>
      <c r="E2389" s="894"/>
      <c r="F2389" s="2415"/>
      <c r="G2389" s="1315"/>
      <c r="H2389" s="535"/>
    </row>
    <row r="2390" spans="2:8" ht="18" hidden="1" customHeight="1" x14ac:dyDescent="0.25">
      <c r="B2390" s="2913"/>
      <c r="C2390" s="3941" t="s">
        <v>291</v>
      </c>
      <c r="D2390" s="4115">
        <f>SUM(D2391)</f>
        <v>6552037800</v>
      </c>
      <c r="E2390" s="4115">
        <f>SUM(E2391)</f>
        <v>6550549290</v>
      </c>
      <c r="F2390" s="2410">
        <f>E2390/D2390*100</f>
        <v>99.977281724473571</v>
      </c>
      <c r="G2390" s="2261">
        <v>99.977281724473571</v>
      </c>
      <c r="H2390" s="535"/>
    </row>
    <row r="2391" spans="2:8" ht="17.25" hidden="1" customHeight="1" x14ac:dyDescent="0.25">
      <c r="B2391" s="2913"/>
      <c r="C2391" s="3940" t="s">
        <v>1905</v>
      </c>
      <c r="D2391" s="4113">
        <v>6552037800</v>
      </c>
      <c r="E2391" s="666">
        <v>6550549290</v>
      </c>
      <c r="F2391" s="880">
        <f>E2391/D2391*100</f>
        <v>99.977281724473571</v>
      </c>
      <c r="G2391" s="1717">
        <v>99.977281724473571</v>
      </c>
      <c r="H2391" s="535"/>
    </row>
    <row r="2392" spans="2:8" ht="12" hidden="1" customHeight="1" x14ac:dyDescent="0.25">
      <c r="B2392" s="2913"/>
      <c r="C2392" s="4025"/>
      <c r="D2392" s="4113"/>
      <c r="E2392" s="894"/>
      <c r="F2392" s="2415"/>
      <c r="G2392" s="1315"/>
      <c r="H2392" s="535"/>
    </row>
    <row r="2393" spans="2:8" ht="18" hidden="1" customHeight="1" x14ac:dyDescent="0.25">
      <c r="B2393" s="2913"/>
      <c r="C2393" s="3941" t="s">
        <v>1906</v>
      </c>
      <c r="D2393" s="4115">
        <f>SUM(D2394:D2395)</f>
        <v>200000000</v>
      </c>
      <c r="E2393" s="4115">
        <f>SUM(E2394:E2395)</f>
        <v>180321000</v>
      </c>
      <c r="F2393" s="2410">
        <f>E2393/D2393*100</f>
        <v>90.160499999999999</v>
      </c>
      <c r="G2393" s="2261">
        <f>SUM(G2394:G2395)/2</f>
        <v>90.160499999999999</v>
      </c>
      <c r="H2393" s="535"/>
    </row>
    <row r="2394" spans="2:8" ht="19.5" hidden="1" customHeight="1" x14ac:dyDescent="0.25">
      <c r="B2394" s="2913"/>
      <c r="C2394" s="3940" t="s">
        <v>1912</v>
      </c>
      <c r="D2394" s="4113">
        <v>100000000</v>
      </c>
      <c r="E2394" s="1238">
        <v>80684000</v>
      </c>
      <c r="F2394" s="880">
        <f>E2394/D2394*100</f>
        <v>80.683999999999997</v>
      </c>
      <c r="G2394" s="971">
        <v>80.683999999999997</v>
      </c>
      <c r="H2394" s="535"/>
    </row>
    <row r="2395" spans="2:8" ht="28.5" hidden="1" customHeight="1" x14ac:dyDescent="0.25">
      <c r="B2395" s="2913"/>
      <c r="C2395" s="4025" t="s">
        <v>1913</v>
      </c>
      <c r="D2395" s="4113">
        <v>100000000</v>
      </c>
      <c r="E2395" s="666">
        <v>99637000</v>
      </c>
      <c r="F2395" s="880">
        <f>E2395/D2395*100</f>
        <v>99.637</v>
      </c>
      <c r="G2395" s="1717">
        <v>99.637</v>
      </c>
      <c r="H2395" s="535"/>
    </row>
    <row r="2396" spans="2:8" ht="12" hidden="1" customHeight="1" x14ac:dyDescent="0.25">
      <c r="B2396" s="2913"/>
      <c r="C2396" s="4025"/>
      <c r="D2396" s="4113"/>
      <c r="E2396" s="894"/>
      <c r="F2396" s="2415"/>
      <c r="G2396" s="1315"/>
      <c r="H2396" s="535"/>
    </row>
    <row r="2397" spans="2:8" ht="20.25" hidden="1" customHeight="1" x14ac:dyDescent="0.25">
      <c r="B2397" s="2913"/>
      <c r="C2397" s="3941" t="s">
        <v>570</v>
      </c>
      <c r="D2397" s="4115">
        <f>SUM(D2398:D2399)</f>
        <v>200000000</v>
      </c>
      <c r="E2397" s="4115">
        <f>SUM(E2398:E2399)</f>
        <v>199505100</v>
      </c>
      <c r="F2397" s="2410">
        <f>E2397/D2397*100</f>
        <v>99.752549999999999</v>
      </c>
      <c r="G2397" s="2261">
        <f>SUM(G2398:G2399)/2</f>
        <v>99.752549999999999</v>
      </c>
      <c r="H2397" s="535"/>
    </row>
    <row r="2398" spans="2:8" ht="33.75" hidden="1" customHeight="1" x14ac:dyDescent="0.25">
      <c r="B2398" s="2913"/>
      <c r="C2398" s="3940" t="s">
        <v>1914</v>
      </c>
      <c r="D2398" s="4113">
        <v>100000000</v>
      </c>
      <c r="E2398" s="666">
        <v>99548800</v>
      </c>
      <c r="F2398" s="880">
        <f>E2398/D2398*100</f>
        <v>99.5488</v>
      </c>
      <c r="G2398" s="1717">
        <v>99.5488</v>
      </c>
      <c r="H2398" s="535"/>
    </row>
    <row r="2399" spans="2:8" ht="27.75" hidden="1" customHeight="1" x14ac:dyDescent="0.25">
      <c r="B2399" s="2913"/>
      <c r="C2399" s="4025" t="s">
        <v>1915</v>
      </c>
      <c r="D2399" s="4113">
        <v>100000000</v>
      </c>
      <c r="E2399" s="971">
        <v>99956300</v>
      </c>
      <c r="F2399" s="880">
        <f>E2399/D2399*100</f>
        <v>99.956299999999999</v>
      </c>
      <c r="G2399" s="971">
        <v>99.956299999999999</v>
      </c>
      <c r="H2399" s="535"/>
    </row>
    <row r="2400" spans="2:8" ht="8.25" hidden="1" customHeight="1" x14ac:dyDescent="0.25">
      <c r="B2400" s="2913"/>
      <c r="C2400" s="4025"/>
      <c r="D2400" s="4113"/>
      <c r="E2400" s="894"/>
      <c r="F2400" s="2415"/>
      <c r="G2400" s="1315"/>
      <c r="H2400" s="535"/>
    </row>
    <row r="2401" spans="2:8" ht="18" hidden="1" customHeight="1" x14ac:dyDescent="0.25">
      <c r="B2401" s="2913"/>
      <c r="C2401" s="3941" t="s">
        <v>1907</v>
      </c>
      <c r="D2401" s="4115">
        <f>SUM(D2402)</f>
        <v>150000000</v>
      </c>
      <c r="E2401" s="4115">
        <f>SUM(E2402)</f>
        <v>149942062</v>
      </c>
      <c r="F2401" s="2410">
        <f>E2401/D2401*100</f>
        <v>99.961374666666671</v>
      </c>
      <c r="G2401" s="966">
        <v>99.961374666666671</v>
      </c>
      <c r="H2401" s="535"/>
    </row>
    <row r="2402" spans="2:8" ht="17.25" hidden="1" customHeight="1" x14ac:dyDescent="0.25">
      <c r="B2402" s="2913"/>
      <c r="C2402" s="3940" t="s">
        <v>1916</v>
      </c>
      <c r="D2402" s="4113">
        <v>150000000</v>
      </c>
      <c r="E2402" s="3768">
        <v>149942062</v>
      </c>
      <c r="F2402" s="880">
        <f>E2402/D2402*100</f>
        <v>99.961374666666671</v>
      </c>
      <c r="G2402" s="3770">
        <v>99.961374666666671</v>
      </c>
      <c r="H2402" s="535"/>
    </row>
    <row r="2403" spans="2:8" ht="9.75" hidden="1" customHeight="1" x14ac:dyDescent="0.25">
      <c r="B2403" s="2913"/>
      <c r="C2403" s="4025"/>
      <c r="D2403" s="4113"/>
      <c r="E2403" s="894"/>
      <c r="F2403" s="2415"/>
      <c r="G2403" s="1315"/>
      <c r="H2403" s="535"/>
    </row>
    <row r="2404" spans="2:8" ht="16.5" hidden="1" customHeight="1" x14ac:dyDescent="0.25">
      <c r="B2404" s="2913"/>
      <c r="C2404" s="3941" t="s">
        <v>1908</v>
      </c>
      <c r="D2404" s="4115">
        <f>SUM(D2405)</f>
        <v>180040000</v>
      </c>
      <c r="E2404" s="4115">
        <f>SUM(E2405)</f>
        <v>180040000</v>
      </c>
      <c r="F2404" s="2410">
        <f>E2404/D2404*100</f>
        <v>100</v>
      </c>
      <c r="G2404" s="2261">
        <v>100</v>
      </c>
      <c r="H2404" s="535"/>
    </row>
    <row r="2405" spans="2:8" ht="17.25" hidden="1" customHeight="1" x14ac:dyDescent="0.25">
      <c r="B2405" s="2913"/>
      <c r="C2405" s="3940" t="s">
        <v>1918</v>
      </c>
      <c r="D2405" s="4113">
        <v>180040000</v>
      </c>
      <c r="E2405" s="666">
        <v>180040000</v>
      </c>
      <c r="F2405" s="880">
        <f>E2405/D2405*100</f>
        <v>100</v>
      </c>
      <c r="G2405" s="1717">
        <v>100</v>
      </c>
      <c r="H2405" s="535"/>
    </row>
    <row r="2406" spans="2:8" ht="9.75" hidden="1" customHeight="1" x14ac:dyDescent="0.25">
      <c r="B2406" s="2913"/>
      <c r="C2406" s="4025"/>
      <c r="D2406" s="4113"/>
      <c r="E2406" s="894"/>
      <c r="F2406" s="2415"/>
      <c r="G2406" s="1315"/>
      <c r="H2406" s="535"/>
    </row>
    <row r="2407" spans="2:8" ht="28.5" hidden="1" customHeight="1" x14ac:dyDescent="0.25">
      <c r="B2407" s="2913"/>
      <c r="C2407" s="3941" t="s">
        <v>1917</v>
      </c>
      <c r="D2407" s="4115">
        <f>SUM(D2408:D2411)</f>
        <v>2117960000</v>
      </c>
      <c r="E2407" s="4115">
        <f>SUM(E2408:E2411)</f>
        <v>2113612000</v>
      </c>
      <c r="F2407" s="2410">
        <f>E2407/D2407*100</f>
        <v>99.794708115356286</v>
      </c>
      <c r="G2407" s="2261">
        <f>SUM(G2408:G2411)/4</f>
        <v>98.924339919470171</v>
      </c>
      <c r="H2407" s="535"/>
    </row>
    <row r="2408" spans="2:8" ht="18" hidden="1" customHeight="1" x14ac:dyDescent="0.25">
      <c r="B2408" s="2913"/>
      <c r="C2408" s="3940" t="s">
        <v>1922</v>
      </c>
      <c r="D2408" s="4113">
        <v>100000000</v>
      </c>
      <c r="E2408" s="666">
        <v>96700000</v>
      </c>
      <c r="F2408" s="880">
        <f>E2408/D2408*100</f>
        <v>96.7</v>
      </c>
      <c r="G2408" s="1717">
        <v>96.7</v>
      </c>
      <c r="H2408" s="535"/>
    </row>
    <row r="2409" spans="2:8" ht="18.75" hidden="1" customHeight="1" x14ac:dyDescent="0.25">
      <c r="B2409" s="2913"/>
      <c r="C2409" s="3940" t="s">
        <v>1921</v>
      </c>
      <c r="D2409" s="4113">
        <v>100000000</v>
      </c>
      <c r="E2409" s="666">
        <v>99000000</v>
      </c>
      <c r="F2409" s="880">
        <f>E2409/D2409*100</f>
        <v>99</v>
      </c>
      <c r="G2409" s="1717">
        <v>99</v>
      </c>
      <c r="H2409" s="535"/>
    </row>
    <row r="2410" spans="2:8" ht="14.25" hidden="1" customHeight="1" x14ac:dyDescent="0.25">
      <c r="B2410" s="2913"/>
      <c r="C2410" s="3940" t="s">
        <v>1920</v>
      </c>
      <c r="D2410" s="4113">
        <v>1817960000</v>
      </c>
      <c r="E2410" s="666">
        <v>1817912000</v>
      </c>
      <c r="F2410" s="880">
        <f>E2410/D2410*100</f>
        <v>99.997359677880709</v>
      </c>
      <c r="G2410" s="1717">
        <v>99.997359677880709</v>
      </c>
      <c r="H2410" s="535"/>
    </row>
    <row r="2411" spans="2:8" ht="18" hidden="1" customHeight="1" x14ac:dyDescent="0.25">
      <c r="B2411" s="2913"/>
      <c r="C2411" s="3940" t="s">
        <v>1919</v>
      </c>
      <c r="D2411" s="4113">
        <v>100000000</v>
      </c>
      <c r="E2411" s="666">
        <v>100000000</v>
      </c>
      <c r="F2411" s="880">
        <f>E2411/D2411*100</f>
        <v>100</v>
      </c>
      <c r="G2411" s="1717">
        <v>100</v>
      </c>
      <c r="H2411" s="535"/>
    </row>
    <row r="2412" spans="2:8" ht="12" hidden="1" customHeight="1" x14ac:dyDescent="0.25">
      <c r="B2412" s="2913"/>
      <c r="C2412" s="4025"/>
      <c r="D2412" s="4113"/>
      <c r="E2412" s="894"/>
      <c r="F2412" s="2415"/>
      <c r="G2412" s="1315"/>
      <c r="H2412" s="535"/>
    </row>
    <row r="2413" spans="2:8" ht="15.75" hidden="1" customHeight="1" x14ac:dyDescent="0.25">
      <c r="B2413" s="2913"/>
      <c r="C2413" s="3941" t="s">
        <v>292</v>
      </c>
      <c r="D2413" s="4115">
        <f>SUM(D2414)</f>
        <v>100000000</v>
      </c>
      <c r="E2413" s="4115">
        <f>SUM(E2414)</f>
        <v>97157040</v>
      </c>
      <c r="F2413" s="2410">
        <f>E2413/D2413*100</f>
        <v>97.157039999999995</v>
      </c>
      <c r="G2413" s="2261">
        <v>97.157039999999995</v>
      </c>
      <c r="H2413" s="535"/>
    </row>
    <row r="2414" spans="2:8" ht="15.75" hidden="1" customHeight="1" x14ac:dyDescent="0.25">
      <c r="B2414" s="2913"/>
      <c r="C2414" s="3940" t="s">
        <v>1923</v>
      </c>
      <c r="D2414" s="4113">
        <v>100000000</v>
      </c>
      <c r="E2414" s="666">
        <v>97157040</v>
      </c>
      <c r="F2414" s="880">
        <f>E2414/D2414*100</f>
        <v>97.157039999999995</v>
      </c>
      <c r="G2414" s="1717">
        <v>97.157039999999995</v>
      </c>
      <c r="H2414" s="535"/>
    </row>
    <row r="2415" spans="2:8" ht="12" hidden="1" customHeight="1" x14ac:dyDescent="0.25">
      <c r="B2415" s="2913"/>
      <c r="C2415" s="4025"/>
      <c r="D2415" s="4113"/>
      <c r="E2415" s="894"/>
      <c r="F2415" s="2415"/>
      <c r="G2415" s="1315"/>
      <c r="H2415" s="535"/>
    </row>
    <row r="2416" spans="2:8" ht="18" hidden="1" customHeight="1" x14ac:dyDescent="0.25">
      <c r="B2416" s="2913"/>
      <c r="C2416" s="3941" t="s">
        <v>1909</v>
      </c>
      <c r="D2416" s="4115">
        <f>SUM(D2417:D2418)</f>
        <v>200000000</v>
      </c>
      <c r="E2416" s="4115">
        <f>SUM(E2417:E2418)</f>
        <v>199020000</v>
      </c>
      <c r="F2416" s="2410">
        <f>E2416/D2416*100</f>
        <v>99.51</v>
      </c>
      <c r="G2416" s="966">
        <f>SUM(G2417:G2418)/2</f>
        <v>99.509999999999991</v>
      </c>
      <c r="H2416" s="535"/>
    </row>
    <row r="2417" spans="2:8" ht="16.5" hidden="1" customHeight="1" x14ac:dyDescent="0.25">
      <c r="B2417" s="2913"/>
      <c r="C2417" s="3940" t="s">
        <v>1925</v>
      </c>
      <c r="D2417" s="4113">
        <v>100000000</v>
      </c>
      <c r="E2417" s="3768">
        <v>99025000</v>
      </c>
      <c r="F2417" s="880">
        <f>E2417/D2417*100</f>
        <v>99.024999999999991</v>
      </c>
      <c r="G2417" s="3770">
        <v>99.024999999999991</v>
      </c>
      <c r="H2417" s="535"/>
    </row>
    <row r="2418" spans="2:8" ht="17.25" hidden="1" customHeight="1" x14ac:dyDescent="0.25">
      <c r="B2418" s="2913"/>
      <c r="C2418" s="3940" t="s">
        <v>1924</v>
      </c>
      <c r="D2418" s="4113">
        <v>100000000</v>
      </c>
      <c r="E2418" s="3768">
        <v>99995000</v>
      </c>
      <c r="F2418" s="880">
        <f>E2418/D2418*100</f>
        <v>99.995000000000005</v>
      </c>
      <c r="G2418" s="3770">
        <v>99.995000000000005</v>
      </c>
      <c r="H2418" s="535"/>
    </row>
    <row r="2419" spans="2:8" ht="12" hidden="1" customHeight="1" x14ac:dyDescent="0.25">
      <c r="B2419" s="2913"/>
      <c r="C2419" s="4026"/>
      <c r="D2419" s="1038"/>
      <c r="E2419" s="969"/>
      <c r="F2419" s="2416"/>
      <c r="G2419" s="2279"/>
      <c r="H2419" s="535"/>
    </row>
    <row r="2420" spans="2:8" ht="15" hidden="1" customHeight="1" x14ac:dyDescent="0.25">
      <c r="B2420" s="5397"/>
      <c r="C2420" s="4027" t="s">
        <v>358</v>
      </c>
      <c r="D2420" s="1462">
        <f>SUM(D2421+D2424)</f>
        <v>7650000000</v>
      </c>
      <c r="E2420" s="1462">
        <f>SUM(E2421+E2424)</f>
        <v>7648830000</v>
      </c>
      <c r="F2420" s="2417">
        <f>E2420/D2420*100</f>
        <v>99.984705882352941</v>
      </c>
      <c r="G2420" s="2356">
        <v>99.984705882352941</v>
      </c>
      <c r="H2420" s="535"/>
    </row>
    <row r="2421" spans="2:8" ht="18.75" hidden="1" customHeight="1" x14ac:dyDescent="0.25">
      <c r="B2421" s="2913"/>
      <c r="C2421" s="3942" t="s">
        <v>3647</v>
      </c>
      <c r="D2421" s="4114">
        <f>SUM(D2422)</f>
        <v>7000000000</v>
      </c>
      <c r="E2421" s="4114">
        <f>SUM(E2422)</f>
        <v>7000000000</v>
      </c>
      <c r="F2421" s="2410">
        <f>E2421/D2421*100</f>
        <v>100</v>
      </c>
      <c r="G2421" s="2261">
        <v>100</v>
      </c>
      <c r="H2421" s="535"/>
    </row>
    <row r="2422" spans="2:8" ht="28.5" hidden="1" customHeight="1" x14ac:dyDescent="0.25">
      <c r="B2422" s="2913"/>
      <c r="C2422" s="3940" t="s">
        <v>3648</v>
      </c>
      <c r="D2422" s="4113">
        <v>7000000000</v>
      </c>
      <c r="E2422" s="666">
        <v>7000000000</v>
      </c>
      <c r="F2422" s="880">
        <f>E2422/D2422*100</f>
        <v>100</v>
      </c>
      <c r="G2422" s="1717">
        <v>100</v>
      </c>
      <c r="H2422" s="535"/>
    </row>
    <row r="2423" spans="2:8" ht="12" hidden="1" customHeight="1" x14ac:dyDescent="0.25">
      <c r="B2423" s="2913"/>
      <c r="C2423" s="3940"/>
      <c r="D2423" s="4113"/>
      <c r="E2423" s="894"/>
      <c r="F2423" s="2415"/>
      <c r="G2423" s="1315"/>
      <c r="H2423" s="535"/>
    </row>
    <row r="2424" spans="2:8" ht="15.75" hidden="1" customHeight="1" x14ac:dyDescent="0.25">
      <c r="B2424" s="2913"/>
      <c r="C2424" s="3942" t="s">
        <v>3649</v>
      </c>
      <c r="D2424" s="4114">
        <f>SUM(D2425:D2426)</f>
        <v>650000000</v>
      </c>
      <c r="E2424" s="4114">
        <f>SUM(E2425:E2426)</f>
        <v>648830000</v>
      </c>
      <c r="F2424" s="2410">
        <f>E2424/D2424*100</f>
        <v>99.82</v>
      </c>
      <c r="G2424" s="2261">
        <v>99.82</v>
      </c>
      <c r="H2424" s="535"/>
    </row>
    <row r="2425" spans="2:8" ht="15.75" hidden="1" customHeight="1" x14ac:dyDescent="0.25">
      <c r="B2425" s="2913"/>
      <c r="C2425" s="3940" t="s">
        <v>3650</v>
      </c>
      <c r="D2425" s="4113">
        <v>150000000</v>
      </c>
      <c r="E2425" s="666">
        <v>149650000</v>
      </c>
      <c r="F2425" s="880">
        <f>E2425/D2425*100</f>
        <v>99.766666666666666</v>
      </c>
      <c r="G2425" s="1717">
        <v>99.766666666666666</v>
      </c>
      <c r="H2425" s="535"/>
    </row>
    <row r="2426" spans="2:8" ht="14.25" hidden="1" customHeight="1" x14ac:dyDescent="0.25">
      <c r="B2426" s="2913"/>
      <c r="C2426" s="3940" t="s">
        <v>3651</v>
      </c>
      <c r="D2426" s="4113">
        <v>500000000</v>
      </c>
      <c r="E2426" s="666">
        <v>499180000</v>
      </c>
      <c r="F2426" s="880">
        <f>E2426/D2426*100</f>
        <v>99.835999999999999</v>
      </c>
      <c r="G2426" s="1717">
        <v>99.835999999999999</v>
      </c>
      <c r="H2426" s="535"/>
    </row>
    <row r="2427" spans="2:8" ht="12" hidden="1" customHeight="1" x14ac:dyDescent="0.25">
      <c r="B2427" s="5402"/>
      <c r="C2427" s="4028"/>
      <c r="D2427" s="1029"/>
      <c r="E2427" s="969"/>
      <c r="F2427" s="2416"/>
      <c r="G2427" s="2279"/>
      <c r="H2427" s="535"/>
    </row>
    <row r="2428" spans="2:8" ht="15.75" hidden="1" customHeight="1" x14ac:dyDescent="0.25">
      <c r="B2428" s="5397"/>
      <c r="C2428" s="4027" t="s">
        <v>2395</v>
      </c>
      <c r="D2428" s="1039">
        <f>SUM(D2429+D2441)</f>
        <v>34676170300</v>
      </c>
      <c r="E2428" s="1039">
        <f>SUM(E2429+E2441)</f>
        <v>33985458620</v>
      </c>
      <c r="F2428" s="2417">
        <f t="shared" ref="F2428:F2439" si="60">E2428/D2428*100</f>
        <v>98.008108525179324</v>
      </c>
      <c r="G2428" s="2356">
        <v>98.008108525179324</v>
      </c>
      <c r="H2428" s="535"/>
    </row>
    <row r="2429" spans="2:8" ht="15.75" hidden="1" customHeight="1" x14ac:dyDescent="0.25">
      <c r="B2429" s="5405"/>
      <c r="C2429" s="3942" t="s">
        <v>359</v>
      </c>
      <c r="D2429" s="4114">
        <f>SUM(D2430:D2439)</f>
        <v>19292287300</v>
      </c>
      <c r="E2429" s="1023">
        <f>SUM(E2430:E2439)</f>
        <v>18899575620</v>
      </c>
      <c r="F2429" s="2410">
        <f t="shared" si="60"/>
        <v>97.964410990292478</v>
      </c>
      <c r="G2429" s="2410">
        <v>97.964410990292478</v>
      </c>
      <c r="H2429" s="535"/>
    </row>
    <row r="2430" spans="2:8" ht="16.5" hidden="1" customHeight="1" x14ac:dyDescent="0.25">
      <c r="B2430" s="5405"/>
      <c r="C2430" s="3940" t="s">
        <v>7332</v>
      </c>
      <c r="D2430" s="4113">
        <v>1300170000</v>
      </c>
      <c r="E2430" s="666">
        <v>1258170000</v>
      </c>
      <c r="F2430" s="880">
        <f t="shared" si="60"/>
        <v>96.769653199197023</v>
      </c>
      <c r="G2430" s="880">
        <v>96.769653199197023</v>
      </c>
      <c r="H2430" s="535"/>
    </row>
    <row r="2431" spans="2:8" ht="15" hidden="1" customHeight="1" x14ac:dyDescent="0.25">
      <c r="B2431" s="5405"/>
      <c r="C2431" s="3940" t="s">
        <v>4124</v>
      </c>
      <c r="D2431" s="4113">
        <v>2463739000</v>
      </c>
      <c r="E2431" s="666">
        <v>2342149000</v>
      </c>
      <c r="F2431" s="880">
        <f t="shared" si="60"/>
        <v>95.064818148350938</v>
      </c>
      <c r="G2431" s="880">
        <v>95.064818148350938</v>
      </c>
      <c r="H2431" s="535"/>
    </row>
    <row r="2432" spans="2:8" ht="14.25" hidden="1" customHeight="1" x14ac:dyDescent="0.25">
      <c r="B2432" s="5405"/>
      <c r="C2432" s="3940" t="s">
        <v>4125</v>
      </c>
      <c r="D2432" s="4113">
        <v>938505000</v>
      </c>
      <c r="E2432" s="666">
        <v>938505000</v>
      </c>
      <c r="F2432" s="880">
        <f t="shared" si="60"/>
        <v>100</v>
      </c>
      <c r="G2432" s="880">
        <v>100</v>
      </c>
      <c r="H2432" s="535"/>
    </row>
    <row r="2433" spans="2:8" ht="14.25" hidden="1" customHeight="1" x14ac:dyDescent="0.25">
      <c r="B2433" s="5405"/>
      <c r="C2433" s="3940" t="s">
        <v>4126</v>
      </c>
      <c r="D2433" s="4113">
        <v>1000000000</v>
      </c>
      <c r="E2433" s="666">
        <v>945755000</v>
      </c>
      <c r="F2433" s="880">
        <f t="shared" si="60"/>
        <v>94.575500000000005</v>
      </c>
      <c r="G2433" s="880">
        <v>94.575500000000005</v>
      </c>
      <c r="H2433" s="535"/>
    </row>
    <row r="2434" spans="2:8" ht="14.25" hidden="1" customHeight="1" x14ac:dyDescent="0.25">
      <c r="B2434" s="5405"/>
      <c r="C2434" s="3940" t="s">
        <v>4127</v>
      </c>
      <c r="D2434" s="4113">
        <v>2754415000</v>
      </c>
      <c r="E2434" s="666">
        <v>2751915000</v>
      </c>
      <c r="F2434" s="880">
        <f t="shared" si="60"/>
        <v>99.909236625562954</v>
      </c>
      <c r="G2434" s="880">
        <v>99.909236625562954</v>
      </c>
      <c r="H2434" s="535"/>
    </row>
    <row r="2435" spans="2:8" ht="16.5" hidden="1" customHeight="1" x14ac:dyDescent="0.25">
      <c r="B2435" s="5405"/>
      <c r="C2435" s="3940" t="s">
        <v>4128</v>
      </c>
      <c r="D2435" s="4113">
        <v>3227941000</v>
      </c>
      <c r="E2435" s="666">
        <v>3223441000</v>
      </c>
      <c r="F2435" s="880">
        <f t="shared" si="60"/>
        <v>99.860592247503902</v>
      </c>
      <c r="G2435" s="880">
        <v>99.860592247503902</v>
      </c>
      <c r="H2435" s="535"/>
    </row>
    <row r="2436" spans="2:8" ht="18" hidden="1" customHeight="1" x14ac:dyDescent="0.25">
      <c r="B2436" s="5405"/>
      <c r="C2436" s="3940" t="s">
        <v>4129</v>
      </c>
      <c r="D2436" s="4113">
        <v>1903255000</v>
      </c>
      <c r="E2436" s="666">
        <v>1903147000</v>
      </c>
      <c r="F2436" s="880">
        <f t="shared" si="60"/>
        <v>99.994325510769713</v>
      </c>
      <c r="G2436" s="880">
        <v>99.994325510769713</v>
      </c>
      <c r="H2436" s="535"/>
    </row>
    <row r="2437" spans="2:8" ht="14.25" hidden="1" customHeight="1" x14ac:dyDescent="0.25">
      <c r="B2437" s="5405"/>
      <c r="C2437" s="3940" t="s">
        <v>4130</v>
      </c>
      <c r="D2437" s="4113">
        <v>1500000000</v>
      </c>
      <c r="E2437" s="666">
        <v>1332920320</v>
      </c>
      <c r="F2437" s="880">
        <f t="shared" si="60"/>
        <v>88.861354666666671</v>
      </c>
      <c r="G2437" s="880">
        <v>88.861354666666671</v>
      </c>
      <c r="H2437" s="535"/>
    </row>
    <row r="2438" spans="2:8" ht="17.25" hidden="1" customHeight="1" x14ac:dyDescent="0.25">
      <c r="B2438" s="5405"/>
      <c r="C2438" s="3940" t="s">
        <v>4131</v>
      </c>
      <c r="D2438" s="4113">
        <v>2586826000</v>
      </c>
      <c r="E2438" s="666">
        <v>2586137000</v>
      </c>
      <c r="F2438" s="880">
        <f t="shared" si="60"/>
        <v>99.973365042720303</v>
      </c>
      <c r="G2438" s="880">
        <v>99.973365042720303</v>
      </c>
      <c r="H2438" s="535"/>
    </row>
    <row r="2439" spans="2:8" ht="14.25" hidden="1" customHeight="1" x14ac:dyDescent="0.25">
      <c r="B2439" s="5405"/>
      <c r="C2439" s="3940" t="s">
        <v>4132</v>
      </c>
      <c r="D2439" s="4113">
        <v>1617436300</v>
      </c>
      <c r="E2439" s="666">
        <v>1617436300</v>
      </c>
      <c r="F2439" s="880">
        <f t="shared" si="60"/>
        <v>100</v>
      </c>
      <c r="G2439" s="1717">
        <v>100</v>
      </c>
      <c r="H2439" s="535"/>
    </row>
    <row r="2440" spans="2:8" ht="12" hidden="1" customHeight="1" x14ac:dyDescent="0.25">
      <c r="B2440" s="5405"/>
      <c r="C2440" s="3942"/>
      <c r="D2440" s="4114"/>
      <c r="E2440" s="788"/>
      <c r="F2440" s="2416"/>
      <c r="G2440" s="2285"/>
      <c r="H2440" s="535"/>
    </row>
    <row r="2441" spans="2:8" ht="14.25" hidden="1" customHeight="1" x14ac:dyDescent="0.25">
      <c r="B2441" s="5405"/>
      <c r="C2441" s="3942" t="s">
        <v>1926</v>
      </c>
      <c r="D2441" s="4114">
        <f>SUM(D2442:D2517)</f>
        <v>15383883000</v>
      </c>
      <c r="E2441" s="4114">
        <f>SUM(E2442:E2517)</f>
        <v>15085883000</v>
      </c>
      <c r="F2441" s="3507">
        <f t="shared" ref="F2441:F2472" si="61">E2441/D2441*100</f>
        <v>98.062907784725098</v>
      </c>
      <c r="G2441" s="2261">
        <v>98.062907784725098</v>
      </c>
      <c r="H2441" s="535"/>
    </row>
    <row r="2442" spans="2:8" ht="15.75" hidden="1" customHeight="1" x14ac:dyDescent="0.25">
      <c r="B2442" s="5405"/>
      <c r="C2442" s="3940" t="s">
        <v>3652</v>
      </c>
      <c r="D2442" s="4113">
        <v>200000000</v>
      </c>
      <c r="E2442" s="666">
        <v>199880000</v>
      </c>
      <c r="F2442" s="880">
        <f t="shared" si="61"/>
        <v>99.94</v>
      </c>
      <c r="G2442" s="1717">
        <v>99.94</v>
      </c>
      <c r="H2442" s="535"/>
    </row>
    <row r="2443" spans="2:8" ht="12.75" hidden="1" customHeight="1" x14ac:dyDescent="0.25">
      <c r="B2443" s="5405"/>
      <c r="C2443" s="3940" t="s">
        <v>3653</v>
      </c>
      <c r="D2443" s="4113">
        <v>300000000</v>
      </c>
      <c r="E2443" s="666">
        <v>299685000</v>
      </c>
      <c r="F2443" s="880">
        <f t="shared" si="61"/>
        <v>99.894999999999996</v>
      </c>
      <c r="G2443" s="1717">
        <v>99.894999999999996</v>
      </c>
      <c r="H2443" s="535"/>
    </row>
    <row r="2444" spans="2:8" ht="15.75" hidden="1" customHeight="1" x14ac:dyDescent="0.25">
      <c r="B2444" s="5405"/>
      <c r="C2444" s="3940" t="s">
        <v>3654</v>
      </c>
      <c r="D2444" s="4113">
        <v>200000000</v>
      </c>
      <c r="E2444" s="666">
        <v>199880000</v>
      </c>
      <c r="F2444" s="880">
        <f t="shared" si="61"/>
        <v>99.94</v>
      </c>
      <c r="G2444" s="1717">
        <v>99.94</v>
      </c>
      <c r="H2444" s="535"/>
    </row>
    <row r="2445" spans="2:8" ht="14.25" hidden="1" customHeight="1" x14ac:dyDescent="0.25">
      <c r="B2445" s="5405"/>
      <c r="C2445" s="3940" t="s">
        <v>3655</v>
      </c>
      <c r="D2445" s="4113">
        <v>150000000</v>
      </c>
      <c r="E2445" s="666">
        <v>145431000</v>
      </c>
      <c r="F2445" s="880">
        <f t="shared" si="61"/>
        <v>96.953999999999994</v>
      </c>
      <c r="G2445" s="1717">
        <v>96.953999999999994</v>
      </c>
      <c r="H2445" s="535"/>
    </row>
    <row r="2446" spans="2:8" ht="15.75" hidden="1" customHeight="1" x14ac:dyDescent="0.25">
      <c r="B2446" s="5405"/>
      <c r="C2446" s="3940" t="s">
        <v>3656</v>
      </c>
      <c r="D2446" s="4113">
        <v>150000000</v>
      </c>
      <c r="E2446" s="666">
        <v>145442000</v>
      </c>
      <c r="F2446" s="880">
        <f t="shared" si="61"/>
        <v>96.961333333333329</v>
      </c>
      <c r="G2446" s="1717">
        <v>96.961333333333329</v>
      </c>
      <c r="H2446" s="535"/>
    </row>
    <row r="2447" spans="2:8" ht="15.75" hidden="1" customHeight="1" x14ac:dyDescent="0.25">
      <c r="B2447" s="5405"/>
      <c r="C2447" s="3940" t="s">
        <v>3657</v>
      </c>
      <c r="D2447" s="4113">
        <v>150000000</v>
      </c>
      <c r="E2447" s="666">
        <v>149891000</v>
      </c>
      <c r="F2447" s="880">
        <f t="shared" si="61"/>
        <v>99.927333333333337</v>
      </c>
      <c r="G2447" s="1717">
        <v>99.927333333333337</v>
      </c>
      <c r="H2447" s="535"/>
    </row>
    <row r="2448" spans="2:8" ht="16.5" hidden="1" customHeight="1" x14ac:dyDescent="0.25">
      <c r="B2448" s="5405"/>
      <c r="C2448" s="3940" t="s">
        <v>3658</v>
      </c>
      <c r="D2448" s="4113">
        <v>90000000</v>
      </c>
      <c r="E2448" s="666">
        <v>89903000</v>
      </c>
      <c r="F2448" s="880">
        <f t="shared" si="61"/>
        <v>99.89222222222223</v>
      </c>
      <c r="G2448" s="1717">
        <v>99.89222222222223</v>
      </c>
      <c r="H2448" s="535"/>
    </row>
    <row r="2449" spans="2:8" ht="16.5" hidden="1" customHeight="1" x14ac:dyDescent="0.25">
      <c r="B2449" s="5405"/>
      <c r="C2449" s="3940" t="s">
        <v>4315</v>
      </c>
      <c r="D2449" s="4113">
        <v>150000000</v>
      </c>
      <c r="E2449" s="666">
        <v>145420000</v>
      </c>
      <c r="F2449" s="880">
        <f t="shared" si="61"/>
        <v>96.946666666666673</v>
      </c>
      <c r="G2449" s="1717">
        <v>96.946666666666673</v>
      </c>
      <c r="H2449" s="535"/>
    </row>
    <row r="2450" spans="2:8" ht="16.5" hidden="1" customHeight="1" x14ac:dyDescent="0.25">
      <c r="B2450" s="5405"/>
      <c r="C2450" s="3940" t="s">
        <v>3659</v>
      </c>
      <c r="D2450" s="4113">
        <v>90000000</v>
      </c>
      <c r="E2450" s="666">
        <v>89792000</v>
      </c>
      <c r="F2450" s="880">
        <f t="shared" si="61"/>
        <v>99.768888888888881</v>
      </c>
      <c r="G2450" s="1717">
        <v>99.768888888888881</v>
      </c>
      <c r="H2450" s="535"/>
    </row>
    <row r="2451" spans="2:8" ht="16.5" hidden="1" customHeight="1" x14ac:dyDescent="0.25">
      <c r="B2451" s="5405"/>
      <c r="C2451" s="3940" t="s">
        <v>3660</v>
      </c>
      <c r="D2451" s="4113">
        <v>90000000</v>
      </c>
      <c r="E2451" s="666">
        <v>88693000</v>
      </c>
      <c r="F2451" s="880">
        <f t="shared" si="61"/>
        <v>98.547777777777782</v>
      </c>
      <c r="G2451" s="1717">
        <v>98.547777777777782</v>
      </c>
      <c r="H2451" s="535"/>
    </row>
    <row r="2452" spans="2:8" ht="15.75" hidden="1" customHeight="1" x14ac:dyDescent="0.25">
      <c r="B2452" s="5405"/>
      <c r="C2452" s="3940" t="s">
        <v>3661</v>
      </c>
      <c r="D2452" s="4113">
        <v>200000000</v>
      </c>
      <c r="E2452" s="666">
        <v>199905000</v>
      </c>
      <c r="F2452" s="880">
        <f t="shared" si="61"/>
        <v>99.952500000000001</v>
      </c>
      <c r="G2452" s="1717">
        <v>99.952500000000001</v>
      </c>
      <c r="H2452" s="535"/>
    </row>
    <row r="2453" spans="2:8" ht="15.75" hidden="1" customHeight="1" x14ac:dyDescent="0.25">
      <c r="B2453" s="5405"/>
      <c r="C2453" s="3940" t="s">
        <v>3662</v>
      </c>
      <c r="D2453" s="4113">
        <v>100000000</v>
      </c>
      <c r="E2453" s="666">
        <v>96906000</v>
      </c>
      <c r="F2453" s="880">
        <f t="shared" si="61"/>
        <v>96.906000000000006</v>
      </c>
      <c r="G2453" s="1717">
        <v>96.906000000000006</v>
      </c>
      <c r="H2453" s="535"/>
    </row>
    <row r="2454" spans="2:8" ht="17.25" hidden="1" customHeight="1" x14ac:dyDescent="0.25">
      <c r="B2454" s="5405"/>
      <c r="C2454" s="3940" t="s">
        <v>3663</v>
      </c>
      <c r="D2454" s="4113">
        <v>200000000</v>
      </c>
      <c r="E2454" s="666">
        <v>193948000</v>
      </c>
      <c r="F2454" s="880">
        <f t="shared" si="61"/>
        <v>96.974000000000004</v>
      </c>
      <c r="G2454" s="1717">
        <v>96.974000000000004</v>
      </c>
      <c r="H2454" s="535"/>
    </row>
    <row r="2455" spans="2:8" ht="16.5" hidden="1" customHeight="1" x14ac:dyDescent="0.25">
      <c r="B2455" s="5405"/>
      <c r="C2455" s="3940" t="s">
        <v>3664</v>
      </c>
      <c r="D2455" s="4113">
        <v>400000000</v>
      </c>
      <c r="E2455" s="666">
        <v>399682000</v>
      </c>
      <c r="F2455" s="880">
        <f t="shared" si="61"/>
        <v>99.920500000000004</v>
      </c>
      <c r="G2455" s="1717">
        <v>99.920500000000004</v>
      </c>
      <c r="H2455" s="535"/>
    </row>
    <row r="2456" spans="2:8" ht="16.5" hidden="1" customHeight="1" x14ac:dyDescent="0.25">
      <c r="B2456" s="5405"/>
      <c r="C2456" s="3940" t="s">
        <v>3665</v>
      </c>
      <c r="D2456" s="4113">
        <v>480000000</v>
      </c>
      <c r="E2456" s="666">
        <v>468881000</v>
      </c>
      <c r="F2456" s="880">
        <f t="shared" si="61"/>
        <v>97.683541666666656</v>
      </c>
      <c r="G2456" s="1717">
        <v>97.683541666666656</v>
      </c>
      <c r="H2456" s="535"/>
    </row>
    <row r="2457" spans="2:8" ht="16.5" hidden="1" customHeight="1" x14ac:dyDescent="0.25">
      <c r="B2457" s="5405"/>
      <c r="C2457" s="3940" t="s">
        <v>3666</v>
      </c>
      <c r="D2457" s="4113">
        <v>120000000</v>
      </c>
      <c r="E2457" s="666">
        <v>119912000</v>
      </c>
      <c r="F2457" s="880">
        <f t="shared" si="61"/>
        <v>99.926666666666662</v>
      </c>
      <c r="G2457" s="1717">
        <v>99.926666666666662</v>
      </c>
      <c r="H2457" s="535"/>
    </row>
    <row r="2458" spans="2:8" ht="14.25" hidden="1" customHeight="1" x14ac:dyDescent="0.25">
      <c r="B2458" s="5405"/>
      <c r="C2458" s="3940" t="s">
        <v>3667</v>
      </c>
      <c r="D2458" s="4113">
        <v>120000000</v>
      </c>
      <c r="E2458" s="666">
        <v>116315000</v>
      </c>
      <c r="F2458" s="880">
        <f t="shared" si="61"/>
        <v>96.92916666666666</v>
      </c>
      <c r="G2458" s="1717">
        <v>96.92916666666666</v>
      </c>
      <c r="H2458" s="535"/>
    </row>
    <row r="2459" spans="2:8" ht="17.25" hidden="1" customHeight="1" x14ac:dyDescent="0.25">
      <c r="B2459" s="5405"/>
      <c r="C2459" s="3940" t="s">
        <v>3668</v>
      </c>
      <c r="D2459" s="4113">
        <v>100000000</v>
      </c>
      <c r="E2459" s="666">
        <v>99860000</v>
      </c>
      <c r="F2459" s="880">
        <f t="shared" si="61"/>
        <v>99.86</v>
      </c>
      <c r="G2459" s="1717">
        <v>99.86</v>
      </c>
      <c r="H2459" s="535"/>
    </row>
    <row r="2460" spans="2:8" ht="17.25" hidden="1" customHeight="1" x14ac:dyDescent="0.25">
      <c r="B2460" s="5405"/>
      <c r="C2460" s="3940" t="s">
        <v>3669</v>
      </c>
      <c r="D2460" s="4113">
        <v>150000000</v>
      </c>
      <c r="E2460" s="666">
        <v>149809000</v>
      </c>
      <c r="F2460" s="880">
        <f t="shared" si="61"/>
        <v>99.87266666666666</v>
      </c>
      <c r="G2460" s="1717">
        <v>99.87266666666666</v>
      </c>
      <c r="H2460" s="535"/>
    </row>
    <row r="2461" spans="2:8" ht="15.75" hidden="1" customHeight="1" x14ac:dyDescent="0.25">
      <c r="B2461" s="5405"/>
      <c r="C2461" s="3940" t="s">
        <v>3673</v>
      </c>
      <c r="D2461" s="4113">
        <v>150000000</v>
      </c>
      <c r="E2461" s="666">
        <v>149794000</v>
      </c>
      <c r="F2461" s="880">
        <f t="shared" si="61"/>
        <v>99.862666666666669</v>
      </c>
      <c r="G2461" s="1717">
        <v>99.862666666666669</v>
      </c>
      <c r="H2461" s="535"/>
    </row>
    <row r="2462" spans="2:8" ht="17.25" hidden="1" customHeight="1" x14ac:dyDescent="0.25">
      <c r="B2462" s="5405"/>
      <c r="C2462" s="3940" t="s">
        <v>3670</v>
      </c>
      <c r="D2462" s="4113">
        <v>150000000</v>
      </c>
      <c r="E2462" s="666">
        <v>149825000</v>
      </c>
      <c r="F2462" s="880">
        <f t="shared" si="61"/>
        <v>99.88333333333334</v>
      </c>
      <c r="G2462" s="1717">
        <v>99.88333333333334</v>
      </c>
      <c r="H2462" s="535"/>
    </row>
    <row r="2463" spans="2:8" ht="15.75" hidden="1" customHeight="1" x14ac:dyDescent="0.25">
      <c r="B2463" s="5405"/>
      <c r="C2463" s="3940" t="s">
        <v>3671</v>
      </c>
      <c r="D2463" s="4113">
        <v>150000000</v>
      </c>
      <c r="E2463" s="666">
        <v>149645000</v>
      </c>
      <c r="F2463" s="880">
        <f t="shared" si="61"/>
        <v>99.763333333333335</v>
      </c>
      <c r="G2463" s="1717">
        <v>99.763333333333335</v>
      </c>
      <c r="H2463" s="535"/>
    </row>
    <row r="2464" spans="2:8" ht="15.75" hidden="1" customHeight="1" x14ac:dyDescent="0.25">
      <c r="B2464" s="5405"/>
      <c r="C2464" s="3940" t="s">
        <v>3672</v>
      </c>
      <c r="D2464" s="4113">
        <v>200000000</v>
      </c>
      <c r="E2464" s="666">
        <v>193918000</v>
      </c>
      <c r="F2464" s="880">
        <f t="shared" si="61"/>
        <v>96.958999999999989</v>
      </c>
      <c r="G2464" s="1717">
        <v>96.958999999999989</v>
      </c>
      <c r="H2464" s="535"/>
    </row>
    <row r="2465" spans="2:8" ht="14.25" hidden="1" customHeight="1" x14ac:dyDescent="0.25">
      <c r="B2465" s="5405"/>
      <c r="C2465" s="3940" t="s">
        <v>3674</v>
      </c>
      <c r="D2465" s="4113">
        <v>150000000</v>
      </c>
      <c r="E2465" s="666">
        <v>148290000</v>
      </c>
      <c r="F2465" s="880">
        <f t="shared" si="61"/>
        <v>98.86</v>
      </c>
      <c r="G2465" s="1717">
        <v>98.86</v>
      </c>
      <c r="H2465" s="535"/>
    </row>
    <row r="2466" spans="2:8" ht="15.75" hidden="1" customHeight="1" x14ac:dyDescent="0.25">
      <c r="B2466" s="5405"/>
      <c r="C2466" s="3940" t="s">
        <v>3675</v>
      </c>
      <c r="D2466" s="4113">
        <v>150000000</v>
      </c>
      <c r="E2466" s="666">
        <v>149860000</v>
      </c>
      <c r="F2466" s="880">
        <f t="shared" si="61"/>
        <v>99.906666666666666</v>
      </c>
      <c r="G2466" s="1717">
        <v>99.906666666666666</v>
      </c>
      <c r="H2466" s="535"/>
    </row>
    <row r="2467" spans="2:8" ht="17.25" hidden="1" customHeight="1" x14ac:dyDescent="0.25">
      <c r="B2467" s="5405"/>
      <c r="C2467" s="3940" t="s">
        <v>3676</v>
      </c>
      <c r="D2467" s="4113">
        <v>200000000</v>
      </c>
      <c r="E2467" s="666">
        <v>199891000</v>
      </c>
      <c r="F2467" s="880">
        <f t="shared" si="61"/>
        <v>99.945499999999996</v>
      </c>
      <c r="G2467" s="1717">
        <v>99.945499999999996</v>
      </c>
      <c r="H2467" s="535"/>
    </row>
    <row r="2468" spans="2:8" ht="15.75" hidden="1" customHeight="1" x14ac:dyDescent="0.25">
      <c r="B2468" s="5405"/>
      <c r="C2468" s="3940" t="s">
        <v>3677</v>
      </c>
      <c r="D2468" s="4113">
        <v>125000000</v>
      </c>
      <c r="E2468" s="666">
        <v>121197000</v>
      </c>
      <c r="F2468" s="880">
        <f t="shared" si="61"/>
        <v>96.957599999999999</v>
      </c>
      <c r="G2468" s="1717">
        <v>96.957599999999999</v>
      </c>
      <c r="H2468" s="535"/>
    </row>
    <row r="2469" spans="2:8" ht="15.75" hidden="1" customHeight="1" x14ac:dyDescent="0.25">
      <c r="B2469" s="5405"/>
      <c r="C2469" s="3940" t="s">
        <v>3678</v>
      </c>
      <c r="D2469" s="4113">
        <v>125000000</v>
      </c>
      <c r="E2469" s="666">
        <v>121186000</v>
      </c>
      <c r="F2469" s="880">
        <f t="shared" si="61"/>
        <v>96.948800000000006</v>
      </c>
      <c r="G2469" s="1717">
        <v>96.948800000000006</v>
      </c>
      <c r="H2469" s="535"/>
    </row>
    <row r="2470" spans="2:8" ht="15.75" hidden="1" customHeight="1" x14ac:dyDescent="0.25">
      <c r="B2470" s="5405"/>
      <c r="C2470" s="3940" t="s">
        <v>3679</v>
      </c>
      <c r="D2470" s="4113">
        <v>150000000</v>
      </c>
      <c r="E2470" s="666">
        <v>145301000</v>
      </c>
      <c r="F2470" s="880">
        <f t="shared" si="61"/>
        <v>96.867333333333335</v>
      </c>
      <c r="G2470" s="1717">
        <v>96.867333333333335</v>
      </c>
      <c r="H2470" s="535"/>
    </row>
    <row r="2471" spans="2:8" ht="17.25" hidden="1" customHeight="1" x14ac:dyDescent="0.25">
      <c r="B2471" s="5405"/>
      <c r="C2471" s="3940" t="s">
        <v>3680</v>
      </c>
      <c r="D2471" s="4113">
        <v>125000000</v>
      </c>
      <c r="E2471" s="666">
        <v>120925000</v>
      </c>
      <c r="F2471" s="880">
        <f t="shared" si="61"/>
        <v>96.740000000000009</v>
      </c>
      <c r="G2471" s="1717">
        <v>96.740000000000009</v>
      </c>
      <c r="H2471" s="535"/>
    </row>
    <row r="2472" spans="2:8" ht="16.5" hidden="1" customHeight="1" x14ac:dyDescent="0.25">
      <c r="B2472" s="5405"/>
      <c r="C2472" s="3940" t="s">
        <v>3681</v>
      </c>
      <c r="D2472" s="4113">
        <v>125000000</v>
      </c>
      <c r="E2472" s="666">
        <v>121179000</v>
      </c>
      <c r="F2472" s="880">
        <f t="shared" si="61"/>
        <v>96.94319999999999</v>
      </c>
      <c r="G2472" s="1717">
        <v>96.94319999999999</v>
      </c>
      <c r="H2472" s="535"/>
    </row>
    <row r="2473" spans="2:8" ht="16.5" hidden="1" customHeight="1" x14ac:dyDescent="0.25">
      <c r="B2473" s="5405"/>
      <c r="C2473" s="3940" t="s">
        <v>3682</v>
      </c>
      <c r="D2473" s="4113">
        <v>150000000</v>
      </c>
      <c r="E2473" s="666">
        <v>149796000</v>
      </c>
      <c r="F2473" s="880">
        <f t="shared" ref="F2473:F2504" si="62">E2473/D2473*100</f>
        <v>99.864000000000004</v>
      </c>
      <c r="G2473" s="1717">
        <v>99.864000000000004</v>
      </c>
      <c r="H2473" s="535"/>
    </row>
    <row r="2474" spans="2:8" ht="15.75" hidden="1" customHeight="1" x14ac:dyDescent="0.25">
      <c r="B2474" s="5405"/>
      <c r="C2474" s="3940" t="s">
        <v>3683</v>
      </c>
      <c r="D2474" s="4113">
        <v>100000000</v>
      </c>
      <c r="E2474" s="666">
        <v>99782000</v>
      </c>
      <c r="F2474" s="880">
        <f t="shared" si="62"/>
        <v>99.782000000000011</v>
      </c>
      <c r="G2474" s="1717">
        <v>99.782000000000011</v>
      </c>
      <c r="H2474" s="535"/>
    </row>
    <row r="2475" spans="2:8" ht="14.25" hidden="1" customHeight="1" x14ac:dyDescent="0.25">
      <c r="B2475" s="5405"/>
      <c r="C2475" s="3940" t="s">
        <v>3684</v>
      </c>
      <c r="D2475" s="4113">
        <v>100000000</v>
      </c>
      <c r="E2475" s="666">
        <v>90569000</v>
      </c>
      <c r="F2475" s="880">
        <f t="shared" si="62"/>
        <v>90.569000000000003</v>
      </c>
      <c r="G2475" s="1717">
        <v>90.569000000000003</v>
      </c>
      <c r="H2475" s="535"/>
    </row>
    <row r="2476" spans="2:8" ht="14.25" hidden="1" customHeight="1" x14ac:dyDescent="0.25">
      <c r="B2476" s="5405"/>
      <c r="C2476" s="3940" t="s">
        <v>3685</v>
      </c>
      <c r="D2476" s="4113">
        <v>100000000</v>
      </c>
      <c r="E2476" s="666">
        <v>96921000</v>
      </c>
      <c r="F2476" s="880">
        <f t="shared" si="62"/>
        <v>96.921000000000006</v>
      </c>
      <c r="G2476" s="1717">
        <v>96.921000000000006</v>
      </c>
      <c r="H2476" s="535"/>
    </row>
    <row r="2477" spans="2:8" ht="14.25" hidden="1" customHeight="1" x14ac:dyDescent="0.25">
      <c r="B2477" s="5405"/>
      <c r="C2477" s="3940" t="s">
        <v>3686</v>
      </c>
      <c r="D2477" s="4113">
        <v>100000000</v>
      </c>
      <c r="E2477" s="666">
        <v>96919000</v>
      </c>
      <c r="F2477" s="880">
        <f t="shared" si="62"/>
        <v>96.918999999999997</v>
      </c>
      <c r="G2477" s="1717">
        <v>96.918999999999997</v>
      </c>
      <c r="H2477" s="535"/>
    </row>
    <row r="2478" spans="2:8" ht="17.25" hidden="1" customHeight="1" x14ac:dyDescent="0.25">
      <c r="B2478" s="5405"/>
      <c r="C2478" s="3940" t="s">
        <v>3687</v>
      </c>
      <c r="D2478" s="4113">
        <v>100000000</v>
      </c>
      <c r="E2478" s="666">
        <v>99835000</v>
      </c>
      <c r="F2478" s="880">
        <f t="shared" si="62"/>
        <v>99.834999999999994</v>
      </c>
      <c r="G2478" s="1717">
        <v>99.834999999999994</v>
      </c>
      <c r="H2478" s="535"/>
    </row>
    <row r="2479" spans="2:8" ht="13.5" hidden="1" customHeight="1" x14ac:dyDescent="0.25">
      <c r="B2479" s="5405"/>
      <c r="C2479" s="3940" t="s">
        <v>3689</v>
      </c>
      <c r="D2479" s="4113">
        <v>100000000</v>
      </c>
      <c r="E2479" s="666">
        <v>99836000</v>
      </c>
      <c r="F2479" s="880">
        <f t="shared" si="62"/>
        <v>99.835999999999999</v>
      </c>
      <c r="G2479" s="1717">
        <v>99.835999999999999</v>
      </c>
      <c r="H2479" s="535"/>
    </row>
    <row r="2480" spans="2:8" ht="13.5" hidden="1" customHeight="1" x14ac:dyDescent="0.25">
      <c r="B2480" s="5405"/>
      <c r="C2480" s="3940" t="s">
        <v>3688</v>
      </c>
      <c r="D2480" s="4113">
        <v>100000000</v>
      </c>
      <c r="E2480" s="666">
        <v>96945000</v>
      </c>
      <c r="F2480" s="880">
        <f t="shared" si="62"/>
        <v>96.945000000000007</v>
      </c>
      <c r="G2480" s="1717">
        <v>96.945000000000007</v>
      </c>
      <c r="H2480" s="535"/>
    </row>
    <row r="2481" spans="2:8" ht="16.5" hidden="1" customHeight="1" x14ac:dyDescent="0.25">
      <c r="B2481" s="5405"/>
      <c r="C2481" s="3940" t="s">
        <v>3690</v>
      </c>
      <c r="D2481" s="4113">
        <v>100000000</v>
      </c>
      <c r="E2481" s="666">
        <v>96934000</v>
      </c>
      <c r="F2481" s="880">
        <f t="shared" si="62"/>
        <v>96.933999999999997</v>
      </c>
      <c r="G2481" s="1717">
        <v>96.933999999999997</v>
      </c>
      <c r="H2481" s="535"/>
    </row>
    <row r="2482" spans="2:8" ht="15.75" hidden="1" customHeight="1" x14ac:dyDescent="0.25">
      <c r="B2482" s="5405"/>
      <c r="C2482" s="3940" t="s">
        <v>3691</v>
      </c>
      <c r="D2482" s="4113">
        <v>200000000</v>
      </c>
      <c r="E2482" s="666">
        <v>199891000</v>
      </c>
      <c r="F2482" s="880">
        <f t="shared" si="62"/>
        <v>99.945499999999996</v>
      </c>
      <c r="G2482" s="1717">
        <v>99.945499999999996</v>
      </c>
      <c r="H2482" s="535"/>
    </row>
    <row r="2483" spans="2:8" ht="15.75" hidden="1" customHeight="1" x14ac:dyDescent="0.25">
      <c r="B2483" s="5405"/>
      <c r="C2483" s="3940" t="s">
        <v>3692</v>
      </c>
      <c r="D2483" s="4113">
        <v>150000000</v>
      </c>
      <c r="E2483" s="666">
        <v>145301000</v>
      </c>
      <c r="F2483" s="880">
        <f t="shared" si="62"/>
        <v>96.867333333333335</v>
      </c>
      <c r="G2483" s="1717">
        <v>96.867333333333335</v>
      </c>
      <c r="H2483" s="535"/>
    </row>
    <row r="2484" spans="2:8" ht="18" hidden="1" customHeight="1" x14ac:dyDescent="0.25">
      <c r="B2484" s="5405"/>
      <c r="C2484" s="3940" t="s">
        <v>3693</v>
      </c>
      <c r="D2484" s="4113">
        <v>150000000</v>
      </c>
      <c r="E2484" s="666">
        <v>145387000</v>
      </c>
      <c r="F2484" s="880">
        <f t="shared" si="62"/>
        <v>96.924666666666667</v>
      </c>
      <c r="G2484" s="1717">
        <v>96.924666666666667</v>
      </c>
      <c r="H2484" s="535"/>
    </row>
    <row r="2485" spans="2:8" ht="12.75" hidden="1" customHeight="1" x14ac:dyDescent="0.25">
      <c r="B2485" s="5405"/>
      <c r="C2485" s="3940" t="s">
        <v>3694</v>
      </c>
      <c r="D2485" s="4113">
        <v>500000000</v>
      </c>
      <c r="E2485" s="666">
        <v>479729000</v>
      </c>
      <c r="F2485" s="880">
        <f t="shared" si="62"/>
        <v>95.945800000000006</v>
      </c>
      <c r="G2485" s="1717">
        <v>95.945800000000006</v>
      </c>
      <c r="H2485" s="535"/>
    </row>
    <row r="2486" spans="2:8" ht="16.5" hidden="1" customHeight="1" x14ac:dyDescent="0.25">
      <c r="B2486" s="5405"/>
      <c r="C2486" s="3940" t="s">
        <v>3695</v>
      </c>
      <c r="D2486" s="4113">
        <v>500000000</v>
      </c>
      <c r="E2486" s="1855">
        <v>499460000</v>
      </c>
      <c r="F2486" s="880">
        <f t="shared" si="62"/>
        <v>99.891999999999996</v>
      </c>
      <c r="G2486" s="1717">
        <v>99.891999999999996</v>
      </c>
      <c r="H2486" s="535"/>
    </row>
    <row r="2487" spans="2:8" ht="16.5" hidden="1" customHeight="1" x14ac:dyDescent="0.25">
      <c r="B2487" s="5405"/>
      <c r="C2487" s="3940" t="s">
        <v>3696</v>
      </c>
      <c r="D2487" s="4113">
        <v>500000000</v>
      </c>
      <c r="E2487" s="666">
        <v>499712000</v>
      </c>
      <c r="F2487" s="880">
        <f t="shared" si="62"/>
        <v>99.942399999999992</v>
      </c>
      <c r="G2487" s="1717">
        <v>99.942399999999992</v>
      </c>
      <c r="H2487" s="535"/>
    </row>
    <row r="2488" spans="2:8" ht="17.25" hidden="1" customHeight="1" x14ac:dyDescent="0.25">
      <c r="B2488" s="5405"/>
      <c r="C2488" s="3940" t="s">
        <v>3697</v>
      </c>
      <c r="D2488" s="4113">
        <v>200000000</v>
      </c>
      <c r="E2488" s="3768">
        <v>189980000</v>
      </c>
      <c r="F2488" s="880">
        <f t="shared" si="62"/>
        <v>94.99</v>
      </c>
      <c r="G2488" s="1717">
        <v>94.99</v>
      </c>
      <c r="H2488" s="535"/>
    </row>
    <row r="2489" spans="2:8" ht="15.75" hidden="1" customHeight="1" x14ac:dyDescent="0.25">
      <c r="B2489" s="5405"/>
      <c r="C2489" s="3940" t="s">
        <v>3698</v>
      </c>
      <c r="D2489" s="4113">
        <v>500000000</v>
      </c>
      <c r="E2489" s="666">
        <v>499448000</v>
      </c>
      <c r="F2489" s="880">
        <f t="shared" si="62"/>
        <v>99.889600000000002</v>
      </c>
      <c r="G2489" s="1717">
        <v>99.889600000000002</v>
      </c>
      <c r="H2489" s="535"/>
    </row>
    <row r="2490" spans="2:8" ht="14.25" hidden="1" customHeight="1" x14ac:dyDescent="0.25">
      <c r="B2490" s="5405"/>
      <c r="C2490" s="3940" t="s">
        <v>3699</v>
      </c>
      <c r="D2490" s="4113">
        <v>100000000</v>
      </c>
      <c r="E2490" s="3879">
        <v>96912000</v>
      </c>
      <c r="F2490" s="880">
        <f t="shared" si="62"/>
        <v>96.911999999999992</v>
      </c>
      <c r="G2490" s="1717">
        <v>96.911999999999992</v>
      </c>
      <c r="H2490" s="535"/>
    </row>
    <row r="2491" spans="2:8" ht="15.75" hidden="1" customHeight="1" x14ac:dyDescent="0.25">
      <c r="B2491" s="5405"/>
      <c r="C2491" s="3940" t="s">
        <v>3700</v>
      </c>
      <c r="D2491" s="4113">
        <v>200000000</v>
      </c>
      <c r="E2491" s="666">
        <v>193839000</v>
      </c>
      <c r="F2491" s="880">
        <f t="shared" si="62"/>
        <v>96.919499999999999</v>
      </c>
      <c r="G2491" s="1717">
        <v>96.919499999999999</v>
      </c>
      <c r="H2491" s="535"/>
    </row>
    <row r="2492" spans="2:8" ht="15.75" hidden="1" customHeight="1" x14ac:dyDescent="0.25">
      <c r="B2492" s="5405"/>
      <c r="C2492" s="3940" t="s">
        <v>3701</v>
      </c>
      <c r="D2492" s="4113">
        <v>150000000</v>
      </c>
      <c r="E2492" s="666">
        <v>149740000</v>
      </c>
      <c r="F2492" s="880">
        <f t="shared" si="62"/>
        <v>99.826666666666668</v>
      </c>
      <c r="G2492" s="1717">
        <v>99.826666666666668</v>
      </c>
      <c r="H2492" s="535"/>
    </row>
    <row r="2493" spans="2:8" ht="14.25" hidden="1" customHeight="1" x14ac:dyDescent="0.25">
      <c r="B2493" s="5405"/>
      <c r="C2493" s="3940" t="s">
        <v>3702</v>
      </c>
      <c r="D2493" s="4113">
        <v>100000000</v>
      </c>
      <c r="E2493" s="666">
        <v>36653000</v>
      </c>
      <c r="F2493" s="880">
        <f t="shared" si="62"/>
        <v>36.653000000000006</v>
      </c>
      <c r="G2493" s="1717">
        <v>36.653000000000006</v>
      </c>
      <c r="H2493" s="535"/>
    </row>
    <row r="2494" spans="2:8" ht="19.5" hidden="1" customHeight="1" x14ac:dyDescent="0.25">
      <c r="B2494" s="5405"/>
      <c r="C2494" s="3940" t="s">
        <v>3703</v>
      </c>
      <c r="D2494" s="4113">
        <v>100000000</v>
      </c>
      <c r="E2494" s="666">
        <v>96917000</v>
      </c>
      <c r="F2494" s="880">
        <f t="shared" si="62"/>
        <v>96.917000000000002</v>
      </c>
      <c r="G2494" s="1717">
        <v>96.917000000000002</v>
      </c>
      <c r="H2494" s="535"/>
    </row>
    <row r="2495" spans="2:8" ht="14.25" hidden="1" customHeight="1" x14ac:dyDescent="0.25">
      <c r="B2495" s="5405"/>
      <c r="C2495" s="3940" t="s">
        <v>3704</v>
      </c>
      <c r="D2495" s="4113">
        <v>100000000</v>
      </c>
      <c r="E2495" s="666">
        <v>96921000</v>
      </c>
      <c r="F2495" s="880">
        <f t="shared" si="62"/>
        <v>96.921000000000006</v>
      </c>
      <c r="G2495" s="1717">
        <v>96.921000000000006</v>
      </c>
      <c r="H2495" s="535"/>
    </row>
    <row r="2496" spans="2:8" ht="18.75" hidden="1" customHeight="1" x14ac:dyDescent="0.25">
      <c r="B2496" s="5405"/>
      <c r="C2496" s="3940" t="s">
        <v>3705</v>
      </c>
      <c r="D2496" s="4113">
        <v>100000000</v>
      </c>
      <c r="E2496" s="666">
        <v>98906000</v>
      </c>
      <c r="F2496" s="880">
        <f t="shared" si="62"/>
        <v>98.906000000000006</v>
      </c>
      <c r="G2496" s="1717">
        <v>98.906000000000006</v>
      </c>
      <c r="H2496" s="535"/>
    </row>
    <row r="2497" spans="2:8" ht="17.25" hidden="1" customHeight="1" x14ac:dyDescent="0.25">
      <c r="B2497" s="5405"/>
      <c r="C2497" s="3940" t="s">
        <v>3706</v>
      </c>
      <c r="D2497" s="4113">
        <v>150000000</v>
      </c>
      <c r="E2497" s="666">
        <v>149862000</v>
      </c>
      <c r="F2497" s="880">
        <f t="shared" si="62"/>
        <v>99.908000000000001</v>
      </c>
      <c r="G2497" s="1717">
        <v>99.908000000000001</v>
      </c>
      <c r="H2497" s="535"/>
    </row>
    <row r="2498" spans="2:8" ht="15.75" hidden="1" customHeight="1" x14ac:dyDescent="0.25">
      <c r="B2498" s="5405"/>
      <c r="C2498" s="3940" t="s">
        <v>3707</v>
      </c>
      <c r="D2498" s="4113">
        <v>100000000</v>
      </c>
      <c r="E2498" s="666">
        <v>96936000</v>
      </c>
      <c r="F2498" s="880">
        <f t="shared" si="62"/>
        <v>96.936000000000007</v>
      </c>
      <c r="G2498" s="1717">
        <v>96.936000000000007</v>
      </c>
      <c r="H2498" s="535"/>
    </row>
    <row r="2499" spans="2:8" ht="17.25" hidden="1" customHeight="1" x14ac:dyDescent="0.25">
      <c r="B2499" s="5405"/>
      <c r="C2499" s="3940" t="s">
        <v>3708</v>
      </c>
      <c r="D2499" s="4113">
        <v>200000000</v>
      </c>
      <c r="E2499" s="666">
        <v>193885000</v>
      </c>
      <c r="F2499" s="880">
        <f t="shared" si="62"/>
        <v>96.942499999999995</v>
      </c>
      <c r="G2499" s="1717">
        <v>96.942499999999995</v>
      </c>
      <c r="H2499" s="535"/>
    </row>
    <row r="2500" spans="2:8" ht="16.5" hidden="1" customHeight="1" x14ac:dyDescent="0.25">
      <c r="B2500" s="5405"/>
      <c r="C2500" s="3940" t="s">
        <v>3709</v>
      </c>
      <c r="D2500" s="4113">
        <v>150000000</v>
      </c>
      <c r="E2500" s="666">
        <v>145370000</v>
      </c>
      <c r="F2500" s="880">
        <f t="shared" si="62"/>
        <v>96.913333333333327</v>
      </c>
      <c r="G2500" s="1717">
        <v>96.913333333333327</v>
      </c>
      <c r="H2500" s="535"/>
    </row>
    <row r="2501" spans="2:8" ht="15" hidden="1" customHeight="1" x14ac:dyDescent="0.25">
      <c r="B2501" s="5405"/>
      <c r="C2501" s="3940" t="s">
        <v>3710</v>
      </c>
      <c r="D2501" s="4113">
        <v>150000000</v>
      </c>
      <c r="E2501" s="1024">
        <v>145265000</v>
      </c>
      <c r="F2501" s="880">
        <f t="shared" si="62"/>
        <v>96.843333333333334</v>
      </c>
      <c r="G2501" s="1717">
        <v>96.843333333333334</v>
      </c>
      <c r="H2501" s="535"/>
    </row>
    <row r="2502" spans="2:8" ht="16.5" hidden="1" customHeight="1" x14ac:dyDescent="0.25">
      <c r="B2502" s="5405"/>
      <c r="C2502" s="3940" t="s">
        <v>3711</v>
      </c>
      <c r="D2502" s="4113">
        <v>150000000</v>
      </c>
      <c r="E2502" s="1024">
        <v>145420000</v>
      </c>
      <c r="F2502" s="880">
        <f t="shared" si="62"/>
        <v>96.946666666666673</v>
      </c>
      <c r="G2502" s="1717">
        <v>96.946666666666673</v>
      </c>
      <c r="H2502" s="535"/>
    </row>
    <row r="2503" spans="2:8" ht="18.75" hidden="1" customHeight="1" x14ac:dyDescent="0.25">
      <c r="B2503" s="5405"/>
      <c r="C2503" s="3940" t="s">
        <v>3712</v>
      </c>
      <c r="D2503" s="4113">
        <v>250000000</v>
      </c>
      <c r="E2503" s="666">
        <v>249633000</v>
      </c>
      <c r="F2503" s="880">
        <f t="shared" si="62"/>
        <v>99.853200000000001</v>
      </c>
      <c r="G2503" s="1717">
        <v>99.853200000000001</v>
      </c>
      <c r="H2503" s="3330"/>
    </row>
    <row r="2504" spans="2:8" ht="16.5" hidden="1" customHeight="1" x14ac:dyDescent="0.25">
      <c r="B2504" s="5405"/>
      <c r="C2504" s="3940" t="s">
        <v>3713</v>
      </c>
      <c r="D2504" s="4113">
        <v>1443883000</v>
      </c>
      <c r="E2504" s="666">
        <v>1443803000</v>
      </c>
      <c r="F2504" s="880">
        <f t="shared" si="62"/>
        <v>99.994459384867056</v>
      </c>
      <c r="G2504" s="1717">
        <v>99.994459384867056</v>
      </c>
      <c r="H2504" s="535"/>
    </row>
    <row r="2505" spans="2:8" ht="16.5" hidden="1" customHeight="1" x14ac:dyDescent="0.25">
      <c r="B2505" s="5405"/>
      <c r="C2505" s="3940" t="s">
        <v>3714</v>
      </c>
      <c r="D2505" s="4113">
        <v>300000000</v>
      </c>
      <c r="E2505" s="666">
        <v>290698000</v>
      </c>
      <c r="F2505" s="880">
        <f t="shared" ref="F2505:F2517" si="63">E2505/D2505*100</f>
        <v>96.899333333333331</v>
      </c>
      <c r="G2505" s="1717">
        <v>96.899333333333331</v>
      </c>
      <c r="H2505" s="535"/>
    </row>
    <row r="2506" spans="2:8" ht="18" hidden="1" customHeight="1" x14ac:dyDescent="0.25">
      <c r="B2506" s="5405"/>
      <c r="C2506" s="3940" t="s">
        <v>3715</v>
      </c>
      <c r="D2506" s="4113">
        <v>150000000</v>
      </c>
      <c r="E2506" s="1929">
        <v>143812000</v>
      </c>
      <c r="F2506" s="880">
        <f t="shared" si="63"/>
        <v>95.87466666666667</v>
      </c>
      <c r="G2506" s="1717">
        <v>95.87466666666667</v>
      </c>
      <c r="H2506" s="535"/>
    </row>
    <row r="2507" spans="2:8" ht="18.75" hidden="1" customHeight="1" x14ac:dyDescent="0.25">
      <c r="B2507" s="5405"/>
      <c r="C2507" s="3940" t="s">
        <v>3716</v>
      </c>
      <c r="D2507" s="4113">
        <v>150000000</v>
      </c>
      <c r="E2507" s="3768">
        <v>149732000</v>
      </c>
      <c r="F2507" s="880">
        <f t="shared" si="63"/>
        <v>99.821333333333328</v>
      </c>
      <c r="G2507" s="1717">
        <v>99.821333333333328</v>
      </c>
      <c r="H2507" s="535"/>
    </row>
    <row r="2508" spans="2:8" ht="14.25" hidden="1" customHeight="1" x14ac:dyDescent="0.25">
      <c r="B2508" s="5405"/>
      <c r="C2508" s="3940" t="s">
        <v>3717</v>
      </c>
      <c r="D2508" s="4113">
        <v>150000000</v>
      </c>
      <c r="E2508" s="666">
        <v>149603000</v>
      </c>
      <c r="F2508" s="880">
        <f t="shared" si="63"/>
        <v>99.73533333333333</v>
      </c>
      <c r="G2508" s="1717">
        <v>99.73533333333333</v>
      </c>
      <c r="H2508" s="535"/>
    </row>
    <row r="2509" spans="2:8" ht="16.5" hidden="1" customHeight="1" x14ac:dyDescent="0.25">
      <c r="B2509" s="5405"/>
      <c r="C2509" s="3940" t="s">
        <v>3718</v>
      </c>
      <c r="D2509" s="4113">
        <v>200000000</v>
      </c>
      <c r="E2509" s="666">
        <v>193911000</v>
      </c>
      <c r="F2509" s="880">
        <f t="shared" si="63"/>
        <v>96.955500000000001</v>
      </c>
      <c r="G2509" s="1717">
        <v>96.955500000000001</v>
      </c>
      <c r="H2509" s="535"/>
    </row>
    <row r="2510" spans="2:8" ht="17.25" hidden="1" customHeight="1" x14ac:dyDescent="0.25">
      <c r="B2510" s="5405"/>
      <c r="C2510" s="3940" t="s">
        <v>3719</v>
      </c>
      <c r="D2510" s="4113">
        <v>250000000</v>
      </c>
      <c r="E2510" s="666">
        <v>242297000</v>
      </c>
      <c r="F2510" s="880">
        <f t="shared" si="63"/>
        <v>96.918800000000005</v>
      </c>
      <c r="G2510" s="1717">
        <v>96.918800000000005</v>
      </c>
      <c r="H2510" s="535"/>
    </row>
    <row r="2511" spans="2:8" ht="16.5" hidden="1" customHeight="1" x14ac:dyDescent="0.25">
      <c r="B2511" s="5405"/>
      <c r="C2511" s="3940" t="s">
        <v>3720</v>
      </c>
      <c r="D2511" s="4113">
        <v>250000000</v>
      </c>
      <c r="E2511" s="666">
        <v>249590000</v>
      </c>
      <c r="F2511" s="880">
        <f t="shared" si="63"/>
        <v>99.835999999999999</v>
      </c>
      <c r="G2511" s="1717">
        <v>99.835999999999999</v>
      </c>
      <c r="H2511" s="535"/>
    </row>
    <row r="2512" spans="2:8" ht="15" hidden="1" customHeight="1" x14ac:dyDescent="0.25">
      <c r="B2512" s="5405"/>
      <c r="C2512" s="3940" t="s">
        <v>3721</v>
      </c>
      <c r="D2512" s="4113">
        <v>150000000</v>
      </c>
      <c r="E2512" s="1063">
        <v>149731000</v>
      </c>
      <c r="F2512" s="880">
        <f t="shared" si="63"/>
        <v>99.820666666666668</v>
      </c>
      <c r="G2512" s="1717">
        <v>99.820666666666668</v>
      </c>
      <c r="H2512" s="535"/>
    </row>
    <row r="2513" spans="2:8" ht="14.25" hidden="1" customHeight="1" x14ac:dyDescent="0.25">
      <c r="B2513" s="5405"/>
      <c r="C2513" s="3940" t="s">
        <v>3722</v>
      </c>
      <c r="D2513" s="4113">
        <v>150000000</v>
      </c>
      <c r="E2513" s="3768">
        <v>145406000</v>
      </c>
      <c r="F2513" s="880">
        <f t="shared" si="63"/>
        <v>96.937333333333328</v>
      </c>
      <c r="G2513" s="1717">
        <v>96.937333333333328</v>
      </c>
      <c r="H2513" s="535"/>
    </row>
    <row r="2514" spans="2:8" ht="13.5" hidden="1" customHeight="1" x14ac:dyDescent="0.25">
      <c r="B2514" s="5405"/>
      <c r="C2514" s="3940" t="s">
        <v>3723</v>
      </c>
      <c r="D2514" s="4113">
        <v>150000000</v>
      </c>
      <c r="E2514" s="1024">
        <v>149753000</v>
      </c>
      <c r="F2514" s="880">
        <f t="shared" si="63"/>
        <v>99.835333333333338</v>
      </c>
      <c r="G2514" s="1717">
        <v>99.835333333333338</v>
      </c>
      <c r="H2514" s="535"/>
    </row>
    <row r="2515" spans="2:8" ht="14.25" hidden="1" customHeight="1" x14ac:dyDescent="0.25">
      <c r="B2515" s="5405"/>
      <c r="C2515" s="3940" t="s">
        <v>3725</v>
      </c>
      <c r="D2515" s="4113">
        <v>150000000</v>
      </c>
      <c r="E2515" s="3879">
        <v>145289000</v>
      </c>
      <c r="F2515" s="880">
        <f t="shared" si="63"/>
        <v>96.859333333333325</v>
      </c>
      <c r="G2515" s="1717">
        <v>96.859333333333325</v>
      </c>
      <c r="H2515" s="535"/>
    </row>
    <row r="2516" spans="2:8" ht="15.75" hidden="1" customHeight="1" x14ac:dyDescent="0.25">
      <c r="B2516" s="5405"/>
      <c r="C2516" s="3940" t="s">
        <v>3724</v>
      </c>
      <c r="D2516" s="4113">
        <v>500000000</v>
      </c>
      <c r="E2516" s="1024">
        <v>499619000</v>
      </c>
      <c r="F2516" s="880">
        <f t="shared" si="63"/>
        <v>99.9238</v>
      </c>
      <c r="G2516" s="1717">
        <v>99.9238</v>
      </c>
      <c r="H2516" s="535"/>
    </row>
    <row r="2517" spans="2:8" ht="14.25" hidden="1" customHeight="1" x14ac:dyDescent="0.25">
      <c r="B2517" s="5405"/>
      <c r="C2517" s="3940" t="s">
        <v>3726</v>
      </c>
      <c r="D2517" s="4113">
        <v>500000000</v>
      </c>
      <c r="E2517" s="666">
        <v>479689000</v>
      </c>
      <c r="F2517" s="880">
        <f t="shared" si="63"/>
        <v>95.937799999999996</v>
      </c>
      <c r="G2517" s="1717">
        <v>95.937799999999996</v>
      </c>
      <c r="H2517" s="535"/>
    </row>
    <row r="2518" spans="2:8" ht="12" hidden="1" customHeight="1" x14ac:dyDescent="0.25">
      <c r="B2518" s="5402"/>
      <c r="C2518" s="4029"/>
      <c r="D2518" s="1201"/>
      <c r="E2518" s="788"/>
      <c r="F2518" s="2696"/>
      <c r="G2518" s="2285"/>
      <c r="H2518" s="535"/>
    </row>
    <row r="2519" spans="2:8" ht="16.5" hidden="1" customHeight="1" x14ac:dyDescent="0.25">
      <c r="B2519" s="5397"/>
      <c r="C2519" s="4027" t="s">
        <v>360</v>
      </c>
      <c r="D2519" s="1039">
        <f>SUM(D2520+D2524)</f>
        <v>2100000000</v>
      </c>
      <c r="E2519" s="1039">
        <f>SUM(E2520+E2524)</f>
        <v>2057075000</v>
      </c>
      <c r="F2519" s="2417">
        <f>E2519/D2519*100</f>
        <v>97.955952380952382</v>
      </c>
      <c r="G2519" s="2356">
        <f>SUM(G2520+G2524)/2</f>
        <v>99.251249999999999</v>
      </c>
      <c r="H2519" s="535"/>
    </row>
    <row r="2520" spans="2:8" ht="29.25" hidden="1" customHeight="1" x14ac:dyDescent="0.25">
      <c r="B2520" s="5405"/>
      <c r="C2520" s="3942" t="s">
        <v>1889</v>
      </c>
      <c r="D2520" s="4114">
        <f>SUM(D2521:D2522)</f>
        <v>2000000000</v>
      </c>
      <c r="E2520" s="1023">
        <f>SUM(E2521:E2522)</f>
        <v>1957075000</v>
      </c>
      <c r="F2520" s="2410">
        <f>E2520/D2520*100</f>
        <v>97.853749999999991</v>
      </c>
      <c r="G2520" s="2261">
        <f>SUM(G2521:G2522)/2</f>
        <v>98.502499999999998</v>
      </c>
      <c r="H2520" s="535"/>
    </row>
    <row r="2521" spans="2:8" ht="12.75" hidden="1" customHeight="1" x14ac:dyDescent="0.25">
      <c r="B2521" s="5405"/>
      <c r="C2521" s="3940" t="s">
        <v>2010</v>
      </c>
      <c r="D2521" s="4113">
        <v>1500000000</v>
      </c>
      <c r="E2521" s="666">
        <v>1458075000</v>
      </c>
      <c r="F2521" s="880">
        <f>E2521/D2521*100</f>
        <v>97.204999999999998</v>
      </c>
      <c r="G2521" s="1717">
        <v>97.204999999999998</v>
      </c>
      <c r="H2521" s="535"/>
    </row>
    <row r="2522" spans="2:8" ht="13.5" hidden="1" customHeight="1" x14ac:dyDescent="0.25">
      <c r="B2522" s="5405"/>
      <c r="C2522" s="3940" t="s">
        <v>1928</v>
      </c>
      <c r="D2522" s="4113">
        <v>500000000</v>
      </c>
      <c r="E2522" s="666">
        <v>499000000</v>
      </c>
      <c r="F2522" s="880">
        <f>E2522/D2522*100</f>
        <v>99.8</v>
      </c>
      <c r="G2522" s="1717">
        <v>99.8</v>
      </c>
      <c r="H2522" s="535"/>
    </row>
    <row r="2523" spans="2:8" ht="12" hidden="1" customHeight="1" x14ac:dyDescent="0.25">
      <c r="B2523" s="5405"/>
      <c r="C2523" s="3940"/>
      <c r="D2523" s="4113"/>
      <c r="E2523" s="666"/>
      <c r="F2523" s="2429"/>
      <c r="G2523" s="1717"/>
      <c r="H2523" s="535"/>
    </row>
    <row r="2524" spans="2:8" ht="15.75" hidden="1" customHeight="1" x14ac:dyDescent="0.25">
      <c r="B2524" s="5405"/>
      <c r="C2524" s="3942" t="s">
        <v>1927</v>
      </c>
      <c r="D2524" s="4114">
        <f>SUM(D2525)</f>
        <v>100000000</v>
      </c>
      <c r="E2524" s="4114">
        <f>SUM(E2525)</f>
        <v>100000000</v>
      </c>
      <c r="F2524" s="2410">
        <f>E2524/D2524*100</f>
        <v>100</v>
      </c>
      <c r="G2524" s="2261">
        <v>100</v>
      </c>
      <c r="H2524" s="535"/>
    </row>
    <row r="2525" spans="2:8" ht="17.25" hidden="1" customHeight="1" x14ac:dyDescent="0.25">
      <c r="B2525" s="5405"/>
      <c r="C2525" s="3940" t="s">
        <v>1939</v>
      </c>
      <c r="D2525" s="4113">
        <v>100000000</v>
      </c>
      <c r="E2525" s="4058">
        <v>100000000</v>
      </c>
      <c r="F2525" s="880">
        <f>E2525/D2525*100</f>
        <v>100</v>
      </c>
      <c r="G2525" s="1717">
        <v>100</v>
      </c>
      <c r="H2525" s="535"/>
    </row>
    <row r="2526" spans="2:8" ht="8.25" hidden="1" customHeight="1" x14ac:dyDescent="0.25">
      <c r="B2526" s="5402"/>
      <c r="C2526" s="4030"/>
      <c r="D2526" s="311"/>
      <c r="E2526" s="788"/>
      <c r="F2526" s="2696"/>
      <c r="G2526" s="2285"/>
      <c r="H2526" s="535"/>
    </row>
    <row r="2527" spans="2:8" ht="15.75" hidden="1" customHeight="1" x14ac:dyDescent="0.25">
      <c r="B2527" s="5397"/>
      <c r="C2527" s="4027" t="s">
        <v>1929</v>
      </c>
      <c r="D2527" s="1039">
        <f>SUM(D2528+D2534+D2540+D2547)</f>
        <v>4150000000</v>
      </c>
      <c r="E2527" s="1039">
        <f>SUM(E2528+E2534+E2540+E2547)</f>
        <v>4101658499</v>
      </c>
      <c r="F2527" s="2417">
        <f t="shared" ref="F2527:F2532" si="64">E2527/D2527*100</f>
        <v>98.835144554216868</v>
      </c>
      <c r="G2527" s="2356">
        <v>98.835144554216868</v>
      </c>
      <c r="H2527" s="535"/>
    </row>
    <row r="2528" spans="2:8" ht="18" hidden="1" customHeight="1" x14ac:dyDescent="0.25">
      <c r="B2528" s="5405"/>
      <c r="C2528" s="3942" t="s">
        <v>1930</v>
      </c>
      <c r="D2528" s="4114">
        <f>SUM(D2529:D2532)</f>
        <v>950000000</v>
      </c>
      <c r="E2528" s="4114">
        <f>SUM(E2529:E2532)</f>
        <v>948950000</v>
      </c>
      <c r="F2528" s="2410">
        <f t="shared" si="64"/>
        <v>99.889473684210529</v>
      </c>
      <c r="G2528" s="2261">
        <f>SUM(G2529:G2532)/4</f>
        <v>99.893750000000011</v>
      </c>
      <c r="H2528" s="535"/>
    </row>
    <row r="2529" spans="2:8" ht="18.75" hidden="1" customHeight="1" x14ac:dyDescent="0.25">
      <c r="B2529" s="5405"/>
      <c r="C2529" s="3940" t="s">
        <v>2062</v>
      </c>
      <c r="D2529" s="4113">
        <v>200000000</v>
      </c>
      <c r="E2529" s="666">
        <v>199950000</v>
      </c>
      <c r="F2529" s="880">
        <f t="shared" si="64"/>
        <v>99.975000000000009</v>
      </c>
      <c r="G2529" s="1717">
        <v>99.975000000000009</v>
      </c>
      <c r="H2529" s="535"/>
    </row>
    <row r="2530" spans="2:8" ht="13.5" hidden="1" customHeight="1" x14ac:dyDescent="0.25">
      <c r="B2530" s="5405"/>
      <c r="C2530" s="3940" t="s">
        <v>1931</v>
      </c>
      <c r="D2530" s="4113">
        <v>200000000</v>
      </c>
      <c r="E2530" s="666">
        <v>200000000</v>
      </c>
      <c r="F2530" s="880">
        <f t="shared" si="64"/>
        <v>100</v>
      </c>
      <c r="G2530" s="1717">
        <v>100</v>
      </c>
      <c r="H2530" s="535"/>
    </row>
    <row r="2531" spans="2:8" ht="20.25" hidden="1" customHeight="1" x14ac:dyDescent="0.25">
      <c r="B2531" s="5405"/>
      <c r="C2531" s="3940" t="s">
        <v>2061</v>
      </c>
      <c r="D2531" s="4113">
        <v>250000000</v>
      </c>
      <c r="E2531" s="666">
        <v>249000000</v>
      </c>
      <c r="F2531" s="880">
        <f t="shared" si="64"/>
        <v>99.6</v>
      </c>
      <c r="G2531" s="1717">
        <v>99.6</v>
      </c>
      <c r="H2531" s="535"/>
    </row>
    <row r="2532" spans="2:8" ht="18" hidden="1" customHeight="1" x14ac:dyDescent="0.25">
      <c r="B2532" s="5405"/>
      <c r="C2532" s="4031" t="s">
        <v>2060</v>
      </c>
      <c r="D2532" s="3772">
        <v>300000000</v>
      </c>
      <c r="E2532" s="666">
        <v>300000000</v>
      </c>
      <c r="F2532" s="880">
        <f t="shared" si="64"/>
        <v>100</v>
      </c>
      <c r="G2532" s="1717">
        <v>100</v>
      </c>
      <c r="H2532" s="535"/>
    </row>
    <row r="2533" spans="2:8" ht="7.5" hidden="1" customHeight="1" x14ac:dyDescent="0.25">
      <c r="B2533" s="5405"/>
      <c r="C2533" s="4031"/>
      <c r="D2533" s="320"/>
      <c r="E2533" s="894"/>
      <c r="F2533" s="2429"/>
      <c r="G2533" s="1315"/>
      <c r="H2533" s="535"/>
    </row>
    <row r="2534" spans="2:8" ht="20.25" hidden="1" customHeight="1" x14ac:dyDescent="0.25">
      <c r="B2534" s="5405"/>
      <c r="C2534" s="3944" t="s">
        <v>1932</v>
      </c>
      <c r="D2534" s="4115">
        <f>SUM(D2535:D2538)</f>
        <v>900000000</v>
      </c>
      <c r="E2534" s="4115">
        <f>SUM(E2535:E2538)</f>
        <v>886460000</v>
      </c>
      <c r="F2534" s="2410">
        <f>E2534/D2534*100</f>
        <v>98.495555555555555</v>
      </c>
      <c r="G2534" s="2261">
        <f>SUM(G2535:G2538)/4</f>
        <v>98.675583333333336</v>
      </c>
      <c r="H2534" s="535"/>
    </row>
    <row r="2535" spans="2:8" ht="18.75" hidden="1" customHeight="1" x14ac:dyDescent="0.25">
      <c r="B2535" s="5405"/>
      <c r="C2535" s="3940" t="s">
        <v>2059</v>
      </c>
      <c r="D2535" s="4113">
        <v>200000000</v>
      </c>
      <c r="E2535" s="666">
        <v>198000000</v>
      </c>
      <c r="F2535" s="880">
        <f>E2535/D2535*100</f>
        <v>99</v>
      </c>
      <c r="G2535" s="1717">
        <v>99</v>
      </c>
      <c r="H2535" s="535"/>
    </row>
    <row r="2536" spans="2:8" ht="18.75" hidden="1" customHeight="1" x14ac:dyDescent="0.25">
      <c r="B2536" s="5405"/>
      <c r="C2536" s="3940" t="s">
        <v>1933</v>
      </c>
      <c r="D2536" s="4113">
        <v>300000000</v>
      </c>
      <c r="E2536" s="666">
        <v>291166000</v>
      </c>
      <c r="F2536" s="880">
        <f>E2536/D2536*100</f>
        <v>97.055333333333337</v>
      </c>
      <c r="G2536" s="1717">
        <v>97.055333333333337</v>
      </c>
      <c r="H2536" s="535"/>
    </row>
    <row r="2537" spans="2:8" ht="18.75" hidden="1" customHeight="1" x14ac:dyDescent="0.25">
      <c r="B2537" s="5405"/>
      <c r="C2537" s="3940" t="s">
        <v>2058</v>
      </c>
      <c r="D2537" s="4113">
        <v>200000000</v>
      </c>
      <c r="E2537" s="666">
        <v>199000000</v>
      </c>
      <c r="F2537" s="880">
        <f>E2537/D2537*100</f>
        <v>99.5</v>
      </c>
      <c r="G2537" s="1717">
        <v>99.5</v>
      </c>
      <c r="H2537" s="535"/>
    </row>
    <row r="2538" spans="2:8" ht="18.75" hidden="1" customHeight="1" x14ac:dyDescent="0.25">
      <c r="B2538" s="5405"/>
      <c r="C2538" s="3940" t="s">
        <v>1934</v>
      </c>
      <c r="D2538" s="4113">
        <v>200000000</v>
      </c>
      <c r="E2538" s="666">
        <v>198294000</v>
      </c>
      <c r="F2538" s="880">
        <f>E2538/D2538*100</f>
        <v>99.146999999999991</v>
      </c>
      <c r="G2538" s="1717">
        <v>99.146999999999991</v>
      </c>
      <c r="H2538" s="535"/>
    </row>
    <row r="2539" spans="2:8" ht="9" hidden="1" customHeight="1" x14ac:dyDescent="0.25">
      <c r="B2539" s="5405"/>
      <c r="C2539" s="3940"/>
      <c r="D2539" s="4113"/>
      <c r="E2539" s="894"/>
      <c r="F2539" s="2429"/>
      <c r="G2539" s="1315"/>
      <c r="H2539" s="535"/>
    </row>
    <row r="2540" spans="2:8" ht="18.75" hidden="1" customHeight="1" x14ac:dyDescent="0.25">
      <c r="B2540" s="5405"/>
      <c r="C2540" s="3942" t="s">
        <v>1935</v>
      </c>
      <c r="D2540" s="4114">
        <f>SUM(D2541:D2545)</f>
        <v>1050000000</v>
      </c>
      <c r="E2540" s="4114">
        <f>SUM(E2541:E2545)</f>
        <v>1037868500</v>
      </c>
      <c r="F2540" s="2410">
        <f t="shared" ref="F2540:F2545" si="65">E2540/D2540*100</f>
        <v>98.844619047619048</v>
      </c>
      <c r="G2540" s="2261">
        <f>SUM(G2541:G2545)/5</f>
        <v>99.129183333333344</v>
      </c>
      <c r="H2540" s="535"/>
    </row>
    <row r="2541" spans="2:8" ht="15" hidden="1" customHeight="1" x14ac:dyDescent="0.25">
      <c r="B2541" s="5405"/>
      <c r="C2541" s="3940" t="s">
        <v>2057</v>
      </c>
      <c r="D2541" s="4113">
        <v>150000000</v>
      </c>
      <c r="E2541" s="3768">
        <v>149270000</v>
      </c>
      <c r="F2541" s="880">
        <f t="shared" si="65"/>
        <v>99.513333333333335</v>
      </c>
      <c r="G2541" s="880">
        <v>99.513333333333335</v>
      </c>
      <c r="H2541" s="535"/>
    </row>
    <row r="2542" spans="2:8" ht="17.25" hidden="1" customHeight="1" x14ac:dyDescent="0.25">
      <c r="B2542" s="5405"/>
      <c r="C2542" s="3940" t="s">
        <v>2056</v>
      </c>
      <c r="D2542" s="4113">
        <v>300000000</v>
      </c>
      <c r="E2542" s="1238">
        <v>289000000</v>
      </c>
      <c r="F2542" s="880">
        <f t="shared" si="65"/>
        <v>96.333333333333343</v>
      </c>
      <c r="G2542" s="880">
        <v>96.333333333333343</v>
      </c>
      <c r="H2542" s="535"/>
    </row>
    <row r="2543" spans="2:8" ht="15" hidden="1" customHeight="1" x14ac:dyDescent="0.25">
      <c r="B2543" s="5405"/>
      <c r="C2543" s="3940" t="s">
        <v>2054</v>
      </c>
      <c r="D2543" s="4113">
        <v>200000000</v>
      </c>
      <c r="E2543" s="666">
        <v>200000000</v>
      </c>
      <c r="F2543" s="880">
        <f t="shared" si="65"/>
        <v>100</v>
      </c>
      <c r="G2543" s="1717">
        <v>100</v>
      </c>
      <c r="H2543" s="535"/>
    </row>
    <row r="2544" spans="2:8" ht="16.5" hidden="1" customHeight="1" x14ac:dyDescent="0.25">
      <c r="B2544" s="5405"/>
      <c r="C2544" s="3940" t="s">
        <v>2055</v>
      </c>
      <c r="D2544" s="4113">
        <v>200000000</v>
      </c>
      <c r="E2544" s="666">
        <v>199600000</v>
      </c>
      <c r="F2544" s="880">
        <f t="shared" si="65"/>
        <v>99.8</v>
      </c>
      <c r="G2544" s="1717">
        <v>99.8</v>
      </c>
      <c r="H2544" s="535"/>
    </row>
    <row r="2545" spans="2:8" ht="14.25" hidden="1" customHeight="1" x14ac:dyDescent="0.25">
      <c r="B2545" s="5405"/>
      <c r="C2545" s="3940" t="s">
        <v>2053</v>
      </c>
      <c r="D2545" s="4113">
        <v>200000000</v>
      </c>
      <c r="E2545" s="666">
        <v>199998500</v>
      </c>
      <c r="F2545" s="880">
        <f t="shared" si="65"/>
        <v>99.999249999999989</v>
      </c>
      <c r="G2545" s="1717">
        <v>99.999249999999989</v>
      </c>
      <c r="H2545" s="535"/>
    </row>
    <row r="2546" spans="2:8" ht="11.25" hidden="1" customHeight="1" x14ac:dyDescent="0.25">
      <c r="B2546" s="5405"/>
      <c r="C2546" s="3940"/>
      <c r="D2546" s="4113"/>
      <c r="E2546" s="894"/>
      <c r="F2546" s="2429"/>
      <c r="G2546" s="1315"/>
      <c r="H2546" s="535"/>
    </row>
    <row r="2547" spans="2:8" ht="17.25" hidden="1" customHeight="1" x14ac:dyDescent="0.25">
      <c r="B2547" s="5405"/>
      <c r="C2547" s="3942" t="s">
        <v>1936</v>
      </c>
      <c r="D2547" s="4114">
        <f>SUM(D2548:D2552)</f>
        <v>1250000000</v>
      </c>
      <c r="E2547" s="4114">
        <f>SUM(E2548:E2552)</f>
        <v>1228379999</v>
      </c>
      <c r="F2547" s="2410">
        <f t="shared" ref="F2547:F2552" si="66">E2547/D2547*100</f>
        <v>98.270399919999988</v>
      </c>
      <c r="G2547" s="2261">
        <v>98.270399919999988</v>
      </c>
      <c r="H2547" s="535"/>
    </row>
    <row r="2548" spans="2:8" ht="16.5" hidden="1" customHeight="1" x14ac:dyDescent="0.25">
      <c r="B2548" s="5405"/>
      <c r="C2548" s="3940" t="s">
        <v>1940</v>
      </c>
      <c r="D2548" s="4113">
        <v>300000000</v>
      </c>
      <c r="E2548" s="666">
        <v>279482000</v>
      </c>
      <c r="F2548" s="880">
        <f t="shared" si="66"/>
        <v>93.160666666666671</v>
      </c>
      <c r="G2548" s="1717">
        <v>93.160666666666671</v>
      </c>
      <c r="H2548" s="535"/>
    </row>
    <row r="2549" spans="2:8" ht="19.5" hidden="1" customHeight="1" x14ac:dyDescent="0.25">
      <c r="B2549" s="5405"/>
      <c r="C2549" s="3940" t="s">
        <v>1941</v>
      </c>
      <c r="D2549" s="4113">
        <v>300000000</v>
      </c>
      <c r="E2549" s="666">
        <v>300000000</v>
      </c>
      <c r="F2549" s="880">
        <f t="shared" si="66"/>
        <v>100</v>
      </c>
      <c r="G2549" s="1717">
        <v>100</v>
      </c>
      <c r="H2549" s="535"/>
    </row>
    <row r="2550" spans="2:8" ht="15" hidden="1" customHeight="1" x14ac:dyDescent="0.25">
      <c r="B2550" s="5405"/>
      <c r="C2550" s="3940" t="s">
        <v>1942</v>
      </c>
      <c r="D2550" s="4113">
        <v>200000000</v>
      </c>
      <c r="E2550" s="666">
        <v>200000000</v>
      </c>
      <c r="F2550" s="880">
        <f t="shared" si="66"/>
        <v>100</v>
      </c>
      <c r="G2550" s="1717">
        <v>100</v>
      </c>
      <c r="H2550" s="535"/>
    </row>
    <row r="2551" spans="2:8" ht="15" hidden="1" customHeight="1" x14ac:dyDescent="0.25">
      <c r="B2551" s="5405"/>
      <c r="C2551" s="3940" t="s">
        <v>1943</v>
      </c>
      <c r="D2551" s="4113">
        <v>300000000</v>
      </c>
      <c r="E2551" s="3768">
        <v>298897999</v>
      </c>
      <c r="F2551" s="880">
        <f t="shared" si="66"/>
        <v>99.632666333333333</v>
      </c>
      <c r="G2551" s="3768">
        <v>99.632666333333333</v>
      </c>
      <c r="H2551" s="535"/>
    </row>
    <row r="2552" spans="2:8" ht="18.75" hidden="1" customHeight="1" x14ac:dyDescent="0.25">
      <c r="B2552" s="5405"/>
      <c r="C2552" s="3940" t="s">
        <v>1944</v>
      </c>
      <c r="D2552" s="4113">
        <v>150000000</v>
      </c>
      <c r="E2552" s="666">
        <v>150000000</v>
      </c>
      <c r="F2552" s="880">
        <f t="shared" si="66"/>
        <v>100</v>
      </c>
      <c r="G2552" s="1717">
        <v>100</v>
      </c>
      <c r="H2552" s="535"/>
    </row>
    <row r="2553" spans="2:8" ht="8.25" hidden="1" customHeight="1" x14ac:dyDescent="0.25">
      <c r="B2553" s="5402"/>
      <c r="C2553" s="4032"/>
      <c r="D2553" s="1203"/>
      <c r="E2553" s="969"/>
      <c r="F2553" s="2761"/>
      <c r="G2553" s="2279"/>
      <c r="H2553" s="535"/>
    </row>
    <row r="2554" spans="2:8" ht="16.5" hidden="1" customHeight="1" x14ac:dyDescent="0.25">
      <c r="B2554" s="5397"/>
      <c r="C2554" s="4027" t="s">
        <v>1945</v>
      </c>
      <c r="D2554" s="1039">
        <f>SUM(D2555+D2562+D2568+D2578)</f>
        <v>5400000000</v>
      </c>
      <c r="E2554" s="1039">
        <f>SUM(E2555+E2562+E2568+E2578)</f>
        <v>5371964000</v>
      </c>
      <c r="F2554" s="2417">
        <f t="shared" ref="F2554:F2560" si="67">E2554/D2554*100</f>
        <v>99.480814814814806</v>
      </c>
      <c r="G2554" s="2356">
        <v>99.480814814814806</v>
      </c>
      <c r="H2554" s="535"/>
    </row>
    <row r="2555" spans="2:8" ht="18" hidden="1" customHeight="1" x14ac:dyDescent="0.25">
      <c r="B2555" s="2913"/>
      <c r="C2555" s="3942" t="s">
        <v>1946</v>
      </c>
      <c r="D2555" s="4114">
        <f>SUM(D2556:D2560)</f>
        <v>1050000000</v>
      </c>
      <c r="E2555" s="4114">
        <f>SUM(E2556:E2560)</f>
        <v>1049950000</v>
      </c>
      <c r="F2555" s="2410">
        <f t="shared" si="67"/>
        <v>99.995238095238093</v>
      </c>
      <c r="G2555" s="2261">
        <f>SUM(G2556:G2560)/5</f>
        <v>99.995199999999997</v>
      </c>
      <c r="H2555" s="535"/>
    </row>
    <row r="2556" spans="2:8" ht="15.75" hidden="1" customHeight="1" x14ac:dyDescent="0.25">
      <c r="B2556" s="2913"/>
      <c r="C2556" s="3940" t="s">
        <v>1947</v>
      </c>
      <c r="D2556" s="4113">
        <v>200000000</v>
      </c>
      <c r="E2556" s="666">
        <v>200000000</v>
      </c>
      <c r="F2556" s="880">
        <f t="shared" si="67"/>
        <v>100</v>
      </c>
      <c r="G2556" s="1717">
        <v>100</v>
      </c>
      <c r="H2556" s="535"/>
    </row>
    <row r="2557" spans="2:8" ht="13.5" hidden="1" customHeight="1" x14ac:dyDescent="0.25">
      <c r="B2557" s="2913"/>
      <c r="C2557" s="3940" t="s">
        <v>1948</v>
      </c>
      <c r="D2557" s="4113">
        <v>200000000</v>
      </c>
      <c r="E2557" s="666">
        <v>200000000</v>
      </c>
      <c r="F2557" s="880">
        <f t="shared" si="67"/>
        <v>100</v>
      </c>
      <c r="G2557" s="1717">
        <v>100</v>
      </c>
      <c r="H2557" s="535"/>
    </row>
    <row r="2558" spans="2:8" ht="14.25" hidden="1" customHeight="1" x14ac:dyDescent="0.25">
      <c r="B2558" s="2913"/>
      <c r="C2558" s="3940" t="s">
        <v>1949</v>
      </c>
      <c r="D2558" s="4113">
        <v>200000000</v>
      </c>
      <c r="E2558" s="666">
        <v>199960000</v>
      </c>
      <c r="F2558" s="880">
        <f t="shared" si="67"/>
        <v>99.98</v>
      </c>
      <c r="G2558" s="1717">
        <v>99.98</v>
      </c>
      <c r="H2558" s="535"/>
    </row>
    <row r="2559" spans="2:8" ht="14.25" hidden="1" customHeight="1" x14ac:dyDescent="0.25">
      <c r="B2559" s="2913"/>
      <c r="C2559" s="3940" t="s">
        <v>1950</v>
      </c>
      <c r="D2559" s="4113">
        <v>200000000</v>
      </c>
      <c r="E2559" s="666">
        <v>200000000</v>
      </c>
      <c r="F2559" s="880">
        <f t="shared" si="67"/>
        <v>100</v>
      </c>
      <c r="G2559" s="1717">
        <v>100</v>
      </c>
      <c r="H2559" s="535"/>
    </row>
    <row r="2560" spans="2:8" ht="13.5" hidden="1" customHeight="1" x14ac:dyDescent="0.25">
      <c r="B2560" s="2913"/>
      <c r="C2560" s="3940" t="s">
        <v>1951</v>
      </c>
      <c r="D2560" s="4113">
        <v>250000000</v>
      </c>
      <c r="E2560" s="666">
        <v>249990000</v>
      </c>
      <c r="F2560" s="880">
        <f t="shared" si="67"/>
        <v>99.995999999999995</v>
      </c>
      <c r="G2560" s="1717">
        <v>99.995999999999995</v>
      </c>
      <c r="H2560" s="535"/>
    </row>
    <row r="2561" spans="2:8" ht="12" hidden="1" customHeight="1" x14ac:dyDescent="0.25">
      <c r="B2561" s="2913"/>
      <c r="C2561" s="3940"/>
      <c r="D2561" s="4113"/>
      <c r="E2561" s="666"/>
      <c r="F2561" s="2429"/>
      <c r="G2561" s="1717"/>
      <c r="H2561" s="535"/>
    </row>
    <row r="2562" spans="2:8" ht="16.5" hidden="1" customHeight="1" x14ac:dyDescent="0.25">
      <c r="B2562" s="2913"/>
      <c r="C2562" s="3942" t="s">
        <v>1952</v>
      </c>
      <c r="D2562" s="4114">
        <f>SUM(D2563:D2566)</f>
        <v>700000000</v>
      </c>
      <c r="E2562" s="4114">
        <f>SUM(E2563:E2566)</f>
        <v>700000000</v>
      </c>
      <c r="F2562" s="2410">
        <f>E2562/D2562*100</f>
        <v>100</v>
      </c>
      <c r="G2562" s="2261">
        <v>100</v>
      </c>
      <c r="H2562" s="535"/>
    </row>
    <row r="2563" spans="2:8" ht="15.75" hidden="1" customHeight="1" x14ac:dyDescent="0.25">
      <c r="B2563" s="2913"/>
      <c r="C2563" s="3940" t="s">
        <v>1953</v>
      </c>
      <c r="D2563" s="4113">
        <v>200000000</v>
      </c>
      <c r="E2563" s="666">
        <v>200000000</v>
      </c>
      <c r="F2563" s="880">
        <f>E2563/D2563*100</f>
        <v>100</v>
      </c>
      <c r="G2563" s="1717">
        <v>100</v>
      </c>
      <c r="H2563" s="535"/>
    </row>
    <row r="2564" spans="2:8" ht="15" hidden="1" customHeight="1" x14ac:dyDescent="0.25">
      <c r="B2564" s="2913"/>
      <c r="C2564" s="3940" t="s">
        <v>1954</v>
      </c>
      <c r="D2564" s="4113">
        <v>200000000</v>
      </c>
      <c r="E2564" s="894">
        <v>200000000</v>
      </c>
      <c r="F2564" s="880">
        <f>E2564/D2564*100</f>
        <v>100</v>
      </c>
      <c r="G2564" s="1717">
        <v>100</v>
      </c>
      <c r="H2564" s="535"/>
    </row>
    <row r="2565" spans="2:8" ht="16.5" hidden="1" customHeight="1" x14ac:dyDescent="0.25">
      <c r="B2565" s="2913"/>
      <c r="C2565" s="3940" t="s">
        <v>1955</v>
      </c>
      <c r="D2565" s="4113">
        <v>200000000</v>
      </c>
      <c r="E2565" s="3768">
        <v>200000000</v>
      </c>
      <c r="F2565" s="880">
        <f>E2565/D2565*100</f>
        <v>100</v>
      </c>
      <c r="G2565" s="1717">
        <v>100</v>
      </c>
      <c r="H2565" s="535"/>
    </row>
    <row r="2566" spans="2:8" ht="17.25" hidden="1" customHeight="1" x14ac:dyDescent="0.25">
      <c r="B2566" s="2913"/>
      <c r="C2566" s="3940" t="s">
        <v>1956</v>
      </c>
      <c r="D2566" s="4113">
        <v>100000000</v>
      </c>
      <c r="E2566" s="666">
        <v>100000000</v>
      </c>
      <c r="F2566" s="880">
        <f>E2566/D2566*100</f>
        <v>100</v>
      </c>
      <c r="G2566" s="1717">
        <v>100</v>
      </c>
      <c r="H2566" s="535"/>
    </row>
    <row r="2567" spans="2:8" ht="9.75" hidden="1" customHeight="1" x14ac:dyDescent="0.25">
      <c r="B2567" s="2913"/>
      <c r="C2567" s="4030"/>
      <c r="D2567" s="311"/>
      <c r="E2567" s="666"/>
      <c r="F2567" s="2429"/>
      <c r="G2567" s="1717"/>
      <c r="H2567" s="535"/>
    </row>
    <row r="2568" spans="2:8" ht="20.25" hidden="1" customHeight="1" x14ac:dyDescent="0.25">
      <c r="B2568" s="2913"/>
      <c r="C2568" s="3944" t="s">
        <v>1957</v>
      </c>
      <c r="D2568" s="4115">
        <f>SUM(D2569:D2576)</f>
        <v>1775000000</v>
      </c>
      <c r="E2568" s="4115">
        <f>SUM(E2569:E2576)</f>
        <v>1770189000</v>
      </c>
      <c r="F2568" s="2410">
        <f t="shared" ref="F2568:F2576" si="68">E2568/D2568*100</f>
        <v>99.728957746478869</v>
      </c>
      <c r="G2568" s="2512">
        <f>SUM(G2569:G2576)/8</f>
        <v>99.699449999999999</v>
      </c>
      <c r="H2568" s="535"/>
    </row>
    <row r="2569" spans="2:8" ht="16.5" hidden="1" customHeight="1" x14ac:dyDescent="0.25">
      <c r="B2569" s="2913"/>
      <c r="C2569" s="4031" t="s">
        <v>1958</v>
      </c>
      <c r="D2569" s="3772">
        <v>200000000</v>
      </c>
      <c r="E2569" s="1238">
        <v>200000000</v>
      </c>
      <c r="F2569" s="880">
        <f t="shared" si="68"/>
        <v>100</v>
      </c>
      <c r="G2569" s="971">
        <v>100</v>
      </c>
      <c r="H2569" s="535"/>
    </row>
    <row r="2570" spans="2:8" ht="16.5" hidden="1" customHeight="1" x14ac:dyDescent="0.25">
      <c r="B2570" s="2913"/>
      <c r="C2570" s="4031" t="s">
        <v>1959</v>
      </c>
      <c r="D2570" s="3772">
        <v>200000000</v>
      </c>
      <c r="E2570" s="3768">
        <v>200000000</v>
      </c>
      <c r="F2570" s="880">
        <f t="shared" si="68"/>
        <v>100</v>
      </c>
      <c r="G2570" s="3768">
        <v>100</v>
      </c>
      <c r="H2570" s="535"/>
    </row>
    <row r="2571" spans="2:8" ht="19.5" hidden="1" customHeight="1" x14ac:dyDescent="0.25">
      <c r="B2571" s="2913"/>
      <c r="C2571" s="4031" t="s">
        <v>1960</v>
      </c>
      <c r="D2571" s="3772">
        <v>200000000</v>
      </c>
      <c r="E2571" s="666">
        <v>200000000</v>
      </c>
      <c r="F2571" s="880">
        <f t="shared" si="68"/>
        <v>100</v>
      </c>
      <c r="G2571" s="1717">
        <v>100</v>
      </c>
      <c r="H2571" s="535"/>
    </row>
    <row r="2572" spans="2:8" ht="14.25" hidden="1" customHeight="1" x14ac:dyDescent="0.25">
      <c r="B2572" s="2913"/>
      <c r="C2572" s="4031" t="s">
        <v>1961</v>
      </c>
      <c r="D2572" s="3772">
        <v>200000000</v>
      </c>
      <c r="E2572" s="666">
        <v>195200000</v>
      </c>
      <c r="F2572" s="880">
        <f t="shared" si="68"/>
        <v>97.6</v>
      </c>
      <c r="G2572" s="1717">
        <v>97.6</v>
      </c>
      <c r="H2572" s="535"/>
    </row>
    <row r="2573" spans="2:8" ht="14.25" hidden="1" customHeight="1" x14ac:dyDescent="0.25">
      <c r="B2573" s="2913"/>
      <c r="C2573" s="4031" t="s">
        <v>1962</v>
      </c>
      <c r="D2573" s="3772">
        <v>200000000</v>
      </c>
      <c r="E2573" s="666">
        <v>200000000</v>
      </c>
      <c r="F2573" s="880">
        <f t="shared" si="68"/>
        <v>100</v>
      </c>
      <c r="G2573" s="1717">
        <v>100</v>
      </c>
      <c r="H2573" s="535"/>
    </row>
    <row r="2574" spans="2:8" ht="17.25" hidden="1" customHeight="1" x14ac:dyDescent="0.25">
      <c r="B2574" s="2913"/>
      <c r="C2574" s="4031" t="s">
        <v>1963</v>
      </c>
      <c r="D2574" s="3772">
        <v>200000000</v>
      </c>
      <c r="E2574" s="666">
        <v>200000000</v>
      </c>
      <c r="F2574" s="880">
        <f t="shared" si="68"/>
        <v>100</v>
      </c>
      <c r="G2574" s="1717">
        <v>100</v>
      </c>
      <c r="H2574" s="535"/>
    </row>
    <row r="2575" spans="2:8" ht="16.5" hidden="1" customHeight="1" x14ac:dyDescent="0.25">
      <c r="B2575" s="2913"/>
      <c r="C2575" s="4031" t="s">
        <v>1964</v>
      </c>
      <c r="D2575" s="3772">
        <v>250000000</v>
      </c>
      <c r="E2575" s="666">
        <v>249989000</v>
      </c>
      <c r="F2575" s="880">
        <f t="shared" si="68"/>
        <v>99.995599999999996</v>
      </c>
      <c r="G2575" s="1717">
        <v>99.995599999999996</v>
      </c>
      <c r="H2575" s="535"/>
    </row>
    <row r="2576" spans="2:8" ht="14.25" hidden="1" customHeight="1" x14ac:dyDescent="0.25">
      <c r="B2576" s="2913"/>
      <c r="C2576" s="4031" t="s">
        <v>1965</v>
      </c>
      <c r="D2576" s="3772">
        <v>325000000</v>
      </c>
      <c r="E2576" s="3768">
        <v>325000000</v>
      </c>
      <c r="F2576" s="880">
        <f t="shared" si="68"/>
        <v>100</v>
      </c>
      <c r="G2576" s="1717">
        <v>100</v>
      </c>
      <c r="H2576" s="535"/>
    </row>
    <row r="2577" spans="2:8" ht="12" hidden="1" customHeight="1" x14ac:dyDescent="0.25">
      <c r="B2577" s="2913"/>
      <c r="C2577" s="4031"/>
      <c r="D2577" s="3772"/>
      <c r="E2577" s="894"/>
      <c r="F2577" s="2429"/>
      <c r="G2577" s="1315"/>
      <c r="H2577" s="535"/>
    </row>
    <row r="2578" spans="2:8" ht="16.5" hidden="1" customHeight="1" x14ac:dyDescent="0.25">
      <c r="B2578" s="2913"/>
      <c r="C2578" s="3944" t="s">
        <v>1966</v>
      </c>
      <c r="D2578" s="4115">
        <f>SUM(D2579:D2582)</f>
        <v>1875000000</v>
      </c>
      <c r="E2578" s="4115">
        <f>SUM(E2579:E2582)</f>
        <v>1851825000</v>
      </c>
      <c r="F2578" s="2410">
        <f>E2578/D2578*100</f>
        <v>98.763999999999996</v>
      </c>
      <c r="G2578" s="2261">
        <f>SUM(G2579:G2582)/4</f>
        <v>98.481818181818184</v>
      </c>
      <c r="H2578" s="535"/>
    </row>
    <row r="2579" spans="2:8" ht="18.75" hidden="1" customHeight="1" x14ac:dyDescent="0.25">
      <c r="B2579" s="2913"/>
      <c r="C2579" s="4031" t="s">
        <v>1967</v>
      </c>
      <c r="D2579" s="3772">
        <v>1200000000</v>
      </c>
      <c r="E2579" s="666">
        <v>1191600000</v>
      </c>
      <c r="F2579" s="880">
        <f>E2579/D2579*100</f>
        <v>99.3</v>
      </c>
      <c r="G2579" s="1717">
        <v>99.3</v>
      </c>
      <c r="H2579" s="535"/>
    </row>
    <row r="2580" spans="2:8" ht="14.25" hidden="1" customHeight="1" x14ac:dyDescent="0.25">
      <c r="B2580" s="2913"/>
      <c r="C2580" s="4031" t="s">
        <v>1968</v>
      </c>
      <c r="D2580" s="3772">
        <v>275000000</v>
      </c>
      <c r="E2580" s="666">
        <v>260225000</v>
      </c>
      <c r="F2580" s="880">
        <f>E2580/D2580*100</f>
        <v>94.627272727272725</v>
      </c>
      <c r="G2580" s="1717">
        <v>94.627272727272725</v>
      </c>
      <c r="H2580" s="535"/>
    </row>
    <row r="2581" spans="2:8" ht="15.75" hidden="1" customHeight="1" x14ac:dyDescent="0.25">
      <c r="B2581" s="2913"/>
      <c r="C2581" s="4031" t="s">
        <v>1969</v>
      </c>
      <c r="D2581" s="3772">
        <v>200000000</v>
      </c>
      <c r="E2581" s="666">
        <v>200000000</v>
      </c>
      <c r="F2581" s="880">
        <f>E2581/D2581*100</f>
        <v>100</v>
      </c>
      <c r="G2581" s="1717">
        <v>100</v>
      </c>
      <c r="H2581" s="535"/>
    </row>
    <row r="2582" spans="2:8" ht="14.25" hidden="1" customHeight="1" x14ac:dyDescent="0.25">
      <c r="B2582" s="2913"/>
      <c r="C2582" s="4031" t="s">
        <v>1970</v>
      </c>
      <c r="D2582" s="3772">
        <v>200000000</v>
      </c>
      <c r="E2582" s="666">
        <v>200000000</v>
      </c>
      <c r="F2582" s="880">
        <f>E2582/D2582*100</f>
        <v>100</v>
      </c>
      <c r="G2582" s="1717">
        <v>100</v>
      </c>
      <c r="H2582" s="535"/>
    </row>
    <row r="2583" spans="2:8" ht="12" hidden="1" customHeight="1" x14ac:dyDescent="0.25">
      <c r="B2583" s="2913"/>
      <c r="C2583" s="4033"/>
      <c r="D2583" s="1038"/>
      <c r="E2583" s="969"/>
      <c r="F2583" s="2761"/>
      <c r="G2583" s="2279"/>
      <c r="H2583" s="535"/>
    </row>
    <row r="2584" spans="2:8" ht="12" hidden="1" customHeight="1" x14ac:dyDescent="0.25">
      <c r="B2584" s="5397"/>
      <c r="C2584" s="4024" t="s">
        <v>1971</v>
      </c>
      <c r="D2584" s="1030">
        <f>SUM(D2585)</f>
        <v>250000000</v>
      </c>
      <c r="E2584" s="1030">
        <f>SUM(E2585)</f>
        <v>249000000</v>
      </c>
      <c r="F2584" s="2417">
        <f>E2584/D2584*100</f>
        <v>99.6</v>
      </c>
      <c r="G2584" s="2356">
        <v>99.6</v>
      </c>
      <c r="H2584" s="535"/>
    </row>
    <row r="2585" spans="2:8" ht="18" hidden="1" customHeight="1" x14ac:dyDescent="0.25">
      <c r="B2585" s="5405"/>
      <c r="C2585" s="3944" t="s">
        <v>266</v>
      </c>
      <c r="D2585" s="4115">
        <f>SUM(D2586)</f>
        <v>250000000</v>
      </c>
      <c r="E2585" s="4115">
        <f>SUM(E2586)</f>
        <v>249000000</v>
      </c>
      <c r="F2585" s="2410">
        <f>E2585/D2585*100</f>
        <v>99.6</v>
      </c>
      <c r="G2585" s="2261">
        <v>99.6</v>
      </c>
      <c r="H2585" s="535"/>
    </row>
    <row r="2586" spans="2:8" ht="15.75" hidden="1" customHeight="1" x14ac:dyDescent="0.25">
      <c r="B2586" s="5405"/>
      <c r="C2586" s="4031" t="s">
        <v>2052</v>
      </c>
      <c r="D2586" s="3772">
        <v>250000000</v>
      </c>
      <c r="E2586" s="666">
        <v>249000000</v>
      </c>
      <c r="F2586" s="880">
        <f>E2586/D2586*100</f>
        <v>99.6</v>
      </c>
      <c r="G2586" s="1717">
        <v>99.6</v>
      </c>
      <c r="H2586" s="535"/>
    </row>
    <row r="2587" spans="2:8" ht="9" hidden="1" customHeight="1" x14ac:dyDescent="0.25">
      <c r="B2587" s="5402"/>
      <c r="C2587" s="4034"/>
      <c r="D2587" s="1045"/>
      <c r="E2587" s="969"/>
      <c r="F2587" s="2279"/>
      <c r="G2587" s="2279"/>
      <c r="H2587" s="535"/>
    </row>
    <row r="2588" spans="2:8" ht="16.5" hidden="1" customHeight="1" x14ac:dyDescent="0.25">
      <c r="B2588" s="5397"/>
      <c r="C2588" s="4024" t="s">
        <v>1972</v>
      </c>
      <c r="D2588" s="1030">
        <f>SUM(D2589+D2595)</f>
        <v>5139300000</v>
      </c>
      <c r="E2588" s="1030">
        <f>SUM(E2589+E2595)</f>
        <v>5128410000</v>
      </c>
      <c r="F2588" s="2417">
        <f t="shared" ref="F2588:F2593" si="69">E2588/D2588*100</f>
        <v>99.788103438211422</v>
      </c>
      <c r="G2588" s="1726">
        <f>SUM(G2589+G2595)/2</f>
        <v>99.78922845913624</v>
      </c>
      <c r="H2588" s="535"/>
    </row>
    <row r="2589" spans="2:8" ht="15.75" hidden="1" customHeight="1" x14ac:dyDescent="0.25">
      <c r="B2589" s="2913"/>
      <c r="C2589" s="3941" t="s">
        <v>2366</v>
      </c>
      <c r="D2589" s="1046">
        <f>SUM(D2590:D2593)</f>
        <v>1000000000</v>
      </c>
      <c r="E2589" s="1046">
        <f>SUM(E2590:E2593)</f>
        <v>998970000</v>
      </c>
      <c r="F2589" s="2410">
        <f t="shared" si="69"/>
        <v>99.897000000000006</v>
      </c>
      <c r="G2589" s="3554">
        <f>SUM(G2590:G2593)/4</f>
        <v>99.835833333333326</v>
      </c>
      <c r="H2589" s="535"/>
    </row>
    <row r="2590" spans="2:8" ht="15.75" hidden="1" customHeight="1" x14ac:dyDescent="0.25">
      <c r="B2590" s="2913"/>
      <c r="C2590" s="3940" t="s">
        <v>2051</v>
      </c>
      <c r="D2590" s="4113">
        <v>500000000</v>
      </c>
      <c r="E2590" s="3879">
        <v>500000000</v>
      </c>
      <c r="F2590" s="880">
        <f t="shared" si="69"/>
        <v>100</v>
      </c>
      <c r="G2590" s="3648">
        <v>100</v>
      </c>
      <c r="H2590" s="535"/>
    </row>
    <row r="2591" spans="2:8" ht="13.5" hidden="1" customHeight="1" x14ac:dyDescent="0.25">
      <c r="B2591" s="2913"/>
      <c r="C2591" s="3940" t="s">
        <v>2050</v>
      </c>
      <c r="D2591" s="4113">
        <v>100000000</v>
      </c>
      <c r="E2591" s="3879">
        <v>99725400</v>
      </c>
      <c r="F2591" s="880">
        <f t="shared" si="69"/>
        <v>99.725399999999993</v>
      </c>
      <c r="G2591" s="3648">
        <v>99.725399999999993</v>
      </c>
      <c r="H2591" s="535"/>
    </row>
    <row r="2592" spans="2:8" ht="15.75" hidden="1" customHeight="1" x14ac:dyDescent="0.25">
      <c r="B2592" s="2913"/>
      <c r="C2592" s="3940" t="s">
        <v>2048</v>
      </c>
      <c r="D2592" s="4113">
        <v>100000000</v>
      </c>
      <c r="E2592" s="865">
        <v>99804600</v>
      </c>
      <c r="F2592" s="880">
        <f t="shared" si="69"/>
        <v>99.804599999999994</v>
      </c>
      <c r="G2592" s="3648">
        <v>99.804599999999994</v>
      </c>
      <c r="H2592" s="535"/>
    </row>
    <row r="2593" spans="2:8" ht="15" hidden="1" customHeight="1" x14ac:dyDescent="0.25">
      <c r="B2593" s="2913"/>
      <c r="C2593" s="3940" t="s">
        <v>2049</v>
      </c>
      <c r="D2593" s="4113">
        <v>300000000</v>
      </c>
      <c r="E2593" s="865">
        <v>299440000</v>
      </c>
      <c r="F2593" s="880">
        <f t="shared" si="69"/>
        <v>99.813333333333333</v>
      </c>
      <c r="G2593" s="3648">
        <v>99.813333333333333</v>
      </c>
      <c r="H2593" s="535"/>
    </row>
    <row r="2594" spans="2:8" ht="12" hidden="1" customHeight="1" x14ac:dyDescent="0.25">
      <c r="B2594" s="2913"/>
      <c r="C2594" s="3941"/>
      <c r="D2594" s="1046"/>
      <c r="E2594" s="865"/>
      <c r="F2594" s="3553"/>
      <c r="G2594" s="3553"/>
      <c r="H2594" s="535"/>
    </row>
    <row r="2595" spans="2:8" ht="18" hidden="1" customHeight="1" x14ac:dyDescent="0.25">
      <c r="B2595" s="2913"/>
      <c r="C2595" s="3941" t="s">
        <v>1973</v>
      </c>
      <c r="D2595" s="1046">
        <f>SUM(D2596:D2604)</f>
        <v>4139300000</v>
      </c>
      <c r="E2595" s="4115">
        <f>SUM(E2596:E2604)</f>
        <v>4129440000</v>
      </c>
      <c r="F2595" s="2410">
        <f t="shared" ref="F2595:F2604" si="70">E2595/D2595*100</f>
        <v>99.76179547266446</v>
      </c>
      <c r="G2595" s="2275">
        <f>SUM(G2596:G2604)/9</f>
        <v>99.742623584939153</v>
      </c>
      <c r="H2595" s="535"/>
    </row>
    <row r="2596" spans="2:8" ht="15" hidden="1" customHeight="1" x14ac:dyDescent="0.25">
      <c r="B2596" s="2913"/>
      <c r="C2596" s="3940" t="s">
        <v>1982</v>
      </c>
      <c r="D2596" s="4113">
        <v>100000000</v>
      </c>
      <c r="E2596" s="865">
        <v>100000000</v>
      </c>
      <c r="F2596" s="880">
        <f t="shared" si="70"/>
        <v>100</v>
      </c>
      <c r="G2596" s="3553">
        <v>100</v>
      </c>
      <c r="H2596" s="535"/>
    </row>
    <row r="2597" spans="2:8" ht="18" hidden="1" customHeight="1" x14ac:dyDescent="0.25">
      <c r="B2597" s="2913"/>
      <c r="C2597" s="3940" t="s">
        <v>1981</v>
      </c>
      <c r="D2597" s="4113">
        <v>500000000</v>
      </c>
      <c r="E2597" s="865">
        <v>499000000</v>
      </c>
      <c r="F2597" s="880">
        <f t="shared" si="70"/>
        <v>99.8</v>
      </c>
      <c r="G2597" s="3553">
        <v>99.8</v>
      </c>
      <c r="H2597" s="535"/>
    </row>
    <row r="2598" spans="2:8" ht="12" hidden="1" customHeight="1" x14ac:dyDescent="0.25">
      <c r="B2598" s="2913"/>
      <c r="C2598" s="3940" t="s">
        <v>1980</v>
      </c>
      <c r="D2598" s="4113">
        <v>500000000</v>
      </c>
      <c r="E2598" s="865">
        <v>497000000</v>
      </c>
      <c r="F2598" s="880">
        <f t="shared" si="70"/>
        <v>99.4</v>
      </c>
      <c r="G2598" s="3553">
        <v>99.4</v>
      </c>
      <c r="H2598" s="535"/>
    </row>
    <row r="2599" spans="2:8" ht="17.25" hidden="1" customHeight="1" x14ac:dyDescent="0.25">
      <c r="B2599" s="2913"/>
      <c r="C2599" s="3940" t="s">
        <v>1979</v>
      </c>
      <c r="D2599" s="4113">
        <v>500000000</v>
      </c>
      <c r="E2599" s="865">
        <v>496200000</v>
      </c>
      <c r="F2599" s="880">
        <f t="shared" si="70"/>
        <v>99.24</v>
      </c>
      <c r="G2599" s="3553">
        <v>99.24</v>
      </c>
      <c r="H2599" s="535"/>
    </row>
    <row r="2600" spans="2:8" ht="15" hidden="1" customHeight="1" x14ac:dyDescent="0.25">
      <c r="B2600" s="2913"/>
      <c r="C2600" s="3940" t="s">
        <v>1978</v>
      </c>
      <c r="D2600" s="4113">
        <v>400000000</v>
      </c>
      <c r="E2600" s="865">
        <v>399000000</v>
      </c>
      <c r="F2600" s="880">
        <f t="shared" si="70"/>
        <v>99.75</v>
      </c>
      <c r="G2600" s="3553">
        <v>99.75</v>
      </c>
      <c r="H2600" s="535"/>
    </row>
    <row r="2601" spans="2:8" ht="18.75" hidden="1" customHeight="1" x14ac:dyDescent="0.25">
      <c r="B2601" s="2913"/>
      <c r="C2601" s="3940" t="s">
        <v>1977</v>
      </c>
      <c r="D2601" s="4113">
        <v>500000000</v>
      </c>
      <c r="E2601" s="865">
        <v>500000000</v>
      </c>
      <c r="F2601" s="880">
        <f t="shared" si="70"/>
        <v>100</v>
      </c>
      <c r="G2601" s="3553">
        <v>100</v>
      </c>
      <c r="H2601" s="535"/>
    </row>
    <row r="2602" spans="2:8" ht="16.5" hidden="1" customHeight="1" x14ac:dyDescent="0.25">
      <c r="B2602" s="2913"/>
      <c r="C2602" s="3940" t="s">
        <v>1976</v>
      </c>
      <c r="D2602" s="4113">
        <v>500000000</v>
      </c>
      <c r="E2602" s="865">
        <v>500000000</v>
      </c>
      <c r="F2602" s="880">
        <f t="shared" si="70"/>
        <v>100</v>
      </c>
      <c r="G2602" s="3553">
        <v>100</v>
      </c>
      <c r="H2602" s="535"/>
    </row>
    <row r="2603" spans="2:8" ht="20.25" hidden="1" customHeight="1" x14ac:dyDescent="0.25">
      <c r="B2603" s="2913"/>
      <c r="C2603" s="3940" t="s">
        <v>1975</v>
      </c>
      <c r="D2603" s="4113">
        <v>200000000</v>
      </c>
      <c r="E2603" s="865">
        <v>199000000</v>
      </c>
      <c r="F2603" s="880">
        <f t="shared" si="70"/>
        <v>99.5</v>
      </c>
      <c r="G2603" s="3553">
        <v>99.5</v>
      </c>
      <c r="H2603" s="535"/>
    </row>
    <row r="2604" spans="2:8" ht="18.75" hidden="1" customHeight="1" x14ac:dyDescent="0.25">
      <c r="B2604" s="2913"/>
      <c r="C2604" s="3940" t="s">
        <v>1974</v>
      </c>
      <c r="D2604" s="4113">
        <v>939300000</v>
      </c>
      <c r="E2604" s="865">
        <v>939240000</v>
      </c>
      <c r="F2604" s="880">
        <f t="shared" si="70"/>
        <v>99.993612264452253</v>
      </c>
      <c r="G2604" s="3553">
        <v>99.993612264452253</v>
      </c>
      <c r="H2604" s="535"/>
    </row>
    <row r="2605" spans="2:8" ht="12" hidden="1" customHeight="1" x14ac:dyDescent="0.25">
      <c r="B2605" s="2913"/>
      <c r="C2605" s="4029"/>
      <c r="D2605" s="1047"/>
      <c r="E2605" s="788"/>
      <c r="F2605" s="2285"/>
      <c r="G2605" s="2285"/>
      <c r="H2605" s="535"/>
    </row>
    <row r="2606" spans="2:8" ht="16.5" hidden="1" customHeight="1" x14ac:dyDescent="0.25">
      <c r="B2606" s="5397"/>
      <c r="C2606" s="4027" t="s">
        <v>327</v>
      </c>
      <c r="D2606" s="1039">
        <f>SUM(D2607)</f>
        <v>850000000</v>
      </c>
      <c r="E2606" s="1039">
        <f>SUM(E2607)</f>
        <v>823940000</v>
      </c>
      <c r="F2606" s="2417">
        <f>E2606/D2606*100</f>
        <v>96.934117647058827</v>
      </c>
      <c r="G2606" s="2356">
        <f>SUM(G2607)/1</f>
        <v>98.25866666666667</v>
      </c>
      <c r="H2606" s="535"/>
    </row>
    <row r="2607" spans="2:8" ht="18" hidden="1" customHeight="1" x14ac:dyDescent="0.25">
      <c r="B2607" s="2913"/>
      <c r="C2607" s="3943" t="s">
        <v>361</v>
      </c>
      <c r="D2607" s="1023">
        <f>SUM(D2608:D2610)</f>
        <v>850000000</v>
      </c>
      <c r="E2607" s="1023">
        <f>SUM(E2608:E2610)</f>
        <v>823940000</v>
      </c>
      <c r="F2607" s="2410">
        <f>E2607/D2607*100</f>
        <v>96.934117647058827</v>
      </c>
      <c r="G2607" s="2562">
        <f>SUM(G2608:G2610)/3</f>
        <v>98.25866666666667</v>
      </c>
      <c r="H2607" s="535"/>
    </row>
    <row r="2608" spans="2:8" ht="14.25" hidden="1" customHeight="1" x14ac:dyDescent="0.25">
      <c r="B2608" s="2913"/>
      <c r="C2608" s="3940" t="s">
        <v>2047</v>
      </c>
      <c r="D2608" s="4113">
        <v>250000000</v>
      </c>
      <c r="E2608" s="3768">
        <v>249940000</v>
      </c>
      <c r="F2608" s="880">
        <f>E2608/D2608*100</f>
        <v>99.975999999999999</v>
      </c>
      <c r="G2608" s="3768">
        <v>99.975999999999999</v>
      </c>
      <c r="H2608" s="535"/>
    </row>
    <row r="2609" spans="2:10" ht="16.5" hidden="1" customHeight="1" x14ac:dyDescent="0.25">
      <c r="B2609" s="2913"/>
      <c r="C2609" s="3940" t="s">
        <v>2275</v>
      </c>
      <c r="D2609" s="4113">
        <v>500000000</v>
      </c>
      <c r="E2609" s="1024">
        <v>474000000</v>
      </c>
      <c r="F2609" s="880">
        <f>E2609/D2609*100</f>
        <v>94.8</v>
      </c>
      <c r="G2609" s="3768">
        <v>94.8</v>
      </c>
      <c r="H2609" s="535"/>
    </row>
    <row r="2610" spans="2:10" ht="18" hidden="1" customHeight="1" x14ac:dyDescent="0.25">
      <c r="B2610" s="2913"/>
      <c r="C2610" s="3940" t="s">
        <v>2046</v>
      </c>
      <c r="D2610" s="4113">
        <v>100000000</v>
      </c>
      <c r="E2610" s="3768">
        <v>100000000</v>
      </c>
      <c r="F2610" s="880">
        <f>E2610/D2610*100</f>
        <v>100</v>
      </c>
      <c r="G2610" s="3768">
        <v>100</v>
      </c>
      <c r="H2610" s="535"/>
    </row>
    <row r="2611" spans="2:10" ht="12" hidden="1" customHeight="1" x14ac:dyDescent="0.25">
      <c r="B2611" s="2913"/>
      <c r="C2611" s="4035"/>
      <c r="D2611" s="1048"/>
      <c r="E2611" s="788"/>
      <c r="F2611" s="2696"/>
      <c r="G2611" s="2285"/>
      <c r="H2611" s="535"/>
    </row>
    <row r="2612" spans="2:10" ht="15.75" hidden="1" customHeight="1" x14ac:dyDescent="0.25">
      <c r="B2612" s="5397"/>
      <c r="C2612" s="4027" t="s">
        <v>362</v>
      </c>
      <c r="D2612" s="1050">
        <f>SUM(D2613+D2637+D2640+D2643+D2647)</f>
        <v>9975000000</v>
      </c>
      <c r="E2612" s="1050">
        <f>SUM(E2613+E2637+E2640+E2643+E2647)</f>
        <v>9590938000</v>
      </c>
      <c r="F2612" s="2417">
        <f t="shared" ref="F2612:F2635" si="71">E2612/D2612*100</f>
        <v>96.149754385964911</v>
      </c>
      <c r="G2612" s="2356">
        <f>SUM(G2613+G2637+G2640+G2643+G2647)/5</f>
        <v>97.153562962592957</v>
      </c>
      <c r="H2612" s="535"/>
    </row>
    <row r="2613" spans="2:10" ht="15.75" hidden="1" customHeight="1" x14ac:dyDescent="0.25">
      <c r="B2613" s="2913"/>
      <c r="C2613" s="3942" t="s">
        <v>1983</v>
      </c>
      <c r="D2613" s="1052">
        <f>SUM(D2614:D2635)</f>
        <v>8450000000</v>
      </c>
      <c r="E2613" s="1052">
        <f>SUM(E2614:E2635)</f>
        <v>8089644000</v>
      </c>
      <c r="F2613" s="2410">
        <f t="shared" si="71"/>
        <v>95.735431952662722</v>
      </c>
      <c r="G2613" s="2261">
        <f>SUM(G2614:G2635)/22</f>
        <v>93.606259257409249</v>
      </c>
      <c r="H2613" s="535"/>
    </row>
    <row r="2614" spans="2:10" ht="16.5" hidden="1" customHeight="1" x14ac:dyDescent="0.25">
      <c r="B2614" s="2913"/>
      <c r="C2614" s="4026" t="s">
        <v>3727</v>
      </c>
      <c r="D2614" s="1053">
        <v>200000000</v>
      </c>
      <c r="E2614" s="3768">
        <v>150000000</v>
      </c>
      <c r="F2614" s="880">
        <f t="shared" si="71"/>
        <v>75</v>
      </c>
      <c r="G2614" s="3768">
        <v>75</v>
      </c>
      <c r="H2614" s="535"/>
      <c r="J2614" s="3342"/>
    </row>
    <row r="2615" spans="2:10" ht="17.25" hidden="1" customHeight="1" x14ac:dyDescent="0.25">
      <c r="B2615" s="2913"/>
      <c r="C2615" s="4026" t="s">
        <v>3728</v>
      </c>
      <c r="D2615" s="1053">
        <v>390000000</v>
      </c>
      <c r="E2615" s="666">
        <v>389800000</v>
      </c>
      <c r="F2615" s="880">
        <f t="shared" si="71"/>
        <v>99.948717948717942</v>
      </c>
      <c r="G2615" s="1717">
        <v>99.948717948717942</v>
      </c>
      <c r="H2615" s="535"/>
    </row>
    <row r="2616" spans="2:10" ht="15.75" hidden="1" customHeight="1" x14ac:dyDescent="0.25">
      <c r="B2616" s="2913"/>
      <c r="C2616" s="4026" t="s">
        <v>3729</v>
      </c>
      <c r="D2616" s="1053">
        <v>500000000</v>
      </c>
      <c r="E2616" s="3768">
        <v>493995000</v>
      </c>
      <c r="F2616" s="880">
        <f t="shared" si="71"/>
        <v>98.799000000000007</v>
      </c>
      <c r="G2616" s="1717">
        <v>98.799000000000007</v>
      </c>
      <c r="H2616" s="535"/>
    </row>
    <row r="2617" spans="2:10" ht="16.5" hidden="1" customHeight="1" x14ac:dyDescent="0.25">
      <c r="B2617" s="2913"/>
      <c r="C2617" s="4036" t="s">
        <v>3730</v>
      </c>
      <c r="D2617" s="1054">
        <v>500000000</v>
      </c>
      <c r="E2617" s="666">
        <v>498000000</v>
      </c>
      <c r="F2617" s="880">
        <f t="shared" si="71"/>
        <v>99.6</v>
      </c>
      <c r="G2617" s="1717">
        <v>99.6</v>
      </c>
      <c r="H2617" s="535"/>
    </row>
    <row r="2618" spans="2:10" ht="18.75" hidden="1" customHeight="1" x14ac:dyDescent="0.25">
      <c r="B2618" s="2913"/>
      <c r="C2618" s="4036" t="s">
        <v>3731</v>
      </c>
      <c r="D2618" s="1054">
        <v>200000000</v>
      </c>
      <c r="E2618" s="666">
        <v>197300000</v>
      </c>
      <c r="F2618" s="880">
        <f t="shared" si="71"/>
        <v>98.65</v>
      </c>
      <c r="G2618" s="1717">
        <v>98.65</v>
      </c>
      <c r="H2618" s="535"/>
    </row>
    <row r="2619" spans="2:10" ht="18" hidden="1" customHeight="1" x14ac:dyDescent="0.25">
      <c r="B2619" s="2913"/>
      <c r="C2619" s="4036" t="s">
        <v>3732</v>
      </c>
      <c r="D2619" s="1054">
        <v>560000000</v>
      </c>
      <c r="E2619" s="666">
        <v>559772000</v>
      </c>
      <c r="F2619" s="880">
        <f t="shared" si="71"/>
        <v>99.959285714285713</v>
      </c>
      <c r="G2619" s="1717">
        <v>99.959285714285713</v>
      </c>
      <c r="H2619" s="535"/>
    </row>
    <row r="2620" spans="2:10" ht="18.75" hidden="1" customHeight="1" x14ac:dyDescent="0.25">
      <c r="B2620" s="2913"/>
      <c r="C2620" s="4036" t="s">
        <v>3733</v>
      </c>
      <c r="D2620" s="1054">
        <v>500000000</v>
      </c>
      <c r="E2620" s="666">
        <v>483665000</v>
      </c>
      <c r="F2620" s="880">
        <f t="shared" si="71"/>
        <v>96.733000000000004</v>
      </c>
      <c r="G2620" s="1717">
        <v>96.733000000000004</v>
      </c>
      <c r="H2620" s="535"/>
    </row>
    <row r="2621" spans="2:10" ht="18.75" hidden="1" customHeight="1" x14ac:dyDescent="0.25">
      <c r="B2621" s="2913"/>
      <c r="C2621" s="4036" t="s">
        <v>3734</v>
      </c>
      <c r="D2621" s="1054">
        <v>100000000</v>
      </c>
      <c r="E2621" s="666">
        <v>96400000</v>
      </c>
      <c r="F2621" s="880">
        <f t="shared" si="71"/>
        <v>96.399999999999991</v>
      </c>
      <c r="G2621" s="1717">
        <v>96.399999999999991</v>
      </c>
      <c r="H2621" s="535"/>
    </row>
    <row r="2622" spans="2:10" ht="14.25" hidden="1" customHeight="1" x14ac:dyDescent="0.25">
      <c r="B2622" s="2913"/>
      <c r="C2622" s="4036" t="s">
        <v>3735</v>
      </c>
      <c r="D2622" s="1054">
        <v>200000000</v>
      </c>
      <c r="E2622" s="666">
        <v>86900000</v>
      </c>
      <c r="F2622" s="880">
        <f t="shared" si="71"/>
        <v>43.45</v>
      </c>
      <c r="G2622" s="1717">
        <v>43.45</v>
      </c>
      <c r="H2622" s="535"/>
    </row>
    <row r="2623" spans="2:10" ht="15.75" hidden="1" customHeight="1" x14ac:dyDescent="0.25">
      <c r="B2623" s="2913"/>
      <c r="C2623" s="4026" t="s">
        <v>3736</v>
      </c>
      <c r="D2623" s="1053">
        <v>400000000</v>
      </c>
      <c r="E2623" s="666">
        <v>399390000</v>
      </c>
      <c r="F2623" s="880">
        <f t="shared" si="71"/>
        <v>99.847499999999997</v>
      </c>
      <c r="G2623" s="1717">
        <v>99.847499999999997</v>
      </c>
      <c r="H2623" s="535"/>
    </row>
    <row r="2624" spans="2:10" ht="15.75" hidden="1" customHeight="1" x14ac:dyDescent="0.25">
      <c r="B2624" s="2913"/>
      <c r="C2624" s="4026" t="s">
        <v>3737</v>
      </c>
      <c r="D2624" s="1053">
        <v>500000000</v>
      </c>
      <c r="E2624" s="666">
        <v>487131000</v>
      </c>
      <c r="F2624" s="880">
        <f t="shared" si="71"/>
        <v>97.426199999999994</v>
      </c>
      <c r="G2624" s="1717">
        <v>97.426199999999994</v>
      </c>
      <c r="H2624" s="535"/>
    </row>
    <row r="2625" spans="1:11" ht="16.5" hidden="1" customHeight="1" x14ac:dyDescent="0.25">
      <c r="B2625" s="2913"/>
      <c r="C2625" s="4026" t="s">
        <v>3738</v>
      </c>
      <c r="D2625" s="1053">
        <v>500000000</v>
      </c>
      <c r="E2625" s="666">
        <v>476605000</v>
      </c>
      <c r="F2625" s="880">
        <f t="shared" si="71"/>
        <v>95.320999999999998</v>
      </c>
      <c r="G2625" s="1717">
        <v>95.320999999999998</v>
      </c>
      <c r="H2625" s="535"/>
    </row>
    <row r="2626" spans="1:11" ht="16.5" hidden="1" customHeight="1" x14ac:dyDescent="0.25">
      <c r="B2626" s="2913"/>
      <c r="C2626" s="4036" t="s">
        <v>3739</v>
      </c>
      <c r="D2626" s="1054">
        <v>500000000</v>
      </c>
      <c r="E2626" s="666">
        <v>481800000</v>
      </c>
      <c r="F2626" s="880">
        <f t="shared" si="71"/>
        <v>96.36</v>
      </c>
      <c r="G2626" s="1717">
        <v>96.36</v>
      </c>
      <c r="H2626" s="535"/>
    </row>
    <row r="2627" spans="1:11" ht="16.5" hidden="1" customHeight="1" x14ac:dyDescent="0.25">
      <c r="B2627" s="2913"/>
      <c r="C2627" s="4036" t="s">
        <v>3740</v>
      </c>
      <c r="D2627" s="1054">
        <v>150000000</v>
      </c>
      <c r="E2627" s="666">
        <v>134630000</v>
      </c>
      <c r="F2627" s="880">
        <f t="shared" si="71"/>
        <v>89.75333333333333</v>
      </c>
      <c r="G2627" s="1717">
        <v>89.75333333333333</v>
      </c>
      <c r="H2627" s="535"/>
    </row>
    <row r="2628" spans="1:11" ht="15.75" hidden="1" customHeight="1" x14ac:dyDescent="0.25">
      <c r="B2628" s="2913"/>
      <c r="C2628" s="4036" t="s">
        <v>3741</v>
      </c>
      <c r="D2628" s="1054">
        <v>150000000</v>
      </c>
      <c r="E2628" s="666">
        <v>144280000</v>
      </c>
      <c r="F2628" s="880">
        <f t="shared" si="71"/>
        <v>96.186666666666667</v>
      </c>
      <c r="G2628" s="1717">
        <v>96.186666666666667</v>
      </c>
      <c r="H2628" s="535"/>
    </row>
    <row r="2629" spans="1:11" ht="15.75" hidden="1" customHeight="1" x14ac:dyDescent="0.25">
      <c r="B2629" s="2913"/>
      <c r="C2629" s="4036" t="s">
        <v>3742</v>
      </c>
      <c r="D2629" s="1054">
        <v>200000000</v>
      </c>
      <c r="E2629" s="666">
        <v>189935000</v>
      </c>
      <c r="F2629" s="880">
        <f t="shared" si="71"/>
        <v>94.967500000000001</v>
      </c>
      <c r="G2629" s="1717">
        <v>94.967500000000001</v>
      </c>
      <c r="H2629" s="535"/>
    </row>
    <row r="2630" spans="1:11" ht="14.25" hidden="1" customHeight="1" x14ac:dyDescent="0.25">
      <c r="B2630" s="2913"/>
      <c r="C2630" s="4036" t="s">
        <v>3743</v>
      </c>
      <c r="D2630" s="1054">
        <v>400000000</v>
      </c>
      <c r="E2630" s="666">
        <v>392800000</v>
      </c>
      <c r="F2630" s="880">
        <f t="shared" si="71"/>
        <v>98.2</v>
      </c>
      <c r="G2630" s="1717">
        <v>98.2</v>
      </c>
      <c r="H2630" s="535"/>
    </row>
    <row r="2631" spans="1:11" ht="18" hidden="1" customHeight="1" x14ac:dyDescent="0.25">
      <c r="B2631" s="2913"/>
      <c r="C2631" s="4036" t="s">
        <v>3744</v>
      </c>
      <c r="D2631" s="1054">
        <v>150000000</v>
      </c>
      <c r="E2631" s="666">
        <v>139950000</v>
      </c>
      <c r="F2631" s="880">
        <f t="shared" si="71"/>
        <v>93.300000000000011</v>
      </c>
      <c r="G2631" s="1717">
        <v>93.300000000000011</v>
      </c>
      <c r="H2631" s="535"/>
    </row>
    <row r="2632" spans="1:11" ht="18" hidden="1" customHeight="1" x14ac:dyDescent="0.25">
      <c r="B2632" s="2913"/>
      <c r="C2632" s="4036" t="s">
        <v>3746</v>
      </c>
      <c r="D2632" s="1054">
        <v>150000000</v>
      </c>
      <c r="E2632" s="666">
        <v>139800000</v>
      </c>
      <c r="F2632" s="880">
        <f t="shared" si="71"/>
        <v>93.2</v>
      </c>
      <c r="G2632" s="1717">
        <v>93.2</v>
      </c>
      <c r="H2632" s="535"/>
    </row>
    <row r="2633" spans="1:11" ht="18" hidden="1" customHeight="1" x14ac:dyDescent="0.25">
      <c r="B2633" s="2913"/>
      <c r="C2633" s="4036" t="s">
        <v>3745</v>
      </c>
      <c r="D2633" s="1054">
        <v>500000000</v>
      </c>
      <c r="E2633" s="666">
        <v>498700000</v>
      </c>
      <c r="F2633" s="880">
        <f t="shared" si="71"/>
        <v>99.74</v>
      </c>
      <c r="G2633" s="1717">
        <v>99.74</v>
      </c>
      <c r="H2633" s="535"/>
    </row>
    <row r="2634" spans="1:11" ht="17.25" hidden="1" customHeight="1" x14ac:dyDescent="0.25">
      <c r="B2634" s="2913"/>
      <c r="C2634" s="4036" t="s">
        <v>3747</v>
      </c>
      <c r="D2634" s="1054">
        <v>200000000</v>
      </c>
      <c r="E2634" s="666">
        <v>199791000</v>
      </c>
      <c r="F2634" s="880">
        <f t="shared" si="71"/>
        <v>99.895499999999998</v>
      </c>
      <c r="G2634" s="1717">
        <v>99.895499999999998</v>
      </c>
      <c r="H2634" s="535"/>
    </row>
    <row r="2635" spans="1:11" ht="17.25" hidden="1" customHeight="1" x14ac:dyDescent="0.25">
      <c r="B2635" s="2913"/>
      <c r="C2635" s="4036" t="s">
        <v>3748</v>
      </c>
      <c r="D2635" s="1054">
        <v>1500000000</v>
      </c>
      <c r="E2635" s="666">
        <v>1449000000</v>
      </c>
      <c r="F2635" s="880">
        <f t="shared" si="71"/>
        <v>96.6</v>
      </c>
      <c r="G2635" s="1717">
        <v>96.6</v>
      </c>
      <c r="H2635" s="535"/>
    </row>
    <row r="2636" spans="1:11" s="3504" customFormat="1" ht="9" hidden="1" customHeight="1" x14ac:dyDescent="0.25">
      <c r="A2636" s="352"/>
      <c r="B2636" s="2913"/>
      <c r="C2636" s="4036"/>
      <c r="D2636" s="1054"/>
      <c r="E2636" s="788"/>
      <c r="F2636" s="2855"/>
      <c r="G2636" s="1315"/>
      <c r="H2636" s="535"/>
      <c r="J2636" s="522"/>
      <c r="K2636" s="522"/>
    </row>
    <row r="2637" spans="1:11" ht="18" hidden="1" customHeight="1" x14ac:dyDescent="0.25">
      <c r="B2637" s="2913"/>
      <c r="C2637" s="4035" t="s">
        <v>1984</v>
      </c>
      <c r="D2637" s="1048">
        <f>SUM(D2638)</f>
        <v>250000000</v>
      </c>
      <c r="E2637" s="1048">
        <f>SUM(E2638)</f>
        <v>250000000</v>
      </c>
      <c r="F2637" s="2410">
        <f>E2637/D2637*100</f>
        <v>100</v>
      </c>
      <c r="G2637" s="2261">
        <v>100</v>
      </c>
      <c r="H2637" s="535"/>
    </row>
    <row r="2638" spans="1:11" ht="15.75" hidden="1" customHeight="1" x14ac:dyDescent="0.25">
      <c r="B2638" s="2913"/>
      <c r="C2638" s="4036" t="s">
        <v>1985</v>
      </c>
      <c r="D2638" s="1054">
        <v>250000000</v>
      </c>
      <c r="E2638" s="666">
        <v>250000000</v>
      </c>
      <c r="F2638" s="880">
        <f>E2638/D2638*100</f>
        <v>100</v>
      </c>
      <c r="G2638" s="1717">
        <v>100</v>
      </c>
      <c r="H2638" s="535"/>
    </row>
    <row r="2639" spans="1:11" ht="6.75" hidden="1" customHeight="1" x14ac:dyDescent="0.25">
      <c r="B2639" s="2913"/>
      <c r="C2639" s="4035"/>
      <c r="D2639" s="1048"/>
      <c r="E2639" s="894"/>
      <c r="F2639" s="2429"/>
      <c r="G2639" s="1315"/>
      <c r="H2639" s="535"/>
    </row>
    <row r="2640" spans="1:11" ht="18" hidden="1" customHeight="1" x14ac:dyDescent="0.25">
      <c r="B2640" s="2913"/>
      <c r="C2640" s="4035" t="s">
        <v>1986</v>
      </c>
      <c r="D2640" s="1048">
        <f>SUM(D2641)</f>
        <v>300000000</v>
      </c>
      <c r="E2640" s="1048">
        <f>SUM(E2641)</f>
        <v>276580000</v>
      </c>
      <c r="F2640" s="2410">
        <f>E2640/D2640*100</f>
        <v>92.193333333333342</v>
      </c>
      <c r="G2640" s="3769">
        <v>92.193333333333342</v>
      </c>
      <c r="H2640" s="535"/>
    </row>
    <row r="2641" spans="1:11" ht="30" hidden="1" customHeight="1" x14ac:dyDescent="0.25">
      <c r="B2641" s="2913"/>
      <c r="C2641" s="4036" t="s">
        <v>1987</v>
      </c>
      <c r="D2641" s="1054">
        <v>300000000</v>
      </c>
      <c r="E2641" s="1238">
        <v>276580000</v>
      </c>
      <c r="F2641" s="880">
        <f>E2641/D2641*100</f>
        <v>92.193333333333342</v>
      </c>
      <c r="G2641" s="971">
        <v>92.193333333333342</v>
      </c>
      <c r="H2641" s="535"/>
    </row>
    <row r="2642" spans="1:11" ht="8.25" hidden="1" customHeight="1" x14ac:dyDescent="0.25">
      <c r="B2642" s="2913"/>
      <c r="C2642" s="4035"/>
      <c r="D2642" s="1048"/>
      <c r="E2642" s="894"/>
      <c r="F2642" s="2429"/>
      <c r="G2642" s="1315"/>
      <c r="H2642" s="535"/>
    </row>
    <row r="2643" spans="1:11" ht="17.25" hidden="1" customHeight="1" x14ac:dyDescent="0.25">
      <c r="B2643" s="2913"/>
      <c r="C2643" s="4035" t="s">
        <v>1988</v>
      </c>
      <c r="D2643" s="1048">
        <f>SUM(D2644:D2645)</f>
        <v>700000000</v>
      </c>
      <c r="E2643" s="1048">
        <f>SUM(E2644:E2645)</f>
        <v>699714000</v>
      </c>
      <c r="F2643" s="2410">
        <f>E2643/D2643*100</f>
        <v>99.959142857142851</v>
      </c>
      <c r="G2643" s="2261">
        <f>SUM(G2644:G2645)/2</f>
        <v>99.968222222222224</v>
      </c>
      <c r="H2643" s="535"/>
    </row>
    <row r="2644" spans="1:11" ht="18.75" hidden="1" customHeight="1" x14ac:dyDescent="0.25">
      <c r="B2644" s="2913"/>
      <c r="C2644" s="4036" t="s">
        <v>1989</v>
      </c>
      <c r="D2644" s="1054">
        <v>450000000</v>
      </c>
      <c r="E2644" s="1846">
        <v>449714000</v>
      </c>
      <c r="F2644" s="880">
        <f>E2644/D2644*100</f>
        <v>99.936444444444447</v>
      </c>
      <c r="G2644" s="2429">
        <v>99.936444444444447</v>
      </c>
      <c r="H2644" s="535"/>
    </row>
    <row r="2645" spans="1:11" ht="18" hidden="1" customHeight="1" x14ac:dyDescent="0.25">
      <c r="B2645" s="2913"/>
      <c r="C2645" s="4036" t="s">
        <v>1990</v>
      </c>
      <c r="D2645" s="1054">
        <v>250000000</v>
      </c>
      <c r="E2645" s="3879">
        <v>250000000</v>
      </c>
      <c r="F2645" s="880">
        <f>E2645/D2645*100</f>
        <v>100</v>
      </c>
      <c r="G2645" s="3648">
        <v>100</v>
      </c>
      <c r="H2645" s="535"/>
    </row>
    <row r="2646" spans="1:11" ht="7.5" hidden="1" customHeight="1" x14ac:dyDescent="0.25">
      <c r="B2646" s="2913"/>
      <c r="C2646" s="1295"/>
      <c r="D2646" s="1048"/>
      <c r="E2646" s="969"/>
      <c r="F2646" s="2279"/>
      <c r="G2646" s="2279"/>
      <c r="H2646" s="535"/>
    </row>
    <row r="2647" spans="1:11" s="3504" customFormat="1" ht="27" hidden="1" customHeight="1" x14ac:dyDescent="0.25">
      <c r="A2647" s="352"/>
      <c r="B2647" s="2913"/>
      <c r="C2647" s="3944" t="s">
        <v>3749</v>
      </c>
      <c r="D2647" s="1058">
        <f>D2648</f>
        <v>275000000</v>
      </c>
      <c r="E2647" s="1058">
        <f>E2648</f>
        <v>275000000</v>
      </c>
      <c r="F2647" s="3507">
        <f>E2647/D2647*100</f>
        <v>100</v>
      </c>
      <c r="G2647" s="2261">
        <v>100</v>
      </c>
      <c r="H2647" s="535"/>
      <c r="J2647" s="522"/>
      <c r="K2647" s="522"/>
    </row>
    <row r="2648" spans="1:11" s="3504" customFormat="1" ht="16.5" hidden="1" customHeight="1" x14ac:dyDescent="0.25">
      <c r="A2648" s="352"/>
      <c r="B2648" s="2913"/>
      <c r="C2648" s="4031" t="s">
        <v>3750</v>
      </c>
      <c r="D2648" s="3508">
        <v>275000000</v>
      </c>
      <c r="E2648" s="3506">
        <v>275000000</v>
      </c>
      <c r="F2648" s="880">
        <f>E2648/D2648*100</f>
        <v>100</v>
      </c>
      <c r="G2648" s="1717">
        <v>100</v>
      </c>
      <c r="H2648" s="535"/>
      <c r="J2648" s="522"/>
      <c r="K2648" s="522"/>
    </row>
    <row r="2649" spans="1:11" s="3504" customFormat="1" ht="12" hidden="1" customHeight="1" x14ac:dyDescent="0.25">
      <c r="A2649" s="352"/>
      <c r="B2649" s="2913"/>
      <c r="C2649" s="1296"/>
      <c r="D2649" s="1056"/>
      <c r="E2649" s="969"/>
      <c r="F2649" s="2279"/>
      <c r="G2649" s="2279"/>
      <c r="H2649" s="535"/>
      <c r="J2649" s="522"/>
      <c r="K2649" s="522"/>
    </row>
    <row r="2650" spans="1:11" ht="16.5" hidden="1" customHeight="1" x14ac:dyDescent="0.25">
      <c r="B2650" s="5397"/>
      <c r="C2650" s="4024" t="s">
        <v>363</v>
      </c>
      <c r="D2650" s="1055">
        <f>SUM(D2651+D2654)</f>
        <v>2700000000</v>
      </c>
      <c r="E2650" s="1055">
        <f>SUM(E2651+E2654)</f>
        <v>2255908000</v>
      </c>
      <c r="F2650" s="2417">
        <f>E2650/D2650*100</f>
        <v>83.552148148148149</v>
      </c>
      <c r="G2650" s="1726">
        <f>SUM(G2651+G2654)/2</f>
        <v>81.56022999999999</v>
      </c>
      <c r="H2650" s="535"/>
    </row>
    <row r="2651" spans="1:11" ht="16.5" hidden="1" customHeight="1" x14ac:dyDescent="0.25">
      <c r="B2651" s="2913"/>
      <c r="C2651" s="1286" t="s">
        <v>1991</v>
      </c>
      <c r="D2651" s="1056">
        <f>SUM(D2652)</f>
        <v>1000000000</v>
      </c>
      <c r="E2651" s="1056">
        <f>SUM(E2652)</f>
        <v>684140000</v>
      </c>
      <c r="F2651" s="3507">
        <f>E2651/D2651*100</f>
        <v>68.414000000000001</v>
      </c>
      <c r="G2651" s="3554">
        <v>68.414000000000001</v>
      </c>
      <c r="H2651" s="535"/>
    </row>
    <row r="2652" spans="1:11" ht="18" hidden="1" customHeight="1" x14ac:dyDescent="0.25">
      <c r="B2652" s="2913"/>
      <c r="C2652" s="4031" t="s">
        <v>2396</v>
      </c>
      <c r="D2652" s="1057">
        <v>1000000000</v>
      </c>
      <c r="E2652" s="3879">
        <v>684140000</v>
      </c>
      <c r="F2652" s="880">
        <f>E2652/D2652*100</f>
        <v>68.414000000000001</v>
      </c>
      <c r="G2652" s="1668">
        <v>68.414000000000001</v>
      </c>
      <c r="H2652" s="535"/>
    </row>
    <row r="2653" spans="1:11" ht="9.75" hidden="1" customHeight="1" x14ac:dyDescent="0.25">
      <c r="B2653" s="2913"/>
      <c r="C2653" s="3944"/>
      <c r="D2653" s="1058"/>
      <c r="E2653" s="894"/>
      <c r="F2653" s="1315"/>
      <c r="G2653" s="1315"/>
      <c r="H2653" s="535"/>
    </row>
    <row r="2654" spans="1:11" ht="15.75" hidden="1" customHeight="1" x14ac:dyDescent="0.25">
      <c r="B2654" s="2913"/>
      <c r="C2654" s="1286" t="s">
        <v>1992</v>
      </c>
      <c r="D2654" s="1056">
        <f>SUM(D2655:D2659)</f>
        <v>1700000000</v>
      </c>
      <c r="E2654" s="1056">
        <f>SUM(E2655:E2659)</f>
        <v>1571768000</v>
      </c>
      <c r="F2654" s="3507">
        <f t="shared" ref="F2654:F2659" si="72">E2654/D2654*100</f>
        <v>92.456941176470593</v>
      </c>
      <c r="G2654" s="3691">
        <f>SUM(G2655:G2659)/5</f>
        <v>94.706459999999993</v>
      </c>
      <c r="H2654" s="535"/>
    </row>
    <row r="2655" spans="1:11" ht="18" hidden="1" customHeight="1" x14ac:dyDescent="0.25">
      <c r="B2655" s="2913"/>
      <c r="C2655" s="4031" t="s">
        <v>2397</v>
      </c>
      <c r="D2655" s="1057">
        <v>1000000000</v>
      </c>
      <c r="E2655" s="666">
        <v>896288000</v>
      </c>
      <c r="F2655" s="880">
        <f t="shared" si="72"/>
        <v>89.628799999999998</v>
      </c>
      <c r="G2655" s="1717">
        <v>89.628799999999998</v>
      </c>
      <c r="H2655" s="535"/>
    </row>
    <row r="2656" spans="1:11" ht="18.75" hidden="1" customHeight="1" x14ac:dyDescent="0.25">
      <c r="B2656" s="2913"/>
      <c r="C2656" s="4031" t="s">
        <v>2368</v>
      </c>
      <c r="D2656" s="1057">
        <v>150000000</v>
      </c>
      <c r="E2656" s="666">
        <v>138506000</v>
      </c>
      <c r="F2656" s="880">
        <f t="shared" si="72"/>
        <v>92.337333333333333</v>
      </c>
      <c r="G2656" s="1717">
        <v>92.337333333333333</v>
      </c>
      <c r="H2656" s="535"/>
    </row>
    <row r="2657" spans="2:8" ht="18.75" hidden="1" customHeight="1" x14ac:dyDescent="0.25">
      <c r="B2657" s="2913"/>
      <c r="C2657" s="4031" t="s">
        <v>2367</v>
      </c>
      <c r="D2657" s="1057">
        <v>150000000</v>
      </c>
      <c r="E2657" s="666">
        <v>138475000</v>
      </c>
      <c r="F2657" s="880">
        <f t="shared" si="72"/>
        <v>92.316666666666663</v>
      </c>
      <c r="G2657" s="1717">
        <v>92.316666666666663</v>
      </c>
      <c r="H2657" s="535"/>
    </row>
    <row r="2658" spans="2:8" ht="17.25" hidden="1" customHeight="1" x14ac:dyDescent="0.25">
      <c r="B2658" s="2913"/>
      <c r="C2658" s="4031" t="s">
        <v>2369</v>
      </c>
      <c r="D2658" s="1057">
        <v>200000000</v>
      </c>
      <c r="E2658" s="666">
        <v>199862000</v>
      </c>
      <c r="F2658" s="880">
        <f t="shared" si="72"/>
        <v>99.930999999999997</v>
      </c>
      <c r="G2658" s="1717">
        <v>99.930999999999997</v>
      </c>
      <c r="H2658" s="535"/>
    </row>
    <row r="2659" spans="2:8" ht="17.25" hidden="1" customHeight="1" x14ac:dyDescent="0.25">
      <c r="B2659" s="2913"/>
      <c r="C2659" s="4031" t="s">
        <v>2370</v>
      </c>
      <c r="D2659" s="1057">
        <v>200000000</v>
      </c>
      <c r="E2659" s="666">
        <v>198637000</v>
      </c>
      <c r="F2659" s="880">
        <f t="shared" si="72"/>
        <v>99.3185</v>
      </c>
      <c r="G2659" s="1717">
        <v>99.3185</v>
      </c>
      <c r="H2659" s="535"/>
    </row>
    <row r="2660" spans="2:8" ht="8.25" hidden="1" customHeight="1" x14ac:dyDescent="0.25">
      <c r="B2660" s="2913"/>
      <c r="C2660" s="4036"/>
      <c r="D2660" s="1048"/>
      <c r="E2660" s="894"/>
      <c r="F2660" s="2285"/>
      <c r="G2660" s="2285"/>
      <c r="H2660" s="535"/>
    </row>
    <row r="2661" spans="2:8" ht="15.75" hidden="1" customHeight="1" x14ac:dyDescent="0.25">
      <c r="B2661" s="5397"/>
      <c r="C2661" s="4024" t="s">
        <v>1993</v>
      </c>
      <c r="D2661" s="1055">
        <f>SUM(D2662)</f>
        <v>5546775000</v>
      </c>
      <c r="E2661" s="1055">
        <f>SUM(E2662)</f>
        <v>5472567000</v>
      </c>
      <c r="F2661" s="2417">
        <f t="shared" ref="F2661:F2677" si="73">E2661/D2661*100</f>
        <v>98.662141514663929</v>
      </c>
      <c r="G2661" s="2356">
        <f>SUM(G2662)/1</f>
        <v>99.031226666666669</v>
      </c>
      <c r="H2661" s="535"/>
    </row>
    <row r="2662" spans="2:8" ht="15" hidden="1" customHeight="1" x14ac:dyDescent="0.25">
      <c r="B2662" s="2913"/>
      <c r="C2662" s="1286" t="s">
        <v>1994</v>
      </c>
      <c r="D2662" s="1056">
        <f>SUM(D2663:D2677)</f>
        <v>5546775000</v>
      </c>
      <c r="E2662" s="1056">
        <f>SUM(E2663:E2677)</f>
        <v>5472567000</v>
      </c>
      <c r="F2662" s="3507">
        <f t="shared" si="73"/>
        <v>98.662141514663929</v>
      </c>
      <c r="G2662" s="2562">
        <f>SUM(G2663:G2677)/15</f>
        <v>99.031226666666669</v>
      </c>
      <c r="H2662" s="535"/>
    </row>
    <row r="2663" spans="2:8" ht="13.5" hidden="1" customHeight="1" x14ac:dyDescent="0.25">
      <c r="B2663" s="2913"/>
      <c r="C2663" s="4036" t="s">
        <v>1995</v>
      </c>
      <c r="D2663" s="1054">
        <v>600000000</v>
      </c>
      <c r="E2663" s="666">
        <v>564750000</v>
      </c>
      <c r="F2663" s="880">
        <f t="shared" si="73"/>
        <v>94.125</v>
      </c>
      <c r="G2663" s="1717">
        <v>94.125</v>
      </c>
      <c r="H2663" s="535"/>
    </row>
    <row r="2664" spans="2:8" ht="17.25" hidden="1" customHeight="1" x14ac:dyDescent="0.25">
      <c r="B2664" s="2913"/>
      <c r="C2664" s="4036" t="s">
        <v>1996</v>
      </c>
      <c r="D2664" s="1054">
        <v>500000000</v>
      </c>
      <c r="E2664" s="666">
        <v>497390000</v>
      </c>
      <c r="F2664" s="880">
        <f t="shared" si="73"/>
        <v>99.477999999999994</v>
      </c>
      <c r="G2664" s="1717">
        <v>99.477999999999994</v>
      </c>
      <c r="H2664" s="535"/>
    </row>
    <row r="2665" spans="2:8" ht="16.5" hidden="1" customHeight="1" x14ac:dyDescent="0.25">
      <c r="B2665" s="2913"/>
      <c r="C2665" s="4036" t="s">
        <v>1997</v>
      </c>
      <c r="D2665" s="1054">
        <v>500000000</v>
      </c>
      <c r="E2665" s="666">
        <v>473100000</v>
      </c>
      <c r="F2665" s="880">
        <f t="shared" si="73"/>
        <v>94.62</v>
      </c>
      <c r="G2665" s="1717">
        <v>94.62</v>
      </c>
      <c r="H2665" s="535"/>
    </row>
    <row r="2666" spans="2:8" ht="16.5" hidden="1" customHeight="1" x14ac:dyDescent="0.25">
      <c r="B2666" s="2913"/>
      <c r="C2666" s="4036" t="s">
        <v>1998</v>
      </c>
      <c r="D2666" s="1054">
        <v>165125000</v>
      </c>
      <c r="E2666" s="666">
        <v>165125000</v>
      </c>
      <c r="F2666" s="880">
        <f t="shared" si="73"/>
        <v>100</v>
      </c>
      <c r="G2666" s="1717">
        <v>100</v>
      </c>
      <c r="H2666" s="535"/>
    </row>
    <row r="2667" spans="2:8" ht="14.25" hidden="1" customHeight="1" x14ac:dyDescent="0.25">
      <c r="B2667" s="2913"/>
      <c r="C2667" s="4036" t="s">
        <v>1999</v>
      </c>
      <c r="D2667" s="1054">
        <v>165825000</v>
      </c>
      <c r="E2667" s="666">
        <v>165825000</v>
      </c>
      <c r="F2667" s="880">
        <f t="shared" si="73"/>
        <v>100</v>
      </c>
      <c r="G2667" s="1717">
        <v>100</v>
      </c>
      <c r="H2667" s="535"/>
    </row>
    <row r="2668" spans="2:8" ht="15" hidden="1" customHeight="1" x14ac:dyDescent="0.25">
      <c r="B2668" s="2913"/>
      <c r="C2668" s="4036" t="s">
        <v>2000</v>
      </c>
      <c r="D2668" s="1054">
        <v>165825000</v>
      </c>
      <c r="E2668" s="666">
        <v>165825000</v>
      </c>
      <c r="F2668" s="880">
        <f t="shared" si="73"/>
        <v>100</v>
      </c>
      <c r="G2668" s="1717">
        <v>100</v>
      </c>
      <c r="H2668" s="535"/>
    </row>
    <row r="2669" spans="2:8" ht="14.25" hidden="1" customHeight="1" x14ac:dyDescent="0.25">
      <c r="B2669" s="2913"/>
      <c r="C2669" s="4036" t="s">
        <v>2001</v>
      </c>
      <c r="D2669" s="1054">
        <v>100000000</v>
      </c>
      <c r="E2669" s="1917">
        <v>99650000</v>
      </c>
      <c r="F2669" s="880">
        <f t="shared" si="73"/>
        <v>99.65</v>
      </c>
      <c r="G2669" s="1717">
        <v>99.65</v>
      </c>
      <c r="H2669" s="535"/>
    </row>
    <row r="2670" spans="2:8" ht="15" hidden="1" customHeight="1" x14ac:dyDescent="0.25">
      <c r="B2670" s="2913"/>
      <c r="C2670" s="4036" t="s">
        <v>2002</v>
      </c>
      <c r="D2670" s="1054">
        <v>100000000</v>
      </c>
      <c r="E2670" s="666">
        <v>99600000</v>
      </c>
      <c r="F2670" s="880">
        <f t="shared" si="73"/>
        <v>99.6</v>
      </c>
      <c r="G2670" s="1717">
        <v>99.6</v>
      </c>
      <c r="H2670" s="535"/>
    </row>
    <row r="2671" spans="2:8" ht="16.5" hidden="1" customHeight="1" x14ac:dyDescent="0.25">
      <c r="B2671" s="2913"/>
      <c r="C2671" s="4036" t="s">
        <v>2003</v>
      </c>
      <c r="D2671" s="1054">
        <v>500000000</v>
      </c>
      <c r="E2671" s="666">
        <v>499868000</v>
      </c>
      <c r="F2671" s="880">
        <f t="shared" si="73"/>
        <v>99.97359999999999</v>
      </c>
      <c r="G2671" s="1717">
        <v>99.97359999999999</v>
      </c>
      <c r="H2671" s="535"/>
    </row>
    <row r="2672" spans="2:8" ht="14.25" hidden="1" customHeight="1" x14ac:dyDescent="0.25">
      <c r="B2672" s="2913"/>
      <c r="C2672" s="4036" t="s">
        <v>2004</v>
      </c>
      <c r="D2672" s="1054">
        <v>500000000</v>
      </c>
      <c r="E2672" s="666">
        <v>498750000</v>
      </c>
      <c r="F2672" s="880">
        <f t="shared" si="73"/>
        <v>99.75</v>
      </c>
      <c r="G2672" s="1717">
        <v>99.75</v>
      </c>
      <c r="H2672" s="535"/>
    </row>
    <row r="2673" spans="2:8" ht="15.75" hidden="1" customHeight="1" x14ac:dyDescent="0.25">
      <c r="B2673" s="2913"/>
      <c r="C2673" s="4036" t="s">
        <v>2005</v>
      </c>
      <c r="D2673" s="1054">
        <v>500000000</v>
      </c>
      <c r="E2673" s="666">
        <v>498750000</v>
      </c>
      <c r="F2673" s="880">
        <f t="shared" si="73"/>
        <v>99.75</v>
      </c>
      <c r="G2673" s="1717">
        <v>99.75</v>
      </c>
      <c r="H2673" s="535"/>
    </row>
    <row r="2674" spans="2:8" ht="14.25" hidden="1" customHeight="1" x14ac:dyDescent="0.25">
      <c r="B2674" s="2913"/>
      <c r="C2674" s="4036" t="s">
        <v>2006</v>
      </c>
      <c r="D2674" s="1054">
        <v>500000000</v>
      </c>
      <c r="E2674" s="666">
        <v>498919000</v>
      </c>
      <c r="F2674" s="880">
        <f t="shared" si="73"/>
        <v>99.783799999999999</v>
      </c>
      <c r="G2674" s="1717">
        <v>99.783799999999999</v>
      </c>
      <c r="H2674" s="535"/>
    </row>
    <row r="2675" spans="2:8" ht="13.5" hidden="1" customHeight="1" x14ac:dyDescent="0.25">
      <c r="B2675" s="2913"/>
      <c r="C2675" s="4036" t="s">
        <v>2007</v>
      </c>
      <c r="D2675" s="1054">
        <v>500000000</v>
      </c>
      <c r="E2675" s="666">
        <v>497290000</v>
      </c>
      <c r="F2675" s="880">
        <f t="shared" si="73"/>
        <v>99.457999999999998</v>
      </c>
      <c r="G2675" s="1717">
        <v>99.457999999999998</v>
      </c>
      <c r="H2675" s="535"/>
    </row>
    <row r="2676" spans="2:8" ht="15.75" hidden="1" customHeight="1" x14ac:dyDescent="0.25">
      <c r="B2676" s="2913"/>
      <c r="C2676" s="4036" t="s">
        <v>2008</v>
      </c>
      <c r="D2676" s="1054">
        <v>250000000</v>
      </c>
      <c r="E2676" s="666">
        <v>248675000</v>
      </c>
      <c r="F2676" s="880">
        <f t="shared" si="73"/>
        <v>99.47</v>
      </c>
      <c r="G2676" s="1717">
        <v>99.47</v>
      </c>
      <c r="H2676" s="535"/>
    </row>
    <row r="2677" spans="2:8" ht="15" hidden="1" customHeight="1" x14ac:dyDescent="0.25">
      <c r="B2677" s="2913"/>
      <c r="C2677" s="4036" t="s">
        <v>2009</v>
      </c>
      <c r="D2677" s="1054">
        <v>500000000</v>
      </c>
      <c r="E2677" s="666">
        <v>499050000</v>
      </c>
      <c r="F2677" s="880">
        <f t="shared" si="73"/>
        <v>99.81</v>
      </c>
      <c r="G2677" s="1717">
        <v>99.81</v>
      </c>
      <c r="H2677" s="535"/>
    </row>
    <row r="2678" spans="2:8" ht="12" hidden="1" customHeight="1" x14ac:dyDescent="0.25">
      <c r="B2678" s="2913"/>
      <c r="C2678" s="4035"/>
      <c r="D2678" s="1048"/>
      <c r="E2678" s="894"/>
      <c r="F2678" s="2696"/>
      <c r="G2678" s="2285"/>
      <c r="H2678" s="535"/>
    </row>
    <row r="2679" spans="2:8" ht="16.5" hidden="1" customHeight="1" x14ac:dyDescent="0.25">
      <c r="B2679" s="5397"/>
      <c r="C2679" s="4024" t="s">
        <v>2011</v>
      </c>
      <c r="D2679" s="1055">
        <f>SUM(D2680+D2692+D2698)</f>
        <v>6149760000</v>
      </c>
      <c r="E2679" s="1055">
        <f>SUM(E2680+E2692+E2698)</f>
        <v>6143572500</v>
      </c>
      <c r="F2679" s="2417">
        <f t="shared" ref="F2679:F2690" si="74">E2679/D2679*100</f>
        <v>99.899386317514825</v>
      </c>
      <c r="G2679" s="2356">
        <f>SUM(G2680+G2692+G2698)/3</f>
        <v>99.887192603902463</v>
      </c>
      <c r="H2679" s="535"/>
    </row>
    <row r="2680" spans="2:8" ht="28.5" hidden="1" customHeight="1" x14ac:dyDescent="0.25">
      <c r="B2680" s="2913"/>
      <c r="C2680" s="3944" t="s">
        <v>2012</v>
      </c>
      <c r="D2680" s="1058">
        <f>SUM(D2681:D2690)</f>
        <v>2749760000</v>
      </c>
      <c r="E2680" s="1058">
        <f>SUM(E2681:E2690)</f>
        <v>2746962500</v>
      </c>
      <c r="F2680" s="3507">
        <f t="shared" si="74"/>
        <v>99.898263848481321</v>
      </c>
      <c r="G2680" s="2261">
        <f>SUM(G2681:G2690)/10</f>
        <v>99.900877811707375</v>
      </c>
      <c r="H2680" s="535"/>
    </row>
    <row r="2681" spans="2:8" ht="19.5" hidden="1" customHeight="1" x14ac:dyDescent="0.25">
      <c r="B2681" s="2913"/>
      <c r="C2681" s="4036" t="s">
        <v>2032</v>
      </c>
      <c r="D2681" s="1054">
        <v>300000000</v>
      </c>
      <c r="E2681" s="666">
        <v>299900000</v>
      </c>
      <c r="F2681" s="880">
        <f t="shared" si="74"/>
        <v>99.966666666666669</v>
      </c>
      <c r="G2681" s="1717">
        <v>99.966666666666669</v>
      </c>
      <c r="H2681" s="535"/>
    </row>
    <row r="2682" spans="2:8" ht="18.75" hidden="1" customHeight="1" x14ac:dyDescent="0.25">
      <c r="B2682" s="2913"/>
      <c r="C2682" s="4036" t="s">
        <v>2031</v>
      </c>
      <c r="D2682" s="1054">
        <v>200000000</v>
      </c>
      <c r="E2682" s="666">
        <v>199840000</v>
      </c>
      <c r="F2682" s="880">
        <f t="shared" si="74"/>
        <v>99.92</v>
      </c>
      <c r="G2682" s="1717">
        <v>99.92</v>
      </c>
      <c r="H2682" s="535"/>
    </row>
    <row r="2683" spans="2:8" ht="19.5" hidden="1" customHeight="1" x14ac:dyDescent="0.25">
      <c r="B2683" s="2913"/>
      <c r="C2683" s="4036" t="s">
        <v>2030</v>
      </c>
      <c r="D2683" s="1054">
        <v>199760000</v>
      </c>
      <c r="E2683" s="666">
        <v>199460000</v>
      </c>
      <c r="F2683" s="880">
        <f t="shared" si="74"/>
        <v>99.849819783740486</v>
      </c>
      <c r="G2683" s="1717">
        <v>99.849819783740486</v>
      </c>
      <c r="H2683" s="535"/>
    </row>
    <row r="2684" spans="2:8" ht="15.75" hidden="1" customHeight="1" x14ac:dyDescent="0.25">
      <c r="B2684" s="2913"/>
      <c r="C2684" s="4036" t="s">
        <v>2028</v>
      </c>
      <c r="D2684" s="1054">
        <v>400000000</v>
      </c>
      <c r="E2684" s="666">
        <v>399770000</v>
      </c>
      <c r="F2684" s="880">
        <f t="shared" si="74"/>
        <v>99.942499999999995</v>
      </c>
      <c r="G2684" s="1717">
        <v>99.942499999999995</v>
      </c>
      <c r="H2684" s="535"/>
    </row>
    <row r="2685" spans="2:8" ht="16.5" hidden="1" customHeight="1" x14ac:dyDescent="0.25">
      <c r="B2685" s="2913"/>
      <c r="C2685" s="4036" t="s">
        <v>2029</v>
      </c>
      <c r="D2685" s="1054">
        <v>300000000</v>
      </c>
      <c r="E2685" s="666">
        <v>299750000</v>
      </c>
      <c r="F2685" s="880">
        <f t="shared" si="74"/>
        <v>99.916666666666671</v>
      </c>
      <c r="G2685" s="1717">
        <v>99.916666666666671</v>
      </c>
      <c r="H2685" s="535"/>
    </row>
    <row r="2686" spans="2:8" ht="14.25" hidden="1" customHeight="1" x14ac:dyDescent="0.25">
      <c r="B2686" s="2913"/>
      <c r="C2686" s="4036" t="s">
        <v>2027</v>
      </c>
      <c r="D2686" s="1054">
        <v>300000000</v>
      </c>
      <c r="E2686" s="666">
        <v>298980000</v>
      </c>
      <c r="F2686" s="880">
        <f t="shared" si="74"/>
        <v>99.660000000000011</v>
      </c>
      <c r="G2686" s="1717">
        <v>99.660000000000011</v>
      </c>
      <c r="H2686" s="535"/>
    </row>
    <row r="2687" spans="2:8" ht="14.25" hidden="1" customHeight="1" x14ac:dyDescent="0.25">
      <c r="B2687" s="2913"/>
      <c r="C2687" s="4036" t="s">
        <v>2026</v>
      </c>
      <c r="D2687" s="1054">
        <v>250000000</v>
      </c>
      <c r="E2687" s="666">
        <v>250000000</v>
      </c>
      <c r="F2687" s="880">
        <f t="shared" si="74"/>
        <v>100</v>
      </c>
      <c r="G2687" s="1717">
        <v>100</v>
      </c>
      <c r="H2687" s="535"/>
    </row>
    <row r="2688" spans="2:8" ht="15.75" hidden="1" customHeight="1" x14ac:dyDescent="0.25">
      <c r="B2688" s="2913"/>
      <c r="C2688" s="4036" t="s">
        <v>2025</v>
      </c>
      <c r="D2688" s="1054">
        <v>400000000</v>
      </c>
      <c r="E2688" s="666">
        <v>399512500</v>
      </c>
      <c r="F2688" s="880">
        <f t="shared" si="74"/>
        <v>99.878124999999997</v>
      </c>
      <c r="G2688" s="1717">
        <v>99.878124999999997</v>
      </c>
      <c r="H2688" s="535"/>
    </row>
    <row r="2689" spans="2:8" ht="18.75" hidden="1" customHeight="1" x14ac:dyDescent="0.25">
      <c r="B2689" s="2913"/>
      <c r="C2689" s="4036" t="s">
        <v>2024</v>
      </c>
      <c r="D2689" s="1054">
        <v>200000000</v>
      </c>
      <c r="E2689" s="666">
        <v>199900000</v>
      </c>
      <c r="F2689" s="880">
        <f t="shared" si="74"/>
        <v>99.95</v>
      </c>
      <c r="G2689" s="1717">
        <v>99.95</v>
      </c>
      <c r="H2689" s="535"/>
    </row>
    <row r="2690" spans="2:8" ht="17.25" hidden="1" customHeight="1" x14ac:dyDescent="0.25">
      <c r="B2690" s="2913"/>
      <c r="C2690" s="4036" t="s">
        <v>2023</v>
      </c>
      <c r="D2690" s="1054">
        <v>200000000</v>
      </c>
      <c r="E2690" s="666">
        <v>199850000</v>
      </c>
      <c r="F2690" s="880">
        <f t="shared" si="74"/>
        <v>99.924999999999997</v>
      </c>
      <c r="G2690" s="1717">
        <v>99.924999999999997</v>
      </c>
      <c r="H2690" s="535"/>
    </row>
    <row r="2691" spans="2:8" ht="12" hidden="1" customHeight="1" x14ac:dyDescent="0.25">
      <c r="B2691" s="2913"/>
      <c r="C2691" s="4036"/>
      <c r="D2691" s="1054"/>
      <c r="E2691" s="666"/>
      <c r="F2691" s="2429"/>
      <c r="G2691" s="1315"/>
      <c r="H2691" s="535"/>
    </row>
    <row r="2692" spans="2:8" ht="20.25" hidden="1" customHeight="1" x14ac:dyDescent="0.25">
      <c r="B2692" s="2913"/>
      <c r="C2692" s="4035" t="s">
        <v>2013</v>
      </c>
      <c r="D2692" s="1048">
        <f>SUM(D2693:D2696)</f>
        <v>1500000000</v>
      </c>
      <c r="E2692" s="1048">
        <f>SUM(E2693:E2696)</f>
        <v>1498150000</v>
      </c>
      <c r="F2692" s="3507">
        <f>E2692/D2692*100</f>
        <v>99.876666666666665</v>
      </c>
      <c r="G2692" s="2261">
        <f>SUM(G2693:G2696)/4</f>
        <v>99.829499999999996</v>
      </c>
      <c r="H2692" s="535"/>
    </row>
    <row r="2693" spans="2:8" ht="18" hidden="1" customHeight="1" x14ac:dyDescent="0.25">
      <c r="B2693" s="2913"/>
      <c r="C2693" s="4036" t="s">
        <v>2022</v>
      </c>
      <c r="D2693" s="1054">
        <v>500000000</v>
      </c>
      <c r="E2693" s="666">
        <v>499900000</v>
      </c>
      <c r="F2693" s="880">
        <f>E2693/D2693*100</f>
        <v>99.98</v>
      </c>
      <c r="G2693" s="1717">
        <v>99.98</v>
      </c>
      <c r="H2693" s="535"/>
    </row>
    <row r="2694" spans="2:8" ht="18" hidden="1" customHeight="1" x14ac:dyDescent="0.25">
      <c r="B2694" s="2913"/>
      <c r="C2694" s="4036" t="s">
        <v>2021</v>
      </c>
      <c r="D2694" s="1054">
        <v>500000000</v>
      </c>
      <c r="E2694" s="666">
        <v>499810000</v>
      </c>
      <c r="F2694" s="880">
        <f>E2694/D2694*100</f>
        <v>99.961999999999989</v>
      </c>
      <c r="G2694" s="1717">
        <v>99.961999999999989</v>
      </c>
      <c r="H2694" s="535"/>
    </row>
    <row r="2695" spans="2:8" ht="15.75" hidden="1" customHeight="1" x14ac:dyDescent="0.25">
      <c r="B2695" s="2913"/>
      <c r="C2695" s="4036" t="s">
        <v>2020</v>
      </c>
      <c r="D2695" s="1054">
        <v>250000000</v>
      </c>
      <c r="E2695" s="666">
        <v>249705000</v>
      </c>
      <c r="F2695" s="880">
        <f>E2695/D2695*100</f>
        <v>99.882000000000005</v>
      </c>
      <c r="G2695" s="1717">
        <v>99.882000000000005</v>
      </c>
      <c r="H2695" s="535"/>
    </row>
    <row r="2696" spans="2:8" ht="15.75" hidden="1" customHeight="1" x14ac:dyDescent="0.25">
      <c r="B2696" s="2913"/>
      <c r="C2696" s="4036" t="s">
        <v>2019</v>
      </c>
      <c r="D2696" s="1054">
        <v>250000000</v>
      </c>
      <c r="E2696" s="666">
        <v>248735000</v>
      </c>
      <c r="F2696" s="880">
        <f>E2696/D2696*100</f>
        <v>99.494</v>
      </c>
      <c r="G2696" s="1717">
        <v>99.494</v>
      </c>
      <c r="H2696" s="535"/>
    </row>
    <row r="2697" spans="2:8" ht="12" hidden="1" customHeight="1" x14ac:dyDescent="0.25">
      <c r="B2697" s="2913"/>
      <c r="C2697" s="4036"/>
      <c r="D2697" s="1054"/>
      <c r="E2697" s="666"/>
      <c r="F2697" s="1315"/>
      <c r="G2697" s="1315"/>
      <c r="H2697" s="535"/>
    </row>
    <row r="2698" spans="2:8" ht="16.5" hidden="1" customHeight="1" x14ac:dyDescent="0.25">
      <c r="B2698" s="2913"/>
      <c r="C2698" s="4035" t="s">
        <v>3751</v>
      </c>
      <c r="D2698" s="1048">
        <f>SUM(D2699:D2703)</f>
        <v>1900000000</v>
      </c>
      <c r="E2698" s="1048">
        <f>SUM(E2699:E2703)</f>
        <v>1898460000</v>
      </c>
      <c r="F2698" s="3507">
        <f t="shared" ref="F2698:F2703" si="75">E2698/D2698*100</f>
        <v>99.918947368421058</v>
      </c>
      <c r="G2698" s="2261">
        <f>SUM(G2699:G2703)/5</f>
        <v>99.931200000000004</v>
      </c>
      <c r="H2698" s="535"/>
    </row>
    <row r="2699" spans="2:8" ht="15.75" hidden="1" customHeight="1" x14ac:dyDescent="0.25">
      <c r="B2699" s="2913"/>
      <c r="C2699" s="4036" t="s">
        <v>2014</v>
      </c>
      <c r="D2699" s="1054">
        <v>100000000</v>
      </c>
      <c r="E2699" s="1917">
        <v>100000000</v>
      </c>
      <c r="F2699" s="880">
        <f t="shared" si="75"/>
        <v>100</v>
      </c>
      <c r="G2699" s="1717">
        <v>100</v>
      </c>
      <c r="H2699" s="535"/>
    </row>
    <row r="2700" spans="2:8" ht="14.25" hidden="1" customHeight="1" x14ac:dyDescent="0.25">
      <c r="B2700" s="2913"/>
      <c r="C2700" s="4036" t="s">
        <v>2015</v>
      </c>
      <c r="D2700" s="1054">
        <v>300000000</v>
      </c>
      <c r="E2700" s="666">
        <v>299730000</v>
      </c>
      <c r="F2700" s="880">
        <f t="shared" si="75"/>
        <v>99.91</v>
      </c>
      <c r="G2700" s="1717">
        <v>99.91</v>
      </c>
      <c r="H2700" s="535"/>
    </row>
    <row r="2701" spans="2:8" ht="14.25" hidden="1" customHeight="1" x14ac:dyDescent="0.25">
      <c r="B2701" s="2913"/>
      <c r="C2701" s="4036" t="s">
        <v>2016</v>
      </c>
      <c r="D2701" s="1054">
        <v>500000000</v>
      </c>
      <c r="E2701" s="666">
        <v>499900000</v>
      </c>
      <c r="F2701" s="880">
        <f t="shared" si="75"/>
        <v>99.98</v>
      </c>
      <c r="G2701" s="1717">
        <v>99.98</v>
      </c>
      <c r="H2701" s="535"/>
    </row>
    <row r="2702" spans="2:8" ht="14.25" hidden="1" customHeight="1" x14ac:dyDescent="0.25">
      <c r="B2702" s="2913"/>
      <c r="C2702" s="4036" t="s">
        <v>2017</v>
      </c>
      <c r="D2702" s="1054">
        <v>500000000</v>
      </c>
      <c r="E2702" s="666">
        <v>499000000</v>
      </c>
      <c r="F2702" s="880">
        <f t="shared" si="75"/>
        <v>99.8</v>
      </c>
      <c r="G2702" s="1717">
        <v>99.8</v>
      </c>
      <c r="H2702" s="535"/>
    </row>
    <row r="2703" spans="2:8" ht="15.75" hidden="1" customHeight="1" x14ac:dyDescent="0.25">
      <c r="B2703" s="2913"/>
      <c r="C2703" s="4036" t="s">
        <v>2018</v>
      </c>
      <c r="D2703" s="1054">
        <v>500000000</v>
      </c>
      <c r="E2703" s="666">
        <v>499830000</v>
      </c>
      <c r="F2703" s="880">
        <f t="shared" si="75"/>
        <v>99.965999999999994</v>
      </c>
      <c r="G2703" s="1717">
        <v>99.965999999999994</v>
      </c>
      <c r="H2703" s="535"/>
    </row>
    <row r="2704" spans="2:8" ht="12" hidden="1" customHeight="1" x14ac:dyDescent="0.25">
      <c r="B2704" s="2913"/>
      <c r="C2704" s="3861"/>
      <c r="D2704" s="1048"/>
      <c r="E2704" s="894"/>
      <c r="F2704" s="2285"/>
      <c r="G2704" s="2285"/>
      <c r="H2704" s="535"/>
    </row>
    <row r="2705" spans="1:12" ht="17.25" hidden="1" customHeight="1" x14ac:dyDescent="0.25">
      <c r="B2705" s="5397"/>
      <c r="C2705" s="4024" t="s">
        <v>2033</v>
      </c>
      <c r="D2705" s="1055">
        <f>SUM(D2706+D2737+D2716+D2755+D2751)</f>
        <v>14557148000</v>
      </c>
      <c r="E2705" s="1055">
        <f>SUM(E2706+E2737+E2716+E2755+E2751)</f>
        <v>14557148000</v>
      </c>
      <c r="F2705" s="2417">
        <f t="shared" ref="F2705:F2714" si="76">E2705/D2705*100</f>
        <v>100</v>
      </c>
      <c r="G2705" s="2356">
        <v>100</v>
      </c>
      <c r="H2705" s="535"/>
    </row>
    <row r="2706" spans="1:12" ht="15.75" hidden="1" customHeight="1" x14ac:dyDescent="0.25">
      <c r="B2706" s="2913"/>
      <c r="C2706" s="4035" t="s">
        <v>4133</v>
      </c>
      <c r="D2706" s="1416">
        <f>SUM(D2707:D2714)</f>
        <v>2520000000</v>
      </c>
      <c r="E2706" s="1416">
        <f>SUM(E2707:E2714)</f>
        <v>2520000000</v>
      </c>
      <c r="F2706" s="3507">
        <f t="shared" si="76"/>
        <v>100</v>
      </c>
      <c r="G2706" s="2261">
        <v>100</v>
      </c>
      <c r="H2706" s="535"/>
    </row>
    <row r="2707" spans="1:12" s="3504" customFormat="1" ht="14.25" hidden="1" customHeight="1" x14ac:dyDescent="0.25">
      <c r="A2707" s="352"/>
      <c r="B2707" s="2913"/>
      <c r="C2707" s="4036" t="s">
        <v>4134</v>
      </c>
      <c r="D2707" s="1572">
        <v>450000000</v>
      </c>
      <c r="E2707" s="1917">
        <v>450000000</v>
      </c>
      <c r="F2707" s="880">
        <f t="shared" si="76"/>
        <v>100</v>
      </c>
      <c r="G2707" s="1717">
        <v>100</v>
      </c>
      <c r="H2707" s="535"/>
      <c r="J2707" s="522"/>
      <c r="K2707" s="522"/>
    </row>
    <row r="2708" spans="1:12" s="3504" customFormat="1" ht="16.5" hidden="1" customHeight="1" x14ac:dyDescent="0.25">
      <c r="A2708" s="352"/>
      <c r="B2708" s="2913"/>
      <c r="C2708" s="4036" t="s">
        <v>4135</v>
      </c>
      <c r="D2708" s="1572">
        <v>250000000</v>
      </c>
      <c r="E2708" s="1917">
        <v>250000000</v>
      </c>
      <c r="F2708" s="880">
        <f t="shared" si="76"/>
        <v>100</v>
      </c>
      <c r="G2708" s="1717">
        <v>100</v>
      </c>
      <c r="H2708" s="535"/>
      <c r="J2708" s="522"/>
      <c r="K2708" s="522"/>
    </row>
    <row r="2709" spans="1:12" s="3504" customFormat="1" ht="14.25" hidden="1" customHeight="1" x14ac:dyDescent="0.25">
      <c r="A2709" s="352"/>
      <c r="B2709" s="2913"/>
      <c r="C2709" s="4036" t="s">
        <v>4136</v>
      </c>
      <c r="D2709" s="1572">
        <v>750000000</v>
      </c>
      <c r="E2709" s="1917">
        <v>750000000</v>
      </c>
      <c r="F2709" s="880">
        <f t="shared" si="76"/>
        <v>100</v>
      </c>
      <c r="G2709" s="1717">
        <v>100</v>
      </c>
      <c r="H2709" s="535"/>
      <c r="J2709" s="522"/>
      <c r="K2709" s="522"/>
    </row>
    <row r="2710" spans="1:12" s="3504" customFormat="1" ht="13.5" hidden="1" customHeight="1" x14ac:dyDescent="0.25">
      <c r="A2710" s="352"/>
      <c r="B2710" s="2913"/>
      <c r="C2710" s="4036" t="s">
        <v>4137</v>
      </c>
      <c r="D2710" s="1572">
        <v>620000000</v>
      </c>
      <c r="E2710" s="1917">
        <v>620000000</v>
      </c>
      <c r="F2710" s="880">
        <f t="shared" si="76"/>
        <v>100</v>
      </c>
      <c r="G2710" s="1717">
        <v>100</v>
      </c>
      <c r="H2710" s="535"/>
      <c r="J2710" s="522"/>
      <c r="K2710" s="522"/>
    </row>
    <row r="2711" spans="1:12" s="3504" customFormat="1" ht="15.75" hidden="1" customHeight="1" x14ac:dyDescent="0.25">
      <c r="A2711" s="352"/>
      <c r="B2711" s="2913"/>
      <c r="C2711" s="4036" t="s">
        <v>4138</v>
      </c>
      <c r="D2711" s="1572">
        <v>50000000</v>
      </c>
      <c r="E2711" s="1917">
        <v>50000000</v>
      </c>
      <c r="F2711" s="880">
        <f t="shared" si="76"/>
        <v>100</v>
      </c>
      <c r="G2711" s="1717">
        <v>100</v>
      </c>
      <c r="H2711" s="535"/>
      <c r="J2711" s="522"/>
      <c r="K2711" s="522"/>
    </row>
    <row r="2712" spans="1:12" s="3504" customFormat="1" ht="15.75" hidden="1" customHeight="1" x14ac:dyDescent="0.25">
      <c r="A2712" s="352"/>
      <c r="B2712" s="2913"/>
      <c r="C2712" s="4036" t="s">
        <v>4139</v>
      </c>
      <c r="D2712" s="1572">
        <v>100000000</v>
      </c>
      <c r="E2712" s="1917">
        <v>100000000</v>
      </c>
      <c r="F2712" s="880">
        <f t="shared" si="76"/>
        <v>100</v>
      </c>
      <c r="G2712" s="1717">
        <v>100</v>
      </c>
      <c r="H2712" s="535"/>
      <c r="J2712" s="522"/>
      <c r="K2712" s="522"/>
    </row>
    <row r="2713" spans="1:12" s="3504" customFormat="1" ht="12" hidden="1" customHeight="1" x14ac:dyDescent="0.25">
      <c r="A2713" s="352"/>
      <c r="B2713" s="2913"/>
      <c r="C2713" s="4036" t="s">
        <v>4140</v>
      </c>
      <c r="D2713" s="1572">
        <v>100000000</v>
      </c>
      <c r="E2713" s="1917">
        <v>100000000</v>
      </c>
      <c r="F2713" s="880">
        <f t="shared" si="76"/>
        <v>100</v>
      </c>
      <c r="G2713" s="1717">
        <v>100</v>
      </c>
      <c r="H2713" s="535"/>
      <c r="J2713" s="522"/>
      <c r="K2713" s="522"/>
    </row>
    <row r="2714" spans="1:12" s="3504" customFormat="1" ht="14.25" hidden="1" customHeight="1" x14ac:dyDescent="0.25">
      <c r="A2714" s="352"/>
      <c r="B2714" s="2913"/>
      <c r="C2714" s="4036" t="s">
        <v>4141</v>
      </c>
      <c r="D2714" s="1572">
        <v>200000000</v>
      </c>
      <c r="E2714" s="1917">
        <v>200000000</v>
      </c>
      <c r="F2714" s="880">
        <f t="shared" si="76"/>
        <v>100</v>
      </c>
      <c r="G2714" s="1717">
        <v>100</v>
      </c>
      <c r="H2714" s="535"/>
      <c r="J2714" s="522"/>
      <c r="K2714" s="522"/>
    </row>
    <row r="2715" spans="1:12" s="3504" customFormat="1" ht="5.25" hidden="1" customHeight="1" x14ac:dyDescent="0.25">
      <c r="A2715" s="352"/>
      <c r="B2715" s="2913"/>
      <c r="C2715" s="4036"/>
      <c r="D2715" s="1576"/>
      <c r="E2715" s="1917"/>
      <c r="F2715" s="3507"/>
      <c r="G2715" s="1717"/>
      <c r="H2715" s="535"/>
      <c r="J2715" s="522"/>
      <c r="K2715" s="522"/>
    </row>
    <row r="2716" spans="1:12" ht="18" hidden="1" customHeight="1" x14ac:dyDescent="0.25">
      <c r="B2716" s="2913"/>
      <c r="C2716" s="4035" t="s">
        <v>4142</v>
      </c>
      <c r="D2716" s="1048">
        <f>SUM(D2717:D2735)</f>
        <v>6500000000</v>
      </c>
      <c r="E2716" s="1048">
        <f>SUM(E2717:E2735)</f>
        <v>6500000000</v>
      </c>
      <c r="F2716" s="3507">
        <f t="shared" ref="F2716:F2735" si="77">E2716/D2716*100</f>
        <v>100</v>
      </c>
      <c r="G2716" s="2261">
        <v>100</v>
      </c>
      <c r="H2716" s="535"/>
    </row>
    <row r="2717" spans="1:12" ht="15.75" hidden="1" customHeight="1" x14ac:dyDescent="0.25">
      <c r="B2717" s="2913"/>
      <c r="C2717" s="4036" t="s">
        <v>4143</v>
      </c>
      <c r="D2717" s="1054">
        <v>400000000</v>
      </c>
      <c r="E2717" s="1917">
        <v>400000000</v>
      </c>
      <c r="F2717" s="880">
        <f t="shared" si="77"/>
        <v>100</v>
      </c>
      <c r="G2717" s="1717">
        <v>100</v>
      </c>
      <c r="H2717" s="535"/>
      <c r="L2717" s="267"/>
    </row>
    <row r="2718" spans="1:12" ht="13.5" hidden="1" customHeight="1" x14ac:dyDescent="0.25">
      <c r="B2718" s="2913"/>
      <c r="C2718" s="4036" t="s">
        <v>4144</v>
      </c>
      <c r="D2718" s="1054">
        <v>300000000</v>
      </c>
      <c r="E2718" s="1054">
        <v>300000000</v>
      </c>
      <c r="F2718" s="880">
        <f t="shared" si="77"/>
        <v>100</v>
      </c>
      <c r="G2718" s="1717">
        <v>100</v>
      </c>
      <c r="H2718" s="535"/>
      <c r="L2718" s="267"/>
    </row>
    <row r="2719" spans="1:12" ht="15.75" hidden="1" customHeight="1" x14ac:dyDescent="0.25">
      <c r="B2719" s="2913"/>
      <c r="C2719" s="4036" t="s">
        <v>4145</v>
      </c>
      <c r="D2719" s="1054">
        <v>200000000</v>
      </c>
      <c r="E2719" s="1917">
        <v>200000000</v>
      </c>
      <c r="F2719" s="880">
        <f t="shared" si="77"/>
        <v>100</v>
      </c>
      <c r="G2719" s="1717">
        <v>100</v>
      </c>
      <c r="H2719" s="535"/>
      <c r="L2719" s="3504"/>
    </row>
    <row r="2720" spans="1:12" ht="15" hidden="1" customHeight="1" x14ac:dyDescent="0.25">
      <c r="B2720" s="2913"/>
      <c r="C2720" s="4036" t="s">
        <v>4146</v>
      </c>
      <c r="D2720" s="1054">
        <v>500000000</v>
      </c>
      <c r="E2720" s="1917">
        <v>500000000</v>
      </c>
      <c r="F2720" s="880">
        <f t="shared" si="77"/>
        <v>100</v>
      </c>
      <c r="G2720" s="1717">
        <v>100</v>
      </c>
      <c r="H2720" s="535"/>
      <c r="L2720" s="267"/>
    </row>
    <row r="2721" spans="1:12" ht="15" hidden="1" customHeight="1" x14ac:dyDescent="0.25">
      <c r="B2721" s="2913"/>
      <c r="C2721" s="4036" t="s">
        <v>4147</v>
      </c>
      <c r="D2721" s="1054">
        <v>500000000</v>
      </c>
      <c r="E2721" s="894">
        <v>500000000</v>
      </c>
      <c r="F2721" s="880">
        <f t="shared" si="77"/>
        <v>100</v>
      </c>
      <c r="G2721" s="1315">
        <v>100</v>
      </c>
      <c r="H2721" s="535"/>
      <c r="L2721" s="267"/>
    </row>
    <row r="2722" spans="1:12" ht="18" hidden="1" customHeight="1" x14ac:dyDescent="0.25">
      <c r="B2722" s="2913"/>
      <c r="C2722" s="4036" t="s">
        <v>4148</v>
      </c>
      <c r="D2722" s="1054">
        <v>1000000000</v>
      </c>
      <c r="E2722" s="1917">
        <v>1000000000</v>
      </c>
      <c r="F2722" s="880">
        <f t="shared" si="77"/>
        <v>100</v>
      </c>
      <c r="G2722" s="1717">
        <v>100</v>
      </c>
      <c r="H2722" s="535"/>
      <c r="L2722" s="267"/>
    </row>
    <row r="2723" spans="1:12" ht="15.75" hidden="1" customHeight="1" x14ac:dyDescent="0.25">
      <c r="B2723" s="2913"/>
      <c r="C2723" s="4036" t="s">
        <v>4149</v>
      </c>
      <c r="D2723" s="1054">
        <v>400000000</v>
      </c>
      <c r="E2723" s="1917">
        <v>400000000</v>
      </c>
      <c r="F2723" s="880">
        <f t="shared" si="77"/>
        <v>100</v>
      </c>
      <c r="G2723" s="1717">
        <v>100</v>
      </c>
      <c r="H2723" s="535"/>
      <c r="L2723" s="267"/>
    </row>
    <row r="2724" spans="1:12" ht="15.75" hidden="1" customHeight="1" x14ac:dyDescent="0.25">
      <c r="B2724" s="2913"/>
      <c r="C2724" s="4036" t="s">
        <v>4150</v>
      </c>
      <c r="D2724" s="1054">
        <v>500000000</v>
      </c>
      <c r="E2724" s="3768">
        <v>500000000</v>
      </c>
      <c r="F2724" s="880">
        <f t="shared" si="77"/>
        <v>100</v>
      </c>
      <c r="G2724" s="3798">
        <v>100</v>
      </c>
      <c r="H2724" s="535"/>
      <c r="L2724" s="267"/>
    </row>
    <row r="2725" spans="1:12" ht="15.75" hidden="1" customHeight="1" x14ac:dyDescent="0.25">
      <c r="B2725" s="2913"/>
      <c r="C2725" s="4036" t="s">
        <v>4151</v>
      </c>
      <c r="D2725" s="1054">
        <v>1000000000</v>
      </c>
      <c r="E2725" s="1054">
        <v>1000000000</v>
      </c>
      <c r="F2725" s="880">
        <f t="shared" si="77"/>
        <v>100</v>
      </c>
      <c r="G2725" s="1717">
        <v>100</v>
      </c>
      <c r="H2725" s="535"/>
      <c r="L2725" s="267"/>
    </row>
    <row r="2726" spans="1:12" ht="15.75" hidden="1" customHeight="1" x14ac:dyDescent="0.25">
      <c r="B2726" s="2913"/>
      <c r="C2726" s="4036" t="s">
        <v>4152</v>
      </c>
      <c r="D2726" s="1054">
        <v>500000000</v>
      </c>
      <c r="E2726" s="1917">
        <v>500000000</v>
      </c>
      <c r="F2726" s="880">
        <f t="shared" si="77"/>
        <v>100</v>
      </c>
      <c r="G2726" s="1717">
        <v>100</v>
      </c>
      <c r="H2726" s="535"/>
      <c r="L2726" s="267"/>
    </row>
    <row r="2727" spans="1:12" ht="15" hidden="1" customHeight="1" x14ac:dyDescent="0.25">
      <c r="B2727" s="2913"/>
      <c r="C2727" s="4036" t="s">
        <v>4153</v>
      </c>
      <c r="D2727" s="1054">
        <v>200000000</v>
      </c>
      <c r="E2727" s="1917">
        <v>200000000</v>
      </c>
      <c r="F2727" s="880">
        <f t="shared" si="77"/>
        <v>100</v>
      </c>
      <c r="G2727" s="1717">
        <v>100</v>
      </c>
      <c r="H2727" s="535"/>
      <c r="L2727" s="267"/>
    </row>
    <row r="2728" spans="1:12" ht="14.25" hidden="1" customHeight="1" x14ac:dyDescent="0.25">
      <c r="B2728" s="2913"/>
      <c r="C2728" s="4036" t="s">
        <v>4154</v>
      </c>
      <c r="D2728" s="1054">
        <v>200000000</v>
      </c>
      <c r="E2728" s="1917">
        <v>200000000</v>
      </c>
      <c r="F2728" s="880">
        <f t="shared" si="77"/>
        <v>100</v>
      </c>
      <c r="G2728" s="1717">
        <v>100</v>
      </c>
      <c r="H2728" s="535"/>
      <c r="L2728" s="267"/>
    </row>
    <row r="2729" spans="1:12" ht="15.75" hidden="1" customHeight="1" x14ac:dyDescent="0.25">
      <c r="B2729" s="2913"/>
      <c r="C2729" s="4036" t="s">
        <v>4155</v>
      </c>
      <c r="D2729" s="1054">
        <v>200000000</v>
      </c>
      <c r="E2729" s="1917">
        <v>200000000</v>
      </c>
      <c r="F2729" s="880">
        <f t="shared" si="77"/>
        <v>100</v>
      </c>
      <c r="G2729" s="3798">
        <v>100</v>
      </c>
      <c r="H2729" s="535"/>
      <c r="L2729" s="267"/>
    </row>
    <row r="2730" spans="1:12" ht="16.5" hidden="1" customHeight="1" x14ac:dyDescent="0.25">
      <c r="B2730" s="2913"/>
      <c r="C2730" s="4036" t="s">
        <v>4156</v>
      </c>
      <c r="D2730" s="1054">
        <v>100000000</v>
      </c>
      <c r="E2730" s="1917">
        <v>100000000</v>
      </c>
      <c r="F2730" s="880">
        <f t="shared" si="77"/>
        <v>100</v>
      </c>
      <c r="G2730" s="1717">
        <v>100</v>
      </c>
      <c r="H2730" s="535"/>
      <c r="L2730" s="267"/>
    </row>
    <row r="2731" spans="1:12" ht="13.5" hidden="1" customHeight="1" x14ac:dyDescent="0.25">
      <c r="B2731" s="2913"/>
      <c r="C2731" s="4036" t="s">
        <v>4157</v>
      </c>
      <c r="D2731" s="1054">
        <v>100000000</v>
      </c>
      <c r="E2731" s="1917">
        <v>100000000</v>
      </c>
      <c r="F2731" s="880">
        <f t="shared" si="77"/>
        <v>100</v>
      </c>
      <c r="G2731" s="1717">
        <v>100</v>
      </c>
      <c r="H2731" s="535"/>
      <c r="L2731" s="267"/>
    </row>
    <row r="2732" spans="1:12" ht="17.25" hidden="1" customHeight="1" x14ac:dyDescent="0.25">
      <c r="B2732" s="2913"/>
      <c r="C2732" s="4036" t="s">
        <v>4158</v>
      </c>
      <c r="D2732" s="1054">
        <v>100000000</v>
      </c>
      <c r="E2732" s="1917">
        <v>100000000</v>
      </c>
      <c r="F2732" s="880">
        <f t="shared" si="77"/>
        <v>100</v>
      </c>
      <c r="G2732" s="1717">
        <v>100</v>
      </c>
      <c r="H2732" s="535"/>
      <c r="L2732" s="267"/>
    </row>
    <row r="2733" spans="1:12" ht="14.25" hidden="1" customHeight="1" x14ac:dyDescent="0.25">
      <c r="B2733" s="2913"/>
      <c r="C2733" s="4036" t="s">
        <v>4159</v>
      </c>
      <c r="D2733" s="1054">
        <v>100000000</v>
      </c>
      <c r="E2733" s="666">
        <v>100000000</v>
      </c>
      <c r="F2733" s="880">
        <f t="shared" si="77"/>
        <v>100</v>
      </c>
      <c r="G2733" s="1717">
        <v>100</v>
      </c>
      <c r="H2733" s="535"/>
      <c r="L2733" s="267"/>
    </row>
    <row r="2734" spans="1:12" s="3504" customFormat="1" ht="15.75" hidden="1" customHeight="1" x14ac:dyDescent="0.25">
      <c r="A2734" s="352"/>
      <c r="B2734" s="2913"/>
      <c r="C2734" s="4036" t="s">
        <v>4160</v>
      </c>
      <c r="D2734" s="1054">
        <v>100000000</v>
      </c>
      <c r="E2734" s="666">
        <v>100000000</v>
      </c>
      <c r="F2734" s="880">
        <f t="shared" si="77"/>
        <v>100</v>
      </c>
      <c r="G2734" s="1717">
        <v>100</v>
      </c>
      <c r="H2734" s="535"/>
      <c r="J2734" s="522"/>
      <c r="K2734" s="522"/>
      <c r="L2734" s="267"/>
    </row>
    <row r="2735" spans="1:12" s="3504" customFormat="1" ht="14.25" hidden="1" customHeight="1" x14ac:dyDescent="0.25">
      <c r="A2735" s="352"/>
      <c r="B2735" s="2913"/>
      <c r="C2735" s="4036" t="s">
        <v>4161</v>
      </c>
      <c r="D2735" s="1054">
        <v>100000000</v>
      </c>
      <c r="E2735" s="666">
        <v>100000000</v>
      </c>
      <c r="F2735" s="880">
        <f t="shared" si="77"/>
        <v>100</v>
      </c>
      <c r="G2735" s="1717">
        <v>100</v>
      </c>
      <c r="H2735" s="535"/>
      <c r="J2735" s="522"/>
      <c r="K2735" s="522"/>
      <c r="L2735" s="267"/>
    </row>
    <row r="2736" spans="1:12" s="3504" customFormat="1" ht="12" hidden="1" customHeight="1" x14ac:dyDescent="0.25">
      <c r="A2736" s="352"/>
      <c r="B2736" s="2913"/>
      <c r="C2736" s="4036"/>
      <c r="D2736" s="1048"/>
      <c r="E2736" s="666"/>
      <c r="F2736" s="2373"/>
      <c r="G2736" s="1717"/>
      <c r="H2736" s="535"/>
      <c r="J2736" s="522"/>
      <c r="K2736" s="522"/>
    </row>
    <row r="2737" spans="1:11" ht="15" hidden="1" customHeight="1" x14ac:dyDescent="0.25">
      <c r="B2737" s="2913"/>
      <c r="C2737" s="4035" t="s">
        <v>4162</v>
      </c>
      <c r="D2737" s="1048">
        <f>SUM(D2738:D2749)</f>
        <v>940000000</v>
      </c>
      <c r="E2737" s="1048">
        <f>SUM(E2738:E2749)</f>
        <v>940000000</v>
      </c>
      <c r="F2737" s="3507">
        <f t="shared" ref="F2737:F2749" si="78">E2737/D2737*100</f>
        <v>100</v>
      </c>
      <c r="G2737" s="2261">
        <v>100</v>
      </c>
      <c r="H2737" s="535"/>
    </row>
    <row r="2738" spans="1:11" ht="15.75" hidden="1" customHeight="1" x14ac:dyDescent="0.25">
      <c r="B2738" s="2913"/>
      <c r="C2738" s="4036" t="s">
        <v>4163</v>
      </c>
      <c r="D2738" s="1054">
        <v>500000000</v>
      </c>
      <c r="E2738" s="1054">
        <v>500000000</v>
      </c>
      <c r="F2738" s="880">
        <f t="shared" si="78"/>
        <v>100</v>
      </c>
      <c r="G2738" s="1717">
        <v>100</v>
      </c>
      <c r="H2738" s="535"/>
    </row>
    <row r="2739" spans="1:11" ht="13.5" hidden="1" customHeight="1" x14ac:dyDescent="0.25">
      <c r="B2739" s="2913"/>
      <c r="C2739" s="4036" t="s">
        <v>4164</v>
      </c>
      <c r="D2739" s="1054">
        <v>40000000</v>
      </c>
      <c r="E2739" s="1054">
        <v>40000000</v>
      </c>
      <c r="F2739" s="880">
        <f t="shared" si="78"/>
        <v>100</v>
      </c>
      <c r="G2739" s="3798">
        <v>100</v>
      </c>
      <c r="H2739" s="535"/>
    </row>
    <row r="2740" spans="1:11" ht="14.25" hidden="1" customHeight="1" x14ac:dyDescent="0.25">
      <c r="B2740" s="2913"/>
      <c r="C2740" s="4036" t="s">
        <v>4166</v>
      </c>
      <c r="D2740" s="1054">
        <v>40000000</v>
      </c>
      <c r="E2740" s="1054">
        <v>40000000</v>
      </c>
      <c r="F2740" s="880">
        <f t="shared" si="78"/>
        <v>100</v>
      </c>
      <c r="G2740" s="3798">
        <v>100</v>
      </c>
      <c r="H2740" s="535"/>
    </row>
    <row r="2741" spans="1:11" ht="15.75" hidden="1" customHeight="1" x14ac:dyDescent="0.25">
      <c r="B2741" s="2913"/>
      <c r="C2741" s="4036" t="s">
        <v>4165</v>
      </c>
      <c r="D2741" s="1054">
        <v>50000000</v>
      </c>
      <c r="E2741" s="1054">
        <v>50000000</v>
      </c>
      <c r="F2741" s="880">
        <f t="shared" si="78"/>
        <v>100</v>
      </c>
      <c r="G2741" s="3798">
        <v>100</v>
      </c>
      <c r="H2741" s="535"/>
    </row>
    <row r="2742" spans="1:11" ht="15" hidden="1" customHeight="1" x14ac:dyDescent="0.25">
      <c r="B2742" s="2913"/>
      <c r="C2742" s="4036" t="s">
        <v>4167</v>
      </c>
      <c r="D2742" s="1054">
        <v>50000000</v>
      </c>
      <c r="E2742" s="1054">
        <v>50000000</v>
      </c>
      <c r="F2742" s="880">
        <f t="shared" si="78"/>
        <v>100</v>
      </c>
      <c r="G2742" s="1315">
        <v>100</v>
      </c>
      <c r="H2742" s="535"/>
    </row>
    <row r="2743" spans="1:11" ht="14.25" hidden="1" customHeight="1" x14ac:dyDescent="0.25">
      <c r="B2743" s="2913"/>
      <c r="C2743" s="4036" t="s">
        <v>4168</v>
      </c>
      <c r="D2743" s="1054">
        <v>30000000</v>
      </c>
      <c r="E2743" s="1054">
        <v>30000000</v>
      </c>
      <c r="F2743" s="880">
        <f t="shared" si="78"/>
        <v>100</v>
      </c>
      <c r="G2743" s="1717">
        <v>100</v>
      </c>
      <c r="H2743" s="535"/>
    </row>
    <row r="2744" spans="1:11" ht="16.5" hidden="1" customHeight="1" x14ac:dyDescent="0.25">
      <c r="B2744" s="2913"/>
      <c r="C2744" s="4036" t="s">
        <v>4169</v>
      </c>
      <c r="D2744" s="1054">
        <v>30000000</v>
      </c>
      <c r="E2744" s="1054">
        <v>30000000</v>
      </c>
      <c r="F2744" s="880">
        <f t="shared" si="78"/>
        <v>100</v>
      </c>
      <c r="G2744" s="1717">
        <v>100</v>
      </c>
      <c r="H2744" s="535"/>
    </row>
    <row r="2745" spans="1:11" ht="14.25" hidden="1" customHeight="1" x14ac:dyDescent="0.25">
      <c r="B2745" s="2913"/>
      <c r="C2745" s="4036" t="s">
        <v>4170</v>
      </c>
      <c r="D2745" s="1054">
        <v>40000000</v>
      </c>
      <c r="E2745" s="1054">
        <v>40000000</v>
      </c>
      <c r="F2745" s="880">
        <f t="shared" si="78"/>
        <v>100</v>
      </c>
      <c r="G2745" s="1315">
        <v>100</v>
      </c>
      <c r="H2745" s="535"/>
    </row>
    <row r="2746" spans="1:11" ht="13.5" hidden="1" customHeight="1" x14ac:dyDescent="0.25">
      <c r="B2746" s="2913"/>
      <c r="C2746" s="4036" t="s">
        <v>4171</v>
      </c>
      <c r="D2746" s="1054">
        <v>30000000</v>
      </c>
      <c r="E2746" s="1054">
        <v>30000000</v>
      </c>
      <c r="F2746" s="880">
        <f t="shared" si="78"/>
        <v>100</v>
      </c>
      <c r="G2746" s="1717">
        <v>100</v>
      </c>
      <c r="H2746" s="535"/>
    </row>
    <row r="2747" spans="1:11" ht="15.75" hidden="1" customHeight="1" x14ac:dyDescent="0.25">
      <c r="B2747" s="2913"/>
      <c r="C2747" s="4036" t="s">
        <v>4172</v>
      </c>
      <c r="D2747" s="1054">
        <v>30000000</v>
      </c>
      <c r="E2747" s="1054">
        <v>30000000</v>
      </c>
      <c r="F2747" s="880">
        <f t="shared" si="78"/>
        <v>100</v>
      </c>
      <c r="G2747" s="3798">
        <v>100</v>
      </c>
      <c r="H2747" s="535"/>
    </row>
    <row r="2748" spans="1:11" ht="16.5" hidden="1" customHeight="1" x14ac:dyDescent="0.25">
      <c r="B2748" s="2913"/>
      <c r="C2748" s="4036" t="s">
        <v>4173</v>
      </c>
      <c r="D2748" s="1054">
        <v>50000000</v>
      </c>
      <c r="E2748" s="1054">
        <v>50000000</v>
      </c>
      <c r="F2748" s="880">
        <f t="shared" si="78"/>
        <v>100</v>
      </c>
      <c r="G2748" s="1315">
        <v>100</v>
      </c>
      <c r="H2748" s="535"/>
    </row>
    <row r="2749" spans="1:11" ht="16.5" hidden="1" customHeight="1" x14ac:dyDescent="0.25">
      <c r="B2749" s="2913"/>
      <c r="C2749" s="4036" t="s">
        <v>4174</v>
      </c>
      <c r="D2749" s="1054">
        <v>50000000</v>
      </c>
      <c r="E2749" s="1054">
        <v>50000000</v>
      </c>
      <c r="F2749" s="880">
        <f t="shared" si="78"/>
        <v>100</v>
      </c>
      <c r="G2749" s="1315">
        <v>100</v>
      </c>
      <c r="H2749" s="535"/>
    </row>
    <row r="2750" spans="1:11" ht="7.5" hidden="1" customHeight="1" x14ac:dyDescent="0.25">
      <c r="B2750" s="2913"/>
      <c r="C2750" s="3944"/>
      <c r="D2750" s="1058"/>
      <c r="E2750" s="894"/>
      <c r="F2750" s="1315"/>
      <c r="G2750" s="1315"/>
      <c r="H2750" s="535"/>
    </row>
    <row r="2751" spans="1:11" s="3504" customFormat="1" ht="20.25" hidden="1" customHeight="1" x14ac:dyDescent="0.25">
      <c r="A2751" s="352"/>
      <c r="B2751" s="2913"/>
      <c r="C2751" s="3944" t="s">
        <v>4175</v>
      </c>
      <c r="D2751" s="1058">
        <f>SUM(D2752:D2753)</f>
        <v>1000000000</v>
      </c>
      <c r="E2751" s="1058">
        <f>SUM(E2752:E2753)</f>
        <v>1000000000</v>
      </c>
      <c r="F2751" s="3507">
        <f>E2751/D2751*100</f>
        <v>100</v>
      </c>
      <c r="G2751" s="2261">
        <v>100</v>
      </c>
      <c r="H2751" s="535"/>
      <c r="J2751" s="522"/>
      <c r="K2751" s="522"/>
    </row>
    <row r="2752" spans="1:11" s="3504" customFormat="1" ht="14.25" hidden="1" customHeight="1" x14ac:dyDescent="0.25">
      <c r="A2752" s="352"/>
      <c r="B2752" s="2913"/>
      <c r="C2752" s="4031" t="s">
        <v>4176</v>
      </c>
      <c r="D2752" s="1057">
        <v>500000000</v>
      </c>
      <c r="E2752" s="666">
        <v>500000000</v>
      </c>
      <c r="F2752" s="880">
        <f>E2752/D2752*100</f>
        <v>100</v>
      </c>
      <c r="G2752" s="1717">
        <v>100</v>
      </c>
      <c r="H2752" s="535"/>
      <c r="J2752" s="522"/>
      <c r="K2752" s="522"/>
    </row>
    <row r="2753" spans="1:11" s="3504" customFormat="1" ht="14.25" hidden="1" customHeight="1" x14ac:dyDescent="0.25">
      <c r="A2753" s="352"/>
      <c r="B2753" s="2913"/>
      <c r="C2753" s="4031" t="s">
        <v>4177</v>
      </c>
      <c r="D2753" s="1057">
        <v>500000000</v>
      </c>
      <c r="E2753" s="666">
        <v>500000000</v>
      </c>
      <c r="F2753" s="880">
        <f>E2753/D2753*100</f>
        <v>100</v>
      </c>
      <c r="G2753" s="1717">
        <v>100</v>
      </c>
      <c r="H2753" s="535"/>
      <c r="J2753" s="522"/>
      <c r="K2753" s="522"/>
    </row>
    <row r="2754" spans="1:11" s="3504" customFormat="1" ht="12" hidden="1" customHeight="1" x14ac:dyDescent="0.25">
      <c r="A2754" s="352"/>
      <c r="B2754" s="2913"/>
      <c r="C2754" s="3944"/>
      <c r="D2754" s="1058"/>
      <c r="E2754" s="894"/>
      <c r="F2754" s="1315"/>
      <c r="G2754" s="1315"/>
      <c r="H2754" s="535"/>
      <c r="J2754" s="522"/>
      <c r="K2754" s="522"/>
    </row>
    <row r="2755" spans="1:11" ht="18.75" hidden="1" customHeight="1" x14ac:dyDescent="0.25">
      <c r="B2755" s="2913"/>
      <c r="C2755" s="3944" t="s">
        <v>4178</v>
      </c>
      <c r="D2755" s="1058">
        <f>SUM(D2756+D2760+D2770)</f>
        <v>3597148000</v>
      </c>
      <c r="E2755" s="1058">
        <f>SUM(E2756+E2760+E2770)</f>
        <v>3597148000</v>
      </c>
      <c r="F2755" s="3507">
        <f>E2755/D2755*100</f>
        <v>100</v>
      </c>
      <c r="G2755" s="2261">
        <v>100</v>
      </c>
      <c r="H2755" s="535"/>
    </row>
    <row r="2756" spans="1:11" ht="14.25" hidden="1" customHeight="1" x14ac:dyDescent="0.25">
      <c r="B2756" s="2913"/>
      <c r="C2756" s="3944" t="s">
        <v>2034</v>
      </c>
      <c r="D2756" s="1416">
        <f>SUM(D2757:D2758)</f>
        <v>2400000000</v>
      </c>
      <c r="E2756" s="1416">
        <f>SUM(E2757:E2758)</f>
        <v>2400000000</v>
      </c>
      <c r="F2756" s="3507">
        <f>E2756/D2756*100</f>
        <v>100</v>
      </c>
      <c r="G2756" s="2261">
        <v>100</v>
      </c>
      <c r="H2756" s="535"/>
    </row>
    <row r="2757" spans="1:11" ht="17.25" hidden="1" customHeight="1" x14ac:dyDescent="0.25">
      <c r="B2757" s="2913"/>
      <c r="C2757" s="4036" t="s">
        <v>2035</v>
      </c>
      <c r="D2757" s="1057">
        <v>700000000</v>
      </c>
      <c r="E2757" s="1920">
        <v>700000000</v>
      </c>
      <c r="F2757" s="880">
        <f>E2757/D2757*100</f>
        <v>100</v>
      </c>
      <c r="G2757" s="1717">
        <v>100</v>
      </c>
      <c r="H2757" s="535"/>
    </row>
    <row r="2758" spans="1:11" ht="15.75" hidden="1" customHeight="1" x14ac:dyDescent="0.25">
      <c r="B2758" s="2913"/>
      <c r="C2758" s="4036" t="s">
        <v>4179</v>
      </c>
      <c r="D2758" s="1054">
        <v>1700000000</v>
      </c>
      <c r="E2758" s="666">
        <v>1700000000</v>
      </c>
      <c r="F2758" s="880">
        <f>E2758/D2758*100</f>
        <v>100</v>
      </c>
      <c r="G2758" s="1717">
        <v>100</v>
      </c>
      <c r="H2758" s="535"/>
    </row>
    <row r="2759" spans="1:11" ht="7.5" hidden="1" customHeight="1" x14ac:dyDescent="0.25">
      <c r="B2759" s="2913"/>
      <c r="C2759" s="4036"/>
      <c r="D2759" s="1206"/>
      <c r="E2759" s="894"/>
      <c r="F2759" s="1315"/>
      <c r="G2759" s="1315"/>
      <c r="H2759" s="535"/>
    </row>
    <row r="2760" spans="1:11" ht="14.25" hidden="1" customHeight="1" x14ac:dyDescent="0.25">
      <c r="B2760" s="2913"/>
      <c r="C2760" s="4035" t="s">
        <v>4180</v>
      </c>
      <c r="D2760" s="1048">
        <f>SUM(D2761:D2768)</f>
        <v>1097148000</v>
      </c>
      <c r="E2760" s="1048">
        <f>SUM(E2761:E2768)</f>
        <v>1097148000</v>
      </c>
      <c r="F2760" s="3507">
        <f t="shared" ref="F2760:F2768" si="79">E2760/D2760*100</f>
        <v>100</v>
      </c>
      <c r="G2760" s="2261">
        <v>100</v>
      </c>
      <c r="H2760" s="535"/>
    </row>
    <row r="2761" spans="1:11" ht="14.25" hidden="1" customHeight="1" x14ac:dyDescent="0.25">
      <c r="B2761" s="2913"/>
      <c r="C2761" s="4036" t="s">
        <v>4181</v>
      </c>
      <c r="D2761" s="1054">
        <v>277160000</v>
      </c>
      <c r="E2761" s="666">
        <v>277160000</v>
      </c>
      <c r="F2761" s="2415">
        <f t="shared" si="79"/>
        <v>100</v>
      </c>
      <c r="G2761" s="1717">
        <v>100</v>
      </c>
      <c r="H2761" s="535"/>
    </row>
    <row r="2762" spans="1:11" ht="15.75" hidden="1" customHeight="1" x14ac:dyDescent="0.25">
      <c r="B2762" s="2913"/>
      <c r="C2762" s="4036" t="s">
        <v>4182</v>
      </c>
      <c r="D2762" s="1054">
        <v>188864000</v>
      </c>
      <c r="E2762" s="666">
        <v>188864000</v>
      </c>
      <c r="F2762" s="3511">
        <f t="shared" si="79"/>
        <v>100</v>
      </c>
      <c r="G2762" s="1717">
        <v>100</v>
      </c>
      <c r="H2762" s="535"/>
    </row>
    <row r="2763" spans="1:11" ht="15.75" hidden="1" customHeight="1" x14ac:dyDescent="0.25">
      <c r="B2763" s="2913"/>
      <c r="C2763" s="4036" t="s">
        <v>4183</v>
      </c>
      <c r="D2763" s="1054">
        <v>96564000</v>
      </c>
      <c r="E2763" s="666">
        <v>96564000</v>
      </c>
      <c r="F2763" s="880">
        <f t="shared" si="79"/>
        <v>100</v>
      </c>
      <c r="G2763" s="1717">
        <v>100</v>
      </c>
      <c r="H2763" s="535"/>
    </row>
    <row r="2764" spans="1:11" ht="14.25" hidden="1" customHeight="1" x14ac:dyDescent="0.25">
      <c r="B2764" s="2913"/>
      <c r="C2764" s="4036" t="s">
        <v>4184</v>
      </c>
      <c r="D2764" s="1054">
        <v>81120000</v>
      </c>
      <c r="E2764" s="666">
        <v>81120000</v>
      </c>
      <c r="F2764" s="880">
        <f t="shared" si="79"/>
        <v>100</v>
      </c>
      <c r="G2764" s="1717">
        <v>100</v>
      </c>
      <c r="H2764" s="535"/>
    </row>
    <row r="2765" spans="1:11" ht="14.25" hidden="1" customHeight="1" x14ac:dyDescent="0.25">
      <c r="B2765" s="2913"/>
      <c r="C2765" s="4036" t="s">
        <v>4185</v>
      </c>
      <c r="D2765" s="1054">
        <v>187200000</v>
      </c>
      <c r="E2765" s="1917">
        <v>187200000</v>
      </c>
      <c r="F2765" s="880">
        <f t="shared" si="79"/>
        <v>100</v>
      </c>
      <c r="G2765" s="1717">
        <v>100</v>
      </c>
      <c r="H2765" s="535"/>
    </row>
    <row r="2766" spans="1:11" ht="14.25" hidden="1" customHeight="1" x14ac:dyDescent="0.25">
      <c r="B2766" s="2913"/>
      <c r="C2766" s="4036" t="s">
        <v>4186</v>
      </c>
      <c r="D2766" s="1054">
        <v>104000000</v>
      </c>
      <c r="E2766" s="1917">
        <v>104000000</v>
      </c>
      <c r="F2766" s="880">
        <f t="shared" si="79"/>
        <v>100</v>
      </c>
      <c r="G2766" s="1717">
        <v>100</v>
      </c>
      <c r="H2766" s="535"/>
    </row>
    <row r="2767" spans="1:11" ht="17.25" hidden="1" customHeight="1" x14ac:dyDescent="0.25">
      <c r="B2767" s="2913"/>
      <c r="C2767" s="4036" t="s">
        <v>4187</v>
      </c>
      <c r="D2767" s="1054">
        <v>81120000</v>
      </c>
      <c r="E2767" s="1917">
        <v>81120000</v>
      </c>
      <c r="F2767" s="880">
        <f t="shared" si="79"/>
        <v>100</v>
      </c>
      <c r="G2767" s="1717">
        <v>100</v>
      </c>
      <c r="H2767" s="535"/>
    </row>
    <row r="2768" spans="1:11" ht="16.5" hidden="1" customHeight="1" x14ac:dyDescent="0.25">
      <c r="B2768" s="2913"/>
      <c r="C2768" s="4036" t="s">
        <v>4188</v>
      </c>
      <c r="D2768" s="1054">
        <v>81120000</v>
      </c>
      <c r="E2768" s="1917">
        <v>81120000</v>
      </c>
      <c r="F2768" s="880">
        <f t="shared" si="79"/>
        <v>100</v>
      </c>
      <c r="G2768" s="1717">
        <v>100</v>
      </c>
      <c r="H2768" s="535"/>
    </row>
    <row r="2769" spans="1:11" ht="12" hidden="1" customHeight="1" x14ac:dyDescent="0.25">
      <c r="B2769" s="2913"/>
      <c r="C2769" s="4036"/>
      <c r="D2769" s="1054"/>
      <c r="E2769" s="894"/>
      <c r="F2769" s="1315"/>
      <c r="G2769" s="1315"/>
      <c r="H2769" s="535"/>
    </row>
    <row r="2770" spans="1:11" ht="17.25" hidden="1" customHeight="1" x14ac:dyDescent="0.25">
      <c r="B2770" s="2913"/>
      <c r="C2770" s="4035" t="s">
        <v>2246</v>
      </c>
      <c r="D2770" s="1048">
        <f>SUM(D2771)</f>
        <v>100000000</v>
      </c>
      <c r="E2770" s="1048">
        <f>SUM(E2771)</f>
        <v>100000000</v>
      </c>
      <c r="F2770" s="2410">
        <v>100</v>
      </c>
      <c r="G2770" s="2261">
        <v>100</v>
      </c>
      <c r="H2770" s="535"/>
    </row>
    <row r="2771" spans="1:11" ht="14.25" hidden="1" customHeight="1" x14ac:dyDescent="0.25">
      <c r="B2771" s="2913"/>
      <c r="C2771" s="4031" t="s">
        <v>2247</v>
      </c>
      <c r="D2771" s="1054">
        <v>100000000</v>
      </c>
      <c r="E2771" s="1917">
        <v>100000000</v>
      </c>
      <c r="F2771" s="2411">
        <v>100</v>
      </c>
      <c r="G2771" s="1717">
        <v>100</v>
      </c>
      <c r="H2771" s="535"/>
    </row>
    <row r="2772" spans="1:11" ht="12" hidden="1" customHeight="1" x14ac:dyDescent="0.25">
      <c r="B2772" s="2913"/>
      <c r="C2772" s="3896"/>
      <c r="D2772" s="853"/>
      <c r="E2772" s="973"/>
      <c r="F2772" s="2279"/>
      <c r="G2772" s="2279"/>
      <c r="H2772" s="535"/>
    </row>
    <row r="2773" spans="1:11" ht="15.75" customHeight="1" x14ac:dyDescent="0.25">
      <c r="B2773" s="5414"/>
      <c r="C2773" s="4037" t="s">
        <v>867</v>
      </c>
      <c r="D2773" s="1067">
        <f>SUM(D2775+D2841+D2900+D2924+D2928+D2935+D2940+D2946)</f>
        <v>139409886520</v>
      </c>
      <c r="E2773" s="1067">
        <f>SUM(E2775+E2841+E2900+E2924+E2928+E2935+E2940+E2946)</f>
        <v>130299253205</v>
      </c>
      <c r="F2773" s="4370">
        <f>E2773/D2773*100</f>
        <v>93.464858524439748</v>
      </c>
      <c r="G2773" s="4370">
        <f>SUM(G2775+G2841+G2900+G2924+G2928+G2935+G2940+G2946)/8</f>
        <v>91.948908730158735</v>
      </c>
      <c r="H2773" s="1638"/>
    </row>
    <row r="2774" spans="1:11" s="2029" customFormat="1" ht="6.75" hidden="1" customHeight="1" x14ac:dyDescent="0.25">
      <c r="A2774" s="2041"/>
      <c r="B2774" s="5406"/>
      <c r="C2774" s="3977"/>
      <c r="D2774" s="1022"/>
      <c r="E2774" s="1022"/>
      <c r="F2774" s="1726"/>
      <c r="G2774" s="4624"/>
      <c r="H2774" s="2122"/>
      <c r="J2774" s="2142"/>
      <c r="K2774" s="2142"/>
    </row>
    <row r="2775" spans="1:11" ht="15" hidden="1" customHeight="1" x14ac:dyDescent="0.25">
      <c r="B2775" s="5397"/>
      <c r="C2775" s="4023" t="s">
        <v>558</v>
      </c>
      <c r="D2775" s="1022">
        <f>SUM(D2776+D2782+D2798+D2824+D2831)</f>
        <v>41375293000</v>
      </c>
      <c r="E2775" s="1022">
        <f>SUM(E2776+E2782+E2798+E2824+E2831)</f>
        <v>39716348273</v>
      </c>
      <c r="F2775" s="2439">
        <f t="shared" ref="F2775:F2780" si="80">E2775/D2775*100</f>
        <v>95.990494310215524</v>
      </c>
      <c r="G2775" s="4624">
        <f>SUM(G2776+G2782+G2798+G2824+G2831)/5</f>
        <v>98.36904761904762</v>
      </c>
      <c r="H2775" s="535"/>
    </row>
    <row r="2776" spans="1:11" ht="18.75" hidden="1" customHeight="1" x14ac:dyDescent="0.25">
      <c r="B2776" s="2913"/>
      <c r="C2776" s="3946" t="s">
        <v>236</v>
      </c>
      <c r="D2776" s="1423">
        <f>SUM(D2777:D2780)</f>
        <v>1591600000</v>
      </c>
      <c r="E2776" s="1423">
        <f>SUM(E2777:E2780)</f>
        <v>1561739400</v>
      </c>
      <c r="F2776" s="2441">
        <f t="shared" si="80"/>
        <v>98.123862779592869</v>
      </c>
      <c r="G2776" s="3600">
        <v>100</v>
      </c>
      <c r="H2776" s="535"/>
    </row>
    <row r="2777" spans="1:11" ht="16.5" hidden="1" customHeight="1" x14ac:dyDescent="0.25">
      <c r="B2777" s="2913"/>
      <c r="C2777" s="3947" t="s">
        <v>595</v>
      </c>
      <c r="D2777" s="3770">
        <v>354300000</v>
      </c>
      <c r="E2777" s="3879">
        <v>336990000</v>
      </c>
      <c r="F2777" s="4371">
        <f t="shared" si="80"/>
        <v>95.114309906858594</v>
      </c>
      <c r="G2777" s="3648">
        <v>100</v>
      </c>
      <c r="H2777" s="535"/>
    </row>
    <row r="2778" spans="1:11" ht="15.75" hidden="1" customHeight="1" x14ac:dyDescent="0.25">
      <c r="B2778" s="2913"/>
      <c r="C2778" s="3947" t="s">
        <v>597</v>
      </c>
      <c r="D2778" s="3770">
        <v>200000000</v>
      </c>
      <c r="E2778" s="3768">
        <v>200000000</v>
      </c>
      <c r="F2778" s="4371">
        <f t="shared" si="80"/>
        <v>100</v>
      </c>
      <c r="G2778" s="3648">
        <v>100</v>
      </c>
      <c r="H2778" s="535"/>
    </row>
    <row r="2779" spans="1:11" ht="16.5" hidden="1" customHeight="1" x14ac:dyDescent="0.25">
      <c r="B2779" s="2913"/>
      <c r="C2779" s="3947" t="s">
        <v>596</v>
      </c>
      <c r="D2779" s="3770">
        <v>200000000</v>
      </c>
      <c r="E2779" s="3768">
        <v>200000000</v>
      </c>
      <c r="F2779" s="4371">
        <f t="shared" si="80"/>
        <v>100</v>
      </c>
      <c r="G2779" s="3648">
        <v>100</v>
      </c>
      <c r="H2779" s="535"/>
    </row>
    <row r="2780" spans="1:11" ht="14.25" hidden="1" customHeight="1" x14ac:dyDescent="0.25">
      <c r="B2780" s="2913"/>
      <c r="C2780" s="3947" t="s">
        <v>598</v>
      </c>
      <c r="D2780" s="3770">
        <v>837300000</v>
      </c>
      <c r="E2780" s="3879">
        <v>824749400</v>
      </c>
      <c r="F2780" s="4371">
        <f t="shared" si="80"/>
        <v>98.501062940403685</v>
      </c>
      <c r="G2780" s="3648">
        <v>100</v>
      </c>
      <c r="H2780" s="535"/>
    </row>
    <row r="2781" spans="1:11" ht="9.75" hidden="1" customHeight="1" x14ac:dyDescent="0.25">
      <c r="B2781" s="2913"/>
      <c r="C2781" s="3896"/>
      <c r="D2781" s="827"/>
      <c r="E2781" s="3879"/>
      <c r="F2781" s="3553"/>
      <c r="G2781" s="3648"/>
      <c r="H2781" s="535"/>
    </row>
    <row r="2782" spans="1:11" ht="15.75" hidden="1" customHeight="1" x14ac:dyDescent="0.25">
      <c r="B2782" s="2913"/>
      <c r="C2782" s="3946" t="s">
        <v>559</v>
      </c>
      <c r="D2782" s="966">
        <f>SUM(D2783:D2796)</f>
        <v>4851750000</v>
      </c>
      <c r="E2782" s="966">
        <f>SUM(E2783:E2796)</f>
        <v>4639485050</v>
      </c>
      <c r="F2782" s="4373">
        <f t="shared" ref="F2782:F2796" si="81">E2782/D2782*100</f>
        <v>95.624981707631264</v>
      </c>
      <c r="G2782" s="3600">
        <f>SUM(G2783:G2796)/14</f>
        <v>96.428571428571431</v>
      </c>
      <c r="H2782" s="535"/>
    </row>
    <row r="2783" spans="1:11" ht="16.5" hidden="1" customHeight="1" x14ac:dyDescent="0.25">
      <c r="B2783" s="2913"/>
      <c r="C2783" s="3947" t="s">
        <v>5910</v>
      </c>
      <c r="D2783" s="3770">
        <v>524870000</v>
      </c>
      <c r="E2783" s="3879">
        <v>499864300</v>
      </c>
      <c r="F2783" s="4372">
        <f t="shared" si="81"/>
        <v>95.235829824527968</v>
      </c>
      <c r="G2783" s="3648">
        <v>100</v>
      </c>
      <c r="H2783" s="535"/>
    </row>
    <row r="2784" spans="1:11" ht="15.75" hidden="1" customHeight="1" x14ac:dyDescent="0.25">
      <c r="B2784" s="2913"/>
      <c r="C2784" s="3947" t="s">
        <v>5909</v>
      </c>
      <c r="D2784" s="3770">
        <v>524870000</v>
      </c>
      <c r="E2784" s="3879">
        <v>499852900</v>
      </c>
      <c r="F2784" s="4372">
        <f t="shared" si="81"/>
        <v>95.233657858136297</v>
      </c>
      <c r="G2784" s="3648">
        <v>100</v>
      </c>
      <c r="H2784" s="535"/>
    </row>
    <row r="2785" spans="2:8" ht="15.75" hidden="1" customHeight="1" x14ac:dyDescent="0.25">
      <c r="B2785" s="2913"/>
      <c r="C2785" s="3947" t="s">
        <v>5908</v>
      </c>
      <c r="D2785" s="3770">
        <v>524870000</v>
      </c>
      <c r="E2785" s="3879">
        <v>499796850</v>
      </c>
      <c r="F2785" s="4372">
        <f t="shared" si="81"/>
        <v>95.222979023377221</v>
      </c>
      <c r="G2785" s="3648">
        <v>100</v>
      </c>
      <c r="H2785" s="535"/>
    </row>
    <row r="2786" spans="2:8" ht="15.75" hidden="1" customHeight="1" x14ac:dyDescent="0.25">
      <c r="B2786" s="2913"/>
      <c r="C2786" s="3947" t="s">
        <v>5907</v>
      </c>
      <c r="D2786" s="3770">
        <v>474870000</v>
      </c>
      <c r="E2786" s="3879">
        <v>474870000</v>
      </c>
      <c r="F2786" s="4372">
        <f t="shared" si="81"/>
        <v>100</v>
      </c>
      <c r="G2786" s="3648">
        <v>100</v>
      </c>
      <c r="H2786" s="535"/>
    </row>
    <row r="2787" spans="2:8" ht="18" hidden="1" customHeight="1" x14ac:dyDescent="0.25">
      <c r="B2787" s="2913"/>
      <c r="C2787" s="3947" t="s">
        <v>5906</v>
      </c>
      <c r="D2787" s="3770">
        <v>494870000</v>
      </c>
      <c r="E2787" s="3879">
        <v>494771000</v>
      </c>
      <c r="F2787" s="4372">
        <f t="shared" si="81"/>
        <v>99.979994746094931</v>
      </c>
      <c r="G2787" s="3648">
        <v>100</v>
      </c>
      <c r="H2787" s="535"/>
    </row>
    <row r="2788" spans="2:8" ht="14.25" hidden="1" customHeight="1" x14ac:dyDescent="0.25">
      <c r="B2788" s="2913"/>
      <c r="C2788" s="3947" t="s">
        <v>5905</v>
      </c>
      <c r="D2788" s="3770">
        <v>276200000</v>
      </c>
      <c r="E2788" s="1069">
        <v>262800000</v>
      </c>
      <c r="F2788" s="4372">
        <f t="shared" si="81"/>
        <v>95.148443157132505</v>
      </c>
      <c r="G2788" s="3648">
        <v>100</v>
      </c>
      <c r="H2788" s="535"/>
    </row>
    <row r="2789" spans="2:8" ht="17.25" hidden="1" customHeight="1" x14ac:dyDescent="0.25">
      <c r="B2789" s="2913"/>
      <c r="C2789" s="3947" t="s">
        <v>5904</v>
      </c>
      <c r="D2789" s="3770">
        <v>351200000</v>
      </c>
      <c r="E2789" s="1069">
        <v>227530000</v>
      </c>
      <c r="F2789" s="4372">
        <f t="shared" si="81"/>
        <v>64.78644646924829</v>
      </c>
      <c r="G2789" s="3648">
        <v>50</v>
      </c>
      <c r="H2789" s="535"/>
    </row>
    <row r="2790" spans="2:8" ht="15" hidden="1" customHeight="1" x14ac:dyDescent="0.25">
      <c r="B2790" s="2913"/>
      <c r="C2790" s="3947" t="s">
        <v>5903</v>
      </c>
      <c r="D2790" s="3770">
        <v>250000000</v>
      </c>
      <c r="E2790" s="1891">
        <v>250000000</v>
      </c>
      <c r="F2790" s="4372">
        <f t="shared" si="81"/>
        <v>100</v>
      </c>
      <c r="G2790" s="3557">
        <v>100</v>
      </c>
      <c r="H2790" s="535"/>
    </row>
    <row r="2791" spans="2:8" ht="15.75" hidden="1" customHeight="1" x14ac:dyDescent="0.25">
      <c r="B2791" s="2913"/>
      <c r="C2791" s="3947" t="s">
        <v>5902</v>
      </c>
      <c r="D2791" s="3770">
        <v>250000000</v>
      </c>
      <c r="E2791" s="1024">
        <v>250000000</v>
      </c>
      <c r="F2791" s="4372">
        <f t="shared" si="81"/>
        <v>100</v>
      </c>
      <c r="G2791" s="3557">
        <v>100</v>
      </c>
      <c r="H2791" s="535"/>
    </row>
    <row r="2792" spans="2:8" ht="17.25" hidden="1" customHeight="1" x14ac:dyDescent="0.25">
      <c r="B2792" s="2913"/>
      <c r="C2792" s="3947" t="s">
        <v>5901</v>
      </c>
      <c r="D2792" s="3770">
        <v>250000000</v>
      </c>
      <c r="E2792" s="3879">
        <v>250000000</v>
      </c>
      <c r="F2792" s="4372">
        <f t="shared" si="81"/>
        <v>100</v>
      </c>
      <c r="G2792" s="3557">
        <v>100</v>
      </c>
      <c r="H2792" s="535"/>
    </row>
    <row r="2793" spans="2:8" ht="14.25" hidden="1" customHeight="1" x14ac:dyDescent="0.25">
      <c r="B2793" s="2913"/>
      <c r="C2793" s="3947" t="s">
        <v>5900</v>
      </c>
      <c r="D2793" s="3770">
        <v>250000000</v>
      </c>
      <c r="E2793" s="3879">
        <v>250000000</v>
      </c>
      <c r="F2793" s="4372">
        <f t="shared" si="81"/>
        <v>100</v>
      </c>
      <c r="G2793" s="3557">
        <v>100</v>
      </c>
      <c r="H2793" s="535"/>
    </row>
    <row r="2794" spans="2:8" ht="17.25" hidden="1" customHeight="1" x14ac:dyDescent="0.25">
      <c r="B2794" s="2913"/>
      <c r="C2794" s="3947" t="s">
        <v>5899</v>
      </c>
      <c r="D2794" s="3770">
        <v>250000000</v>
      </c>
      <c r="E2794" s="1024">
        <v>250000000</v>
      </c>
      <c r="F2794" s="4372">
        <f t="shared" si="81"/>
        <v>100</v>
      </c>
      <c r="G2794" s="3557">
        <v>100</v>
      </c>
      <c r="H2794" s="535"/>
    </row>
    <row r="2795" spans="2:8" ht="14.25" hidden="1" customHeight="1" x14ac:dyDescent="0.25">
      <c r="B2795" s="2913"/>
      <c r="C2795" s="3947" t="s">
        <v>5898</v>
      </c>
      <c r="D2795" s="3770">
        <v>250000000</v>
      </c>
      <c r="E2795" s="1891">
        <v>250000000</v>
      </c>
      <c r="F2795" s="4372">
        <f t="shared" si="81"/>
        <v>100</v>
      </c>
      <c r="G2795" s="3557">
        <v>100</v>
      </c>
      <c r="H2795" s="535"/>
    </row>
    <row r="2796" spans="2:8" ht="20.25" hidden="1" customHeight="1" x14ac:dyDescent="0.25">
      <c r="B2796" s="2913"/>
      <c r="C2796" s="3947" t="s">
        <v>5897</v>
      </c>
      <c r="D2796" s="3770">
        <v>180000000</v>
      </c>
      <c r="E2796" s="3879">
        <v>180000000</v>
      </c>
      <c r="F2796" s="4372">
        <f t="shared" si="81"/>
        <v>100</v>
      </c>
      <c r="G2796" s="3557">
        <v>100</v>
      </c>
      <c r="H2796" s="535"/>
    </row>
    <row r="2797" spans="2:8" ht="12" hidden="1" customHeight="1" x14ac:dyDescent="0.25">
      <c r="B2797" s="2913"/>
      <c r="C2797" s="4033"/>
      <c r="D2797" s="1038"/>
      <c r="E2797" s="3879"/>
      <c r="F2797" s="3651"/>
      <c r="G2797" s="3648"/>
      <c r="H2797" s="535"/>
    </row>
    <row r="2798" spans="2:8" ht="15.75" hidden="1" customHeight="1" x14ac:dyDescent="0.25">
      <c r="B2798" s="2913"/>
      <c r="C2798" s="3946" t="s">
        <v>366</v>
      </c>
      <c r="D2798" s="966">
        <f>SUM(D2799:D2822)</f>
        <v>22458760609</v>
      </c>
      <c r="E2798" s="966">
        <f>SUM(E2799:E2822)</f>
        <v>21042087130</v>
      </c>
      <c r="F2798" s="4373">
        <f t="shared" ref="F2798:F2822" si="82">E2798/D2798*100</f>
        <v>93.692111939461654</v>
      </c>
      <c r="G2798" s="3600">
        <f>SUM(G2799:G2822)/24</f>
        <v>95.416666666666671</v>
      </c>
      <c r="H2798" s="535"/>
    </row>
    <row r="2799" spans="2:8" ht="30" hidden="1" customHeight="1" x14ac:dyDescent="0.25">
      <c r="B2799" s="2913"/>
      <c r="C2799" s="3947" t="s">
        <v>5911</v>
      </c>
      <c r="D2799" s="971">
        <v>400000000</v>
      </c>
      <c r="E2799" s="1069">
        <v>400000000</v>
      </c>
      <c r="F2799" s="4372">
        <f t="shared" si="82"/>
        <v>100</v>
      </c>
      <c r="G2799" s="3648">
        <v>100</v>
      </c>
      <c r="H2799" s="535"/>
    </row>
    <row r="2800" spans="2:8" ht="14.25" hidden="1" customHeight="1" x14ac:dyDescent="0.25">
      <c r="B2800" s="2913"/>
      <c r="C2800" s="3947" t="s">
        <v>5912</v>
      </c>
      <c r="D2800" s="3770">
        <v>900000000</v>
      </c>
      <c r="E2800" s="1024">
        <v>780350000</v>
      </c>
      <c r="F2800" s="4372">
        <f t="shared" si="82"/>
        <v>86.705555555555563</v>
      </c>
      <c r="G2800" s="3648">
        <v>100</v>
      </c>
      <c r="H2800" s="535"/>
    </row>
    <row r="2801" spans="2:8" ht="15.75" hidden="1" customHeight="1" x14ac:dyDescent="0.25">
      <c r="B2801" s="2913"/>
      <c r="C2801" s="3947" t="s">
        <v>5913</v>
      </c>
      <c r="D2801" s="3770">
        <v>500000000</v>
      </c>
      <c r="E2801" s="3768">
        <v>500000000</v>
      </c>
      <c r="F2801" s="4372">
        <f t="shared" si="82"/>
        <v>100</v>
      </c>
      <c r="G2801" s="3648">
        <v>100</v>
      </c>
      <c r="H2801" s="535"/>
    </row>
    <row r="2802" spans="2:8" ht="15.75" hidden="1" customHeight="1" x14ac:dyDescent="0.25">
      <c r="B2802" s="2913"/>
      <c r="C2802" s="3947" t="s">
        <v>5914</v>
      </c>
      <c r="D2802" s="3770">
        <v>1402620000</v>
      </c>
      <c r="E2802" s="1069">
        <v>1312035000</v>
      </c>
      <c r="F2802" s="4372">
        <f t="shared" si="82"/>
        <v>93.54172904992086</v>
      </c>
      <c r="G2802" s="3648">
        <v>100</v>
      </c>
      <c r="H2802" s="535"/>
    </row>
    <row r="2803" spans="2:8" ht="15.75" hidden="1" customHeight="1" x14ac:dyDescent="0.25">
      <c r="B2803" s="2913"/>
      <c r="C2803" s="3947" t="s">
        <v>5915</v>
      </c>
      <c r="D2803" s="3770">
        <v>887180000</v>
      </c>
      <c r="E2803" s="1069">
        <v>877180000</v>
      </c>
      <c r="F2803" s="4372">
        <f t="shared" si="82"/>
        <v>98.872833021483814</v>
      </c>
      <c r="G2803" s="3648">
        <v>100</v>
      </c>
      <c r="H2803" s="535"/>
    </row>
    <row r="2804" spans="2:8" ht="14.25" hidden="1" customHeight="1" x14ac:dyDescent="0.25">
      <c r="B2804" s="2913"/>
      <c r="C2804" s="3947" t="s">
        <v>5916</v>
      </c>
      <c r="D2804" s="3770">
        <v>1347140000</v>
      </c>
      <c r="E2804" s="1069">
        <v>1240385150</v>
      </c>
      <c r="F2804" s="4372">
        <f t="shared" si="82"/>
        <v>92.075445016850509</v>
      </c>
      <c r="G2804" s="3648">
        <v>100</v>
      </c>
      <c r="H2804" s="535"/>
    </row>
    <row r="2805" spans="2:8" ht="17.25" hidden="1" customHeight="1" x14ac:dyDescent="0.25">
      <c r="B2805" s="2913"/>
      <c r="C2805" s="3947" t="s">
        <v>5917</v>
      </c>
      <c r="D2805" s="3770">
        <v>1243760000</v>
      </c>
      <c r="E2805" s="1069">
        <v>1240360000</v>
      </c>
      <c r="F2805" s="4372">
        <f t="shared" si="82"/>
        <v>99.726635363735767</v>
      </c>
      <c r="G2805" s="3648">
        <v>100</v>
      </c>
      <c r="H2805" s="535"/>
    </row>
    <row r="2806" spans="2:8" ht="17.25" hidden="1" customHeight="1" x14ac:dyDescent="0.25">
      <c r="B2806" s="2913"/>
      <c r="C2806" s="3947" t="s">
        <v>5918</v>
      </c>
      <c r="D2806" s="3770">
        <v>994300000</v>
      </c>
      <c r="E2806" s="1069">
        <v>614340000</v>
      </c>
      <c r="F2806" s="4372">
        <f t="shared" si="82"/>
        <v>61.786181233028259</v>
      </c>
      <c r="G2806" s="3557">
        <v>50</v>
      </c>
      <c r="H2806" s="535"/>
    </row>
    <row r="2807" spans="2:8" ht="14.25" hidden="1" customHeight="1" x14ac:dyDescent="0.25">
      <c r="B2807" s="2913"/>
      <c r="C2807" s="3947" t="s">
        <v>5919</v>
      </c>
      <c r="D2807" s="3770">
        <v>1367420000</v>
      </c>
      <c r="E2807" s="1069">
        <v>1362420000</v>
      </c>
      <c r="F2807" s="4372">
        <f t="shared" si="82"/>
        <v>99.634347896037795</v>
      </c>
      <c r="G2807" s="3648">
        <v>100</v>
      </c>
      <c r="H2807" s="535"/>
    </row>
    <row r="2808" spans="2:8" ht="13.5" hidden="1" customHeight="1" x14ac:dyDescent="0.25">
      <c r="B2808" s="2913"/>
      <c r="C2808" s="3947" t="s">
        <v>5923</v>
      </c>
      <c r="D2808" s="3770">
        <v>1342700000</v>
      </c>
      <c r="E2808" s="1069">
        <v>1299250000</v>
      </c>
      <c r="F2808" s="4372">
        <f t="shared" si="82"/>
        <v>96.763983019289483</v>
      </c>
      <c r="G2808" s="3648">
        <v>100</v>
      </c>
      <c r="H2808" s="535"/>
    </row>
    <row r="2809" spans="2:8" ht="13.5" hidden="1" customHeight="1" x14ac:dyDescent="0.25">
      <c r="B2809" s="2913"/>
      <c r="C2809" s="3947" t="s">
        <v>5922</v>
      </c>
      <c r="D2809" s="3770">
        <v>521200000</v>
      </c>
      <c r="E2809" s="1069">
        <v>516200000</v>
      </c>
      <c r="F2809" s="4372">
        <f t="shared" si="82"/>
        <v>99.040675364543361</v>
      </c>
      <c r="G2809" s="3648">
        <v>100</v>
      </c>
      <c r="H2809" s="535"/>
    </row>
    <row r="2810" spans="2:8" ht="17.25" hidden="1" customHeight="1" x14ac:dyDescent="0.25">
      <c r="B2810" s="2913"/>
      <c r="C2810" s="3947" t="s">
        <v>5921</v>
      </c>
      <c r="D2810" s="3770">
        <v>1043280000</v>
      </c>
      <c r="E2810" s="1891">
        <v>1022210000</v>
      </c>
      <c r="F2810" s="4372">
        <f t="shared" si="82"/>
        <v>97.980407944176065</v>
      </c>
      <c r="G2810" s="3648">
        <v>100</v>
      </c>
      <c r="H2810" s="535"/>
    </row>
    <row r="2811" spans="2:8" ht="15" hidden="1" customHeight="1" x14ac:dyDescent="0.25">
      <c r="B2811" s="2913"/>
      <c r="C2811" s="3947" t="s">
        <v>5920</v>
      </c>
      <c r="D2811" s="3770">
        <v>616620000</v>
      </c>
      <c r="E2811" s="1891">
        <v>604620000</v>
      </c>
      <c r="F2811" s="4372">
        <f t="shared" si="82"/>
        <v>98.053906782134874</v>
      </c>
      <c r="G2811" s="3648">
        <v>100</v>
      </c>
      <c r="H2811" s="535"/>
    </row>
    <row r="2812" spans="2:8" ht="15.75" hidden="1" customHeight="1" x14ac:dyDescent="0.25">
      <c r="B2812" s="2913"/>
      <c r="C2812" s="3947" t="s">
        <v>5924</v>
      </c>
      <c r="D2812" s="3770">
        <v>956700000</v>
      </c>
      <c r="E2812" s="1891">
        <v>937900000</v>
      </c>
      <c r="F2812" s="4372">
        <f t="shared" si="82"/>
        <v>98.034911675551371</v>
      </c>
      <c r="G2812" s="3648">
        <v>100</v>
      </c>
      <c r="H2812" s="535"/>
    </row>
    <row r="2813" spans="2:8" ht="18.75" hidden="1" customHeight="1" x14ac:dyDescent="0.25">
      <c r="B2813" s="2913"/>
      <c r="C2813" s="3947" t="s">
        <v>5925</v>
      </c>
      <c r="D2813" s="3770">
        <v>842520000</v>
      </c>
      <c r="E2813" s="1069">
        <v>841720000</v>
      </c>
      <c r="F2813" s="4372">
        <f t="shared" si="82"/>
        <v>99.905046764468494</v>
      </c>
      <c r="G2813" s="3648">
        <v>100</v>
      </c>
      <c r="H2813" s="535"/>
    </row>
    <row r="2814" spans="2:8" ht="18" hidden="1" customHeight="1" x14ac:dyDescent="0.25">
      <c r="B2814" s="2913"/>
      <c r="C2814" s="3947" t="s">
        <v>5926</v>
      </c>
      <c r="D2814" s="3770">
        <v>1151400000</v>
      </c>
      <c r="E2814" s="1069">
        <v>1118400000</v>
      </c>
      <c r="F2814" s="4372">
        <f t="shared" si="82"/>
        <v>97.133923918707666</v>
      </c>
      <c r="G2814" s="3648">
        <v>100</v>
      </c>
      <c r="H2814" s="535"/>
    </row>
    <row r="2815" spans="2:8" ht="19.5" hidden="1" customHeight="1" x14ac:dyDescent="0.25">
      <c r="B2815" s="2913"/>
      <c r="C2815" s="3947" t="s">
        <v>5927</v>
      </c>
      <c r="D2815" s="971">
        <v>1105505037</v>
      </c>
      <c r="E2815" s="1891">
        <v>1089049000</v>
      </c>
      <c r="F2815" s="4372">
        <f t="shared" si="82"/>
        <v>98.511446221479318</v>
      </c>
      <c r="G2815" s="3648">
        <v>100</v>
      </c>
      <c r="H2815" s="535"/>
    </row>
    <row r="2816" spans="2:8" ht="15.75" hidden="1" customHeight="1" x14ac:dyDescent="0.25">
      <c r="B2816" s="2913"/>
      <c r="C2816" s="3947" t="s">
        <v>5928</v>
      </c>
      <c r="D2816" s="3770">
        <v>202335572</v>
      </c>
      <c r="E2816" s="1891">
        <v>188152000</v>
      </c>
      <c r="F2816" s="4372">
        <f t="shared" si="82"/>
        <v>92.990074923652074</v>
      </c>
      <c r="G2816" s="3648">
        <v>100</v>
      </c>
      <c r="H2816" s="535"/>
    </row>
    <row r="2817" spans="2:8" ht="18" hidden="1" customHeight="1" x14ac:dyDescent="0.25">
      <c r="B2817" s="2913"/>
      <c r="C2817" s="3947" t="s">
        <v>5929</v>
      </c>
      <c r="D2817" s="3770">
        <v>1577250000</v>
      </c>
      <c r="E2817" s="1891">
        <v>1349200000</v>
      </c>
      <c r="F2817" s="4372">
        <f t="shared" si="82"/>
        <v>85.541290220320178</v>
      </c>
      <c r="G2817" s="3557">
        <v>75</v>
      </c>
      <c r="H2817" s="535"/>
    </row>
    <row r="2818" spans="2:8" ht="15" hidden="1" customHeight="1" x14ac:dyDescent="0.25">
      <c r="B2818" s="2913"/>
      <c r="C2818" s="3947" t="s">
        <v>5930</v>
      </c>
      <c r="D2818" s="3770">
        <v>423000000</v>
      </c>
      <c r="E2818" s="1891">
        <v>420400000</v>
      </c>
      <c r="F2818" s="4372">
        <f t="shared" si="82"/>
        <v>99.385342789598113</v>
      </c>
      <c r="G2818" s="3557">
        <v>100</v>
      </c>
      <c r="H2818" s="535"/>
    </row>
    <row r="2819" spans="2:8" ht="29.25" hidden="1" customHeight="1" x14ac:dyDescent="0.25">
      <c r="B2819" s="2913"/>
      <c r="C2819" s="3947" t="s">
        <v>5932</v>
      </c>
      <c r="D2819" s="971">
        <v>516700000</v>
      </c>
      <c r="E2819" s="1891">
        <v>513900000</v>
      </c>
      <c r="F2819" s="4372">
        <f t="shared" si="82"/>
        <v>99.458099477453061</v>
      </c>
      <c r="G2819" s="3557">
        <v>100</v>
      </c>
      <c r="H2819" s="535"/>
    </row>
    <row r="2820" spans="2:8" ht="17.25" hidden="1" customHeight="1" x14ac:dyDescent="0.25">
      <c r="B2820" s="2913"/>
      <c r="C2820" s="3947" t="s">
        <v>5931</v>
      </c>
      <c r="D2820" s="971">
        <v>766790000</v>
      </c>
      <c r="E2820" s="3879">
        <v>729290000</v>
      </c>
      <c r="F2820" s="4372">
        <f t="shared" si="82"/>
        <v>95.109482387615913</v>
      </c>
      <c r="G2820" s="3557">
        <v>100</v>
      </c>
      <c r="H2820" s="535"/>
    </row>
    <row r="2821" spans="2:8" ht="17.25" hidden="1" customHeight="1" x14ac:dyDescent="0.25">
      <c r="B2821" s="2913"/>
      <c r="C2821" s="3947" t="s">
        <v>5933</v>
      </c>
      <c r="D2821" s="971">
        <v>955380000</v>
      </c>
      <c r="E2821" s="3879">
        <v>761250000</v>
      </c>
      <c r="F2821" s="4372">
        <f t="shared" si="82"/>
        <v>79.680336619983677</v>
      </c>
      <c r="G2821" s="3648">
        <v>65</v>
      </c>
      <c r="H2821" s="535"/>
    </row>
    <row r="2822" spans="2:8" ht="15.75" hidden="1" customHeight="1" x14ac:dyDescent="0.25">
      <c r="B2822" s="2913"/>
      <c r="C2822" s="3947" t="s">
        <v>5934</v>
      </c>
      <c r="D2822" s="3770">
        <v>1394960000</v>
      </c>
      <c r="E2822" s="1069">
        <v>1323475980</v>
      </c>
      <c r="F2822" s="4372">
        <f t="shared" si="82"/>
        <v>94.875550553420879</v>
      </c>
      <c r="G2822" s="3648">
        <v>100</v>
      </c>
      <c r="H2822" s="535"/>
    </row>
    <row r="2823" spans="2:8" ht="7.5" hidden="1" customHeight="1" x14ac:dyDescent="0.25">
      <c r="B2823" s="2913"/>
      <c r="C2823" s="4033"/>
      <c r="D2823" s="1038"/>
      <c r="E2823" s="3497"/>
      <c r="F2823" s="4372"/>
      <c r="G2823" s="3648"/>
      <c r="H2823" s="535"/>
    </row>
    <row r="2824" spans="2:8" ht="17.25" hidden="1" customHeight="1" x14ac:dyDescent="0.25">
      <c r="B2824" s="2913"/>
      <c r="C2824" s="3946" t="s">
        <v>280</v>
      </c>
      <c r="D2824" s="966">
        <f>SUM(D2825:D2829)</f>
        <v>427342000</v>
      </c>
      <c r="E2824" s="966">
        <f>SUM(E2825:E2829)</f>
        <v>427342000</v>
      </c>
      <c r="F2824" s="5522">
        <f t="shared" ref="F2824:F2829" si="83">E2824/D2824*100</f>
        <v>100</v>
      </c>
      <c r="G2824" s="3600">
        <v>100</v>
      </c>
      <c r="H2824" s="535"/>
    </row>
    <row r="2825" spans="2:8" ht="16.5" hidden="1" customHeight="1" x14ac:dyDescent="0.25">
      <c r="B2825" s="2913"/>
      <c r="C2825" s="3947" t="s">
        <v>5935</v>
      </c>
      <c r="D2825" s="3770">
        <v>95700000</v>
      </c>
      <c r="E2825" s="3768">
        <v>95700000</v>
      </c>
      <c r="F2825" s="4372">
        <f t="shared" si="83"/>
        <v>100</v>
      </c>
      <c r="G2825" s="3648">
        <v>100</v>
      </c>
      <c r="H2825" s="535"/>
    </row>
    <row r="2826" spans="2:8" ht="16.5" hidden="1" customHeight="1" x14ac:dyDescent="0.25">
      <c r="B2826" s="2913"/>
      <c r="C2826" s="3947" t="s">
        <v>5936</v>
      </c>
      <c r="D2826" s="3770">
        <v>81930000</v>
      </c>
      <c r="E2826" s="1891">
        <v>81930000</v>
      </c>
      <c r="F2826" s="4372">
        <f t="shared" si="83"/>
        <v>100</v>
      </c>
      <c r="G2826" s="3557">
        <v>100</v>
      </c>
      <c r="H2826" s="535"/>
    </row>
    <row r="2827" spans="2:8" ht="17.25" hidden="1" customHeight="1" x14ac:dyDescent="0.25">
      <c r="B2827" s="2913"/>
      <c r="C2827" s="3947" t="s">
        <v>5937</v>
      </c>
      <c r="D2827" s="3770">
        <v>83280000</v>
      </c>
      <c r="E2827" s="3768">
        <v>83280000</v>
      </c>
      <c r="F2827" s="4372">
        <f t="shared" si="83"/>
        <v>100</v>
      </c>
      <c r="G2827" s="3648">
        <v>100</v>
      </c>
      <c r="H2827" s="535"/>
    </row>
    <row r="2828" spans="2:8" ht="16.5" hidden="1" customHeight="1" x14ac:dyDescent="0.25">
      <c r="B2828" s="2913"/>
      <c r="C2828" s="3947" t="s">
        <v>5938</v>
      </c>
      <c r="D2828" s="3770">
        <v>106000000</v>
      </c>
      <c r="E2828" s="3768">
        <v>106000000</v>
      </c>
      <c r="F2828" s="4372">
        <f t="shared" si="83"/>
        <v>100</v>
      </c>
      <c r="G2828" s="3648">
        <v>100</v>
      </c>
      <c r="H2828" s="535"/>
    </row>
    <row r="2829" spans="2:8" ht="17.25" hidden="1" customHeight="1" x14ac:dyDescent="0.25">
      <c r="B2829" s="2913"/>
      <c r="C2829" s="3947" t="s">
        <v>5939</v>
      </c>
      <c r="D2829" s="3770">
        <v>60432000</v>
      </c>
      <c r="E2829" s="1891">
        <v>60432000</v>
      </c>
      <c r="F2829" s="4372">
        <f t="shared" si="83"/>
        <v>100</v>
      </c>
      <c r="G2829" s="3557">
        <v>100</v>
      </c>
      <c r="H2829" s="535"/>
    </row>
    <row r="2830" spans="2:8" ht="12" hidden="1" customHeight="1" x14ac:dyDescent="0.25">
      <c r="B2830" s="2913"/>
      <c r="C2830" s="4033"/>
      <c r="D2830" s="1038"/>
      <c r="E2830" s="3879"/>
      <c r="F2830" s="4372"/>
      <c r="G2830" s="3648"/>
      <c r="H2830" s="535"/>
    </row>
    <row r="2831" spans="2:8" ht="16.5" hidden="1" customHeight="1" x14ac:dyDescent="0.25">
      <c r="B2831" s="2913"/>
      <c r="C2831" s="1299" t="s">
        <v>261</v>
      </c>
      <c r="D2831" s="966">
        <f>SUM(D2832:D2839)</f>
        <v>12045840391</v>
      </c>
      <c r="E2831" s="966">
        <f>SUM(E2832:E2839)</f>
        <v>12045694693</v>
      </c>
      <c r="F2831" s="5522">
        <f t="shared" ref="F2831:F2839" si="84">E2831/D2831*100</f>
        <v>99.998790470442316</v>
      </c>
      <c r="G2831" s="3600">
        <v>100</v>
      </c>
      <c r="H2831" s="535"/>
    </row>
    <row r="2832" spans="2:8" ht="14.25" hidden="1" customHeight="1" x14ac:dyDescent="0.25">
      <c r="B2832" s="2913"/>
      <c r="C2832" s="3947" t="s">
        <v>5941</v>
      </c>
      <c r="D2832" s="3770">
        <v>5052000000</v>
      </c>
      <c r="E2832" s="1069">
        <v>5052000000</v>
      </c>
      <c r="F2832" s="4372">
        <f t="shared" si="84"/>
        <v>100</v>
      </c>
      <c r="G2832" s="3648">
        <v>100</v>
      </c>
      <c r="H2832" s="535"/>
    </row>
    <row r="2833" spans="1:11" ht="17.25" hidden="1" customHeight="1" x14ac:dyDescent="0.25">
      <c r="B2833" s="2913"/>
      <c r="C2833" s="3947" t="s">
        <v>5940</v>
      </c>
      <c r="D2833" s="3770">
        <v>3913120000</v>
      </c>
      <c r="E2833" s="1069">
        <v>3913120000</v>
      </c>
      <c r="F2833" s="4372">
        <f t="shared" si="84"/>
        <v>100</v>
      </c>
      <c r="G2833" s="3648">
        <v>100</v>
      </c>
      <c r="H2833" s="535"/>
    </row>
    <row r="2834" spans="1:11" ht="15.75" hidden="1" customHeight="1" x14ac:dyDescent="0.25">
      <c r="B2834" s="2913"/>
      <c r="C2834" s="3947" t="s">
        <v>5942</v>
      </c>
      <c r="D2834" s="3770">
        <v>100000000</v>
      </c>
      <c r="E2834" s="1891">
        <v>100000000</v>
      </c>
      <c r="F2834" s="4372">
        <f t="shared" si="84"/>
        <v>100</v>
      </c>
      <c r="G2834" s="3648">
        <v>100</v>
      </c>
      <c r="H2834" s="535"/>
    </row>
    <row r="2835" spans="1:11" ht="12.75" hidden="1" customHeight="1" x14ac:dyDescent="0.25">
      <c r="B2835" s="2913"/>
      <c r="C2835" s="3947" t="s">
        <v>5943</v>
      </c>
      <c r="D2835" s="3770">
        <v>1150000000</v>
      </c>
      <c r="E2835" s="1891">
        <v>1149854302</v>
      </c>
      <c r="F2835" s="4372">
        <f t="shared" si="84"/>
        <v>99.987330608695657</v>
      </c>
      <c r="G2835" s="3648">
        <v>100</v>
      </c>
      <c r="H2835" s="535"/>
    </row>
    <row r="2836" spans="1:11" ht="13.5" hidden="1" customHeight="1" x14ac:dyDescent="0.25">
      <c r="B2836" s="2913"/>
      <c r="C2836" s="3947" t="s">
        <v>5944</v>
      </c>
      <c r="D2836" s="3770">
        <v>500000000</v>
      </c>
      <c r="E2836" s="1891">
        <v>500000000</v>
      </c>
      <c r="F2836" s="4372">
        <f t="shared" si="84"/>
        <v>100</v>
      </c>
      <c r="G2836" s="3648">
        <v>100</v>
      </c>
      <c r="H2836" s="535"/>
    </row>
    <row r="2837" spans="1:11" ht="14.25" hidden="1" customHeight="1" x14ac:dyDescent="0.25">
      <c r="B2837" s="2913"/>
      <c r="C2837" s="3947" t="s">
        <v>5945</v>
      </c>
      <c r="D2837" s="3770">
        <v>645720391</v>
      </c>
      <c r="E2837" s="1891">
        <v>645720391</v>
      </c>
      <c r="F2837" s="4372">
        <f t="shared" si="84"/>
        <v>100</v>
      </c>
      <c r="G2837" s="3648">
        <v>100</v>
      </c>
      <c r="H2837" s="535"/>
    </row>
    <row r="2838" spans="1:11" ht="15" hidden="1" customHeight="1" x14ac:dyDescent="0.25">
      <c r="B2838" s="2913"/>
      <c r="C2838" s="3947" t="s">
        <v>5946</v>
      </c>
      <c r="D2838" s="3770">
        <v>325000000</v>
      </c>
      <c r="E2838" s="1024">
        <v>325000000</v>
      </c>
      <c r="F2838" s="4372">
        <f t="shared" si="84"/>
        <v>100</v>
      </c>
      <c r="G2838" s="3648">
        <v>100</v>
      </c>
      <c r="H2838" s="535"/>
    </row>
    <row r="2839" spans="1:11" ht="18" hidden="1" customHeight="1" x14ac:dyDescent="0.25">
      <c r="A2839" s="1287"/>
      <c r="B2839" s="2913"/>
      <c r="C2839" s="3947" t="s">
        <v>560</v>
      </c>
      <c r="D2839" s="3770">
        <v>360000000</v>
      </c>
      <c r="E2839" s="1891">
        <v>360000000</v>
      </c>
      <c r="F2839" s="4372">
        <f t="shared" si="84"/>
        <v>100</v>
      </c>
      <c r="G2839" s="3648">
        <v>100</v>
      </c>
      <c r="H2839" s="535"/>
    </row>
    <row r="2840" spans="1:11" ht="12" hidden="1" customHeight="1" x14ac:dyDescent="0.25">
      <c r="B2840" s="2913"/>
      <c r="C2840" s="3515"/>
      <c r="D2840" s="1071"/>
      <c r="E2840" s="1072"/>
      <c r="F2840" s="2445"/>
      <c r="G2840" s="2445"/>
      <c r="H2840" s="535"/>
    </row>
    <row r="2841" spans="1:11" ht="15" hidden="1" customHeight="1" x14ac:dyDescent="0.25">
      <c r="B2841" s="5397"/>
      <c r="C2841" s="4041" t="s">
        <v>248</v>
      </c>
      <c r="D2841" s="3631">
        <f>SUM(D2842+D2845+D2859+D2863+D2869+D2882+D2893+D2896)</f>
        <v>17505827000</v>
      </c>
      <c r="E2841" s="3631">
        <f>SUM(E2842+E2845+E2859+E2863+E2869+E2882+E2893+E2896)</f>
        <v>15141867750</v>
      </c>
      <c r="F2841" s="2439">
        <f>E2841/D2841*100</f>
        <v>86.496157822192572</v>
      </c>
      <c r="G2841" s="1726">
        <f>SUM(G2842+G2845+G2859+G2863+G2869+G2882+G2893+G2896)/8</f>
        <v>95.972222222222229</v>
      </c>
      <c r="H2841" s="1638"/>
      <c r="J2841" s="2093"/>
      <c r="K2841" s="2093"/>
    </row>
    <row r="2842" spans="1:11" ht="18" hidden="1" customHeight="1" x14ac:dyDescent="0.25">
      <c r="B2842" s="2913"/>
      <c r="C2842" s="4014" t="s">
        <v>561</v>
      </c>
      <c r="D2842" s="1423">
        <f>SUM(D2843)</f>
        <v>174680000</v>
      </c>
      <c r="E2842" s="1423">
        <f>SUM(E2843)</f>
        <v>174680000</v>
      </c>
      <c r="F2842" s="2441">
        <f>E2842/D2842*100</f>
        <v>100</v>
      </c>
      <c r="G2842" s="3550">
        <v>100</v>
      </c>
      <c r="H2842" s="535"/>
    </row>
    <row r="2843" spans="1:11" ht="16.5" hidden="1" customHeight="1" x14ac:dyDescent="0.25">
      <c r="B2843" s="2913"/>
      <c r="C2843" s="3947" t="s">
        <v>562</v>
      </c>
      <c r="D2843" s="3770">
        <v>174680000</v>
      </c>
      <c r="E2843" s="1069">
        <v>174680000</v>
      </c>
      <c r="F2843" s="4371">
        <f>E2843/D2843*100</f>
        <v>100</v>
      </c>
      <c r="G2843" s="3648">
        <v>100</v>
      </c>
      <c r="H2843" s="535"/>
    </row>
    <row r="2844" spans="1:11" ht="9.75" hidden="1" customHeight="1" x14ac:dyDescent="0.25">
      <c r="B2844" s="2913"/>
      <c r="C2844" s="4033"/>
      <c r="D2844" s="1038"/>
      <c r="E2844" s="1028"/>
      <c r="F2844" s="4371"/>
      <c r="G2844" s="3651"/>
      <c r="H2844" s="535"/>
    </row>
    <row r="2845" spans="1:11" ht="14.25" hidden="1" customHeight="1" x14ac:dyDescent="0.25">
      <c r="B2845" s="2913"/>
      <c r="C2845" s="3946" t="s">
        <v>283</v>
      </c>
      <c r="D2845" s="966">
        <f>SUM(D2846:D2857)</f>
        <v>1225575000</v>
      </c>
      <c r="E2845" s="966">
        <f>SUM(E2846:E2857)</f>
        <v>1225575000</v>
      </c>
      <c r="F2845" s="2441">
        <f t="shared" ref="F2845:F2857" si="85">E2845/D2845*100</f>
        <v>100</v>
      </c>
      <c r="G2845" s="2441">
        <v>100</v>
      </c>
      <c r="H2845" s="535"/>
    </row>
    <row r="2846" spans="1:11" ht="12.75" hidden="1" customHeight="1" x14ac:dyDescent="0.25">
      <c r="B2846" s="2913"/>
      <c r="C2846" s="3947" t="s">
        <v>5947</v>
      </c>
      <c r="D2846" s="3770">
        <v>100000000</v>
      </c>
      <c r="E2846" s="3770">
        <v>100000000</v>
      </c>
      <c r="F2846" s="4371">
        <f t="shared" si="85"/>
        <v>100</v>
      </c>
      <c r="G2846" s="4371">
        <v>100</v>
      </c>
      <c r="H2846" s="535"/>
    </row>
    <row r="2847" spans="1:11" ht="13.5" hidden="1" customHeight="1" x14ac:dyDescent="0.25">
      <c r="B2847" s="2913"/>
      <c r="C2847" s="3947" t="s">
        <v>5948</v>
      </c>
      <c r="D2847" s="3770">
        <v>100000000</v>
      </c>
      <c r="E2847" s="3770">
        <v>100000000</v>
      </c>
      <c r="F2847" s="4371">
        <f t="shared" si="85"/>
        <v>100</v>
      </c>
      <c r="G2847" s="4371">
        <v>100</v>
      </c>
      <c r="H2847" s="535"/>
    </row>
    <row r="2848" spans="1:11" ht="14.25" hidden="1" customHeight="1" x14ac:dyDescent="0.25">
      <c r="B2848" s="2913"/>
      <c r="C2848" s="3947" t="s">
        <v>5949</v>
      </c>
      <c r="D2848" s="3770">
        <v>100000000</v>
      </c>
      <c r="E2848" s="3770">
        <v>100000000</v>
      </c>
      <c r="F2848" s="4371">
        <f t="shared" si="85"/>
        <v>100</v>
      </c>
      <c r="G2848" s="4371">
        <v>100</v>
      </c>
      <c r="H2848" s="535"/>
    </row>
    <row r="2849" spans="2:8" ht="12.75" hidden="1" customHeight="1" x14ac:dyDescent="0.25">
      <c r="B2849" s="2913"/>
      <c r="C2849" s="3947" t="s">
        <v>5950</v>
      </c>
      <c r="D2849" s="3770">
        <v>100000000</v>
      </c>
      <c r="E2849" s="3770">
        <v>100000000</v>
      </c>
      <c r="F2849" s="4371">
        <f t="shared" si="85"/>
        <v>100</v>
      </c>
      <c r="G2849" s="4371">
        <v>100</v>
      </c>
      <c r="H2849" s="535"/>
    </row>
    <row r="2850" spans="2:8" ht="13.5" hidden="1" customHeight="1" x14ac:dyDescent="0.25">
      <c r="B2850" s="2913"/>
      <c r="C2850" s="3947" t="s">
        <v>5951</v>
      </c>
      <c r="D2850" s="3770">
        <v>100000000</v>
      </c>
      <c r="E2850" s="3770">
        <v>100000000</v>
      </c>
      <c r="F2850" s="4371">
        <f t="shared" si="85"/>
        <v>100</v>
      </c>
      <c r="G2850" s="4371">
        <v>100</v>
      </c>
      <c r="H2850" s="535"/>
    </row>
    <row r="2851" spans="2:8" ht="17.25" hidden="1" customHeight="1" x14ac:dyDescent="0.25">
      <c r="B2851" s="2913"/>
      <c r="C2851" s="3947" t="s">
        <v>5952</v>
      </c>
      <c r="D2851" s="3770">
        <v>100000000</v>
      </c>
      <c r="E2851" s="3770">
        <v>100000000</v>
      </c>
      <c r="F2851" s="4371">
        <f t="shared" si="85"/>
        <v>100</v>
      </c>
      <c r="G2851" s="4371">
        <v>100</v>
      </c>
      <c r="H2851" s="535"/>
    </row>
    <row r="2852" spans="2:8" ht="15" hidden="1" customHeight="1" x14ac:dyDescent="0.25">
      <c r="B2852" s="2913"/>
      <c r="C2852" s="3947" t="s">
        <v>5953</v>
      </c>
      <c r="D2852" s="3770">
        <v>100000000</v>
      </c>
      <c r="E2852" s="3770">
        <v>100000000</v>
      </c>
      <c r="F2852" s="4371">
        <f t="shared" si="85"/>
        <v>100</v>
      </c>
      <c r="G2852" s="4371">
        <v>100</v>
      </c>
      <c r="H2852" s="535"/>
    </row>
    <row r="2853" spans="2:8" ht="17.25" hidden="1" customHeight="1" x14ac:dyDescent="0.25">
      <c r="B2853" s="2913"/>
      <c r="C2853" s="3947" t="s">
        <v>5954</v>
      </c>
      <c r="D2853" s="3770">
        <v>100000000</v>
      </c>
      <c r="E2853" s="3770">
        <v>100000000</v>
      </c>
      <c r="F2853" s="4371">
        <f t="shared" si="85"/>
        <v>100</v>
      </c>
      <c r="G2853" s="4371">
        <v>100</v>
      </c>
      <c r="H2853" s="535"/>
    </row>
    <row r="2854" spans="2:8" ht="15" hidden="1" customHeight="1" x14ac:dyDescent="0.25">
      <c r="B2854" s="2913"/>
      <c r="C2854" s="3947" t="s">
        <v>5955</v>
      </c>
      <c r="D2854" s="3770">
        <v>100000000</v>
      </c>
      <c r="E2854" s="3770">
        <v>100000000</v>
      </c>
      <c r="F2854" s="4371">
        <f t="shared" si="85"/>
        <v>100</v>
      </c>
      <c r="G2854" s="4371">
        <v>100</v>
      </c>
      <c r="H2854" s="535"/>
    </row>
    <row r="2855" spans="2:8" ht="14.25" hidden="1" customHeight="1" x14ac:dyDescent="0.25">
      <c r="B2855" s="2913"/>
      <c r="C2855" s="3947" t="s">
        <v>563</v>
      </c>
      <c r="D2855" s="3770">
        <v>100000000</v>
      </c>
      <c r="E2855" s="3770">
        <v>100000000</v>
      </c>
      <c r="F2855" s="4371">
        <f t="shared" si="85"/>
        <v>100</v>
      </c>
      <c r="G2855" s="4371">
        <v>100</v>
      </c>
      <c r="H2855" s="535"/>
    </row>
    <row r="2856" spans="2:8" ht="15" hidden="1" customHeight="1" x14ac:dyDescent="0.25">
      <c r="B2856" s="2913"/>
      <c r="C2856" s="3947" t="s">
        <v>564</v>
      </c>
      <c r="D2856" s="3770">
        <v>100000000</v>
      </c>
      <c r="E2856" s="3770">
        <v>100000000</v>
      </c>
      <c r="F2856" s="4371">
        <f t="shared" si="85"/>
        <v>100</v>
      </c>
      <c r="G2856" s="4371">
        <v>100</v>
      </c>
      <c r="H2856" s="535"/>
    </row>
    <row r="2857" spans="2:8" ht="16.5" hidden="1" customHeight="1" x14ac:dyDescent="0.25">
      <c r="B2857" s="2913"/>
      <c r="C2857" s="3947" t="s">
        <v>1028</v>
      </c>
      <c r="D2857" s="3770">
        <v>125575000</v>
      </c>
      <c r="E2857" s="3770">
        <v>125575000</v>
      </c>
      <c r="F2857" s="4371">
        <f t="shared" si="85"/>
        <v>100</v>
      </c>
      <c r="G2857" s="4371">
        <v>100</v>
      </c>
      <c r="H2857" s="535"/>
    </row>
    <row r="2858" spans="2:8" ht="9.75" hidden="1" customHeight="1" x14ac:dyDescent="0.25">
      <c r="B2858" s="2913"/>
      <c r="C2858" s="4033"/>
      <c r="D2858" s="1038"/>
      <c r="E2858" s="1024"/>
      <c r="F2858" s="4371"/>
      <c r="G2858" s="3648"/>
      <c r="H2858" s="535"/>
    </row>
    <row r="2859" spans="2:8" ht="18" hidden="1" customHeight="1" x14ac:dyDescent="0.25">
      <c r="B2859" s="2913"/>
      <c r="C2859" s="3946" t="s">
        <v>565</v>
      </c>
      <c r="D2859" s="966">
        <f>SUM(D2860:D2861)</f>
        <v>200000000</v>
      </c>
      <c r="E2859" s="966">
        <f>SUM(E2860:E2861)</f>
        <v>200000000</v>
      </c>
      <c r="F2859" s="2441">
        <f>E2859/D2859*100</f>
        <v>100</v>
      </c>
      <c r="G2859" s="3629">
        <v>100</v>
      </c>
      <c r="H2859" s="535"/>
    </row>
    <row r="2860" spans="2:8" ht="18" hidden="1" customHeight="1" x14ac:dyDescent="0.25">
      <c r="B2860" s="2913"/>
      <c r="C2860" s="3947" t="s">
        <v>566</v>
      </c>
      <c r="D2860" s="3770">
        <v>100000000</v>
      </c>
      <c r="E2860" s="3770">
        <v>100000000</v>
      </c>
      <c r="F2860" s="4371">
        <f>E2860/D2860*100</f>
        <v>100</v>
      </c>
      <c r="G2860" s="3630">
        <v>100</v>
      </c>
      <c r="H2860" s="535"/>
    </row>
    <row r="2861" spans="2:8" ht="13.5" hidden="1" customHeight="1" x14ac:dyDescent="0.25">
      <c r="B2861" s="2913"/>
      <c r="C2861" s="3947" t="s">
        <v>567</v>
      </c>
      <c r="D2861" s="3770">
        <v>100000000</v>
      </c>
      <c r="E2861" s="3770">
        <v>100000000</v>
      </c>
      <c r="F2861" s="4371">
        <f>E2861/D2861*100</f>
        <v>100</v>
      </c>
      <c r="G2861" s="3630">
        <v>100</v>
      </c>
      <c r="H2861" s="535"/>
    </row>
    <row r="2862" spans="2:8" ht="8.25" hidden="1" customHeight="1" x14ac:dyDescent="0.25">
      <c r="B2862" s="2913"/>
      <c r="C2862" s="3947"/>
      <c r="D2862" s="3770"/>
      <c r="E2862" s="3879"/>
      <c r="F2862" s="4371"/>
      <c r="G2862" s="3648"/>
      <c r="H2862" s="535"/>
    </row>
    <row r="2863" spans="2:8" ht="18" hidden="1" customHeight="1" x14ac:dyDescent="0.25">
      <c r="B2863" s="2913"/>
      <c r="C2863" s="3946" t="s">
        <v>273</v>
      </c>
      <c r="D2863" s="966">
        <f>SUM(D2864:D2867)</f>
        <v>460000000</v>
      </c>
      <c r="E2863" s="966">
        <f>SUM(E2864:E2867)</f>
        <v>460000000</v>
      </c>
      <c r="F2863" s="2441">
        <f>E2863/D2863*100</f>
        <v>100</v>
      </c>
      <c r="G2863" s="3629">
        <v>100</v>
      </c>
      <c r="H2863" s="535"/>
    </row>
    <row r="2864" spans="2:8" ht="13.5" hidden="1" customHeight="1" x14ac:dyDescent="0.25">
      <c r="B2864" s="2913"/>
      <c r="C2864" s="3947" t="s">
        <v>568</v>
      </c>
      <c r="D2864" s="3770">
        <v>80000000</v>
      </c>
      <c r="E2864" s="3879">
        <v>80000000</v>
      </c>
      <c r="F2864" s="4371">
        <f>E2864/D2864*100</f>
        <v>100</v>
      </c>
      <c r="G2864" s="3630">
        <v>100</v>
      </c>
      <c r="H2864" s="535"/>
    </row>
    <row r="2865" spans="1:11" ht="15.75" hidden="1" customHeight="1" x14ac:dyDescent="0.25">
      <c r="B2865" s="2913"/>
      <c r="C2865" s="3947" t="s">
        <v>2381</v>
      </c>
      <c r="D2865" s="3770">
        <v>80000000</v>
      </c>
      <c r="E2865" s="3879">
        <v>80000000</v>
      </c>
      <c r="F2865" s="4371">
        <f>E2865/D2865*100</f>
        <v>100</v>
      </c>
      <c r="G2865" s="3630">
        <v>100</v>
      </c>
      <c r="H2865" s="535"/>
    </row>
    <row r="2866" spans="1:11" ht="14.25" hidden="1" customHeight="1" x14ac:dyDescent="0.25">
      <c r="B2866" s="2913"/>
      <c r="C2866" s="3947" t="s">
        <v>569</v>
      </c>
      <c r="D2866" s="3770">
        <v>100000000</v>
      </c>
      <c r="E2866" s="3879">
        <v>100000000</v>
      </c>
      <c r="F2866" s="4371">
        <f>E2866/D2866*100</f>
        <v>100</v>
      </c>
      <c r="G2866" s="3630">
        <v>100</v>
      </c>
      <c r="H2866" s="535"/>
    </row>
    <row r="2867" spans="1:11" ht="15" hidden="1" customHeight="1" x14ac:dyDescent="0.25">
      <c r="B2867" s="2913"/>
      <c r="C2867" s="3947" t="s">
        <v>2382</v>
      </c>
      <c r="D2867" s="3770">
        <v>200000000</v>
      </c>
      <c r="E2867" s="3879">
        <v>200000000</v>
      </c>
      <c r="F2867" s="4371">
        <f>E2867/D2867*100</f>
        <v>100</v>
      </c>
      <c r="G2867" s="3630">
        <v>100</v>
      </c>
      <c r="H2867" s="535"/>
    </row>
    <row r="2868" spans="1:11" ht="9.75" hidden="1" customHeight="1" x14ac:dyDescent="0.25">
      <c r="B2868" s="2913"/>
      <c r="C2868" s="3943"/>
      <c r="D2868" s="1023"/>
      <c r="E2868" s="1771"/>
      <c r="F2868" s="4371"/>
      <c r="G2868" s="2380"/>
      <c r="H2868" s="535"/>
    </row>
    <row r="2869" spans="1:11" ht="18" hidden="1" customHeight="1" x14ac:dyDescent="0.25">
      <c r="B2869" s="2913"/>
      <c r="C2869" s="3946" t="s">
        <v>570</v>
      </c>
      <c r="D2869" s="966">
        <f>SUM(D2870:D2880)</f>
        <v>1990000000</v>
      </c>
      <c r="E2869" s="966">
        <f>SUM(E2870:E2880)</f>
        <v>1990000000</v>
      </c>
      <c r="F2869" s="2441">
        <f t="shared" ref="F2869:F2880" si="86">E2869/D2869*100</f>
        <v>100</v>
      </c>
      <c r="G2869" s="3629">
        <v>100</v>
      </c>
      <c r="H2869" s="535"/>
    </row>
    <row r="2870" spans="1:11" ht="19.5" hidden="1" customHeight="1" x14ac:dyDescent="0.25">
      <c r="B2870" s="2913"/>
      <c r="C2870" s="3947" t="s">
        <v>5956</v>
      </c>
      <c r="D2870" s="971">
        <v>200000000</v>
      </c>
      <c r="E2870" s="3879">
        <v>200000000</v>
      </c>
      <c r="F2870" s="4371">
        <f t="shared" si="86"/>
        <v>100</v>
      </c>
      <c r="G2870" s="3630">
        <v>100</v>
      </c>
      <c r="H2870" s="535"/>
    </row>
    <row r="2871" spans="1:11" ht="27.75" hidden="1" customHeight="1" x14ac:dyDescent="0.25">
      <c r="B2871" s="2913"/>
      <c r="C2871" s="3947" t="s">
        <v>5957</v>
      </c>
      <c r="D2871" s="971">
        <v>100000000</v>
      </c>
      <c r="E2871" s="3879">
        <v>100000000</v>
      </c>
      <c r="F2871" s="4371">
        <f t="shared" si="86"/>
        <v>100</v>
      </c>
      <c r="G2871" s="3630">
        <v>100</v>
      </c>
      <c r="H2871" s="535"/>
    </row>
    <row r="2872" spans="1:11" ht="18" hidden="1" customHeight="1" x14ac:dyDescent="0.25">
      <c r="B2872" s="2913"/>
      <c r="C2872" s="3947" t="s">
        <v>5958</v>
      </c>
      <c r="D2872" s="971">
        <v>100000000</v>
      </c>
      <c r="E2872" s="3879">
        <v>100000000</v>
      </c>
      <c r="F2872" s="4371">
        <f t="shared" si="86"/>
        <v>100</v>
      </c>
      <c r="G2872" s="3630">
        <v>100</v>
      </c>
      <c r="H2872" s="535"/>
    </row>
    <row r="2873" spans="1:11" ht="15.75" hidden="1" customHeight="1" x14ac:dyDescent="0.25">
      <c r="B2873" s="2913"/>
      <c r="C2873" s="3947" t="s">
        <v>5959</v>
      </c>
      <c r="D2873" s="971">
        <v>100000000</v>
      </c>
      <c r="E2873" s="3879">
        <v>100000000</v>
      </c>
      <c r="F2873" s="4371">
        <f t="shared" si="86"/>
        <v>100</v>
      </c>
      <c r="G2873" s="3630">
        <v>100</v>
      </c>
      <c r="H2873" s="535"/>
    </row>
    <row r="2874" spans="1:11" ht="17.25" hidden="1" customHeight="1" x14ac:dyDescent="0.25">
      <c r="B2874" s="2913"/>
      <c r="C2874" s="3947" t="s">
        <v>5961</v>
      </c>
      <c r="D2874" s="3770">
        <v>200000000</v>
      </c>
      <c r="E2874" s="3879">
        <v>200000000</v>
      </c>
      <c r="F2874" s="4371">
        <f t="shared" si="86"/>
        <v>100</v>
      </c>
      <c r="G2874" s="3630">
        <v>100</v>
      </c>
      <c r="H2874" s="535"/>
    </row>
    <row r="2875" spans="1:11" ht="14.25" hidden="1" customHeight="1" x14ac:dyDescent="0.25">
      <c r="B2875" s="2913"/>
      <c r="C2875" s="3947" t="s">
        <v>5960</v>
      </c>
      <c r="D2875" s="3770">
        <v>100000000</v>
      </c>
      <c r="E2875" s="3879">
        <v>100000000</v>
      </c>
      <c r="F2875" s="4371">
        <f t="shared" si="86"/>
        <v>100</v>
      </c>
      <c r="G2875" s="3630">
        <v>100</v>
      </c>
      <c r="H2875" s="535"/>
    </row>
    <row r="2876" spans="1:11" ht="18" hidden="1" customHeight="1" x14ac:dyDescent="0.25">
      <c r="B2876" s="2913"/>
      <c r="C2876" s="3947" t="s">
        <v>5962</v>
      </c>
      <c r="D2876" s="971">
        <v>80000000</v>
      </c>
      <c r="E2876" s="3879">
        <v>80000000</v>
      </c>
      <c r="F2876" s="4371">
        <f t="shared" si="86"/>
        <v>100</v>
      </c>
      <c r="G2876" s="3630">
        <v>100</v>
      </c>
      <c r="H2876" s="535"/>
    </row>
    <row r="2877" spans="1:11" ht="16.5" hidden="1" customHeight="1" x14ac:dyDescent="0.25">
      <c r="B2877" s="2913"/>
      <c r="C2877" s="3947" t="s">
        <v>5963</v>
      </c>
      <c r="D2877" s="3770">
        <v>100000000</v>
      </c>
      <c r="E2877" s="3879">
        <v>100000000</v>
      </c>
      <c r="F2877" s="4371">
        <f t="shared" si="86"/>
        <v>100</v>
      </c>
      <c r="G2877" s="3630">
        <v>100</v>
      </c>
      <c r="H2877" s="535"/>
    </row>
    <row r="2878" spans="1:11" ht="16.5" hidden="1" customHeight="1" x14ac:dyDescent="0.25">
      <c r="B2878" s="2913"/>
      <c r="C2878" s="4033" t="s">
        <v>5964</v>
      </c>
      <c r="D2878" s="1038">
        <v>80000000</v>
      </c>
      <c r="E2878" s="1024">
        <v>80000000</v>
      </c>
      <c r="F2878" s="4371">
        <f t="shared" si="86"/>
        <v>100</v>
      </c>
      <c r="G2878" s="3648">
        <v>100</v>
      </c>
      <c r="H2878" s="535"/>
    </row>
    <row r="2879" spans="1:11" s="4099" customFormat="1" ht="18" hidden="1" customHeight="1" x14ac:dyDescent="0.25">
      <c r="A2879" s="4101"/>
      <c r="B2879" s="2913"/>
      <c r="C2879" s="3940" t="s">
        <v>5965</v>
      </c>
      <c r="D2879" s="4113">
        <v>400000000</v>
      </c>
      <c r="E2879" s="1024">
        <v>400000000</v>
      </c>
      <c r="F2879" s="4371">
        <f t="shared" si="86"/>
        <v>100</v>
      </c>
      <c r="G2879" s="3648">
        <v>100</v>
      </c>
      <c r="H2879" s="4109"/>
      <c r="J2879" s="522"/>
      <c r="K2879" s="522"/>
    </row>
    <row r="2880" spans="1:11" s="4099" customFormat="1" ht="21.75" hidden="1" customHeight="1" x14ac:dyDescent="0.25">
      <c r="A2880" s="4101"/>
      <c r="B2880" s="2913"/>
      <c r="C2880" s="3940" t="s">
        <v>5984</v>
      </c>
      <c r="D2880" s="4113">
        <v>530000000</v>
      </c>
      <c r="E2880" s="4113">
        <v>530000000</v>
      </c>
      <c r="F2880" s="4371">
        <f t="shared" si="86"/>
        <v>100</v>
      </c>
      <c r="G2880" s="3648">
        <v>100</v>
      </c>
      <c r="H2880" s="4109"/>
      <c r="J2880" s="522"/>
      <c r="K2880" s="522"/>
    </row>
    <row r="2881" spans="1:11" s="4099" customFormat="1" ht="12" hidden="1" customHeight="1" x14ac:dyDescent="0.25">
      <c r="A2881" s="4101"/>
      <c r="B2881" s="2913"/>
      <c r="C2881" s="4033"/>
      <c r="D2881" s="1038"/>
      <c r="E2881" s="1024"/>
      <c r="F2881" s="4371"/>
      <c r="G2881" s="3648"/>
      <c r="H2881" s="4109"/>
      <c r="J2881" s="522"/>
      <c r="K2881" s="522"/>
    </row>
    <row r="2882" spans="1:11" ht="29.25" hidden="1" customHeight="1" x14ac:dyDescent="0.25">
      <c r="B2882" s="2913"/>
      <c r="C2882" s="3946" t="s">
        <v>571</v>
      </c>
      <c r="D2882" s="811">
        <f>SUM(D2883:D2891)</f>
        <v>7807372000</v>
      </c>
      <c r="E2882" s="1415">
        <f>SUM(E2883:E2891)</f>
        <v>5586212750</v>
      </c>
      <c r="F2882" s="2441">
        <f t="shared" ref="F2882:F2891" si="87">E2882/D2882*100</f>
        <v>71.550487795381073</v>
      </c>
      <c r="G2882" s="3600">
        <f>SUM(G2883:G2891)/9</f>
        <v>67.777777777777771</v>
      </c>
      <c r="H2882" s="535"/>
    </row>
    <row r="2883" spans="1:11" ht="17.25" hidden="1" customHeight="1" x14ac:dyDescent="0.25">
      <c r="B2883" s="2913"/>
      <c r="C2883" s="3947" t="s">
        <v>573</v>
      </c>
      <c r="D2883" s="3770">
        <v>1650000000</v>
      </c>
      <c r="E2883" s="3879">
        <v>1460291900</v>
      </c>
      <c r="F2883" s="4371">
        <f t="shared" si="87"/>
        <v>88.502539393939401</v>
      </c>
      <c r="G2883" s="3630">
        <v>80</v>
      </c>
      <c r="H2883" s="535"/>
    </row>
    <row r="2884" spans="1:11" ht="15" hidden="1" customHeight="1" x14ac:dyDescent="0.25">
      <c r="B2884" s="2913"/>
      <c r="C2884" s="3947" t="s">
        <v>866</v>
      </c>
      <c r="D2884" s="3770">
        <v>1050000000</v>
      </c>
      <c r="E2884" s="1024">
        <v>344000000</v>
      </c>
      <c r="F2884" s="4371">
        <f t="shared" si="87"/>
        <v>32.761904761904766</v>
      </c>
      <c r="G2884" s="3648">
        <v>25</v>
      </c>
      <c r="H2884" s="535"/>
    </row>
    <row r="2885" spans="1:11" ht="17.25" hidden="1" customHeight="1" x14ac:dyDescent="0.25">
      <c r="B2885" s="2913"/>
      <c r="C2885" s="3947" t="s">
        <v>575</v>
      </c>
      <c r="D2885" s="3770">
        <v>400000000</v>
      </c>
      <c r="E2885" s="3879">
        <v>384400000</v>
      </c>
      <c r="F2885" s="4371">
        <f t="shared" si="87"/>
        <v>96.1</v>
      </c>
      <c r="G2885" s="3630">
        <v>100</v>
      </c>
      <c r="H2885" s="535"/>
    </row>
    <row r="2886" spans="1:11" ht="16.5" hidden="1" customHeight="1" x14ac:dyDescent="0.25">
      <c r="B2886" s="2913"/>
      <c r="C2886" s="3947" t="s">
        <v>574</v>
      </c>
      <c r="D2886" s="3770">
        <v>281372000</v>
      </c>
      <c r="E2886" s="3879">
        <v>272222000</v>
      </c>
      <c r="F2886" s="4371">
        <f t="shared" si="87"/>
        <v>96.74807727847832</v>
      </c>
      <c r="G2886" s="3630">
        <v>100</v>
      </c>
      <c r="H2886" s="535"/>
    </row>
    <row r="2887" spans="1:11" ht="15.75" hidden="1" customHeight="1" x14ac:dyDescent="0.25">
      <c r="B2887" s="2913"/>
      <c r="C2887" s="3947" t="s">
        <v>576</v>
      </c>
      <c r="D2887" s="3770">
        <v>150000000</v>
      </c>
      <c r="E2887" s="3879">
        <v>147348000</v>
      </c>
      <c r="F2887" s="4371">
        <f t="shared" si="87"/>
        <v>98.231999999999999</v>
      </c>
      <c r="G2887" s="3630">
        <v>100</v>
      </c>
      <c r="H2887" s="535"/>
    </row>
    <row r="2888" spans="1:11" ht="14.25" hidden="1" customHeight="1" x14ac:dyDescent="0.25">
      <c r="B2888" s="2913"/>
      <c r="C2888" s="3947" t="s">
        <v>578</v>
      </c>
      <c r="D2888" s="3770">
        <v>200000000</v>
      </c>
      <c r="E2888" s="1024">
        <v>198872000</v>
      </c>
      <c r="F2888" s="4371">
        <f t="shared" si="87"/>
        <v>99.436000000000007</v>
      </c>
      <c r="G2888" s="3648">
        <v>100</v>
      </c>
      <c r="H2888" s="535"/>
    </row>
    <row r="2889" spans="1:11" ht="14.25" hidden="1" customHeight="1" x14ac:dyDescent="0.25">
      <c r="B2889" s="2913"/>
      <c r="C2889" s="3947" t="s">
        <v>577</v>
      </c>
      <c r="D2889" s="3770">
        <v>800000000</v>
      </c>
      <c r="E2889" s="3879">
        <v>436300000</v>
      </c>
      <c r="F2889" s="4371">
        <f t="shared" si="87"/>
        <v>54.537500000000009</v>
      </c>
      <c r="G2889" s="3630">
        <v>25</v>
      </c>
      <c r="H2889" s="535"/>
    </row>
    <row r="2890" spans="1:11" ht="13.5" hidden="1" customHeight="1" x14ac:dyDescent="0.25">
      <c r="B2890" s="2913"/>
      <c r="C2890" s="3947" t="s">
        <v>572</v>
      </c>
      <c r="D2890" s="3770">
        <v>1722000000</v>
      </c>
      <c r="E2890" s="3879">
        <v>1134778850</v>
      </c>
      <c r="F2890" s="4371">
        <f t="shared" si="87"/>
        <v>65.898887921022066</v>
      </c>
      <c r="G2890" s="3630">
        <v>30</v>
      </c>
      <c r="H2890" s="535"/>
    </row>
    <row r="2891" spans="1:11" ht="17.25" hidden="1" customHeight="1" x14ac:dyDescent="0.25">
      <c r="B2891" s="2913"/>
      <c r="C2891" s="3947" t="s">
        <v>579</v>
      </c>
      <c r="D2891" s="3770">
        <v>1554000000</v>
      </c>
      <c r="E2891" s="3879">
        <v>1208000000</v>
      </c>
      <c r="F2891" s="4371">
        <f t="shared" si="87"/>
        <v>77.734877734877742</v>
      </c>
      <c r="G2891" s="3630">
        <v>50</v>
      </c>
      <c r="H2891" s="535"/>
    </row>
    <row r="2892" spans="1:11" ht="12" hidden="1" customHeight="1" x14ac:dyDescent="0.25">
      <c r="B2892" s="2913"/>
      <c r="C2892" s="4033"/>
      <c r="D2892" s="1038"/>
      <c r="E2892" s="1024"/>
      <c r="F2892" s="3648"/>
      <c r="G2892" s="3648"/>
      <c r="H2892" s="535"/>
    </row>
    <row r="2893" spans="1:11" ht="17.25" hidden="1" customHeight="1" x14ac:dyDescent="0.25">
      <c r="B2893" s="2913"/>
      <c r="C2893" s="3946" t="s">
        <v>580</v>
      </c>
      <c r="D2893" s="966">
        <f>SUM(D2894)</f>
        <v>100000000</v>
      </c>
      <c r="E2893" s="966">
        <f>SUM(E2894)</f>
        <v>100000000</v>
      </c>
      <c r="F2893" s="3629">
        <v>100</v>
      </c>
      <c r="G2893" s="3629">
        <v>100</v>
      </c>
      <c r="H2893" s="535"/>
    </row>
    <row r="2894" spans="1:11" ht="13.5" hidden="1" customHeight="1" x14ac:dyDescent="0.25">
      <c r="B2894" s="2913"/>
      <c r="C2894" s="3947" t="s">
        <v>618</v>
      </c>
      <c r="D2894" s="3770">
        <v>100000000</v>
      </c>
      <c r="E2894" s="3770">
        <v>100000000</v>
      </c>
      <c r="F2894" s="3630">
        <v>100</v>
      </c>
      <c r="G2894" s="3630">
        <v>100</v>
      </c>
      <c r="H2894" s="535"/>
    </row>
    <row r="2895" spans="1:11" ht="11.25" hidden="1" customHeight="1" x14ac:dyDescent="0.25">
      <c r="B2895" s="2913"/>
      <c r="D2895" s="4120"/>
      <c r="E2895" s="865"/>
      <c r="F2895" s="3630"/>
      <c r="G2895" s="3651"/>
      <c r="H2895" s="535"/>
    </row>
    <row r="2896" spans="1:11" s="3598" customFormat="1" ht="16.5" hidden="1" customHeight="1" x14ac:dyDescent="0.25">
      <c r="A2896" s="3588"/>
      <c r="B2896" s="2913"/>
      <c r="C2896" s="4103" t="s">
        <v>581</v>
      </c>
      <c r="D2896" s="4155">
        <f>SUM(D2897:D2898)</f>
        <v>5548200000</v>
      </c>
      <c r="E2896" s="4155">
        <f>SUM(E2897:E2898)</f>
        <v>5405400000</v>
      </c>
      <c r="F2896" s="2441">
        <f>E2896/D2896*100</f>
        <v>97.426192278576835</v>
      </c>
      <c r="G2896" s="3600">
        <v>100</v>
      </c>
      <c r="H2896" s="3592"/>
      <c r="J2896" s="2002"/>
      <c r="K2896" s="2002"/>
    </row>
    <row r="2897" spans="1:11" s="3387" customFormat="1" ht="16.5" hidden="1" customHeight="1" x14ac:dyDescent="0.25">
      <c r="A2897" s="3587"/>
      <c r="B2897" s="5411"/>
      <c r="C2897" s="3856" t="s">
        <v>1333</v>
      </c>
      <c r="D2897" s="1492">
        <v>4409550000</v>
      </c>
      <c r="E2897" s="780">
        <v>4276750000</v>
      </c>
      <c r="F2897" s="4371">
        <f>E2897/D2897*100</f>
        <v>96.988354820786711</v>
      </c>
      <c r="G2897" s="3648">
        <v>100</v>
      </c>
      <c r="H2897" s="3590"/>
      <c r="J2897" s="3700"/>
      <c r="K2897" s="3700"/>
    </row>
    <row r="2898" spans="1:11" s="3387" customFormat="1" ht="15.75" hidden="1" customHeight="1" x14ac:dyDescent="0.25">
      <c r="A2898" s="3587"/>
      <c r="B2898" s="5411"/>
      <c r="C2898" s="3856" t="s">
        <v>5966</v>
      </c>
      <c r="D2898" s="1492">
        <v>1138650000</v>
      </c>
      <c r="E2898" s="780">
        <v>1128650000</v>
      </c>
      <c r="F2898" s="4371">
        <f>E2898/D2898*100</f>
        <v>99.121767004786363</v>
      </c>
      <c r="G2898" s="3648">
        <v>100</v>
      </c>
      <c r="H2898" s="3590"/>
      <c r="J2898" s="3700"/>
      <c r="K2898" s="3700"/>
    </row>
    <row r="2899" spans="1:11" s="4099" customFormat="1" ht="12" hidden="1" customHeight="1" x14ac:dyDescent="0.25">
      <c r="A2899" s="4101"/>
      <c r="B2899" s="2913"/>
      <c r="C2899" s="4172"/>
      <c r="D2899" s="731"/>
      <c r="E2899" s="1927"/>
      <c r="F2899" s="3651"/>
      <c r="G2899" s="3651"/>
      <c r="H2899" s="4109"/>
      <c r="J2899" s="522"/>
      <c r="K2899" s="522"/>
    </row>
    <row r="2900" spans="1:11" ht="17.25" hidden="1" customHeight="1" x14ac:dyDescent="0.25">
      <c r="B2900" s="5397"/>
      <c r="C2900" s="3994" t="s">
        <v>243</v>
      </c>
      <c r="D2900" s="1462">
        <f>SUM(D2901+D2904+D2912+D2918+D2921)</f>
        <v>62883205000</v>
      </c>
      <c r="E2900" s="1462">
        <f>SUM(E2901+E2904+E2912+E2918+E2921)</f>
        <v>59237072300</v>
      </c>
      <c r="F2900" s="3631">
        <f>E2900/D2900*100</f>
        <v>94.201738445106287</v>
      </c>
      <c r="G2900" s="2356">
        <f>SUM(G2901+G2904+G2912+G2918+G2921)/5</f>
        <v>88.75</v>
      </c>
      <c r="H2900" s="535"/>
    </row>
    <row r="2901" spans="1:11" s="3598" customFormat="1" ht="18" hidden="1" customHeight="1" x14ac:dyDescent="0.25">
      <c r="A2901" s="3588"/>
      <c r="B2901" s="2913"/>
      <c r="C2901" s="4299" t="s">
        <v>582</v>
      </c>
      <c r="D2901" s="1585">
        <f>SUM(D2902)</f>
        <v>32951655000</v>
      </c>
      <c r="E2901" s="1585">
        <f>SUM(E2902)</f>
        <v>32818855000</v>
      </c>
      <c r="F2901" s="2442">
        <f>E2901/D2901*100</f>
        <v>99.596985341100478</v>
      </c>
      <c r="G2901" s="2562">
        <v>100</v>
      </c>
      <c r="H2901" s="3592"/>
      <c r="J2901" s="2002"/>
      <c r="K2901" s="2002"/>
    </row>
    <row r="2902" spans="1:11" ht="30" hidden="1" customHeight="1" x14ac:dyDescent="0.25">
      <c r="B2902" s="2913"/>
      <c r="C2902" s="3947" t="s">
        <v>583</v>
      </c>
      <c r="D2902" s="971">
        <v>32951655000</v>
      </c>
      <c r="E2902" s="1927">
        <v>32818855000</v>
      </c>
      <c r="F2902" s="1074">
        <f>E2902/D2902*100</f>
        <v>99.596985341100478</v>
      </c>
      <c r="G2902" s="3651">
        <v>100</v>
      </c>
      <c r="H2902" s="535"/>
    </row>
    <row r="2903" spans="1:11" ht="9.75" hidden="1" customHeight="1" x14ac:dyDescent="0.25">
      <c r="B2903" s="2913"/>
      <c r="C2903" s="4033"/>
      <c r="D2903" s="1038"/>
      <c r="E2903" s="1024"/>
      <c r="F2903" s="1074"/>
      <c r="G2903" s="1315"/>
      <c r="H2903" s="535"/>
    </row>
    <row r="2904" spans="1:11" ht="16.5" hidden="1" customHeight="1" x14ac:dyDescent="0.25">
      <c r="B2904" s="2913"/>
      <c r="C2904" s="3946" t="s">
        <v>584</v>
      </c>
      <c r="D2904" s="966">
        <f>SUM(D2905:D2910)</f>
        <v>18711550000</v>
      </c>
      <c r="E2904" s="966">
        <f>SUM(E2905:E2910)</f>
        <v>17374800800</v>
      </c>
      <c r="F2904" s="2442">
        <f t="shared" ref="F2904:F2910" si="88">E2904/D2904*100</f>
        <v>92.856021013758877</v>
      </c>
      <c r="G2904" s="2261">
        <v>100</v>
      </c>
      <c r="H2904" s="535"/>
    </row>
    <row r="2905" spans="1:11" ht="13.5" hidden="1" customHeight="1" x14ac:dyDescent="0.25">
      <c r="B2905" s="2913"/>
      <c r="C2905" s="3947" t="s">
        <v>5967</v>
      </c>
      <c r="D2905" s="3770">
        <v>5500000000</v>
      </c>
      <c r="E2905" s="3879">
        <v>4843411000</v>
      </c>
      <c r="F2905" s="1074">
        <f t="shared" si="88"/>
        <v>88.062018181818175</v>
      </c>
      <c r="G2905" s="3630">
        <v>100</v>
      </c>
      <c r="H2905" s="535"/>
    </row>
    <row r="2906" spans="1:11" ht="15.75" hidden="1" customHeight="1" x14ac:dyDescent="0.25">
      <c r="B2906" s="2913"/>
      <c r="C2906" s="3947" t="s">
        <v>5968</v>
      </c>
      <c r="D2906" s="3770">
        <v>150000000</v>
      </c>
      <c r="E2906" s="3879">
        <v>146080000</v>
      </c>
      <c r="F2906" s="1074">
        <f t="shared" si="88"/>
        <v>97.38666666666667</v>
      </c>
      <c r="G2906" s="3630">
        <v>100</v>
      </c>
      <c r="H2906" s="535"/>
    </row>
    <row r="2907" spans="1:11" ht="17.25" hidden="1" customHeight="1" x14ac:dyDescent="0.25">
      <c r="B2907" s="2913"/>
      <c r="C2907" s="3947" t="s">
        <v>5969</v>
      </c>
      <c r="D2907" s="3770">
        <v>2300000000</v>
      </c>
      <c r="E2907" s="3879">
        <v>2285600000</v>
      </c>
      <c r="F2907" s="1074">
        <f t="shared" si="88"/>
        <v>99.373913043478254</v>
      </c>
      <c r="G2907" s="3630">
        <v>100</v>
      </c>
      <c r="H2907" s="535"/>
    </row>
    <row r="2908" spans="1:11" ht="15.75" hidden="1" customHeight="1" x14ac:dyDescent="0.25">
      <c r="B2908" s="2913"/>
      <c r="C2908" s="3947" t="s">
        <v>5970</v>
      </c>
      <c r="D2908" s="3770">
        <v>4000000000</v>
      </c>
      <c r="E2908" s="3879">
        <v>3876800000</v>
      </c>
      <c r="F2908" s="1074">
        <f t="shared" si="88"/>
        <v>96.92</v>
      </c>
      <c r="G2908" s="3630">
        <v>100</v>
      </c>
      <c r="H2908" s="535"/>
    </row>
    <row r="2909" spans="1:11" ht="18" hidden="1" customHeight="1" x14ac:dyDescent="0.25">
      <c r="B2909" s="2913"/>
      <c r="C2909" s="3947" t="s">
        <v>5971</v>
      </c>
      <c r="D2909" s="3770">
        <v>4761550000</v>
      </c>
      <c r="E2909" s="1074">
        <v>4297725000</v>
      </c>
      <c r="F2909" s="1074">
        <f t="shared" si="88"/>
        <v>90.258949291722232</v>
      </c>
      <c r="G2909" s="3630">
        <v>100</v>
      </c>
      <c r="H2909" s="535"/>
    </row>
    <row r="2910" spans="1:11" ht="16.5" hidden="1" customHeight="1" x14ac:dyDescent="0.25">
      <c r="B2910" s="2913"/>
      <c r="C2910" s="3947" t="s">
        <v>5972</v>
      </c>
      <c r="D2910" s="3770">
        <v>2000000000</v>
      </c>
      <c r="E2910" s="3879">
        <v>1925184800</v>
      </c>
      <c r="F2910" s="1074">
        <f t="shared" si="88"/>
        <v>96.259240000000005</v>
      </c>
      <c r="G2910" s="3630">
        <v>100</v>
      </c>
      <c r="H2910" s="535"/>
    </row>
    <row r="2911" spans="1:11" ht="12" hidden="1" customHeight="1" x14ac:dyDescent="0.25">
      <c r="B2911" s="2913"/>
      <c r="C2911" s="4033"/>
      <c r="D2911" s="1038"/>
      <c r="E2911" s="3879"/>
      <c r="F2911" s="1074"/>
      <c r="G2911" s="3651"/>
      <c r="H2911" s="535"/>
    </row>
    <row r="2912" spans="1:11" ht="16.5" hidden="1" customHeight="1" x14ac:dyDescent="0.25">
      <c r="B2912" s="2913"/>
      <c r="C2912" s="1299" t="s">
        <v>585</v>
      </c>
      <c r="D2912" s="966">
        <f>SUM(D2913:D2916)</f>
        <v>7850000000</v>
      </c>
      <c r="E2912" s="966">
        <f>SUM(E2913:E2916)</f>
        <v>5765546000</v>
      </c>
      <c r="F2912" s="2442">
        <f>E2912/D2912*100</f>
        <v>73.446445859872611</v>
      </c>
      <c r="G2912" s="2261">
        <f>+SUM(G2913:G2916)/4</f>
        <v>68.75</v>
      </c>
      <c r="H2912" s="535"/>
    </row>
    <row r="2913" spans="1:11" ht="14.25" hidden="1" customHeight="1" x14ac:dyDescent="0.25">
      <c r="B2913" s="2913"/>
      <c r="C2913" s="3947" t="s">
        <v>5973</v>
      </c>
      <c r="D2913" s="3770">
        <v>1000000000</v>
      </c>
      <c r="E2913" s="1024">
        <v>896490000</v>
      </c>
      <c r="F2913" s="1074">
        <f>E2913/D2913*100</f>
        <v>89.649000000000001</v>
      </c>
      <c r="G2913" s="1717">
        <v>75</v>
      </c>
      <c r="H2913" s="535"/>
    </row>
    <row r="2914" spans="1:11" ht="15.75" hidden="1" customHeight="1" x14ac:dyDescent="0.25">
      <c r="B2914" s="2913"/>
      <c r="C2914" s="3947" t="s">
        <v>5974</v>
      </c>
      <c r="D2914" s="3770">
        <v>500000000</v>
      </c>
      <c r="E2914" s="3879">
        <v>433500000</v>
      </c>
      <c r="F2914" s="1074">
        <f>E2914/D2914*100</f>
        <v>86.7</v>
      </c>
      <c r="G2914" s="3630">
        <v>75</v>
      </c>
      <c r="H2914" s="535"/>
    </row>
    <row r="2915" spans="1:11" ht="15.75" hidden="1" customHeight="1" x14ac:dyDescent="0.25">
      <c r="B2915" s="2913"/>
      <c r="C2915" s="3947" t="s">
        <v>5975</v>
      </c>
      <c r="D2915" s="3770">
        <v>5350000000</v>
      </c>
      <c r="E2915" s="3879">
        <v>3538556000</v>
      </c>
      <c r="F2915" s="1074">
        <f>E2915/D2915*100</f>
        <v>66.14123364485981</v>
      </c>
      <c r="G2915" s="3630">
        <v>50</v>
      </c>
      <c r="H2915" s="535"/>
    </row>
    <row r="2916" spans="1:11" s="4099" customFormat="1" ht="15.75" hidden="1" customHeight="1" x14ac:dyDescent="0.25">
      <c r="A2916" s="4101"/>
      <c r="B2916" s="2913"/>
      <c r="C2916" s="4374" t="s">
        <v>5976</v>
      </c>
      <c r="D2916" s="972">
        <v>1000000000</v>
      </c>
      <c r="E2916" s="865">
        <v>897000000</v>
      </c>
      <c r="F2916" s="1074">
        <f>E2916/D2916*100</f>
        <v>89.7</v>
      </c>
      <c r="G2916" s="798">
        <v>75</v>
      </c>
      <c r="H2916" s="4109"/>
      <c r="J2916" s="522"/>
      <c r="K2916" s="522"/>
    </row>
    <row r="2917" spans="1:11" ht="12" hidden="1" customHeight="1" x14ac:dyDescent="0.25">
      <c r="B2917" s="2913"/>
      <c r="C2917" s="4001"/>
      <c r="E2917" s="660"/>
      <c r="F2917" s="4375"/>
      <c r="G2917" s="2285"/>
      <c r="H2917" s="535"/>
    </row>
    <row r="2918" spans="1:11" s="3598" customFormat="1" ht="16.5" hidden="1" customHeight="1" x14ac:dyDescent="0.25">
      <c r="A2918" s="3588"/>
      <c r="B2918" s="2913"/>
      <c r="C2918" s="3938" t="s">
        <v>5977</v>
      </c>
      <c r="D2918" s="1416">
        <f>D2919</f>
        <v>3120000000</v>
      </c>
      <c r="E2918" s="1416">
        <f>E2919</f>
        <v>3053810000</v>
      </c>
      <c r="F2918" s="2442">
        <f>E2918/D2918*100</f>
        <v>97.878525641025632</v>
      </c>
      <c r="G2918" s="2261">
        <v>100</v>
      </c>
      <c r="H2918" s="3592"/>
      <c r="J2918" s="2002"/>
      <c r="K2918" s="2002"/>
    </row>
    <row r="2919" spans="1:11" s="4099" customFormat="1" ht="19.5" hidden="1" customHeight="1" x14ac:dyDescent="0.25">
      <c r="A2919" s="4101"/>
      <c r="B2919" s="2913"/>
      <c r="C2919" s="4118" t="s">
        <v>5978</v>
      </c>
      <c r="D2919" s="1492">
        <v>3120000000</v>
      </c>
      <c r="E2919" s="780">
        <v>3053810000</v>
      </c>
      <c r="F2919" s="1074">
        <f>E2919/D2919*100</f>
        <v>97.878525641025632</v>
      </c>
      <c r="G2919" s="1717">
        <v>100</v>
      </c>
      <c r="H2919" s="4109"/>
      <c r="J2919" s="522"/>
      <c r="K2919" s="522"/>
    </row>
    <row r="2920" spans="1:11" s="4099" customFormat="1" ht="11.25" hidden="1" customHeight="1" x14ac:dyDescent="0.25">
      <c r="A2920" s="4101"/>
      <c r="B2920" s="2913"/>
      <c r="C2920" s="4118"/>
      <c r="D2920" s="730"/>
      <c r="E2920" s="780"/>
      <c r="F2920" s="1074"/>
      <c r="G2920" s="1315"/>
      <c r="H2920" s="4109"/>
      <c r="J2920" s="522"/>
      <c r="K2920" s="522"/>
    </row>
    <row r="2921" spans="1:11" s="3598" customFormat="1" ht="17.25" hidden="1" customHeight="1" x14ac:dyDescent="0.25">
      <c r="A2921" s="3588"/>
      <c r="B2921" s="2913"/>
      <c r="C2921" s="3938" t="s">
        <v>5979</v>
      </c>
      <c r="D2921" s="1416">
        <f>D2922</f>
        <v>250000000</v>
      </c>
      <c r="E2921" s="1416">
        <f>E2922</f>
        <v>224060500</v>
      </c>
      <c r="F2921" s="2442">
        <f>E2921/D2921*100</f>
        <v>89.624200000000002</v>
      </c>
      <c r="G2921" s="2261">
        <v>75</v>
      </c>
      <c r="H2921" s="3592"/>
      <c r="J2921" s="2002"/>
      <c r="K2921" s="2002"/>
    </row>
    <row r="2922" spans="1:11" s="4099" customFormat="1" ht="16.5" hidden="1" customHeight="1" x14ac:dyDescent="0.25">
      <c r="A2922" s="4101"/>
      <c r="B2922" s="2913"/>
      <c r="C2922" s="4118" t="s">
        <v>5980</v>
      </c>
      <c r="D2922" s="1492">
        <v>250000000</v>
      </c>
      <c r="E2922" s="780">
        <v>224060500</v>
      </c>
      <c r="F2922" s="1074">
        <f>E2922/D2922*100</f>
        <v>89.624200000000002</v>
      </c>
      <c r="G2922" s="1717">
        <v>75</v>
      </c>
      <c r="H2922" s="4109"/>
      <c r="J2922" s="522"/>
      <c r="K2922" s="522"/>
    </row>
    <row r="2923" spans="1:11" s="4099" customFormat="1" ht="16.5" hidden="1" customHeight="1" x14ac:dyDescent="0.25">
      <c r="A2923" s="4101"/>
      <c r="B2923" s="2913"/>
      <c r="C2923" s="3982"/>
      <c r="D2923" s="1573"/>
      <c r="E2923" s="897"/>
      <c r="F2923" s="2445"/>
      <c r="G2923" s="2282"/>
      <c r="H2923" s="4109"/>
      <c r="J2923" s="522"/>
      <c r="K2923" s="522"/>
    </row>
    <row r="2924" spans="1:11" ht="15.75" hidden="1" customHeight="1" x14ac:dyDescent="0.25">
      <c r="B2924" s="5397"/>
      <c r="C2924" s="4041" t="s">
        <v>274</v>
      </c>
      <c r="D2924" s="3631">
        <f>SUM(D2925)</f>
        <v>4393554000</v>
      </c>
      <c r="E2924" s="3631">
        <f>SUM(E2925)</f>
        <v>3413291000</v>
      </c>
      <c r="F2924" s="3631">
        <f>E2924/D2924*100</f>
        <v>77.688609267121791</v>
      </c>
      <c r="G2924" s="3631">
        <v>65</v>
      </c>
      <c r="H2924" s="535"/>
    </row>
    <row r="2925" spans="1:11" ht="14.25" hidden="1" customHeight="1" x14ac:dyDescent="0.25">
      <c r="B2925" s="2913"/>
      <c r="C2925" s="4014" t="s">
        <v>275</v>
      </c>
      <c r="D2925" s="1585">
        <f>SUM(D2926)</f>
        <v>4393554000</v>
      </c>
      <c r="E2925" s="1585">
        <f>SUM(E2926)</f>
        <v>3413291000</v>
      </c>
      <c r="F2925" s="3632">
        <f>E2925/D2925*100</f>
        <v>77.688609267121791</v>
      </c>
      <c r="G2925" s="3557">
        <v>65</v>
      </c>
      <c r="H2925" s="535"/>
    </row>
    <row r="2926" spans="1:11" ht="13.5" hidden="1" customHeight="1" x14ac:dyDescent="0.25">
      <c r="B2926" s="2913"/>
      <c r="C2926" s="3947" t="s">
        <v>2239</v>
      </c>
      <c r="D2926" s="3770">
        <v>4393554000</v>
      </c>
      <c r="E2926" s="1891">
        <v>3413291000</v>
      </c>
      <c r="F2926" s="3557">
        <f>E2926/D2926*100</f>
        <v>77.688609267121791</v>
      </c>
      <c r="G2926" s="3557">
        <v>65</v>
      </c>
      <c r="H2926" s="535"/>
    </row>
    <row r="2927" spans="1:11" ht="12" hidden="1" customHeight="1" x14ac:dyDescent="0.25">
      <c r="B2927" s="2913"/>
      <c r="D2927" s="1490"/>
      <c r="E2927" s="660"/>
      <c r="F2927" s="3651"/>
      <c r="G2927" s="2285"/>
      <c r="H2927" s="535"/>
    </row>
    <row r="2928" spans="1:11" ht="17.25" hidden="1" customHeight="1" x14ac:dyDescent="0.25">
      <c r="B2928" s="5397"/>
      <c r="C2928" s="3994" t="s">
        <v>594</v>
      </c>
      <c r="D2928" s="3631">
        <f>SUM(D2929+D2932)</f>
        <v>549194000</v>
      </c>
      <c r="E2928" s="3631">
        <f>SUM(E2929+E2932)</f>
        <v>549194000</v>
      </c>
      <c r="F2928" s="3631">
        <f>E2928/D2928*100</f>
        <v>100</v>
      </c>
      <c r="G2928" s="1726">
        <v>100</v>
      </c>
      <c r="H2928" s="535"/>
    </row>
    <row r="2929" spans="2:8" ht="15.75" hidden="1" customHeight="1" x14ac:dyDescent="0.25">
      <c r="B2929" s="2913"/>
      <c r="C2929" s="4299" t="s">
        <v>586</v>
      </c>
      <c r="D2929" s="1423">
        <f>SUM(D2930)</f>
        <v>345744000</v>
      </c>
      <c r="E2929" s="1423">
        <f>SUM(E2930)</f>
        <v>345744000</v>
      </c>
      <c r="F2929" s="3632">
        <f>E2929/D2929*100</f>
        <v>100</v>
      </c>
      <c r="G2929" s="1730">
        <v>100</v>
      </c>
      <c r="H2929" s="535"/>
    </row>
    <row r="2930" spans="2:8" ht="15.75" hidden="1" customHeight="1" x14ac:dyDescent="0.25">
      <c r="B2930" s="2913"/>
      <c r="C2930" s="3947" t="s">
        <v>587</v>
      </c>
      <c r="D2930" s="3770">
        <v>345744000</v>
      </c>
      <c r="E2930" s="1891">
        <v>345744000</v>
      </c>
      <c r="F2930" s="3557">
        <f>E2930/D2930*100</f>
        <v>100</v>
      </c>
      <c r="G2930" s="3557">
        <v>100</v>
      </c>
      <c r="H2930" s="535"/>
    </row>
    <row r="2931" spans="2:8" ht="12" hidden="1" customHeight="1" x14ac:dyDescent="0.25">
      <c r="B2931" s="2913"/>
      <c r="D2931" s="732"/>
      <c r="E2931" s="3879"/>
      <c r="F2931" s="3557"/>
      <c r="G2931" s="3648"/>
      <c r="H2931" s="535"/>
    </row>
    <row r="2932" spans="2:8" ht="17.25" hidden="1" customHeight="1" x14ac:dyDescent="0.25">
      <c r="B2932" s="2913"/>
      <c r="C2932" s="3946" t="s">
        <v>588</v>
      </c>
      <c r="D2932" s="966">
        <f>SUM(D2933)</f>
        <v>203450000</v>
      </c>
      <c r="E2932" s="966">
        <f>SUM(E2933)</f>
        <v>203450000</v>
      </c>
      <c r="F2932" s="3632">
        <f>E2932/D2932*100</f>
        <v>100</v>
      </c>
      <c r="G2932" s="2442">
        <v>100</v>
      </c>
      <c r="H2932" s="535"/>
    </row>
    <row r="2933" spans="2:8" ht="16.5" hidden="1" customHeight="1" x14ac:dyDescent="0.25">
      <c r="B2933" s="2913"/>
      <c r="C2933" s="3947" t="s">
        <v>589</v>
      </c>
      <c r="D2933" s="3770">
        <v>203450000</v>
      </c>
      <c r="E2933" s="3768">
        <v>203450000</v>
      </c>
      <c r="F2933" s="3557">
        <f>E2933/D2933*100</f>
        <v>100</v>
      </c>
      <c r="G2933" s="1074">
        <v>100</v>
      </c>
      <c r="H2933" s="535"/>
    </row>
    <row r="2934" spans="2:8" ht="12" hidden="1" customHeight="1" x14ac:dyDescent="0.25">
      <c r="B2934" s="2913"/>
      <c r="C2934" s="3861"/>
      <c r="D2934" s="972"/>
      <c r="E2934" s="671"/>
      <c r="F2934" s="3651"/>
      <c r="G2934" s="2279"/>
      <c r="H2934" s="535"/>
    </row>
    <row r="2935" spans="2:8" ht="15.75" hidden="1" customHeight="1" x14ac:dyDescent="0.25">
      <c r="B2935" s="5397"/>
      <c r="C2935" s="4041" t="s">
        <v>276</v>
      </c>
      <c r="D2935" s="3631">
        <f>SUM(D2936)</f>
        <v>549194000</v>
      </c>
      <c r="E2935" s="3631">
        <f>SUM(E2936)</f>
        <v>549194000</v>
      </c>
      <c r="F2935" s="3631">
        <f>E2935/D2935*100</f>
        <v>100</v>
      </c>
      <c r="G2935" s="2356">
        <v>100</v>
      </c>
      <c r="H2935" s="535"/>
    </row>
    <row r="2936" spans="2:8" ht="15.75" hidden="1" customHeight="1" x14ac:dyDescent="0.25">
      <c r="B2936" s="2913"/>
      <c r="C2936" s="4014" t="s">
        <v>590</v>
      </c>
      <c r="D2936" s="1585">
        <f>SUM(D2937:D2938)</f>
        <v>549194000</v>
      </c>
      <c r="E2936" s="1585">
        <f>SUM(E2937:E2938)</f>
        <v>549194000</v>
      </c>
      <c r="F2936" s="3632">
        <f>E2936/D2936*100</f>
        <v>100</v>
      </c>
      <c r="G2936" s="3600">
        <v>100</v>
      </c>
      <c r="H2936" s="535"/>
    </row>
    <row r="2937" spans="2:8" ht="15.75" hidden="1" customHeight="1" x14ac:dyDescent="0.25">
      <c r="B2937" s="2913"/>
      <c r="C2937" s="3947" t="s">
        <v>1892</v>
      </c>
      <c r="D2937" s="3770">
        <v>264000000</v>
      </c>
      <c r="E2937" s="1891">
        <v>264000000</v>
      </c>
      <c r="F2937" s="3557">
        <f>E2937/D2937*100</f>
        <v>100</v>
      </c>
      <c r="G2937" s="3557">
        <v>100</v>
      </c>
      <c r="H2937" s="535"/>
    </row>
    <row r="2938" spans="2:8" ht="16.5" hidden="1" customHeight="1" x14ac:dyDescent="0.25">
      <c r="B2938" s="2913"/>
      <c r="C2938" s="3947" t="s">
        <v>1893</v>
      </c>
      <c r="D2938" s="3770">
        <v>285194000</v>
      </c>
      <c r="E2938" s="3768">
        <v>285194000</v>
      </c>
      <c r="F2938" s="3557">
        <f>E2938/D2938*100</f>
        <v>100</v>
      </c>
      <c r="G2938" s="1717">
        <v>100</v>
      </c>
      <c r="H2938" s="535"/>
    </row>
    <row r="2939" spans="2:8" ht="12" hidden="1" customHeight="1" x14ac:dyDescent="0.25">
      <c r="B2939" s="2913"/>
      <c r="D2939" s="4120"/>
      <c r="E2939" s="3498"/>
      <c r="F2939" s="3651"/>
      <c r="G2939" s="2285"/>
      <c r="H2939" s="535"/>
    </row>
    <row r="2940" spans="2:8" ht="16.5" hidden="1" customHeight="1" x14ac:dyDescent="0.25">
      <c r="B2940" s="5397"/>
      <c r="C2940" s="4041" t="s">
        <v>277</v>
      </c>
      <c r="D2940" s="1075">
        <f>SUM(D2941)</f>
        <v>767762700</v>
      </c>
      <c r="E2940" s="1075">
        <f>SUM(E2941)</f>
        <v>766445882</v>
      </c>
      <c r="F2940" s="3631">
        <f>E2940/D2940*100</f>
        <v>99.828486327871886</v>
      </c>
      <c r="G2940" s="1726">
        <v>100</v>
      </c>
      <c r="H2940" s="535"/>
    </row>
    <row r="2941" spans="2:8" ht="19.5" hidden="1" customHeight="1" x14ac:dyDescent="0.25">
      <c r="B2941" s="2913"/>
      <c r="C2941" s="4014" t="s">
        <v>591</v>
      </c>
      <c r="D2941" s="1423">
        <f>SUM(D2942:D2944)</f>
        <v>767762700</v>
      </c>
      <c r="E2941" s="1423">
        <f>SUM(E2942:E2944)</f>
        <v>766445882</v>
      </c>
      <c r="F2941" s="3632">
        <f>E2941/D2941*100</f>
        <v>99.828486327871886</v>
      </c>
      <c r="G2941" s="3554">
        <v>100</v>
      </c>
      <c r="H2941" s="535"/>
    </row>
    <row r="2942" spans="2:8" ht="17.25" hidden="1" customHeight="1" x14ac:dyDescent="0.25">
      <c r="B2942" s="2913"/>
      <c r="C2942" s="3947" t="s">
        <v>5981</v>
      </c>
      <c r="D2942" s="3770">
        <v>233076900</v>
      </c>
      <c r="E2942" s="3768">
        <v>232981445</v>
      </c>
      <c r="F2942" s="3557">
        <f>E2942/D2942*100</f>
        <v>99.959045705516075</v>
      </c>
      <c r="G2942" s="1717">
        <v>100</v>
      </c>
      <c r="H2942" s="535"/>
    </row>
    <row r="2943" spans="2:8" ht="18" hidden="1" customHeight="1" x14ac:dyDescent="0.25">
      <c r="B2943" s="2913"/>
      <c r="C2943" s="3947" t="s">
        <v>5982</v>
      </c>
      <c r="D2943" s="3770">
        <v>299852900</v>
      </c>
      <c r="E2943" s="1891">
        <v>299624264</v>
      </c>
      <c r="F2943" s="3557">
        <f>E2943/D2943*100</f>
        <v>99.923750612383614</v>
      </c>
      <c r="G2943" s="3557">
        <v>100</v>
      </c>
      <c r="H2943" s="535"/>
    </row>
    <row r="2944" spans="2:8" ht="19.5" hidden="1" customHeight="1" x14ac:dyDescent="0.25">
      <c r="B2944" s="2913"/>
      <c r="C2944" s="3947" t="s">
        <v>5983</v>
      </c>
      <c r="D2944" s="3770">
        <v>234832900</v>
      </c>
      <c r="E2944" s="3768">
        <v>233840173</v>
      </c>
      <c r="F2944" s="3557">
        <f>E2944/D2944*100</f>
        <v>99.577262385296095</v>
      </c>
      <c r="G2944" s="3648">
        <v>100</v>
      </c>
      <c r="H2944" s="535"/>
    </row>
    <row r="2945" spans="1:11" ht="12" hidden="1" customHeight="1" x14ac:dyDescent="0.25">
      <c r="B2945" s="2913"/>
      <c r="C2945" s="3892"/>
      <c r="D2945" s="972"/>
      <c r="E2945" s="868"/>
      <c r="F2945" s="3651"/>
      <c r="G2945" s="2285"/>
      <c r="H2945" s="535"/>
    </row>
    <row r="2946" spans="1:11" ht="20.25" hidden="1" customHeight="1" x14ac:dyDescent="0.25">
      <c r="B2946" s="5397"/>
      <c r="C2946" s="4041" t="s">
        <v>278</v>
      </c>
      <c r="D2946" s="1050">
        <f>SUM(D2947+D2950)</f>
        <v>11385856820</v>
      </c>
      <c r="E2946" s="1050">
        <f>SUM(E2947+E2950)</f>
        <v>10925840000</v>
      </c>
      <c r="F2946" s="3631">
        <f>E2946/D2946*100</f>
        <v>95.959752285028301</v>
      </c>
      <c r="G2946" s="2356">
        <f>SUM(G2947+G2950)/2</f>
        <v>87.5</v>
      </c>
      <c r="H2946" s="535"/>
    </row>
    <row r="2947" spans="1:11" ht="15.75" hidden="1" customHeight="1" x14ac:dyDescent="0.25">
      <c r="B2947" s="2913"/>
      <c r="C2947" s="4028" t="s">
        <v>592</v>
      </c>
      <c r="D2947" s="1051">
        <f>SUM(D2948)</f>
        <v>2965316820</v>
      </c>
      <c r="E2947" s="1051">
        <f>SUM(E2948)</f>
        <v>2505300000</v>
      </c>
      <c r="F2947" s="3632">
        <f>E2947/D2947*100</f>
        <v>84.48675646064693</v>
      </c>
      <c r="G2947" s="2562">
        <v>75</v>
      </c>
      <c r="H2947" s="535"/>
    </row>
    <row r="2948" spans="1:11" ht="18" hidden="1" customHeight="1" x14ac:dyDescent="0.25">
      <c r="B2948" s="2913"/>
      <c r="C2948" s="4026" t="s">
        <v>600</v>
      </c>
      <c r="D2948" s="4376">
        <v>2965316820</v>
      </c>
      <c r="E2948" s="4377">
        <v>2505300000</v>
      </c>
      <c r="F2948" s="3557">
        <f>E2948/D2948*100</f>
        <v>84.48675646064693</v>
      </c>
      <c r="G2948" s="1717">
        <v>75</v>
      </c>
      <c r="H2948" s="535"/>
    </row>
    <row r="2949" spans="1:11" ht="8.25" hidden="1" customHeight="1" x14ac:dyDescent="0.25">
      <c r="B2949" s="2913"/>
      <c r="C2949" s="4029"/>
      <c r="D2949" s="1051"/>
      <c r="E2949" s="3519"/>
      <c r="F2949" s="3557"/>
      <c r="G2949" s="1315"/>
      <c r="H2949" s="535"/>
    </row>
    <row r="2950" spans="1:11" ht="16.5" hidden="1" customHeight="1" x14ac:dyDescent="0.25">
      <c r="B2950" s="2913"/>
      <c r="C2950" s="4029" t="s">
        <v>2332</v>
      </c>
      <c r="D2950" s="1047">
        <f>D2951</f>
        <v>8420540000</v>
      </c>
      <c r="E2950" s="1047">
        <f>E2951</f>
        <v>8420540000</v>
      </c>
      <c r="F2950" s="3632">
        <f>E2950/D2950*100</f>
        <v>100</v>
      </c>
      <c r="G2950" s="3600">
        <v>100</v>
      </c>
      <c r="H2950" s="535"/>
    </row>
    <row r="2951" spans="1:11" ht="17.25" hidden="1" customHeight="1" x14ac:dyDescent="0.25">
      <c r="B2951" s="2913"/>
      <c r="C2951" s="3856" t="s">
        <v>593</v>
      </c>
      <c r="D2951" s="880">
        <v>8420540000</v>
      </c>
      <c r="E2951" s="865">
        <v>8420540000</v>
      </c>
      <c r="F2951" s="3557">
        <f>E2951/D2951*100</f>
        <v>100</v>
      </c>
      <c r="G2951" s="3553">
        <v>100</v>
      </c>
      <c r="H2951" s="535"/>
    </row>
    <row r="2952" spans="1:11" ht="12" hidden="1" customHeight="1" x14ac:dyDescent="0.25">
      <c r="B2952" s="2913"/>
      <c r="C2952" s="3892"/>
      <c r="D2952" s="972"/>
      <c r="E2952" s="788"/>
      <c r="F2952" s="2285"/>
      <c r="G2952" s="2285"/>
      <c r="H2952" s="535"/>
    </row>
    <row r="2953" spans="1:11" ht="17.25" customHeight="1" x14ac:dyDescent="0.25">
      <c r="B2953" s="5414"/>
      <c r="C2953" s="5040" t="s">
        <v>606</v>
      </c>
      <c r="D2953" s="1424">
        <f>D2955+D2978+D3014+D3026+D3034+D3045+D3057+D3070</f>
        <v>135982127000</v>
      </c>
      <c r="E2953" s="1424">
        <f>E2955+E2978+E3014+E3026+E3034+E3045+E3057+E3070</f>
        <v>130132124937</v>
      </c>
      <c r="F2953" s="5045">
        <f>E2953/D2953*100</f>
        <v>95.697962524883877</v>
      </c>
      <c r="G2953" s="5046">
        <f>SUM(G2955+G2978+G3014+G3026+G3034+G3045+G3057+G3070)/8</f>
        <v>96.663194444444443</v>
      </c>
      <c r="H2953" s="1637"/>
    </row>
    <row r="2954" spans="1:11" s="2029" customFormat="1" ht="10.5" hidden="1" customHeight="1" x14ac:dyDescent="0.25">
      <c r="A2954" s="2041"/>
      <c r="B2954" s="5407"/>
      <c r="C2954" s="5523"/>
      <c r="D2954" s="5036"/>
      <c r="E2954" s="5036"/>
      <c r="F2954" s="5524"/>
      <c r="G2954" s="5037"/>
      <c r="H2954" s="2120"/>
      <c r="J2954" s="2142"/>
      <c r="K2954" s="2142"/>
    </row>
    <row r="2955" spans="1:11" ht="16.5" hidden="1" customHeight="1" x14ac:dyDescent="0.25">
      <c r="B2955" s="5397"/>
      <c r="C2955" s="4047" t="s">
        <v>378</v>
      </c>
      <c r="D2955" s="1552">
        <f>SUM(D2956+D2959+D2962+D2968+D2972+D2975)</f>
        <v>19909496005</v>
      </c>
      <c r="E2955" s="1552">
        <f>SUM(E2956+E2959+E2962+E2968+E2972+E2975)</f>
        <v>19821442689</v>
      </c>
      <c r="F2955" s="5038">
        <f>E2955/D2955*100</f>
        <v>99.557732069270429</v>
      </c>
      <c r="G2955" s="2462">
        <v>100</v>
      </c>
      <c r="H2955" s="535"/>
    </row>
    <row r="2956" spans="1:11" ht="15.75" hidden="1" customHeight="1" x14ac:dyDescent="0.25">
      <c r="B2956" s="2913"/>
      <c r="C2956" s="5525" t="s">
        <v>5702</v>
      </c>
      <c r="D2956" s="1557">
        <f>SUM(D2957:D2957)</f>
        <v>455000000</v>
      </c>
      <c r="E2956" s="1557">
        <f>SUM(E2957:E2957)</f>
        <v>453816000</v>
      </c>
      <c r="F2956" s="1415">
        <f>E2956/D2956*100</f>
        <v>99.739780219780215</v>
      </c>
      <c r="G2956" s="2484">
        <v>100</v>
      </c>
      <c r="H2956" s="535"/>
    </row>
    <row r="2957" spans="1:11" ht="15.75" hidden="1" customHeight="1" x14ac:dyDescent="0.25">
      <c r="B2957" s="2913"/>
      <c r="C2957" s="3060" t="s">
        <v>5703</v>
      </c>
      <c r="D2957" s="5526">
        <v>455000000</v>
      </c>
      <c r="E2957" s="2454">
        <v>453816000</v>
      </c>
      <c r="F2957" s="880">
        <f>E2957/D2957*100</f>
        <v>99.739780219780215</v>
      </c>
      <c r="G2957" s="2338">
        <v>100</v>
      </c>
      <c r="H2957" s="535"/>
    </row>
    <row r="2958" spans="1:11" ht="9" hidden="1" customHeight="1" x14ac:dyDescent="0.25">
      <c r="B2958" s="2913"/>
      <c r="C2958" s="3060"/>
      <c r="D2958" s="5527"/>
      <c r="E2958" s="666"/>
      <c r="F2958" s="2456"/>
      <c r="G2958" s="2483"/>
      <c r="H2958" s="535"/>
    </row>
    <row r="2959" spans="1:11" ht="20.25" hidden="1" customHeight="1" x14ac:dyDescent="0.25">
      <c r="B2959" s="2913"/>
      <c r="C2959" s="5525" t="s">
        <v>5704</v>
      </c>
      <c r="D2959" s="1557">
        <f>D2960</f>
        <v>299858000</v>
      </c>
      <c r="E2959" s="1557">
        <f>E2960</f>
        <v>299858000</v>
      </c>
      <c r="F2959" s="1415">
        <f>E2959/D2959*100</f>
        <v>100</v>
      </c>
      <c r="G2959" s="2484">
        <v>100</v>
      </c>
      <c r="H2959" s="535"/>
    </row>
    <row r="2960" spans="1:11" ht="18.75" hidden="1" customHeight="1" x14ac:dyDescent="0.25">
      <c r="B2960" s="2913"/>
      <c r="C2960" s="3060" t="s">
        <v>5705</v>
      </c>
      <c r="D2960" s="5526">
        <v>299858000</v>
      </c>
      <c r="E2960" s="2457">
        <v>299858000</v>
      </c>
      <c r="F2960" s="880">
        <f>E2960/D2960*100</f>
        <v>100</v>
      </c>
      <c r="G2960" s="2338">
        <v>100</v>
      </c>
      <c r="H2960" s="535"/>
    </row>
    <row r="2961" spans="1:11" ht="8.25" hidden="1" customHeight="1" x14ac:dyDescent="0.25">
      <c r="B2961" s="2913"/>
      <c r="C2961" s="5528"/>
      <c r="D2961" s="812"/>
      <c r="E2961" s="666"/>
      <c r="F2961" s="2456"/>
      <c r="G2961" s="2483"/>
      <c r="H2961" s="535"/>
    </row>
    <row r="2962" spans="1:11" ht="18.75" hidden="1" customHeight="1" x14ac:dyDescent="0.25">
      <c r="B2962" s="2913"/>
      <c r="C2962" s="5525" t="s">
        <v>366</v>
      </c>
      <c r="D2962" s="1557">
        <f>SUM(D2963:D2966)</f>
        <v>16298771316</v>
      </c>
      <c r="E2962" s="1557">
        <f>SUM(E2963:E2966)</f>
        <v>16211902000</v>
      </c>
      <c r="F2962" s="1415">
        <f>E2962/D2962*100</f>
        <v>99.467019235279892</v>
      </c>
      <c r="G2962" s="2484">
        <v>100</v>
      </c>
      <c r="H2962" s="535"/>
    </row>
    <row r="2963" spans="1:11" s="4099" customFormat="1" ht="18.75" hidden="1" customHeight="1" x14ac:dyDescent="0.25">
      <c r="A2963" s="4101"/>
      <c r="B2963" s="2913"/>
      <c r="C2963" s="3060" t="s">
        <v>5706</v>
      </c>
      <c r="D2963" s="812">
        <v>6889240869</v>
      </c>
      <c r="E2963" s="663">
        <v>6810372000</v>
      </c>
      <c r="F2963" s="880">
        <f>E2963/D2963*100</f>
        <v>98.85518781387232</v>
      </c>
      <c r="G2963" s="2338">
        <v>100</v>
      </c>
      <c r="H2963" s="4109"/>
      <c r="J2963" s="522"/>
      <c r="K2963" s="522"/>
    </row>
    <row r="2964" spans="1:11" s="4099" customFormat="1" ht="18.75" hidden="1" customHeight="1" x14ac:dyDescent="0.25">
      <c r="A2964" s="4101"/>
      <c r="B2964" s="2913"/>
      <c r="C2964" s="3060" t="s">
        <v>5707</v>
      </c>
      <c r="D2964" s="812">
        <v>800000000</v>
      </c>
      <c r="E2964" s="663">
        <v>792000000</v>
      </c>
      <c r="F2964" s="880">
        <f>E2964/D2964*100</f>
        <v>99</v>
      </c>
      <c r="G2964" s="2338">
        <v>100</v>
      </c>
      <c r="H2964" s="4109"/>
      <c r="J2964" s="522"/>
      <c r="K2964" s="522"/>
    </row>
    <row r="2965" spans="1:11" s="4099" customFormat="1" ht="18.75" hidden="1" customHeight="1" x14ac:dyDescent="0.25">
      <c r="A2965" s="4101"/>
      <c r="B2965" s="2913"/>
      <c r="C2965" s="3060" t="s">
        <v>5708</v>
      </c>
      <c r="D2965" s="812">
        <v>6120000000</v>
      </c>
      <c r="E2965" s="663">
        <v>6120000000</v>
      </c>
      <c r="F2965" s="880">
        <f>E2965/D2965*100</f>
        <v>100</v>
      </c>
      <c r="G2965" s="2338">
        <v>100</v>
      </c>
      <c r="H2965" s="4109"/>
      <c r="J2965" s="522"/>
      <c r="K2965" s="522"/>
    </row>
    <row r="2966" spans="1:11" s="4099" customFormat="1" ht="18.75" hidden="1" customHeight="1" x14ac:dyDescent="0.25">
      <c r="A2966" s="4101"/>
      <c r="B2966" s="2913"/>
      <c r="C2966" s="3060" t="s">
        <v>5709</v>
      </c>
      <c r="D2966" s="812">
        <v>2489530447</v>
      </c>
      <c r="E2966" s="663">
        <v>2489530000</v>
      </c>
      <c r="F2966" s="880">
        <f>E2966/D2966*100</f>
        <v>99.999982044806856</v>
      </c>
      <c r="G2966" s="2338">
        <v>100</v>
      </c>
      <c r="H2966" s="4109"/>
      <c r="J2966" s="522"/>
      <c r="K2966" s="522"/>
    </row>
    <row r="2967" spans="1:11" ht="12" hidden="1" customHeight="1" x14ac:dyDescent="0.25">
      <c r="B2967" s="2913"/>
      <c r="C2967" s="5528"/>
      <c r="D2967" s="812"/>
      <c r="E2967" s="666"/>
      <c r="F2967" s="2456"/>
      <c r="G2967" s="2483"/>
      <c r="H2967" s="535"/>
    </row>
    <row r="2968" spans="1:11" ht="16.5" hidden="1" customHeight="1" x14ac:dyDescent="0.25">
      <c r="B2968" s="2913"/>
      <c r="C2968" s="5525" t="s">
        <v>367</v>
      </c>
      <c r="D2968" s="1557">
        <f>SUM(D2969:D2970)</f>
        <v>1843215689</v>
      </c>
      <c r="E2968" s="1557">
        <f>SUM(E2969:E2970)</f>
        <v>1843215689</v>
      </c>
      <c r="F2968" s="1415">
        <f>E2968/D2968*100</f>
        <v>100</v>
      </c>
      <c r="G2968" s="1415">
        <v>100</v>
      </c>
      <c r="H2968" s="535"/>
    </row>
    <row r="2969" spans="1:11" s="4099" customFormat="1" ht="14.25" hidden="1" customHeight="1" x14ac:dyDescent="0.25">
      <c r="A2969" s="4101"/>
      <c r="B2969" s="2913"/>
      <c r="C2969" s="3060" t="s">
        <v>5710</v>
      </c>
      <c r="D2969" s="812">
        <v>633215689</v>
      </c>
      <c r="E2969" s="3768">
        <v>633215689</v>
      </c>
      <c r="F2969" s="880">
        <f>E2969/D2969*100</f>
        <v>100</v>
      </c>
      <c r="G2969" s="880">
        <v>100</v>
      </c>
      <c r="H2969" s="4109"/>
      <c r="J2969" s="522"/>
      <c r="K2969" s="522"/>
    </row>
    <row r="2970" spans="1:11" s="4099" customFormat="1" ht="14.25" hidden="1" customHeight="1" x14ac:dyDescent="0.25">
      <c r="A2970" s="4101"/>
      <c r="B2970" s="2913"/>
      <c r="C2970" s="3060" t="s">
        <v>5711</v>
      </c>
      <c r="D2970" s="812">
        <v>1210000000</v>
      </c>
      <c r="E2970" s="3768">
        <v>1210000000</v>
      </c>
      <c r="F2970" s="880">
        <f>E2970/D2970*100</f>
        <v>100</v>
      </c>
      <c r="G2970" s="880">
        <v>100</v>
      </c>
      <c r="H2970" s="4109"/>
      <c r="J2970" s="522"/>
      <c r="K2970" s="522"/>
    </row>
    <row r="2971" spans="1:11" s="4099" customFormat="1" ht="8.25" hidden="1" customHeight="1" x14ac:dyDescent="0.25">
      <c r="A2971" s="4101"/>
      <c r="B2971" s="2913"/>
      <c r="C2971" s="5525"/>
      <c r="D2971" s="1557"/>
      <c r="E2971" s="3769"/>
      <c r="F2971" s="966"/>
      <c r="G2971" s="966"/>
      <c r="H2971" s="4109"/>
      <c r="J2971" s="522"/>
      <c r="K2971" s="522"/>
    </row>
    <row r="2972" spans="1:11" s="4099" customFormat="1" ht="16.5" hidden="1" customHeight="1" x14ac:dyDescent="0.25">
      <c r="A2972" s="4101"/>
      <c r="B2972" s="2913"/>
      <c r="C2972" s="5525" t="s">
        <v>5712</v>
      </c>
      <c r="D2972" s="1557">
        <f>D2973</f>
        <v>910800000</v>
      </c>
      <c r="E2972" s="1557">
        <f>E2973</f>
        <v>910800000</v>
      </c>
      <c r="F2972" s="1415">
        <f>E2972/D2972*100</f>
        <v>100</v>
      </c>
      <c r="G2972" s="1415">
        <v>100</v>
      </c>
      <c r="H2972" s="4109"/>
      <c r="J2972" s="522"/>
      <c r="K2972" s="522"/>
    </row>
    <row r="2973" spans="1:11" s="4099" customFormat="1" ht="18" hidden="1" customHeight="1" x14ac:dyDescent="0.25">
      <c r="A2973" s="4101"/>
      <c r="B2973" s="2913"/>
      <c r="C2973" s="3060" t="s">
        <v>5713</v>
      </c>
      <c r="D2973" s="812">
        <v>910800000</v>
      </c>
      <c r="E2973" s="3768">
        <v>910800000</v>
      </c>
      <c r="F2973" s="880">
        <f>E2973/D2973*100</f>
        <v>100</v>
      </c>
      <c r="G2973" s="880">
        <v>100</v>
      </c>
      <c r="H2973" s="4109"/>
      <c r="J2973" s="522"/>
      <c r="K2973" s="522"/>
    </row>
    <row r="2974" spans="1:11" s="4099" customFormat="1" ht="7.5" hidden="1" customHeight="1" x14ac:dyDescent="0.25">
      <c r="A2974" s="4101"/>
      <c r="B2974" s="2913"/>
      <c r="C2974" s="5525"/>
      <c r="D2974" s="1557"/>
      <c r="E2974" s="3769"/>
      <c r="F2974" s="966"/>
      <c r="G2974" s="966"/>
      <c r="H2974" s="4109"/>
      <c r="J2974" s="522"/>
      <c r="K2974" s="522"/>
    </row>
    <row r="2975" spans="1:11" s="4099" customFormat="1" ht="18.75" hidden="1" customHeight="1" x14ac:dyDescent="0.25">
      <c r="A2975" s="4101"/>
      <c r="B2975" s="2913"/>
      <c r="C2975" s="5525" t="s">
        <v>2290</v>
      </c>
      <c r="D2975" s="1557">
        <f>D2976</f>
        <v>101851000</v>
      </c>
      <c r="E2975" s="1557">
        <f>E2976</f>
        <v>101851000</v>
      </c>
      <c r="F2975" s="1415">
        <f>E2975/D2975*100</f>
        <v>100</v>
      </c>
      <c r="G2975" s="1415">
        <v>100</v>
      </c>
      <c r="H2975" s="4109"/>
      <c r="J2975" s="522"/>
      <c r="K2975" s="522"/>
    </row>
    <row r="2976" spans="1:11" s="4099" customFormat="1" ht="14.25" hidden="1" customHeight="1" x14ac:dyDescent="0.25">
      <c r="A2976" s="4101"/>
      <c r="B2976" s="2913"/>
      <c r="C2976" s="3060" t="s">
        <v>5714</v>
      </c>
      <c r="D2976" s="812">
        <v>101851000</v>
      </c>
      <c r="E2976" s="3768">
        <v>101851000</v>
      </c>
      <c r="F2976" s="880">
        <f>E2976/D2976*100</f>
        <v>100</v>
      </c>
      <c r="G2976" s="880">
        <v>100</v>
      </c>
      <c r="H2976" s="4109"/>
      <c r="J2976" s="522"/>
      <c r="K2976" s="522"/>
    </row>
    <row r="2977" spans="2:8" ht="12" hidden="1" customHeight="1" x14ac:dyDescent="0.25">
      <c r="B2977" s="2913"/>
      <c r="C2977" s="3892"/>
      <c r="D2977" s="1558"/>
      <c r="E2977" s="671"/>
      <c r="F2977" s="2461"/>
      <c r="G2977" s="5529"/>
      <c r="H2977" s="535"/>
    </row>
    <row r="2978" spans="2:8" ht="13.5" hidden="1" customHeight="1" x14ac:dyDescent="0.25">
      <c r="B2978" s="5397"/>
      <c r="C2978" s="3858" t="s">
        <v>379</v>
      </c>
      <c r="D2978" s="1552">
        <f>D2979+D2986+D2990+D2993+D2996+D3000+D3008+D3011+D3003</f>
        <v>8332868384</v>
      </c>
      <c r="E2978" s="1552">
        <f>E2979+E2986+E2990+E2993+E2996+E3000+E3008+E3011+E3003</f>
        <v>7832002500</v>
      </c>
      <c r="F2978" s="2356">
        <f>E2978/D2978*100</f>
        <v>93.989274030036086</v>
      </c>
      <c r="G2978" s="2462">
        <f>SUM(G2979+G2986+G2990+G2993+G2996+G3000+G3003+G3008+G3011)/9</f>
        <v>97.777777777777771</v>
      </c>
      <c r="H2978" s="535"/>
    </row>
    <row r="2979" spans="2:8" ht="18.75" hidden="1" customHeight="1" x14ac:dyDescent="0.25">
      <c r="B2979" s="2913"/>
      <c r="C2979" s="5525" t="s">
        <v>561</v>
      </c>
      <c r="D2979" s="4155">
        <f>SUM(D2980:D2984)</f>
        <v>1661740000</v>
      </c>
      <c r="E2979" s="4155">
        <f>SUM(E2980:E2984)</f>
        <v>1227884500</v>
      </c>
      <c r="F2979" s="1415">
        <f>E2979/D2979*100</f>
        <v>73.891493254058986</v>
      </c>
      <c r="G2979" s="2496">
        <f>SUM(G2980:G2984)/5</f>
        <v>80</v>
      </c>
      <c r="H2979" s="535"/>
    </row>
    <row r="2980" spans="2:8" ht="15.75" hidden="1" customHeight="1" x14ac:dyDescent="0.25">
      <c r="B2980" s="2913"/>
      <c r="C2980" s="3060" t="s">
        <v>1812</v>
      </c>
      <c r="D2980" s="5526">
        <v>471625000</v>
      </c>
      <c r="E2980" s="2457">
        <v>459525000</v>
      </c>
      <c r="F2980" s="880">
        <f>E2980/D2980*100</f>
        <v>97.434402332361515</v>
      </c>
      <c r="G2980" s="2338">
        <v>100</v>
      </c>
      <c r="H2980" s="535"/>
    </row>
    <row r="2981" spans="2:8" ht="16.5" hidden="1" customHeight="1" x14ac:dyDescent="0.25">
      <c r="B2981" s="2913"/>
      <c r="C2981" s="3060" t="s">
        <v>1813</v>
      </c>
      <c r="D2981" s="5526">
        <v>300000000</v>
      </c>
      <c r="E2981" s="3768">
        <v>295400000</v>
      </c>
      <c r="F2981" s="880">
        <f>E2981/D2981*100</f>
        <v>98.466666666666669</v>
      </c>
      <c r="G2981" s="3768">
        <v>100</v>
      </c>
      <c r="H2981" s="535"/>
    </row>
    <row r="2982" spans="2:8" ht="16.5" hidden="1" customHeight="1" x14ac:dyDescent="0.25">
      <c r="B2982" s="2913"/>
      <c r="C2982" s="3060" t="s">
        <v>1814</v>
      </c>
      <c r="D2982" s="5526">
        <v>400000000</v>
      </c>
      <c r="E2982" s="3768">
        <v>0</v>
      </c>
      <c r="F2982" s="3768">
        <v>0</v>
      </c>
      <c r="G2982" s="3768">
        <v>0</v>
      </c>
      <c r="H2982" s="535"/>
    </row>
    <row r="2983" spans="2:8" ht="16.5" hidden="1" customHeight="1" x14ac:dyDescent="0.25">
      <c r="B2983" s="2913"/>
      <c r="C2983" s="3060" t="s">
        <v>1815</v>
      </c>
      <c r="D2983" s="5526">
        <v>250000000</v>
      </c>
      <c r="E2983" s="2457">
        <v>235044500</v>
      </c>
      <c r="F2983" s="880">
        <f>E2983/D2983*100</f>
        <v>94.017799999999994</v>
      </c>
      <c r="G2983" s="2338">
        <v>100</v>
      </c>
      <c r="H2983" s="535"/>
    </row>
    <row r="2984" spans="2:8" ht="17.25" hidden="1" customHeight="1" x14ac:dyDescent="0.25">
      <c r="B2984" s="2913"/>
      <c r="C2984" s="3060" t="s">
        <v>1816</v>
      </c>
      <c r="D2984" s="5526">
        <v>240115000</v>
      </c>
      <c r="E2984" s="2457">
        <v>237915000</v>
      </c>
      <c r="F2984" s="880">
        <f>E2984/D2984*100</f>
        <v>99.08377235907794</v>
      </c>
      <c r="G2984" s="2338">
        <v>100</v>
      </c>
      <c r="H2984" s="535"/>
    </row>
    <row r="2985" spans="2:8" ht="7.5" hidden="1" customHeight="1" x14ac:dyDescent="0.25">
      <c r="B2985" s="2913"/>
      <c r="C2985" s="4104"/>
      <c r="D2985" s="812"/>
      <c r="E2985" s="666"/>
      <c r="F2985" s="2456"/>
      <c r="G2985" s="2485"/>
      <c r="H2985" s="535"/>
    </row>
    <row r="2986" spans="2:8" ht="18.75" hidden="1" customHeight="1" x14ac:dyDescent="0.25">
      <c r="B2986" s="2913"/>
      <c r="C2986" s="5525" t="s">
        <v>1817</v>
      </c>
      <c r="D2986" s="5530">
        <f>SUM(D2987:D2988)</f>
        <v>292675000</v>
      </c>
      <c r="E2986" s="5530">
        <f>SUM(E2987:E2988)</f>
        <v>292675000</v>
      </c>
      <c r="F2986" s="1415">
        <f>E2986/D2986*100</f>
        <v>100</v>
      </c>
      <c r="G2986" s="2484">
        <v>100</v>
      </c>
      <c r="H2986" s="535"/>
    </row>
    <row r="2987" spans="2:8" ht="14.25" hidden="1" customHeight="1" x14ac:dyDescent="0.25">
      <c r="B2987" s="2913"/>
      <c r="C2987" s="3060" t="s">
        <v>1818</v>
      </c>
      <c r="D2987" s="5526">
        <v>138837500</v>
      </c>
      <c r="E2987" s="3768">
        <v>138837500</v>
      </c>
      <c r="F2987" s="880">
        <f>E2987/D2987*100</f>
        <v>100</v>
      </c>
      <c r="G2987" s="3768">
        <v>100</v>
      </c>
      <c r="H2987" s="535"/>
    </row>
    <row r="2988" spans="2:8" ht="17.25" hidden="1" customHeight="1" x14ac:dyDescent="0.25">
      <c r="B2988" s="2913"/>
      <c r="C2988" s="3060" t="s">
        <v>1819</v>
      </c>
      <c r="D2988" s="5526">
        <v>153837500</v>
      </c>
      <c r="E2988" s="2457">
        <v>153837500</v>
      </c>
      <c r="F2988" s="880">
        <f>E2988/D2988*100</f>
        <v>100</v>
      </c>
      <c r="G2988" s="2338">
        <v>100</v>
      </c>
      <c r="H2988" s="535"/>
    </row>
    <row r="2989" spans="2:8" ht="7.5" hidden="1" customHeight="1" x14ac:dyDescent="0.25">
      <c r="B2989" s="2913"/>
      <c r="C2989" s="3060"/>
      <c r="D2989" s="5526"/>
      <c r="E2989" s="666"/>
      <c r="F2989" s="2456"/>
      <c r="G2989" s="2483"/>
      <c r="H2989" s="535"/>
    </row>
    <row r="2990" spans="2:8" ht="15.75" hidden="1" customHeight="1" x14ac:dyDescent="0.25">
      <c r="B2990" s="2913"/>
      <c r="C2990" s="5525" t="s">
        <v>1820</v>
      </c>
      <c r="D2990" s="5530">
        <f>D2991</f>
        <v>650000000</v>
      </c>
      <c r="E2990" s="5530">
        <f>E2991</f>
        <v>642720000</v>
      </c>
      <c r="F2990" s="1415">
        <f>E2990/D2990*100</f>
        <v>98.88</v>
      </c>
      <c r="G2990" s="2484">
        <v>100</v>
      </c>
      <c r="H2990" s="535"/>
    </row>
    <row r="2991" spans="2:8" ht="16.5" hidden="1" customHeight="1" x14ac:dyDescent="0.25">
      <c r="B2991" s="2913"/>
      <c r="C2991" s="3060" t="s">
        <v>1821</v>
      </c>
      <c r="D2991" s="5526">
        <v>650000000</v>
      </c>
      <c r="E2991" s="2457">
        <v>642720000</v>
      </c>
      <c r="F2991" s="880">
        <f>E2991/D2991*100</f>
        <v>98.88</v>
      </c>
      <c r="G2991" s="2338">
        <v>100</v>
      </c>
      <c r="H2991" s="535"/>
    </row>
    <row r="2992" spans="2:8" ht="7.5" hidden="1" customHeight="1" x14ac:dyDescent="0.25">
      <c r="B2992" s="2913"/>
      <c r="C2992" s="5528"/>
      <c r="D2992" s="5531"/>
      <c r="E2992" s="666"/>
      <c r="F2992" s="2456"/>
      <c r="G2992" s="2483"/>
      <c r="H2992" s="535"/>
    </row>
    <row r="2993" spans="2:8" ht="16.5" hidden="1" customHeight="1" x14ac:dyDescent="0.25">
      <c r="B2993" s="2913"/>
      <c r="C2993" s="5525" t="s">
        <v>1822</v>
      </c>
      <c r="D2993" s="5530">
        <f>D2994</f>
        <v>472460000</v>
      </c>
      <c r="E2993" s="5530">
        <f>E2994</f>
        <v>472260000</v>
      </c>
      <c r="F2993" s="1415">
        <f>E2993/D2993*100</f>
        <v>99.957668374042257</v>
      </c>
      <c r="G2993" s="2484">
        <v>100</v>
      </c>
      <c r="H2993" s="535"/>
    </row>
    <row r="2994" spans="2:8" ht="18.75" hidden="1" customHeight="1" x14ac:dyDescent="0.25">
      <c r="B2994" s="2913"/>
      <c r="C2994" s="3060" t="s">
        <v>1823</v>
      </c>
      <c r="D2994" s="5526">
        <v>472460000</v>
      </c>
      <c r="E2994" s="2457">
        <v>472260000</v>
      </c>
      <c r="F2994" s="880">
        <f>E2994/D2994*100</f>
        <v>99.957668374042257</v>
      </c>
      <c r="G2994" s="2338">
        <v>100</v>
      </c>
      <c r="H2994" s="535"/>
    </row>
    <row r="2995" spans="2:8" ht="12" hidden="1" customHeight="1" x14ac:dyDescent="0.25">
      <c r="B2995" s="2913"/>
      <c r="C2995" s="4104"/>
      <c r="D2995" s="5532"/>
      <c r="E2995" s="666"/>
      <c r="F2995" s="2456"/>
      <c r="G2995" s="2483"/>
      <c r="H2995" s="535"/>
    </row>
    <row r="2996" spans="2:8" ht="16.5" hidden="1" customHeight="1" x14ac:dyDescent="0.25">
      <c r="B2996" s="2913"/>
      <c r="C2996" s="5525" t="s">
        <v>1824</v>
      </c>
      <c r="D2996" s="1557">
        <f>SUM(D2997:D2998)</f>
        <v>2270738384</v>
      </c>
      <c r="E2996" s="1557">
        <f>SUM(E2997:E2998)</f>
        <v>2215968000</v>
      </c>
      <c r="F2996" s="1415">
        <f>E2996/D2996*100</f>
        <v>97.587992329458956</v>
      </c>
      <c r="G2996" s="2484">
        <v>100</v>
      </c>
      <c r="H2996" s="535"/>
    </row>
    <row r="2997" spans="2:8" ht="27.75" hidden="1" customHeight="1" x14ac:dyDescent="0.25">
      <c r="B2997" s="2913"/>
      <c r="C2997" s="3060" t="s">
        <v>1825</v>
      </c>
      <c r="D2997" s="1602">
        <v>2000853384</v>
      </c>
      <c r="E2997" s="2454">
        <v>1985083000</v>
      </c>
      <c r="F2997" s="880">
        <f>E2997/D2997*100</f>
        <v>99.211817111333133</v>
      </c>
      <c r="G2997" s="2338">
        <v>100</v>
      </c>
      <c r="H2997" s="535"/>
    </row>
    <row r="2998" spans="2:8" ht="18" hidden="1" customHeight="1" x14ac:dyDescent="0.25">
      <c r="B2998" s="2913"/>
      <c r="C2998" s="3060" t="s">
        <v>1833</v>
      </c>
      <c r="D2998" s="1602">
        <v>269885000</v>
      </c>
      <c r="E2998" s="1238">
        <v>230885000</v>
      </c>
      <c r="F2998" s="880">
        <f>E2998/D2998*100</f>
        <v>85.549400670656013</v>
      </c>
      <c r="G2998" s="1238">
        <v>100</v>
      </c>
      <c r="H2998" s="535"/>
    </row>
    <row r="2999" spans="2:8" ht="12" hidden="1" customHeight="1" x14ac:dyDescent="0.25">
      <c r="B2999" s="2913"/>
      <c r="C2999" s="4104"/>
      <c r="D2999" s="812"/>
      <c r="E2999" s="666"/>
      <c r="F2999" s="2456"/>
      <c r="G2999" s="2483"/>
      <c r="H2999" s="535"/>
    </row>
    <row r="3000" spans="2:8" ht="18" hidden="1" customHeight="1" x14ac:dyDescent="0.25">
      <c r="B3000" s="2913"/>
      <c r="C3000" s="5525" t="s">
        <v>1014</v>
      </c>
      <c r="D3000" s="1557">
        <f>D3001</f>
        <v>649625000</v>
      </c>
      <c r="E3000" s="1557">
        <f>E3001</f>
        <v>649520000</v>
      </c>
      <c r="F3000" s="1415">
        <f>E3000/D3000*100</f>
        <v>99.983836828939772</v>
      </c>
      <c r="G3000" s="2484">
        <v>100</v>
      </c>
      <c r="H3000" s="535"/>
    </row>
    <row r="3001" spans="2:8" ht="28.5" hidden="1" customHeight="1" x14ac:dyDescent="0.25">
      <c r="B3001" s="2913"/>
      <c r="C3001" s="3060" t="s">
        <v>1880</v>
      </c>
      <c r="D3001" s="1602">
        <v>649625000</v>
      </c>
      <c r="E3001" s="2454">
        <v>649520000</v>
      </c>
      <c r="F3001" s="880">
        <f>E3001/D3001*100</f>
        <v>99.983836828939772</v>
      </c>
      <c r="G3001" s="2338">
        <v>100</v>
      </c>
      <c r="H3001" s="535"/>
    </row>
    <row r="3002" spans="2:8" ht="6.75" hidden="1" customHeight="1" x14ac:dyDescent="0.25">
      <c r="B3002" s="2913"/>
      <c r="C3002" s="4104"/>
      <c r="D3002" s="812"/>
      <c r="E3002" s="666"/>
      <c r="F3002" s="2456"/>
      <c r="G3002" s="2483"/>
      <c r="H3002" s="535"/>
    </row>
    <row r="3003" spans="2:8" ht="18" hidden="1" customHeight="1" x14ac:dyDescent="0.25">
      <c r="B3003" s="2913"/>
      <c r="C3003" s="3938" t="s">
        <v>286</v>
      </c>
      <c r="D3003" s="1557">
        <f>SUM(D3004:D3006)</f>
        <v>1635630000</v>
      </c>
      <c r="E3003" s="1557">
        <f>SUM(E3004:E3006)</f>
        <v>1630975000</v>
      </c>
      <c r="F3003" s="1415">
        <f>E3003/D3003*100</f>
        <v>99.715400182192795</v>
      </c>
      <c r="G3003" s="2484">
        <v>100</v>
      </c>
      <c r="H3003" s="535"/>
    </row>
    <row r="3004" spans="2:8" ht="15.75" hidden="1" customHeight="1" x14ac:dyDescent="0.25">
      <c r="B3004" s="2913"/>
      <c r="C3004" s="4118" t="s">
        <v>1826</v>
      </c>
      <c r="D3004" s="1602">
        <v>485630000</v>
      </c>
      <c r="E3004" s="2454">
        <v>485630000</v>
      </c>
      <c r="F3004" s="880">
        <f>E3004/D3004*100</f>
        <v>100</v>
      </c>
      <c r="G3004" s="2338">
        <v>100</v>
      </c>
      <c r="H3004" s="535"/>
    </row>
    <row r="3005" spans="2:8" ht="16.5" hidden="1" customHeight="1" x14ac:dyDescent="0.25">
      <c r="B3005" s="2913"/>
      <c r="C3005" s="4118" t="s">
        <v>1827</v>
      </c>
      <c r="D3005" s="1602">
        <v>650000000</v>
      </c>
      <c r="E3005" s="2454">
        <v>647095000</v>
      </c>
      <c r="F3005" s="880">
        <f>E3005/D3005*100</f>
        <v>99.553076923076915</v>
      </c>
      <c r="G3005" s="2338">
        <v>100</v>
      </c>
      <c r="H3005" s="535"/>
    </row>
    <row r="3006" spans="2:8" ht="18.75" hidden="1" customHeight="1" x14ac:dyDescent="0.25">
      <c r="B3006" s="2913"/>
      <c r="C3006" s="4118" t="s">
        <v>1832</v>
      </c>
      <c r="D3006" s="1602">
        <v>500000000</v>
      </c>
      <c r="E3006" s="3768">
        <v>498250000</v>
      </c>
      <c r="F3006" s="880">
        <f>E3006/D3006*100</f>
        <v>99.65</v>
      </c>
      <c r="G3006" s="2338">
        <v>100</v>
      </c>
      <c r="H3006" s="535"/>
    </row>
    <row r="3007" spans="2:8" ht="8.25" hidden="1" customHeight="1" x14ac:dyDescent="0.25">
      <c r="B3007" s="2913"/>
      <c r="C3007" s="4104"/>
      <c r="D3007" s="812"/>
      <c r="E3007" s="666"/>
      <c r="F3007" s="2456"/>
      <c r="G3007" s="2483"/>
      <c r="H3007" s="535"/>
    </row>
    <row r="3008" spans="2:8" ht="17.25" hidden="1" customHeight="1" x14ac:dyDescent="0.25">
      <c r="B3008" s="2913"/>
      <c r="C3008" s="3938" t="s">
        <v>1828</v>
      </c>
      <c r="D3008" s="1557">
        <f>D3009</f>
        <v>350000000</v>
      </c>
      <c r="E3008" s="1557">
        <f>E3009</f>
        <v>350000000</v>
      </c>
      <c r="F3008" s="1415">
        <f>E3008/D3008*100</f>
        <v>100</v>
      </c>
      <c r="G3008" s="1415">
        <v>100</v>
      </c>
      <c r="H3008" s="535"/>
    </row>
    <row r="3009" spans="2:8" ht="27" hidden="1" customHeight="1" x14ac:dyDescent="0.25">
      <c r="B3009" s="2913"/>
      <c r="C3009" s="4118" t="s">
        <v>1829</v>
      </c>
      <c r="D3009" s="1602">
        <v>350000000</v>
      </c>
      <c r="E3009" s="2454">
        <v>350000000</v>
      </c>
      <c r="F3009" s="880">
        <f>E3009/D3009*100</f>
        <v>100</v>
      </c>
      <c r="G3009" s="880">
        <v>100</v>
      </c>
      <c r="H3009" s="535"/>
    </row>
    <row r="3010" spans="2:8" ht="10.5" hidden="1" customHeight="1" x14ac:dyDescent="0.25">
      <c r="B3010" s="2913"/>
      <c r="C3010" s="4104"/>
      <c r="D3010" s="812"/>
      <c r="E3010" s="666"/>
      <c r="F3010" s="2456"/>
      <c r="G3010" s="2456"/>
      <c r="H3010" s="535"/>
    </row>
    <row r="3011" spans="2:8" ht="27.75" hidden="1" customHeight="1" x14ac:dyDescent="0.25">
      <c r="B3011" s="2913"/>
      <c r="C3011" s="3938" t="s">
        <v>1830</v>
      </c>
      <c r="D3011" s="1557">
        <f>D3012</f>
        <v>350000000</v>
      </c>
      <c r="E3011" s="1557">
        <f>E3012</f>
        <v>350000000</v>
      </c>
      <c r="F3011" s="1415">
        <f>E3011/D3011*100</f>
        <v>100</v>
      </c>
      <c r="G3011" s="1415">
        <v>100</v>
      </c>
      <c r="H3011" s="535"/>
    </row>
    <row r="3012" spans="2:8" ht="27" hidden="1" customHeight="1" x14ac:dyDescent="0.25">
      <c r="B3012" s="2913"/>
      <c r="C3012" s="4118" t="s">
        <v>1831</v>
      </c>
      <c r="D3012" s="5526">
        <v>350000000</v>
      </c>
      <c r="E3012" s="2457">
        <v>350000000</v>
      </c>
      <c r="F3012" s="880">
        <f>E3012/D3012*100</f>
        <v>100</v>
      </c>
      <c r="G3012" s="880">
        <v>100</v>
      </c>
      <c r="H3012" s="535"/>
    </row>
    <row r="3013" spans="2:8" ht="7.5" hidden="1" customHeight="1" x14ac:dyDescent="0.25">
      <c r="B3013" s="2913"/>
      <c r="C3013" s="3892"/>
      <c r="D3013" s="1558"/>
      <c r="E3013" s="671"/>
      <c r="F3013" s="2461"/>
      <c r="G3013" s="5529"/>
      <c r="H3013" s="535"/>
    </row>
    <row r="3014" spans="2:8" ht="18.75" hidden="1" customHeight="1" x14ac:dyDescent="0.25">
      <c r="B3014" s="5397"/>
      <c r="C3014" s="3858" t="s">
        <v>380</v>
      </c>
      <c r="D3014" s="1552">
        <f>SUM(D3015+D3018+D3023)</f>
        <v>58675270370</v>
      </c>
      <c r="E3014" s="1552">
        <f>SUM(E3015+E3018+E3023)</f>
        <v>54862362857</v>
      </c>
      <c r="F3014" s="2356">
        <f>E3014/D3014*100</f>
        <v>93.501678835127294</v>
      </c>
      <c r="G3014" s="2462">
        <f>SUM(G3015+G3018+G3023)/3</f>
        <v>97.777777777777771</v>
      </c>
      <c r="H3014" s="535"/>
    </row>
    <row r="3015" spans="2:8" ht="19.5" hidden="1" customHeight="1" x14ac:dyDescent="0.25">
      <c r="B3015" s="2913"/>
      <c r="C3015" s="3938" t="s">
        <v>1834</v>
      </c>
      <c r="D3015" s="1601">
        <f>SUM(D3016)</f>
        <v>13550359655</v>
      </c>
      <c r="E3015" s="1601">
        <f>SUM(E3016)</f>
        <v>11149719806</v>
      </c>
      <c r="F3015" s="1415">
        <f>E3015/D3015*100</f>
        <v>82.283570989097853</v>
      </c>
      <c r="G3015" s="3769">
        <v>95</v>
      </c>
      <c r="H3015" s="535"/>
    </row>
    <row r="3016" spans="2:8" ht="18.75" hidden="1" customHeight="1" x14ac:dyDescent="0.25">
      <c r="B3016" s="2913"/>
      <c r="C3016" s="4118" t="s">
        <v>1835</v>
      </c>
      <c r="D3016" s="1602">
        <v>13550359655</v>
      </c>
      <c r="E3016" s="2454">
        <v>11149719806</v>
      </c>
      <c r="F3016" s="880">
        <f>E3016/D3016*100</f>
        <v>82.283570989097853</v>
      </c>
      <c r="G3016" s="3768">
        <v>95</v>
      </c>
      <c r="H3016" s="535"/>
    </row>
    <row r="3017" spans="2:8" ht="10.5" hidden="1" customHeight="1" x14ac:dyDescent="0.25">
      <c r="B3017" s="2913"/>
      <c r="C3017" s="4104"/>
      <c r="D3017" s="812"/>
      <c r="E3017" s="666"/>
      <c r="F3017" s="1717"/>
      <c r="G3017" s="1717"/>
      <c r="H3017" s="535"/>
    </row>
    <row r="3018" spans="2:8" ht="14.25" hidden="1" customHeight="1" x14ac:dyDescent="0.25">
      <c r="B3018" s="2913"/>
      <c r="C3018" s="3938" t="s">
        <v>584</v>
      </c>
      <c r="D3018" s="1557">
        <f>SUM(D3019:D3021)</f>
        <v>42613301546</v>
      </c>
      <c r="E3018" s="1557">
        <f>SUM(E3019:E3021)</f>
        <v>41257023882</v>
      </c>
      <c r="F3018" s="1415">
        <f>E3018/D3018*100</f>
        <v>96.817243408056669</v>
      </c>
      <c r="G3018" s="2261">
        <f>SUM(G3019:G3021)/3</f>
        <v>98.333333333333329</v>
      </c>
      <c r="H3018" s="535"/>
    </row>
    <row r="3019" spans="2:8" ht="14.25" hidden="1" customHeight="1" x14ac:dyDescent="0.25">
      <c r="B3019" s="2913"/>
      <c r="C3019" s="4118" t="s">
        <v>1881</v>
      </c>
      <c r="D3019" s="812">
        <v>7279500000</v>
      </c>
      <c r="E3019" s="2454">
        <v>7086997495</v>
      </c>
      <c r="F3019" s="880">
        <f>E3019/D3019*100</f>
        <v>97.35555319733497</v>
      </c>
      <c r="G3019" s="1717">
        <v>100</v>
      </c>
      <c r="H3019" s="535"/>
    </row>
    <row r="3020" spans="2:8" ht="14.25" hidden="1" customHeight="1" x14ac:dyDescent="0.25">
      <c r="B3020" s="2913"/>
      <c r="C3020" s="4118" t="s">
        <v>1882</v>
      </c>
      <c r="D3020" s="1602">
        <v>29429640546</v>
      </c>
      <c r="E3020" s="2454">
        <v>29408241000</v>
      </c>
      <c r="F3020" s="880">
        <f>E3020/D3020*100</f>
        <v>99.927285737769878</v>
      </c>
      <c r="G3020" s="1717">
        <v>100</v>
      </c>
      <c r="H3020" s="535"/>
    </row>
    <row r="3021" spans="2:8" ht="17.25" hidden="1" customHeight="1" x14ac:dyDescent="0.25">
      <c r="B3021" s="2913"/>
      <c r="C3021" s="3896" t="s">
        <v>1883</v>
      </c>
      <c r="D3021" s="1603">
        <v>5904161000</v>
      </c>
      <c r="E3021" s="2454">
        <v>4761785387</v>
      </c>
      <c r="F3021" s="880">
        <f>E3021/D3021*100</f>
        <v>80.651347193953555</v>
      </c>
      <c r="G3021" s="2265">
        <v>95</v>
      </c>
      <c r="H3021" s="535"/>
    </row>
    <row r="3022" spans="2:8" ht="8.25" hidden="1" customHeight="1" x14ac:dyDescent="0.25">
      <c r="B3022" s="2913"/>
      <c r="C3022" s="3962"/>
      <c r="D3022" s="1602"/>
      <c r="E3022" s="666"/>
      <c r="F3022" s="1717"/>
      <c r="G3022" s="1717"/>
      <c r="H3022" s="535"/>
    </row>
    <row r="3023" spans="2:8" ht="14.25" hidden="1" customHeight="1" x14ac:dyDescent="0.25">
      <c r="B3023" s="2913"/>
      <c r="C3023" s="3938" t="s">
        <v>1884</v>
      </c>
      <c r="D3023" s="1604">
        <f>D3024</f>
        <v>2511609169</v>
      </c>
      <c r="E3023" s="1604">
        <f>E3024</f>
        <v>2455619169</v>
      </c>
      <c r="F3023" s="1415">
        <f>E3023/D3023*100</f>
        <v>97.770751887233615</v>
      </c>
      <c r="G3023" s="2261">
        <v>100</v>
      </c>
      <c r="H3023" s="535"/>
    </row>
    <row r="3024" spans="2:8" ht="14.25" hidden="1" customHeight="1" x14ac:dyDescent="0.25">
      <c r="B3024" s="2913"/>
      <c r="C3024" s="4118" t="s">
        <v>1885</v>
      </c>
      <c r="D3024" s="1602">
        <v>2511609169</v>
      </c>
      <c r="E3024" s="2454">
        <v>2455619169</v>
      </c>
      <c r="F3024" s="880">
        <f>E3024/D3024*100</f>
        <v>97.770751887233615</v>
      </c>
      <c r="G3024" s="1717">
        <v>100</v>
      </c>
      <c r="H3024" s="535"/>
    </row>
    <row r="3025" spans="1:11" ht="15.75" hidden="1" customHeight="1" x14ac:dyDescent="0.25">
      <c r="B3025" s="2913"/>
      <c r="C3025" s="3894"/>
      <c r="D3025" s="1561"/>
      <c r="E3025" s="1094"/>
      <c r="F3025" s="3750"/>
      <c r="G3025" s="2584"/>
      <c r="H3025" s="535"/>
    </row>
    <row r="3026" spans="1:11" ht="13.5" hidden="1" customHeight="1" x14ac:dyDescent="0.25">
      <c r="B3026" s="5397"/>
      <c r="C3026" s="3858" t="s">
        <v>381</v>
      </c>
      <c r="D3026" s="1462">
        <f>SUM(D3027+D3031)</f>
        <v>27815951000</v>
      </c>
      <c r="E3026" s="1462">
        <f>SUM(E3027+E3031)</f>
        <v>27414551000</v>
      </c>
      <c r="F3026" s="2356">
        <f>E3026/D3026*100</f>
        <v>98.556943100741009</v>
      </c>
      <c r="G3026" s="2462">
        <v>100</v>
      </c>
      <c r="H3026" s="535"/>
    </row>
    <row r="3027" spans="1:11" ht="16.5" hidden="1" customHeight="1" x14ac:dyDescent="0.25">
      <c r="B3027" s="2913"/>
      <c r="C3027" s="4103" t="s">
        <v>275</v>
      </c>
      <c r="D3027" s="1416">
        <f>SUM(D3028+D3029)</f>
        <v>26950000000</v>
      </c>
      <c r="E3027" s="1416">
        <f>SUM(E3028+E3029)</f>
        <v>26548600000</v>
      </c>
      <c r="F3027" s="1415">
        <f>E3027/D3027*100</f>
        <v>98.510575139146567</v>
      </c>
      <c r="G3027" s="2464">
        <v>100</v>
      </c>
      <c r="H3027" s="535"/>
    </row>
    <row r="3028" spans="1:11" ht="16.5" hidden="1" customHeight="1" x14ac:dyDescent="0.25">
      <c r="B3028" s="2913"/>
      <c r="C3028" s="4104" t="s">
        <v>395</v>
      </c>
      <c r="D3028" s="1602">
        <v>15000000000</v>
      </c>
      <c r="E3028" s="1386">
        <v>14923000000</v>
      </c>
      <c r="F3028" s="880">
        <f>E3028/D3028*100</f>
        <v>99.486666666666665</v>
      </c>
      <c r="G3028" s="2475">
        <v>100</v>
      </c>
      <c r="H3028" s="535"/>
    </row>
    <row r="3029" spans="1:11" ht="19.5" hidden="1" customHeight="1" x14ac:dyDescent="0.25">
      <c r="B3029" s="2913"/>
      <c r="C3029" s="4104" t="s">
        <v>1886</v>
      </c>
      <c r="D3029" s="1602">
        <v>11950000000</v>
      </c>
      <c r="E3029" s="1982">
        <v>11625600000</v>
      </c>
      <c r="F3029" s="880">
        <f>E3029/D3029*100</f>
        <v>97.285355648535571</v>
      </c>
      <c r="G3029" s="1114">
        <v>100</v>
      </c>
      <c r="H3029" s="535"/>
    </row>
    <row r="3030" spans="1:11" ht="8.25" hidden="1" customHeight="1" x14ac:dyDescent="0.25">
      <c r="B3030" s="2913"/>
      <c r="C3030" s="5533"/>
      <c r="D3030" s="1602"/>
      <c r="E3030" s="868"/>
      <c r="F3030" s="2281"/>
      <c r="G3030" s="5534"/>
      <c r="H3030" s="535"/>
    </row>
    <row r="3031" spans="1:11" ht="15.75" hidden="1" customHeight="1" x14ac:dyDescent="0.25">
      <c r="B3031" s="2913"/>
      <c r="C3031" s="4103" t="s">
        <v>1887</v>
      </c>
      <c r="D3031" s="1605">
        <f>D3032</f>
        <v>865951000</v>
      </c>
      <c r="E3031" s="1605">
        <f>E3032</f>
        <v>865951000</v>
      </c>
      <c r="F3031" s="1415">
        <f>E3031/D3031*100</f>
        <v>100</v>
      </c>
      <c r="G3031" s="5535">
        <v>100</v>
      </c>
      <c r="H3031" s="535"/>
    </row>
    <row r="3032" spans="1:11" ht="16.5" hidden="1" customHeight="1" x14ac:dyDescent="0.25">
      <c r="B3032" s="2913"/>
      <c r="C3032" s="3856" t="s">
        <v>1888</v>
      </c>
      <c r="D3032" s="1602">
        <v>865951000</v>
      </c>
      <c r="E3032" s="4308">
        <v>865951000</v>
      </c>
      <c r="F3032" s="880">
        <f>E3032/D3032*100</f>
        <v>100</v>
      </c>
      <c r="G3032" s="1114">
        <v>100</v>
      </c>
      <c r="H3032" s="535"/>
    </row>
    <row r="3033" spans="1:11" ht="12" hidden="1" customHeight="1" x14ac:dyDescent="0.25">
      <c r="B3033" s="2913"/>
      <c r="C3033" s="3892"/>
      <c r="D3033" s="1558"/>
      <c r="E3033" s="868"/>
      <c r="F3033" s="5536"/>
      <c r="G3033" s="2485"/>
      <c r="H3033" s="535"/>
    </row>
    <row r="3034" spans="1:11" ht="15.75" hidden="1" customHeight="1" x14ac:dyDescent="0.25">
      <c r="B3034" s="5397"/>
      <c r="C3034" s="3913" t="s">
        <v>1836</v>
      </c>
      <c r="D3034" s="1552">
        <f>SUM(D3035+D3038+D3042)</f>
        <v>9040498501</v>
      </c>
      <c r="E3034" s="1552">
        <f>SUM(E3035+E3038+E3042)</f>
        <v>9033598501</v>
      </c>
      <c r="F3034" s="2356">
        <f>E3034/D3034*100</f>
        <v>99.923676775133174</v>
      </c>
      <c r="G3034" s="2315">
        <v>100</v>
      </c>
      <c r="H3034" s="535"/>
    </row>
    <row r="3035" spans="1:11" ht="32.25" hidden="1" customHeight="1" x14ac:dyDescent="0.25">
      <c r="B3035" s="2913"/>
      <c r="C3035" s="3961" t="s">
        <v>1022</v>
      </c>
      <c r="D3035" s="1097">
        <f>D3036</f>
        <v>2200000000</v>
      </c>
      <c r="E3035" s="1097">
        <f>E3036</f>
        <v>2197100000</v>
      </c>
      <c r="F3035" s="1415">
        <f>E3035/D3035*100</f>
        <v>99.868181818181824</v>
      </c>
      <c r="G3035" s="2481">
        <v>100</v>
      </c>
      <c r="H3035" s="535"/>
    </row>
    <row r="3036" spans="1:11" ht="16.5" hidden="1" customHeight="1" x14ac:dyDescent="0.25">
      <c r="B3036" s="2913"/>
      <c r="C3036" s="4118" t="s">
        <v>1837</v>
      </c>
      <c r="D3036" s="1602">
        <v>2200000000</v>
      </c>
      <c r="E3036" s="2454">
        <v>2197100000</v>
      </c>
      <c r="F3036" s="880">
        <f>E3036/D3036*100</f>
        <v>99.868181818181824</v>
      </c>
      <c r="G3036" s="2338">
        <v>100</v>
      </c>
      <c r="H3036" s="535"/>
    </row>
    <row r="3037" spans="1:11" ht="12" hidden="1" customHeight="1" x14ac:dyDescent="0.25">
      <c r="B3037" s="2913"/>
      <c r="C3037" s="3962"/>
      <c r="D3037" s="1606"/>
      <c r="E3037" s="666"/>
      <c r="F3037" s="2456"/>
      <c r="G3037" s="2483"/>
      <c r="H3037" s="535"/>
    </row>
    <row r="3038" spans="1:11" ht="15" hidden="1" customHeight="1" x14ac:dyDescent="0.25">
      <c r="B3038" s="2913"/>
      <c r="C3038" s="3938" t="s">
        <v>1838</v>
      </c>
      <c r="D3038" s="1099">
        <f>SUM(D3039:D3040)</f>
        <v>540498501</v>
      </c>
      <c r="E3038" s="1099">
        <f>SUM(E3039:E3040)</f>
        <v>540498501</v>
      </c>
      <c r="F3038" s="1415">
        <f>E3038/D3038*100</f>
        <v>100</v>
      </c>
      <c r="G3038" s="2484">
        <v>100</v>
      </c>
      <c r="H3038" s="535"/>
    </row>
    <row r="3039" spans="1:11" s="4099" customFormat="1" ht="14.25" hidden="1" customHeight="1" x14ac:dyDescent="0.25">
      <c r="A3039" s="4101"/>
      <c r="B3039" s="2913"/>
      <c r="C3039" s="4118" t="s">
        <v>6959</v>
      </c>
      <c r="D3039" s="4307">
        <v>40498501</v>
      </c>
      <c r="E3039" s="5537">
        <v>40498501</v>
      </c>
      <c r="F3039" s="880">
        <f>E3039/D3039*100</f>
        <v>100</v>
      </c>
      <c r="G3039" s="2338">
        <v>100</v>
      </c>
      <c r="H3039" s="4109"/>
      <c r="J3039" s="522"/>
      <c r="K3039" s="522"/>
    </row>
    <row r="3040" spans="1:11" ht="15" hidden="1" customHeight="1" x14ac:dyDescent="0.25">
      <c r="B3040" s="2913"/>
      <c r="C3040" s="4118" t="s">
        <v>6960</v>
      </c>
      <c r="D3040" s="1602">
        <v>500000000</v>
      </c>
      <c r="E3040" s="1602">
        <v>500000000</v>
      </c>
      <c r="F3040" s="880">
        <f>E3040/D3040*100</f>
        <v>100</v>
      </c>
      <c r="G3040" s="2338">
        <v>100</v>
      </c>
      <c r="H3040" s="535"/>
    </row>
    <row r="3041" spans="2:8" ht="12" hidden="1" customHeight="1" x14ac:dyDescent="0.25">
      <c r="B3041" s="2913"/>
      <c r="C3041" s="3962"/>
      <c r="D3041" s="1606"/>
      <c r="E3041" s="666"/>
      <c r="F3041" s="2456"/>
      <c r="G3041" s="2485"/>
      <c r="H3041" s="535"/>
    </row>
    <row r="3042" spans="2:8" ht="15.75" hidden="1" customHeight="1" x14ac:dyDescent="0.25">
      <c r="B3042" s="2913"/>
      <c r="C3042" s="3938" t="s">
        <v>2241</v>
      </c>
      <c r="D3042" s="1099">
        <f>D3043</f>
        <v>6300000000</v>
      </c>
      <c r="E3042" s="1099">
        <f>E3043</f>
        <v>6296000000</v>
      </c>
      <c r="F3042" s="1415">
        <f>E3042/D3042*100</f>
        <v>99.936507936507937</v>
      </c>
      <c r="G3042" s="2484">
        <v>100</v>
      </c>
      <c r="H3042" s="535"/>
    </row>
    <row r="3043" spans="2:8" ht="15.75" hidden="1" customHeight="1" x14ac:dyDescent="0.25">
      <c r="B3043" s="2913"/>
      <c r="C3043" s="4118" t="s">
        <v>1839</v>
      </c>
      <c r="D3043" s="1602">
        <v>6300000000</v>
      </c>
      <c r="E3043" s="2454">
        <v>6296000000</v>
      </c>
      <c r="F3043" s="880">
        <f>E3043/D3043*100</f>
        <v>99.936507936507937</v>
      </c>
      <c r="G3043" s="2338">
        <v>100</v>
      </c>
      <c r="H3043" s="535"/>
    </row>
    <row r="3044" spans="2:8" ht="12" hidden="1" customHeight="1" x14ac:dyDescent="0.25">
      <c r="B3044" s="2913"/>
      <c r="C3044" s="3892"/>
      <c r="D3044" s="1558"/>
      <c r="E3044" s="671"/>
      <c r="F3044" s="2461"/>
      <c r="G3044" s="5529"/>
      <c r="H3044" s="535"/>
    </row>
    <row r="3045" spans="2:8" ht="12.75" hidden="1" customHeight="1" x14ac:dyDescent="0.25">
      <c r="B3045" s="5397"/>
      <c r="C3045" s="3913" t="s">
        <v>1840</v>
      </c>
      <c r="D3045" s="1552">
        <f>SUM(D3046+D3049+D3052)</f>
        <v>2500000000</v>
      </c>
      <c r="E3045" s="1552">
        <f>SUM(E3046+E3049+E3052)</f>
        <v>2500000000</v>
      </c>
      <c r="F3045" s="2356">
        <f>E3045/D3045*100</f>
        <v>100</v>
      </c>
      <c r="G3045" s="2315">
        <v>100</v>
      </c>
      <c r="H3045" s="535"/>
    </row>
    <row r="3046" spans="2:8" ht="21.75" hidden="1" customHeight="1" x14ac:dyDescent="0.25">
      <c r="B3046" s="2913"/>
      <c r="C3046" s="3961" t="s">
        <v>1841</v>
      </c>
      <c r="D3046" s="1607">
        <f>D3047</f>
        <v>500000000</v>
      </c>
      <c r="E3046" s="1607">
        <f>E3047</f>
        <v>500000000</v>
      </c>
      <c r="F3046" s="1415">
        <f>E3046/D3046*100</f>
        <v>100</v>
      </c>
      <c r="G3046" s="3769">
        <v>100</v>
      </c>
      <c r="H3046" s="535"/>
    </row>
    <row r="3047" spans="2:8" ht="13.5" hidden="1" customHeight="1" x14ac:dyDescent="0.25">
      <c r="B3047" s="2913"/>
      <c r="C3047" s="4118" t="s">
        <v>1842</v>
      </c>
      <c r="D3047" s="1602">
        <v>500000000</v>
      </c>
      <c r="E3047" s="3768">
        <v>500000000</v>
      </c>
      <c r="F3047" s="880">
        <f>E3047/D3047*100</f>
        <v>100</v>
      </c>
      <c r="G3047" s="3768">
        <v>100</v>
      </c>
      <c r="H3047" s="535"/>
    </row>
    <row r="3048" spans="2:8" ht="12" hidden="1" customHeight="1" x14ac:dyDescent="0.25">
      <c r="B3048" s="2913"/>
      <c r="C3048" s="3962"/>
      <c r="D3048" s="1608"/>
      <c r="E3048" s="666"/>
      <c r="F3048" s="2456"/>
      <c r="G3048" s="2483"/>
      <c r="H3048" s="535"/>
    </row>
    <row r="3049" spans="2:8" ht="18.75" hidden="1" customHeight="1" x14ac:dyDescent="0.25">
      <c r="B3049" s="2913"/>
      <c r="C3049" s="3938" t="s">
        <v>1843</v>
      </c>
      <c r="D3049" s="1605">
        <f>D3050</f>
        <v>500000000</v>
      </c>
      <c r="E3049" s="1605">
        <f>E3050</f>
        <v>500000000</v>
      </c>
      <c r="F3049" s="1415">
        <f>E3049/D3049*100</f>
        <v>100</v>
      </c>
      <c r="G3049" s="1930">
        <v>100</v>
      </c>
      <c r="H3049" s="535"/>
    </row>
    <row r="3050" spans="2:8" ht="18" hidden="1" customHeight="1" x14ac:dyDescent="0.25">
      <c r="B3050" s="2913"/>
      <c r="C3050" s="4118" t="s">
        <v>1844</v>
      </c>
      <c r="D3050" s="1602">
        <v>500000000</v>
      </c>
      <c r="E3050" s="4308">
        <v>500000000</v>
      </c>
      <c r="F3050" s="880">
        <f>E3050/D3050*100</f>
        <v>100</v>
      </c>
      <c r="G3050" s="3672">
        <v>100</v>
      </c>
      <c r="H3050" s="535"/>
    </row>
    <row r="3051" spans="2:8" ht="9.75" hidden="1" customHeight="1" x14ac:dyDescent="0.25">
      <c r="B3051" s="2913"/>
      <c r="C3051" s="3962"/>
      <c r="D3051" s="1608"/>
      <c r="E3051" s="666"/>
      <c r="F3051" s="2456"/>
      <c r="G3051" s="2483"/>
      <c r="H3051" s="535"/>
    </row>
    <row r="3052" spans="2:8" ht="16.5" hidden="1" customHeight="1" x14ac:dyDescent="0.25">
      <c r="B3052" s="2913"/>
      <c r="C3052" s="3938" t="s">
        <v>1845</v>
      </c>
      <c r="D3052" s="1605">
        <f>SUM(D3053:D3055)</f>
        <v>1500000000</v>
      </c>
      <c r="E3052" s="1605">
        <f>SUM(E3053:E3055)</f>
        <v>1500000000</v>
      </c>
      <c r="F3052" s="1415">
        <f>E3052/D3052*100</f>
        <v>100</v>
      </c>
      <c r="G3052" s="2484">
        <v>100</v>
      </c>
      <c r="H3052" s="535"/>
    </row>
    <row r="3053" spans="2:8" ht="17.25" hidden="1" customHeight="1" x14ac:dyDescent="0.25">
      <c r="B3053" s="2913"/>
      <c r="C3053" s="4118" t="s">
        <v>1846</v>
      </c>
      <c r="D3053" s="1602">
        <v>500000000</v>
      </c>
      <c r="E3053" s="1386">
        <v>500000000</v>
      </c>
      <c r="F3053" s="880">
        <f>E3053/D3053*100</f>
        <v>100</v>
      </c>
      <c r="G3053" s="2338">
        <v>100</v>
      </c>
      <c r="H3053" s="535"/>
    </row>
    <row r="3054" spans="2:8" ht="29.25" hidden="1" customHeight="1" x14ac:dyDescent="0.25">
      <c r="B3054" s="2913"/>
      <c r="C3054" s="4118" t="s">
        <v>1847</v>
      </c>
      <c r="D3054" s="1602">
        <v>700000000</v>
      </c>
      <c r="E3054" s="2454">
        <v>700000000</v>
      </c>
      <c r="F3054" s="880">
        <f>E3054/D3054*100</f>
        <v>100</v>
      </c>
      <c r="G3054" s="2338">
        <v>100</v>
      </c>
      <c r="H3054" s="535"/>
    </row>
    <row r="3055" spans="2:8" ht="18" hidden="1" customHeight="1" x14ac:dyDescent="0.25">
      <c r="B3055" s="2913"/>
      <c r="C3055" s="4118" t="s">
        <v>1848</v>
      </c>
      <c r="D3055" s="1602">
        <v>300000000</v>
      </c>
      <c r="E3055" s="2454">
        <v>300000000</v>
      </c>
      <c r="F3055" s="880">
        <f>E3055/D3055*100</f>
        <v>100</v>
      </c>
      <c r="G3055" s="2338">
        <v>100</v>
      </c>
      <c r="H3055" s="535"/>
    </row>
    <row r="3056" spans="2:8" ht="6" hidden="1" customHeight="1" x14ac:dyDescent="0.25">
      <c r="B3056" s="2913"/>
      <c r="C3056" s="3892"/>
      <c r="D3056" s="1558"/>
      <c r="E3056" s="671"/>
      <c r="F3056" s="2461"/>
      <c r="G3056" s="5529"/>
      <c r="H3056" s="535"/>
    </row>
    <row r="3057" spans="2:11" ht="15.75" hidden="1" customHeight="1" x14ac:dyDescent="0.25">
      <c r="B3057" s="5397"/>
      <c r="C3057" s="3913" t="s">
        <v>1849</v>
      </c>
      <c r="D3057" s="1552">
        <f>SUM(D3058+D3061+D3064+D3067)</f>
        <v>2000000000</v>
      </c>
      <c r="E3057" s="1552">
        <f>SUM(E3058+E3061+E3064+E3067)</f>
        <v>1098799650</v>
      </c>
      <c r="F3057" s="2356">
        <f>E3057/D3057*100</f>
        <v>54.939982499999992</v>
      </c>
      <c r="G3057" s="2315">
        <f>SUM(G3058+G3061+G3064+G3067)/4</f>
        <v>77.75</v>
      </c>
      <c r="H3057" s="535"/>
    </row>
    <row r="3058" spans="2:11" ht="15.75" hidden="1" customHeight="1" x14ac:dyDescent="0.25">
      <c r="B3058" s="2913"/>
      <c r="C3058" s="3968" t="s">
        <v>1850</v>
      </c>
      <c r="D3058" s="1556">
        <f>D3059</f>
        <v>250000000</v>
      </c>
      <c r="E3058" s="1556">
        <f>E3059</f>
        <v>249880000</v>
      </c>
      <c r="F3058" s="1415">
        <f>E3058/D3058*100</f>
        <v>99.951999999999998</v>
      </c>
      <c r="G3058" s="2316">
        <v>100</v>
      </c>
      <c r="H3058" s="535"/>
    </row>
    <row r="3059" spans="2:11" ht="15.75" hidden="1" customHeight="1" x14ac:dyDescent="0.25">
      <c r="B3059" s="2913"/>
      <c r="C3059" s="4118" t="s">
        <v>1851</v>
      </c>
      <c r="D3059" s="1602">
        <v>250000000</v>
      </c>
      <c r="E3059" s="2454">
        <v>249880000</v>
      </c>
      <c r="F3059" s="880">
        <f>E3059/D3059*100</f>
        <v>99.951999999999998</v>
      </c>
      <c r="G3059" s="2338">
        <v>100</v>
      </c>
      <c r="H3059" s="535"/>
    </row>
    <row r="3060" spans="2:11" ht="9" hidden="1" customHeight="1" x14ac:dyDescent="0.25">
      <c r="B3060" s="2913"/>
      <c r="C3060" s="3962"/>
      <c r="D3060" s="812"/>
      <c r="E3060" s="666"/>
      <c r="F3060" s="2456"/>
      <c r="G3060" s="2483"/>
      <c r="H3060" s="535"/>
    </row>
    <row r="3061" spans="2:11" ht="15" hidden="1" customHeight="1" x14ac:dyDescent="0.25">
      <c r="B3061" s="2913"/>
      <c r="C3061" s="3938" t="s">
        <v>1852</v>
      </c>
      <c r="D3061" s="1557">
        <f>D3062</f>
        <v>250000000</v>
      </c>
      <c r="E3061" s="1557">
        <f>E3062</f>
        <v>250000000</v>
      </c>
      <c r="F3061" s="1415">
        <f>E3061/D3061*100</f>
        <v>100</v>
      </c>
      <c r="G3061" s="1329">
        <v>100</v>
      </c>
      <c r="H3061" s="535"/>
    </row>
    <row r="3062" spans="2:11" ht="19.5" hidden="1" customHeight="1" x14ac:dyDescent="0.25">
      <c r="B3062" s="2913"/>
      <c r="C3062" s="4118" t="s">
        <v>1853</v>
      </c>
      <c r="D3062" s="1602">
        <v>250000000</v>
      </c>
      <c r="E3062" s="3768">
        <v>250000000</v>
      </c>
      <c r="F3062" s="880">
        <f>E3062/D3062*100</f>
        <v>100</v>
      </c>
      <c r="G3062" s="3768">
        <v>100</v>
      </c>
      <c r="H3062" s="535"/>
    </row>
    <row r="3063" spans="2:11" ht="7.5" hidden="1" customHeight="1" x14ac:dyDescent="0.25">
      <c r="B3063" s="2913"/>
      <c r="C3063" s="3962"/>
      <c r="D3063" s="812"/>
      <c r="E3063" s="666"/>
      <c r="F3063" s="2456"/>
      <c r="G3063" s="2483"/>
      <c r="H3063" s="535"/>
    </row>
    <row r="3064" spans="2:11" ht="15.75" hidden="1" customHeight="1" x14ac:dyDescent="0.25">
      <c r="B3064" s="2913"/>
      <c r="C3064" s="3938" t="s">
        <v>1854</v>
      </c>
      <c r="D3064" s="1557">
        <f>D3065</f>
        <v>1000000000</v>
      </c>
      <c r="E3064" s="1557">
        <f>E3065</f>
        <v>160000000</v>
      </c>
      <c r="F3064" s="1415">
        <f>E3064/D3064*100</f>
        <v>16</v>
      </c>
      <c r="G3064" s="1118">
        <v>16</v>
      </c>
      <c r="H3064" s="535"/>
    </row>
    <row r="3065" spans="2:11" ht="15.75" hidden="1" customHeight="1" x14ac:dyDescent="0.25">
      <c r="B3065" s="2913"/>
      <c r="C3065" s="4118" t="s">
        <v>1855</v>
      </c>
      <c r="D3065" s="1602">
        <v>1000000000</v>
      </c>
      <c r="E3065" s="1982">
        <v>160000000</v>
      </c>
      <c r="F3065" s="880">
        <f>E3065/D3065*100</f>
        <v>16</v>
      </c>
      <c r="G3065" s="1121">
        <v>16</v>
      </c>
      <c r="H3065" s="535"/>
    </row>
    <row r="3066" spans="2:11" ht="5.25" hidden="1" customHeight="1" x14ac:dyDescent="0.25">
      <c r="B3066" s="2913"/>
      <c r="C3066" s="3962"/>
      <c r="D3066" s="812"/>
      <c r="E3066" s="666"/>
      <c r="F3066" s="2456"/>
      <c r="G3066" s="2483"/>
      <c r="H3066" s="535"/>
    </row>
    <row r="3067" spans="2:11" ht="15" hidden="1" customHeight="1" x14ac:dyDescent="0.25">
      <c r="B3067" s="2913"/>
      <c r="C3067" s="3938" t="s">
        <v>1856</v>
      </c>
      <c r="D3067" s="1557">
        <f>D3068</f>
        <v>500000000</v>
      </c>
      <c r="E3067" s="1557">
        <f>E3068</f>
        <v>438919650</v>
      </c>
      <c r="F3067" s="1415">
        <f>E3067/D3067*100</f>
        <v>87.783929999999998</v>
      </c>
      <c r="G3067" s="2484">
        <v>95</v>
      </c>
      <c r="H3067" s="535"/>
    </row>
    <row r="3068" spans="2:11" ht="16.5" hidden="1" customHeight="1" x14ac:dyDescent="0.25">
      <c r="B3068" s="2913"/>
      <c r="C3068" s="4118" t="s">
        <v>1857</v>
      </c>
      <c r="D3068" s="1602">
        <v>500000000</v>
      </c>
      <c r="E3068" s="1386">
        <v>438919650</v>
      </c>
      <c r="F3068" s="880">
        <f>E3068/D3068*100</f>
        <v>87.783929999999998</v>
      </c>
      <c r="G3068" s="2338">
        <v>95</v>
      </c>
      <c r="H3068" s="535"/>
    </row>
    <row r="3069" spans="2:11" ht="12" hidden="1" customHeight="1" x14ac:dyDescent="0.25">
      <c r="B3069" s="2913"/>
      <c r="C3069" s="3892"/>
      <c r="D3069" s="1558"/>
      <c r="E3069" s="671"/>
      <c r="F3069" s="2461"/>
      <c r="G3069" s="5529"/>
      <c r="H3069" s="535"/>
    </row>
    <row r="3070" spans="2:11" ht="16.5" hidden="1" customHeight="1" x14ac:dyDescent="0.25">
      <c r="B3070" s="5397"/>
      <c r="C3070" s="3858" t="s">
        <v>698</v>
      </c>
      <c r="D3070" s="1552">
        <f>SUM(D3071+D3074+D3079+D3082+D3088+D3093+D3097)</f>
        <v>7708042740</v>
      </c>
      <c r="E3070" s="1552">
        <f>SUM(E3071+E3074+E3079+E3082+E3088+E3093+E3097)</f>
        <v>7569367740</v>
      </c>
      <c r="F3070" s="2356">
        <f>E3070/D3070*100</f>
        <v>98.200905149625569</v>
      </c>
      <c r="G3070" s="2462">
        <v>100</v>
      </c>
      <c r="H3070" s="535"/>
      <c r="J3070" s="4309"/>
      <c r="K3070" s="4309"/>
    </row>
    <row r="3071" spans="2:11" ht="17.25" hidden="1" customHeight="1" x14ac:dyDescent="0.25">
      <c r="B3071" s="2913"/>
      <c r="C3071" s="3938" t="s">
        <v>1858</v>
      </c>
      <c r="D3071" s="1605">
        <v>195000000</v>
      </c>
      <c r="E3071" s="1605">
        <v>195000000</v>
      </c>
      <c r="F3071" s="1415">
        <f>E3071/D3071*100</f>
        <v>100</v>
      </c>
      <c r="G3071" s="2501">
        <v>100</v>
      </c>
      <c r="H3071" s="535"/>
    </row>
    <row r="3072" spans="2:11" ht="15.75" hidden="1" customHeight="1" x14ac:dyDescent="0.25">
      <c r="B3072" s="2913"/>
      <c r="C3072" s="4118" t="s">
        <v>1859</v>
      </c>
      <c r="D3072" s="1602">
        <v>195000000</v>
      </c>
      <c r="E3072" s="2454">
        <v>195000000</v>
      </c>
      <c r="F3072" s="880">
        <f>E3072/D3072*100</f>
        <v>100</v>
      </c>
      <c r="G3072" s="2338">
        <v>100</v>
      </c>
      <c r="H3072" s="535"/>
    </row>
    <row r="3073" spans="2:8" ht="12" hidden="1" customHeight="1" x14ac:dyDescent="0.25">
      <c r="B3073" s="2913"/>
      <c r="C3073" s="3962"/>
      <c r="D3073" s="1608"/>
      <c r="E3073" s="868"/>
      <c r="F3073" s="2281"/>
      <c r="G3073" s="2485"/>
      <c r="H3073" s="535"/>
    </row>
    <row r="3074" spans="2:8" ht="15.75" hidden="1" customHeight="1" x14ac:dyDescent="0.25">
      <c r="B3074" s="2913"/>
      <c r="C3074" s="3938" t="s">
        <v>1860</v>
      </c>
      <c r="D3074" s="1605">
        <f>SUM(D3075:D3077)</f>
        <v>1993700000</v>
      </c>
      <c r="E3074" s="1605">
        <f>SUM(E3075:E3077)</f>
        <v>1986100000</v>
      </c>
      <c r="F3074" s="1415">
        <f>E3074/D3074*100</f>
        <v>99.618799217535241</v>
      </c>
      <c r="G3074" s="1118">
        <v>100</v>
      </c>
      <c r="H3074" s="535"/>
    </row>
    <row r="3075" spans="2:8" ht="14.25" hidden="1" customHeight="1" x14ac:dyDescent="0.25">
      <c r="B3075" s="2913"/>
      <c r="C3075" s="4118" t="s">
        <v>1861</v>
      </c>
      <c r="D3075" s="1602">
        <v>1128400000</v>
      </c>
      <c r="E3075" s="5043">
        <v>1120800000</v>
      </c>
      <c r="F3075" s="880">
        <f>E3075/D3075*100</f>
        <v>99.326479971641263</v>
      </c>
      <c r="G3075" s="1121">
        <v>100</v>
      </c>
      <c r="H3075" s="535"/>
    </row>
    <row r="3076" spans="2:8" ht="16.5" hidden="1" customHeight="1" x14ac:dyDescent="0.25">
      <c r="B3076" s="2913"/>
      <c r="C3076" s="4118" t="s">
        <v>1862</v>
      </c>
      <c r="D3076" s="1602">
        <v>300000000</v>
      </c>
      <c r="E3076" s="1095">
        <v>300000000</v>
      </c>
      <c r="F3076" s="880">
        <f>E3076/D3076*100</f>
        <v>100</v>
      </c>
      <c r="G3076" s="1121">
        <v>100</v>
      </c>
      <c r="H3076" s="535"/>
    </row>
    <row r="3077" spans="2:8" ht="25.5" hidden="1" customHeight="1" x14ac:dyDescent="0.25">
      <c r="B3077" s="2913"/>
      <c r="C3077" s="4118" t="s">
        <v>1863</v>
      </c>
      <c r="D3077" s="1602">
        <v>565300000</v>
      </c>
      <c r="E3077" s="5044">
        <v>565300000</v>
      </c>
      <c r="F3077" s="880">
        <f>E3077/D3077*100</f>
        <v>100</v>
      </c>
      <c r="G3077" s="1121">
        <v>100</v>
      </c>
      <c r="H3077" s="535"/>
    </row>
    <row r="3078" spans="2:8" ht="9.75" hidden="1" customHeight="1" x14ac:dyDescent="0.25">
      <c r="B3078" s="2913"/>
      <c r="C3078" s="3962"/>
      <c r="D3078" s="1608"/>
      <c r="E3078" s="868"/>
      <c r="F3078" s="2281"/>
      <c r="G3078" s="2485"/>
      <c r="H3078" s="535"/>
    </row>
    <row r="3079" spans="2:8" ht="17.25" hidden="1" customHeight="1" x14ac:dyDescent="0.25">
      <c r="B3079" s="2913"/>
      <c r="C3079" s="3938" t="s">
        <v>1864</v>
      </c>
      <c r="D3079" s="1605">
        <f>D3080</f>
        <v>200675000</v>
      </c>
      <c r="E3079" s="1605">
        <f>E3080</f>
        <v>197600000</v>
      </c>
      <c r="F3079" s="1415">
        <f>E3079/D3079*100</f>
        <v>98.467671608321922</v>
      </c>
      <c r="G3079" s="5487">
        <v>100</v>
      </c>
      <c r="H3079" s="535"/>
    </row>
    <row r="3080" spans="2:8" ht="14.25" hidden="1" customHeight="1" x14ac:dyDescent="0.25">
      <c r="B3080" s="2913"/>
      <c r="C3080" s="4118" t="s">
        <v>1865</v>
      </c>
      <c r="D3080" s="1602">
        <v>200675000</v>
      </c>
      <c r="E3080" s="2454">
        <v>197600000</v>
      </c>
      <c r="F3080" s="880">
        <f>E3080/D3080*100</f>
        <v>98.467671608321922</v>
      </c>
      <c r="G3080" s="2314">
        <v>100</v>
      </c>
      <c r="H3080" s="535"/>
    </row>
    <row r="3081" spans="2:8" ht="9.75" hidden="1" customHeight="1" x14ac:dyDescent="0.25">
      <c r="B3081" s="2913"/>
      <c r="C3081" s="3962"/>
      <c r="D3081" s="1608"/>
      <c r="E3081" s="868"/>
      <c r="F3081" s="2281"/>
      <c r="G3081" s="2485"/>
      <c r="H3081" s="535"/>
    </row>
    <row r="3082" spans="2:8" ht="16.5" hidden="1" customHeight="1" x14ac:dyDescent="0.25">
      <c r="B3082" s="2913"/>
      <c r="C3082" s="3938" t="s">
        <v>1866</v>
      </c>
      <c r="D3082" s="1605">
        <f>SUM(D3083:D3086)</f>
        <v>1884750000</v>
      </c>
      <c r="E3082" s="1605">
        <f>SUM(E3083:E3086)</f>
        <v>1823750000</v>
      </c>
      <c r="F3082" s="1415">
        <f>E3082/D3082*100</f>
        <v>96.763496484944952</v>
      </c>
      <c r="G3082" s="5487">
        <v>100</v>
      </c>
      <c r="H3082" s="535"/>
    </row>
    <row r="3083" spans="2:8" ht="15.75" hidden="1" customHeight="1" x14ac:dyDescent="0.25">
      <c r="B3083" s="2913"/>
      <c r="C3083" s="4118" t="s">
        <v>1867</v>
      </c>
      <c r="D3083" s="1602">
        <v>300000000</v>
      </c>
      <c r="E3083" s="2454">
        <v>300000000</v>
      </c>
      <c r="F3083" s="880">
        <f>E3083/D3083*100</f>
        <v>100</v>
      </c>
      <c r="G3083" s="2314">
        <v>100</v>
      </c>
      <c r="H3083" s="535"/>
    </row>
    <row r="3084" spans="2:8" ht="16.5" hidden="1" customHeight="1" x14ac:dyDescent="0.25">
      <c r="B3084" s="2913"/>
      <c r="C3084" s="4118" t="s">
        <v>1868</v>
      </c>
      <c r="D3084" s="1602">
        <v>330150000</v>
      </c>
      <c r="E3084" s="2454">
        <v>330150000</v>
      </c>
      <c r="F3084" s="880">
        <f>E3084/D3084*100</f>
        <v>100</v>
      </c>
      <c r="G3084" s="2314">
        <v>100</v>
      </c>
      <c r="H3084" s="535"/>
    </row>
    <row r="3085" spans="2:8" ht="15.75" hidden="1" customHeight="1" x14ac:dyDescent="0.25">
      <c r="B3085" s="2913"/>
      <c r="C3085" s="4118" t="s">
        <v>1869</v>
      </c>
      <c r="D3085" s="1602">
        <v>540900000</v>
      </c>
      <c r="E3085" s="2454">
        <v>503600000</v>
      </c>
      <c r="F3085" s="880">
        <f>E3085/D3085*100</f>
        <v>93.104085782954343</v>
      </c>
      <c r="G3085" s="2314">
        <v>100</v>
      </c>
      <c r="H3085" s="535"/>
    </row>
    <row r="3086" spans="2:8" ht="14.25" hidden="1" customHeight="1" x14ac:dyDescent="0.25">
      <c r="B3086" s="2913"/>
      <c r="C3086" s="4118" t="s">
        <v>1870</v>
      </c>
      <c r="D3086" s="1602">
        <v>713700000</v>
      </c>
      <c r="E3086" s="1386">
        <v>690000000</v>
      </c>
      <c r="F3086" s="880">
        <f>E3086/D3086*100</f>
        <v>96.679277007145856</v>
      </c>
      <c r="G3086" s="2314">
        <v>100</v>
      </c>
      <c r="H3086" s="535"/>
    </row>
    <row r="3087" spans="2:8" ht="7.5" hidden="1" customHeight="1" x14ac:dyDescent="0.25">
      <c r="B3087" s="2913"/>
      <c r="C3087" s="3962"/>
      <c r="D3087" s="1608"/>
      <c r="E3087" s="868"/>
      <c r="F3087" s="2281"/>
      <c r="G3087" s="2485"/>
      <c r="H3087" s="535"/>
    </row>
    <row r="3088" spans="2:8" ht="21.75" hidden="1" customHeight="1" x14ac:dyDescent="0.25">
      <c r="B3088" s="2913"/>
      <c r="C3088" s="3938" t="s">
        <v>1871</v>
      </c>
      <c r="D3088" s="1605">
        <f>SUM(D3089:D3091)</f>
        <v>1460242740</v>
      </c>
      <c r="E3088" s="1605">
        <f>SUM(E3089:E3091)</f>
        <v>1393267740</v>
      </c>
      <c r="F3088" s="1415">
        <f>E3088/D3088*100</f>
        <v>95.413433796630272</v>
      </c>
      <c r="G3088" s="5487">
        <v>100</v>
      </c>
      <c r="H3088" s="535"/>
    </row>
    <row r="3089" spans="1:11" ht="16.5" hidden="1" customHeight="1" x14ac:dyDescent="0.25">
      <c r="B3089" s="2913"/>
      <c r="C3089" s="4118" t="s">
        <v>1872</v>
      </c>
      <c r="D3089" s="1602">
        <v>150522740</v>
      </c>
      <c r="E3089" s="2454">
        <v>147447740</v>
      </c>
      <c r="F3089" s="880">
        <f>E3089/D3089*100</f>
        <v>97.957119303036862</v>
      </c>
      <c r="G3089" s="2314">
        <v>100</v>
      </c>
      <c r="H3089" s="535"/>
    </row>
    <row r="3090" spans="1:11" ht="15" hidden="1" customHeight="1" x14ac:dyDescent="0.25">
      <c r="B3090" s="2913"/>
      <c r="C3090" s="4118" t="s">
        <v>1873</v>
      </c>
      <c r="D3090" s="1602">
        <v>1009720000</v>
      </c>
      <c r="E3090" s="1386">
        <v>945820000</v>
      </c>
      <c r="F3090" s="880">
        <f>E3090/D3090*100</f>
        <v>93.671512894663863</v>
      </c>
      <c r="G3090" s="2314">
        <v>100</v>
      </c>
      <c r="H3090" s="535"/>
    </row>
    <row r="3091" spans="1:11" ht="18.75" hidden="1" customHeight="1" x14ac:dyDescent="0.25">
      <c r="B3091" s="2913"/>
      <c r="C3091" s="4118" t="s">
        <v>1874</v>
      </c>
      <c r="D3091" s="1602">
        <v>300000000</v>
      </c>
      <c r="E3091" s="1386">
        <v>300000000</v>
      </c>
      <c r="F3091" s="880">
        <f>E3091/D3091*100</f>
        <v>100</v>
      </c>
      <c r="G3091" s="2314">
        <v>100</v>
      </c>
      <c r="H3091" s="535"/>
    </row>
    <row r="3092" spans="1:11" ht="3.75" hidden="1" customHeight="1" x14ac:dyDescent="0.25">
      <c r="B3092" s="2913"/>
      <c r="C3092" s="3962"/>
      <c r="D3092" s="1608"/>
      <c r="E3092" s="868"/>
      <c r="F3092" s="2281"/>
      <c r="G3092" s="2485"/>
      <c r="H3092" s="535"/>
    </row>
    <row r="3093" spans="1:11" ht="14.25" hidden="1" customHeight="1" x14ac:dyDescent="0.25">
      <c r="B3093" s="2913"/>
      <c r="C3093" s="3938" t="s">
        <v>1875</v>
      </c>
      <c r="D3093" s="1605">
        <f>SUM(D3094:D3095)</f>
        <v>673675000</v>
      </c>
      <c r="E3093" s="1605">
        <f>SUM(E3094:E3095)</f>
        <v>673650000</v>
      </c>
      <c r="F3093" s="1415">
        <f>E3093/D3093*100</f>
        <v>99.996289011763821</v>
      </c>
      <c r="G3093" s="5487">
        <v>100</v>
      </c>
      <c r="H3093" s="535"/>
    </row>
    <row r="3094" spans="1:11" ht="15.75" hidden="1" customHeight="1" x14ac:dyDescent="0.25">
      <c r="B3094" s="2913"/>
      <c r="C3094" s="4118" t="s">
        <v>1876</v>
      </c>
      <c r="D3094" s="1602">
        <v>373675000</v>
      </c>
      <c r="E3094" s="2454">
        <v>373650000</v>
      </c>
      <c r="F3094" s="880">
        <f>E3094/D3094*100</f>
        <v>99.993309694253028</v>
      </c>
      <c r="G3094" s="2314">
        <v>100</v>
      </c>
      <c r="H3094" s="535"/>
    </row>
    <row r="3095" spans="1:11" ht="15.75" hidden="1" customHeight="1" x14ac:dyDescent="0.25">
      <c r="B3095" s="2913"/>
      <c r="C3095" s="4118" t="s">
        <v>1877</v>
      </c>
      <c r="D3095" s="1602">
        <v>300000000</v>
      </c>
      <c r="E3095" s="2454">
        <v>300000000</v>
      </c>
      <c r="F3095" s="880">
        <f>E3095/D3095*100</f>
        <v>100</v>
      </c>
      <c r="G3095" s="2314">
        <v>100</v>
      </c>
      <c r="H3095" s="535"/>
    </row>
    <row r="3096" spans="1:11" ht="4.5" hidden="1" customHeight="1" x14ac:dyDescent="0.25">
      <c r="B3096" s="2913"/>
      <c r="C3096" s="3962"/>
      <c r="D3096" s="1608"/>
      <c r="E3096" s="868"/>
      <c r="F3096" s="2281"/>
      <c r="G3096" s="2485"/>
      <c r="H3096" s="535"/>
    </row>
    <row r="3097" spans="1:11" ht="18.75" hidden="1" customHeight="1" x14ac:dyDescent="0.25">
      <c r="B3097" s="2913"/>
      <c r="C3097" s="3938" t="s">
        <v>1878</v>
      </c>
      <c r="D3097" s="1605">
        <f>SUM(D3098:D3099)</f>
        <v>1300000000</v>
      </c>
      <c r="E3097" s="1605">
        <f>SUM(E3098:E3099)</f>
        <v>1300000000</v>
      </c>
      <c r="F3097" s="1415">
        <f>E3097/D3097*100</f>
        <v>100</v>
      </c>
      <c r="G3097" s="5487">
        <v>100</v>
      </c>
      <c r="H3097" s="535"/>
    </row>
    <row r="3098" spans="1:11" ht="13.5" hidden="1" customHeight="1" x14ac:dyDescent="0.25">
      <c r="B3098" s="2913"/>
      <c r="C3098" s="4118" t="s">
        <v>1879</v>
      </c>
      <c r="D3098" s="1602">
        <v>300000000</v>
      </c>
      <c r="E3098" s="5538">
        <v>300000000</v>
      </c>
      <c r="F3098" s="880">
        <f>E3098/D3098*100</f>
        <v>100</v>
      </c>
      <c r="G3098" s="2314">
        <v>100</v>
      </c>
      <c r="H3098" s="535"/>
    </row>
    <row r="3099" spans="1:11" s="4099" customFormat="1" ht="18" hidden="1" customHeight="1" x14ac:dyDescent="0.25">
      <c r="A3099" s="4101"/>
      <c r="B3099" s="2913"/>
      <c r="C3099" s="3896" t="s">
        <v>5715</v>
      </c>
      <c r="D3099" s="1603">
        <v>1000000000</v>
      </c>
      <c r="E3099" s="5539">
        <v>1000000000</v>
      </c>
      <c r="F3099" s="880">
        <f>E3099/D3099*100</f>
        <v>100</v>
      </c>
      <c r="G3099" s="2314">
        <v>100</v>
      </c>
      <c r="H3099" s="4109"/>
      <c r="J3099" s="522"/>
      <c r="K3099" s="522"/>
    </row>
    <row r="3100" spans="1:11" ht="8.25" hidden="1" customHeight="1" x14ac:dyDescent="0.25">
      <c r="B3100" s="2913"/>
      <c r="C3100" s="5540"/>
      <c r="D3100" s="4120"/>
      <c r="E3100" s="788"/>
      <c r="F3100" s="2285"/>
      <c r="G3100" s="2285"/>
      <c r="H3100" s="535"/>
    </row>
    <row r="3101" spans="1:11" ht="15.75" customHeight="1" x14ac:dyDescent="0.25">
      <c r="B3101" s="5414"/>
      <c r="C3101" s="5040" t="s">
        <v>607</v>
      </c>
      <c r="D3101" s="1424">
        <f>(D3103+D3168+D3219+D3227+D3254+D3258+D3266+D3271+D3277+D3288+D3310+D3322+D3333+D3337+D3349+D3356+D3360+D3368+D3398+D3403+D3407)</f>
        <v>133767520000</v>
      </c>
      <c r="E3101" s="1424">
        <f>(E3103+E3168+E3219+E3227+E3254+E3258+E3266+E3271+E3277+E3288+E3310+E3322+E3333+E3337+E3349+E3356+E3360+E3368+E3398+E3403+E3407)</f>
        <v>124000318038</v>
      </c>
      <c r="F3101" s="5041">
        <f>E3101/D3101*100</f>
        <v>92.69837553839676</v>
      </c>
      <c r="G3101" s="5042">
        <f>SUM(G3103+G3168+G3219+G3227+G3254+G3258+G3266+G3271+G3277+G3288+G3310+G3322+G3333+G3337+G3349+G3356+G3360+G3368+G3398+G3403+G3407)/21</f>
        <v>87.142857142857153</v>
      </c>
      <c r="H3101" s="1638"/>
      <c r="J3101" s="3343"/>
    </row>
    <row r="3102" spans="1:11" ht="6.75" hidden="1" customHeight="1" x14ac:dyDescent="0.25">
      <c r="B3102" s="2913"/>
      <c r="C3102" s="4299"/>
      <c r="D3102" s="731"/>
      <c r="E3102" s="1105"/>
      <c r="F3102" s="2461"/>
      <c r="G3102" s="3691"/>
      <c r="H3102" s="535"/>
    </row>
    <row r="3103" spans="1:11" ht="12.75" hidden="1" customHeight="1" x14ac:dyDescent="0.25">
      <c r="B3103" s="5397"/>
      <c r="C3103" s="3994" t="s">
        <v>365</v>
      </c>
      <c r="D3103" s="1552">
        <f>D3105+D3109+D3145+D3152+D3158</f>
        <v>44506300000</v>
      </c>
      <c r="E3103" s="1552">
        <f>E3105+E3109+E3145+E3152+E3158</f>
        <v>43953907000</v>
      </c>
      <c r="F3103" s="1030">
        <f>E3103/D3103*100</f>
        <v>98.758843130073714</v>
      </c>
      <c r="G3103" s="2315">
        <v>100</v>
      </c>
      <c r="H3103" s="535"/>
      <c r="J3103" s="299"/>
    </row>
    <row r="3104" spans="1:11" ht="7.5" hidden="1" customHeight="1" x14ac:dyDescent="0.25">
      <c r="B3104" s="2913"/>
      <c r="C3104" s="4104"/>
      <c r="D3104" s="812"/>
      <c r="E3104" s="666"/>
      <c r="F3104" s="1717"/>
      <c r="G3104" s="2483"/>
      <c r="H3104" s="535"/>
    </row>
    <row r="3105" spans="2:8" ht="12" hidden="1" customHeight="1" x14ac:dyDescent="0.25">
      <c r="B3105" s="2913"/>
      <c r="C3105" s="4299" t="s">
        <v>870</v>
      </c>
      <c r="D3105" s="1557">
        <f>SUM(D3106:D3107)</f>
        <v>785000000</v>
      </c>
      <c r="E3105" s="1557">
        <f>SUM(E3106:E3107)</f>
        <v>785000000</v>
      </c>
      <c r="F3105" s="3803">
        <f>E3105/D3105*100</f>
        <v>100</v>
      </c>
      <c r="G3105" s="3803">
        <v>100</v>
      </c>
      <c r="H3105" s="535"/>
    </row>
    <row r="3106" spans="2:8" ht="15" hidden="1" customHeight="1" x14ac:dyDescent="0.25">
      <c r="B3106" s="2913"/>
      <c r="C3106" s="4104" t="s">
        <v>871</v>
      </c>
      <c r="D3106" s="812">
        <v>250000000</v>
      </c>
      <c r="E3106" s="5541">
        <v>250000000</v>
      </c>
      <c r="F3106" s="4123">
        <f>E3106/D3106*100</f>
        <v>100</v>
      </c>
      <c r="G3106" s="4123">
        <v>100</v>
      </c>
      <c r="H3106" s="535"/>
    </row>
    <row r="3107" spans="2:8" ht="16.5" hidden="1" customHeight="1" x14ac:dyDescent="0.25">
      <c r="B3107" s="2913"/>
      <c r="C3107" s="4104" t="s">
        <v>872</v>
      </c>
      <c r="D3107" s="812">
        <v>535000000</v>
      </c>
      <c r="E3107" s="5541">
        <v>535000000</v>
      </c>
      <c r="F3107" s="4123">
        <f>E3107/D3107*100</f>
        <v>100</v>
      </c>
      <c r="G3107" s="4123">
        <v>100</v>
      </c>
      <c r="H3107" s="535"/>
    </row>
    <row r="3108" spans="2:8" ht="9.75" hidden="1" customHeight="1" x14ac:dyDescent="0.25">
      <c r="B3108" s="2913"/>
      <c r="C3108" s="4104"/>
      <c r="D3108" s="812"/>
      <c r="E3108" s="666"/>
      <c r="F3108" s="3803"/>
      <c r="G3108" s="2483"/>
      <c r="H3108" s="535"/>
    </row>
    <row r="3109" spans="2:8" ht="15.75" hidden="1" customHeight="1" x14ac:dyDescent="0.25">
      <c r="B3109" s="2913"/>
      <c r="C3109" s="4299" t="s">
        <v>279</v>
      </c>
      <c r="D3109" s="1557">
        <f>SUM(D3110:D3143)</f>
        <v>40682220000</v>
      </c>
      <c r="E3109" s="1557">
        <f>SUM(E3110:E3143)</f>
        <v>40129827000</v>
      </c>
      <c r="F3109" s="3803">
        <f t="shared" ref="F3109:F3143" si="89">E3109/D3109*100</f>
        <v>98.642175869458441</v>
      </c>
      <c r="G3109" s="2484">
        <v>100</v>
      </c>
      <c r="H3109" s="535"/>
    </row>
    <row r="3110" spans="2:8" ht="17.25" hidden="1" customHeight="1" x14ac:dyDescent="0.25">
      <c r="B3110" s="2913"/>
      <c r="C3110" s="4104" t="s">
        <v>873</v>
      </c>
      <c r="D3110" s="812">
        <v>750000000</v>
      </c>
      <c r="E3110" s="3746">
        <v>750000000</v>
      </c>
      <c r="F3110" s="4123">
        <f t="shared" si="89"/>
        <v>100</v>
      </c>
      <c r="G3110" s="2338">
        <v>100</v>
      </c>
      <c r="H3110" s="535"/>
    </row>
    <row r="3111" spans="2:8" ht="18.75" hidden="1" customHeight="1" x14ac:dyDescent="0.25">
      <c r="B3111" s="2913"/>
      <c r="C3111" s="4104" t="s">
        <v>874</v>
      </c>
      <c r="D3111" s="812">
        <v>620000000</v>
      </c>
      <c r="E3111" s="3746">
        <v>566750000</v>
      </c>
      <c r="F3111" s="4123">
        <f t="shared" si="89"/>
        <v>91.411290322580641</v>
      </c>
      <c r="G3111" s="2338">
        <v>100</v>
      </c>
      <c r="H3111" s="535"/>
    </row>
    <row r="3112" spans="2:8" ht="17.25" hidden="1" customHeight="1" x14ac:dyDescent="0.25">
      <c r="B3112" s="2913"/>
      <c r="C3112" s="4104" t="s">
        <v>875</v>
      </c>
      <c r="D3112" s="812">
        <v>3000000000</v>
      </c>
      <c r="E3112" s="3746">
        <v>3000000000</v>
      </c>
      <c r="F3112" s="4123">
        <f t="shared" si="89"/>
        <v>100</v>
      </c>
      <c r="G3112" s="2338">
        <v>100</v>
      </c>
      <c r="H3112" s="535"/>
    </row>
    <row r="3113" spans="2:8" ht="15.75" hidden="1" customHeight="1" x14ac:dyDescent="0.25">
      <c r="B3113" s="2913"/>
      <c r="C3113" s="4104" t="s">
        <v>876</v>
      </c>
      <c r="D3113" s="812">
        <v>2040000000</v>
      </c>
      <c r="E3113" s="3746">
        <v>2040000000</v>
      </c>
      <c r="F3113" s="4123">
        <f t="shared" si="89"/>
        <v>100</v>
      </c>
      <c r="G3113" s="2338">
        <v>100</v>
      </c>
      <c r="H3113" s="535"/>
    </row>
    <row r="3114" spans="2:8" ht="15.75" hidden="1" customHeight="1" x14ac:dyDescent="0.25">
      <c r="B3114" s="2913"/>
      <c r="C3114" s="4104" t="s">
        <v>877</v>
      </c>
      <c r="D3114" s="812">
        <v>1925000000</v>
      </c>
      <c r="E3114" s="3746">
        <v>1919000000</v>
      </c>
      <c r="F3114" s="4123">
        <f t="shared" si="89"/>
        <v>99.6883116883117</v>
      </c>
      <c r="G3114" s="2338">
        <v>100</v>
      </c>
      <c r="H3114" s="535"/>
    </row>
    <row r="3115" spans="2:8" ht="17.25" hidden="1" customHeight="1" x14ac:dyDescent="0.25">
      <c r="B3115" s="2913"/>
      <c r="C3115" s="4104" t="s">
        <v>4768</v>
      </c>
      <c r="D3115" s="812">
        <v>1580000000</v>
      </c>
      <c r="E3115" s="3746">
        <v>1577000000</v>
      </c>
      <c r="F3115" s="4123">
        <f t="shared" si="89"/>
        <v>99.810126582278485</v>
      </c>
      <c r="G3115" s="2338">
        <v>100</v>
      </c>
      <c r="H3115" s="535"/>
    </row>
    <row r="3116" spans="2:8" ht="18" hidden="1" customHeight="1" x14ac:dyDescent="0.25">
      <c r="B3116" s="2913"/>
      <c r="C3116" s="4104" t="s">
        <v>878</v>
      </c>
      <c r="D3116" s="812">
        <v>1300000000</v>
      </c>
      <c r="E3116" s="3746">
        <v>1293500000</v>
      </c>
      <c r="F3116" s="4123">
        <f t="shared" si="89"/>
        <v>99.5</v>
      </c>
      <c r="G3116" s="2338">
        <v>100</v>
      </c>
      <c r="H3116" s="535"/>
    </row>
    <row r="3117" spans="2:8" ht="15.75" hidden="1" customHeight="1" x14ac:dyDescent="0.25">
      <c r="B3117" s="2913"/>
      <c r="C3117" s="4104" t="s">
        <v>4769</v>
      </c>
      <c r="D3117" s="812">
        <v>1700000000</v>
      </c>
      <c r="E3117" s="3746">
        <v>1696482000</v>
      </c>
      <c r="F3117" s="4123">
        <f t="shared" si="89"/>
        <v>99.793058823529407</v>
      </c>
      <c r="G3117" s="2338">
        <v>100</v>
      </c>
      <c r="H3117" s="535"/>
    </row>
    <row r="3118" spans="2:8" ht="14.25" hidden="1" customHeight="1" x14ac:dyDescent="0.25">
      <c r="B3118" s="2913"/>
      <c r="C3118" s="4104" t="s">
        <v>4770</v>
      </c>
      <c r="D3118" s="812">
        <v>1450000000</v>
      </c>
      <c r="E3118" s="3746">
        <v>1445500000</v>
      </c>
      <c r="F3118" s="4123">
        <f t="shared" si="89"/>
        <v>99.689655172413794</v>
      </c>
      <c r="G3118" s="2338">
        <v>100</v>
      </c>
      <c r="H3118" s="535"/>
    </row>
    <row r="3119" spans="2:8" ht="15.75" hidden="1" customHeight="1" x14ac:dyDescent="0.25">
      <c r="B3119" s="2913"/>
      <c r="C3119" s="4104" t="s">
        <v>4771</v>
      </c>
      <c r="D3119" s="812">
        <v>1535000000</v>
      </c>
      <c r="E3119" s="3746">
        <v>1532000000</v>
      </c>
      <c r="F3119" s="4123">
        <f t="shared" si="89"/>
        <v>99.804560260586314</v>
      </c>
      <c r="G3119" s="2338">
        <v>100</v>
      </c>
      <c r="H3119" s="535"/>
    </row>
    <row r="3120" spans="2:8" ht="14.25" hidden="1" customHeight="1" x14ac:dyDescent="0.25">
      <c r="B3120" s="2913"/>
      <c r="C3120" s="4104" t="s">
        <v>4772</v>
      </c>
      <c r="D3120" s="812">
        <v>1310000000</v>
      </c>
      <c r="E3120" s="3746">
        <v>1306500000</v>
      </c>
      <c r="F3120" s="4123">
        <f t="shared" si="89"/>
        <v>99.732824427480921</v>
      </c>
      <c r="G3120" s="2338">
        <v>100</v>
      </c>
      <c r="H3120" s="535"/>
    </row>
    <row r="3121" spans="2:8" ht="15.75" hidden="1" customHeight="1" x14ac:dyDescent="0.25">
      <c r="B3121" s="2913"/>
      <c r="C3121" s="4104" t="s">
        <v>4773</v>
      </c>
      <c r="D3121" s="812">
        <v>1000000000</v>
      </c>
      <c r="E3121" s="3746">
        <v>995500000</v>
      </c>
      <c r="F3121" s="4123">
        <f t="shared" si="89"/>
        <v>99.550000000000011</v>
      </c>
      <c r="G3121" s="2338">
        <v>100</v>
      </c>
      <c r="H3121" s="535"/>
    </row>
    <row r="3122" spans="2:8" ht="13.5" hidden="1" customHeight="1" x14ac:dyDescent="0.25">
      <c r="B3122" s="2913"/>
      <c r="C3122" s="4104" t="s">
        <v>4774</v>
      </c>
      <c r="D3122" s="812">
        <v>1100000000</v>
      </c>
      <c r="E3122" s="3746">
        <v>1097000000</v>
      </c>
      <c r="F3122" s="4123">
        <f t="shared" si="89"/>
        <v>99.727272727272734</v>
      </c>
      <c r="G3122" s="2338">
        <v>100</v>
      </c>
      <c r="H3122" s="535"/>
    </row>
    <row r="3123" spans="2:8" ht="16.5" hidden="1" customHeight="1" x14ac:dyDescent="0.25">
      <c r="B3123" s="2913"/>
      <c r="C3123" s="4104" t="s">
        <v>4775</v>
      </c>
      <c r="D3123" s="812">
        <v>1200000000</v>
      </c>
      <c r="E3123" s="3746">
        <v>897625000</v>
      </c>
      <c r="F3123" s="4123">
        <f t="shared" si="89"/>
        <v>74.802083333333343</v>
      </c>
      <c r="G3123" s="2338">
        <v>100</v>
      </c>
      <c r="H3123" s="535"/>
    </row>
    <row r="3124" spans="2:8" ht="13.5" hidden="1" customHeight="1" x14ac:dyDescent="0.25">
      <c r="B3124" s="2913"/>
      <c r="C3124" s="4104" t="s">
        <v>4776</v>
      </c>
      <c r="D3124" s="812">
        <v>400000000</v>
      </c>
      <c r="E3124" s="3746">
        <v>278250000</v>
      </c>
      <c r="F3124" s="4123">
        <f t="shared" si="89"/>
        <v>69.5625</v>
      </c>
      <c r="G3124" s="2338">
        <v>100</v>
      </c>
      <c r="H3124" s="535"/>
    </row>
    <row r="3125" spans="2:8" ht="13.5" hidden="1" customHeight="1" x14ac:dyDescent="0.25">
      <c r="B3125" s="2913"/>
      <c r="C3125" s="4104" t="s">
        <v>4777</v>
      </c>
      <c r="D3125" s="812">
        <v>345000000</v>
      </c>
      <c r="E3125" s="3746">
        <v>340500000</v>
      </c>
      <c r="F3125" s="4123">
        <f t="shared" si="89"/>
        <v>98.695652173913047</v>
      </c>
      <c r="G3125" s="2338">
        <v>100</v>
      </c>
      <c r="H3125" s="535"/>
    </row>
    <row r="3126" spans="2:8" ht="18" hidden="1" customHeight="1" x14ac:dyDescent="0.25">
      <c r="B3126" s="2913"/>
      <c r="C3126" s="4104" t="s">
        <v>4778</v>
      </c>
      <c r="D3126" s="812">
        <v>230000000</v>
      </c>
      <c r="E3126" s="3746">
        <v>227000000</v>
      </c>
      <c r="F3126" s="4123">
        <f t="shared" si="89"/>
        <v>98.695652173913047</v>
      </c>
      <c r="G3126" s="2338">
        <v>100</v>
      </c>
      <c r="H3126" s="535"/>
    </row>
    <row r="3127" spans="2:8" ht="15.75" hidden="1" customHeight="1" x14ac:dyDescent="0.25">
      <c r="B3127" s="2913"/>
      <c r="C3127" s="4104" t="s">
        <v>4779</v>
      </c>
      <c r="D3127" s="812">
        <v>1900000000</v>
      </c>
      <c r="E3127" s="3746">
        <v>1896000000</v>
      </c>
      <c r="F3127" s="4123">
        <f t="shared" si="89"/>
        <v>99.789473684210535</v>
      </c>
      <c r="G3127" s="2338">
        <v>100</v>
      </c>
      <c r="H3127" s="535"/>
    </row>
    <row r="3128" spans="2:8" ht="17.25" hidden="1" customHeight="1" x14ac:dyDescent="0.25">
      <c r="B3128" s="2913"/>
      <c r="C3128" s="4104" t="s">
        <v>4780</v>
      </c>
      <c r="D3128" s="812">
        <v>250000000</v>
      </c>
      <c r="E3128" s="3746">
        <v>250000000</v>
      </c>
      <c r="F3128" s="4123">
        <f t="shared" si="89"/>
        <v>100</v>
      </c>
      <c r="G3128" s="2338">
        <v>100</v>
      </c>
      <c r="H3128" s="535"/>
    </row>
    <row r="3129" spans="2:8" ht="16.5" hidden="1" customHeight="1" x14ac:dyDescent="0.25">
      <c r="B3129" s="2913"/>
      <c r="C3129" s="4104" t="s">
        <v>4781</v>
      </c>
      <c r="D3129" s="812">
        <v>1042220000</v>
      </c>
      <c r="E3129" s="3746">
        <v>1042220000</v>
      </c>
      <c r="F3129" s="4123">
        <f t="shared" si="89"/>
        <v>100</v>
      </c>
      <c r="G3129" s="2338">
        <v>100</v>
      </c>
      <c r="H3129" s="535"/>
    </row>
    <row r="3130" spans="2:8" ht="17.25" hidden="1" customHeight="1" x14ac:dyDescent="0.25">
      <c r="B3130" s="2913"/>
      <c r="C3130" s="4104" t="s">
        <v>4782</v>
      </c>
      <c r="D3130" s="812">
        <v>1937500000</v>
      </c>
      <c r="E3130" s="3746">
        <v>1930000000</v>
      </c>
      <c r="F3130" s="4123">
        <f t="shared" si="89"/>
        <v>99.612903225806448</v>
      </c>
      <c r="G3130" s="2338">
        <v>100</v>
      </c>
      <c r="H3130" s="535"/>
    </row>
    <row r="3131" spans="2:8" ht="24.75" hidden="1" customHeight="1" x14ac:dyDescent="0.25">
      <c r="B3131" s="2913"/>
      <c r="C3131" s="4104" t="s">
        <v>4783</v>
      </c>
      <c r="D3131" s="812">
        <v>73390000</v>
      </c>
      <c r="E3131" s="3746">
        <v>73390000</v>
      </c>
      <c r="F3131" s="4123">
        <f t="shared" si="89"/>
        <v>100</v>
      </c>
      <c r="G3131" s="2338">
        <v>100</v>
      </c>
      <c r="H3131" s="535"/>
    </row>
    <row r="3132" spans="2:8" ht="18.75" hidden="1" customHeight="1" x14ac:dyDescent="0.25">
      <c r="B3132" s="2913"/>
      <c r="C3132" s="4104" t="s">
        <v>4784</v>
      </c>
      <c r="D3132" s="812">
        <v>75000000</v>
      </c>
      <c r="E3132" s="3746">
        <v>75000000</v>
      </c>
      <c r="F3132" s="4123">
        <f t="shared" si="89"/>
        <v>100</v>
      </c>
      <c r="G3132" s="2338">
        <v>100</v>
      </c>
      <c r="H3132" s="535"/>
    </row>
    <row r="3133" spans="2:8" ht="18" hidden="1" customHeight="1" x14ac:dyDescent="0.25">
      <c r="B3133" s="2913"/>
      <c r="C3133" s="4104" t="s">
        <v>4785</v>
      </c>
      <c r="D3133" s="812">
        <v>70000000</v>
      </c>
      <c r="E3133" s="3746">
        <v>70000000</v>
      </c>
      <c r="F3133" s="4123">
        <f t="shared" si="89"/>
        <v>100</v>
      </c>
      <c r="G3133" s="2338">
        <v>100</v>
      </c>
      <c r="H3133" s="535"/>
    </row>
    <row r="3134" spans="2:8" ht="15.75" hidden="1" customHeight="1" x14ac:dyDescent="0.25">
      <c r="B3134" s="2913"/>
      <c r="C3134" s="4104" t="s">
        <v>4786</v>
      </c>
      <c r="D3134" s="812">
        <v>300000000</v>
      </c>
      <c r="E3134" s="3746">
        <v>300000000</v>
      </c>
      <c r="F3134" s="4123">
        <f t="shared" si="89"/>
        <v>100</v>
      </c>
      <c r="G3134" s="2338">
        <v>100</v>
      </c>
      <c r="H3134" s="535"/>
    </row>
    <row r="3135" spans="2:8" ht="17.25" hidden="1" customHeight="1" x14ac:dyDescent="0.25">
      <c r="B3135" s="2913"/>
      <c r="C3135" s="4104" t="s">
        <v>4787</v>
      </c>
      <c r="D3135" s="812">
        <v>190000000</v>
      </c>
      <c r="E3135" s="3746">
        <v>190000000</v>
      </c>
      <c r="F3135" s="4123">
        <f t="shared" si="89"/>
        <v>100</v>
      </c>
      <c r="G3135" s="2338">
        <v>100</v>
      </c>
      <c r="H3135" s="535"/>
    </row>
    <row r="3136" spans="2:8" ht="16.5" hidden="1" customHeight="1" x14ac:dyDescent="0.25">
      <c r="B3136" s="2913"/>
      <c r="C3136" s="4104" t="s">
        <v>4788</v>
      </c>
      <c r="D3136" s="812">
        <v>144110000</v>
      </c>
      <c r="E3136" s="5542">
        <v>144110000</v>
      </c>
      <c r="F3136" s="4123">
        <f t="shared" si="89"/>
        <v>100</v>
      </c>
      <c r="G3136" s="2338">
        <v>100</v>
      </c>
      <c r="H3136" s="535"/>
    </row>
    <row r="3137" spans="1:11" ht="18" hidden="1" customHeight="1" x14ac:dyDescent="0.25">
      <c r="B3137" s="2913"/>
      <c r="C3137" s="4104" t="s">
        <v>4789</v>
      </c>
      <c r="D3137" s="812">
        <v>60000000</v>
      </c>
      <c r="E3137" s="3746">
        <v>60000000</v>
      </c>
      <c r="F3137" s="4123">
        <f t="shared" si="89"/>
        <v>100</v>
      </c>
      <c r="G3137" s="2338">
        <v>100</v>
      </c>
      <c r="H3137" s="535"/>
    </row>
    <row r="3138" spans="1:11" ht="14.25" hidden="1" customHeight="1" x14ac:dyDescent="0.25">
      <c r="B3138" s="2913"/>
      <c r="C3138" s="4104" t="s">
        <v>4790</v>
      </c>
      <c r="D3138" s="812">
        <v>150000000</v>
      </c>
      <c r="E3138" s="3746">
        <v>150000000</v>
      </c>
      <c r="F3138" s="4123">
        <f t="shared" si="89"/>
        <v>100</v>
      </c>
      <c r="G3138" s="2338">
        <v>100</v>
      </c>
      <c r="H3138" s="535"/>
    </row>
    <row r="3139" spans="1:11" ht="18" hidden="1" customHeight="1" x14ac:dyDescent="0.25">
      <c r="B3139" s="2913"/>
      <c r="C3139" s="4104" t="s">
        <v>4791</v>
      </c>
      <c r="D3139" s="812">
        <v>150000000</v>
      </c>
      <c r="E3139" s="3746">
        <v>150000000</v>
      </c>
      <c r="F3139" s="4123">
        <f t="shared" si="89"/>
        <v>100</v>
      </c>
      <c r="G3139" s="2338">
        <v>100</v>
      </c>
      <c r="H3139" s="535"/>
    </row>
    <row r="3140" spans="1:11" ht="16.5" hidden="1" customHeight="1" x14ac:dyDescent="0.25">
      <c r="B3140" s="2913"/>
      <c r="C3140" s="4104" t="s">
        <v>4792</v>
      </c>
      <c r="D3140" s="812">
        <v>150000000</v>
      </c>
      <c r="E3140" s="3746">
        <v>150000000</v>
      </c>
      <c r="F3140" s="4123">
        <f t="shared" si="89"/>
        <v>100</v>
      </c>
      <c r="G3140" s="2338">
        <v>100</v>
      </c>
      <c r="H3140" s="535"/>
    </row>
    <row r="3141" spans="1:11" ht="18" hidden="1" customHeight="1" x14ac:dyDescent="0.25">
      <c r="B3141" s="2913"/>
      <c r="C3141" s="4104" t="s">
        <v>4793</v>
      </c>
      <c r="D3141" s="812">
        <v>380000000</v>
      </c>
      <c r="E3141" s="3746">
        <v>378000000</v>
      </c>
      <c r="F3141" s="4123">
        <f t="shared" si="89"/>
        <v>99.473684210526315</v>
      </c>
      <c r="G3141" s="2338">
        <v>100</v>
      </c>
      <c r="H3141" s="535"/>
    </row>
    <row r="3142" spans="1:11" s="3627" customFormat="1" ht="18" hidden="1" customHeight="1" x14ac:dyDescent="0.25">
      <c r="A3142" s="3618"/>
      <c r="B3142" s="2913"/>
      <c r="C3142" s="4104" t="s">
        <v>4794</v>
      </c>
      <c r="D3142" s="812">
        <v>4325000000</v>
      </c>
      <c r="E3142" s="3746">
        <v>4318500000</v>
      </c>
      <c r="F3142" s="4123">
        <f t="shared" si="89"/>
        <v>99.849710982658962</v>
      </c>
      <c r="G3142" s="2338">
        <v>100</v>
      </c>
      <c r="H3142" s="3619"/>
      <c r="J3142" s="522"/>
      <c r="K3142" s="522"/>
    </row>
    <row r="3143" spans="1:11" s="3627" customFormat="1" ht="15" hidden="1" customHeight="1" x14ac:dyDescent="0.25">
      <c r="A3143" s="3618"/>
      <c r="B3143" s="2913"/>
      <c r="C3143" s="4104" t="s">
        <v>4795</v>
      </c>
      <c r="D3143" s="812">
        <v>8000000000</v>
      </c>
      <c r="E3143" s="3746">
        <v>7990000000</v>
      </c>
      <c r="F3143" s="4123">
        <f t="shared" si="89"/>
        <v>99.875</v>
      </c>
      <c r="G3143" s="2338">
        <v>100</v>
      </c>
      <c r="H3143" s="3619"/>
      <c r="J3143" s="522"/>
      <c r="K3143" s="522"/>
    </row>
    <row r="3144" spans="1:11" ht="9" hidden="1" customHeight="1" x14ac:dyDescent="0.25">
      <c r="B3144" s="2913"/>
      <c r="C3144" s="4104"/>
      <c r="D3144" s="812"/>
      <c r="E3144" s="3746"/>
      <c r="F3144" s="1717"/>
      <c r="G3144" s="1717"/>
      <c r="H3144" s="535"/>
    </row>
    <row r="3145" spans="1:11" ht="18.75" hidden="1" customHeight="1" x14ac:dyDescent="0.25">
      <c r="B3145" s="5405"/>
      <c r="C3145" s="4299" t="s">
        <v>260</v>
      </c>
      <c r="D3145" s="1557">
        <f>SUM(D3146:D3150)</f>
        <v>647000000</v>
      </c>
      <c r="E3145" s="1557">
        <f>SUM(E3146:E3150)</f>
        <v>647000000</v>
      </c>
      <c r="F3145" s="3803">
        <f t="shared" ref="F3145:F3150" si="90">E3145/D3145*100</f>
        <v>100</v>
      </c>
      <c r="G3145" s="2484">
        <v>100</v>
      </c>
      <c r="H3145" s="535"/>
    </row>
    <row r="3146" spans="1:11" ht="12.75" hidden="1" customHeight="1" x14ac:dyDescent="0.25">
      <c r="B3146" s="2913"/>
      <c r="C3146" s="4104" t="s">
        <v>879</v>
      </c>
      <c r="D3146" s="812">
        <v>50000000</v>
      </c>
      <c r="E3146" s="663">
        <v>50000000</v>
      </c>
      <c r="F3146" s="4123">
        <f t="shared" si="90"/>
        <v>100</v>
      </c>
      <c r="G3146" s="2338">
        <v>100</v>
      </c>
      <c r="H3146" s="535"/>
    </row>
    <row r="3147" spans="1:11" ht="15.75" hidden="1" customHeight="1" x14ac:dyDescent="0.25">
      <c r="B3147" s="2913"/>
      <c r="C3147" s="4104" t="s">
        <v>880</v>
      </c>
      <c r="D3147" s="812">
        <v>110000000</v>
      </c>
      <c r="E3147" s="663">
        <v>110000000</v>
      </c>
      <c r="F3147" s="4123">
        <f t="shared" si="90"/>
        <v>100</v>
      </c>
      <c r="G3147" s="2338">
        <v>100</v>
      </c>
      <c r="H3147" s="535"/>
    </row>
    <row r="3148" spans="1:11" ht="14.25" hidden="1" customHeight="1" x14ac:dyDescent="0.25">
      <c r="B3148" s="2913"/>
      <c r="C3148" s="4104" t="s">
        <v>881</v>
      </c>
      <c r="D3148" s="812">
        <v>120000000</v>
      </c>
      <c r="E3148" s="663">
        <v>120000000</v>
      </c>
      <c r="F3148" s="4123">
        <f t="shared" si="90"/>
        <v>100</v>
      </c>
      <c r="G3148" s="2338">
        <v>100</v>
      </c>
      <c r="H3148" s="535"/>
    </row>
    <row r="3149" spans="1:11" ht="13.5" hidden="1" customHeight="1" x14ac:dyDescent="0.25">
      <c r="B3149" s="2913"/>
      <c r="C3149" s="4104" t="s">
        <v>882</v>
      </c>
      <c r="D3149" s="812">
        <v>100000000</v>
      </c>
      <c r="E3149" s="663">
        <v>100000000</v>
      </c>
      <c r="F3149" s="4123">
        <f t="shared" si="90"/>
        <v>100</v>
      </c>
      <c r="G3149" s="2338">
        <v>100</v>
      </c>
      <c r="H3149" s="535"/>
    </row>
    <row r="3150" spans="1:11" ht="16.5" hidden="1" customHeight="1" x14ac:dyDescent="0.25">
      <c r="B3150" s="2913"/>
      <c r="C3150" s="4104" t="s">
        <v>883</v>
      </c>
      <c r="D3150" s="812">
        <v>267000000</v>
      </c>
      <c r="E3150" s="663">
        <v>267000000</v>
      </c>
      <c r="F3150" s="4123">
        <f t="shared" si="90"/>
        <v>100</v>
      </c>
      <c r="G3150" s="2338">
        <v>100</v>
      </c>
      <c r="H3150" s="535"/>
    </row>
    <row r="3151" spans="1:11" ht="9.75" hidden="1" customHeight="1" x14ac:dyDescent="0.25">
      <c r="B3151" s="2913"/>
      <c r="C3151" s="4104"/>
      <c r="D3151" s="1560"/>
      <c r="E3151" s="1106"/>
      <c r="F3151" s="4123"/>
      <c r="G3151" s="2338"/>
      <c r="H3151" s="535"/>
    </row>
    <row r="3152" spans="1:11" ht="13.5" hidden="1" customHeight="1" x14ac:dyDescent="0.25">
      <c r="B3152" s="2913"/>
      <c r="C3152" s="4116" t="s">
        <v>884</v>
      </c>
      <c r="D3152" s="1557">
        <f>SUM(D3153:D3156)</f>
        <v>750000000</v>
      </c>
      <c r="E3152" s="1557">
        <f>SUM(E3153:E3156)</f>
        <v>750000000</v>
      </c>
      <c r="F3152" s="3803">
        <v>100</v>
      </c>
      <c r="G3152" s="3803">
        <v>100</v>
      </c>
      <c r="H3152" s="535"/>
    </row>
    <row r="3153" spans="1:11" ht="13.5" hidden="1" customHeight="1" x14ac:dyDescent="0.25">
      <c r="B3153" s="2913"/>
      <c r="C3153" s="4104" t="s">
        <v>885</v>
      </c>
      <c r="D3153" s="812">
        <v>500000000</v>
      </c>
      <c r="E3153" s="663">
        <v>500000000</v>
      </c>
      <c r="F3153" s="4123">
        <v>100</v>
      </c>
      <c r="G3153" s="4123">
        <v>100</v>
      </c>
      <c r="H3153" s="535"/>
    </row>
    <row r="3154" spans="1:11" ht="13.5" hidden="1" customHeight="1" x14ac:dyDescent="0.25">
      <c r="B3154" s="2913"/>
      <c r="C3154" s="4104" t="s">
        <v>886</v>
      </c>
      <c r="D3154" s="812">
        <v>100000000</v>
      </c>
      <c r="E3154" s="663">
        <v>100000000</v>
      </c>
      <c r="F3154" s="4123">
        <v>100</v>
      </c>
      <c r="G3154" s="4123">
        <v>100</v>
      </c>
      <c r="H3154" s="535"/>
    </row>
    <row r="3155" spans="1:11" ht="13.5" hidden="1" customHeight="1" x14ac:dyDescent="0.25">
      <c r="B3155" s="2913"/>
      <c r="C3155" s="4104" t="s">
        <v>887</v>
      </c>
      <c r="D3155" s="812">
        <v>50000000</v>
      </c>
      <c r="E3155" s="663">
        <v>50000000</v>
      </c>
      <c r="F3155" s="4123">
        <v>100</v>
      </c>
      <c r="G3155" s="4123">
        <v>100</v>
      </c>
      <c r="H3155" s="535"/>
    </row>
    <row r="3156" spans="1:11" ht="13.5" hidden="1" customHeight="1" x14ac:dyDescent="0.25">
      <c r="B3156" s="2913"/>
      <c r="C3156" s="4104" t="s">
        <v>888</v>
      </c>
      <c r="D3156" s="812">
        <v>100000000</v>
      </c>
      <c r="E3156" s="663">
        <v>100000000</v>
      </c>
      <c r="F3156" s="4123">
        <v>100</v>
      </c>
      <c r="G3156" s="4123">
        <v>100</v>
      </c>
      <c r="H3156" s="535"/>
    </row>
    <row r="3157" spans="1:11" ht="9" hidden="1" customHeight="1" x14ac:dyDescent="0.25">
      <c r="B3157" s="2913"/>
      <c r="C3157" s="4104"/>
      <c r="D3157" s="812"/>
      <c r="E3157" s="894"/>
      <c r="F3157" s="1315"/>
      <c r="G3157" s="2338"/>
      <c r="H3157" s="535"/>
    </row>
    <row r="3158" spans="1:11" ht="14.25" hidden="1" customHeight="1" x14ac:dyDescent="0.25">
      <c r="B3158" s="2913"/>
      <c r="C3158" s="4299" t="s">
        <v>889</v>
      </c>
      <c r="D3158" s="1557">
        <f>SUM(D3159:D3166)</f>
        <v>1642080000</v>
      </c>
      <c r="E3158" s="1557">
        <f>SUM(E3159:E3166)</f>
        <v>1642080000</v>
      </c>
      <c r="F3158" s="3803">
        <v>100</v>
      </c>
      <c r="G3158" s="3803">
        <v>100</v>
      </c>
      <c r="H3158" s="535"/>
    </row>
    <row r="3159" spans="1:11" ht="13.5" hidden="1" customHeight="1" x14ac:dyDescent="0.25">
      <c r="B3159" s="2913"/>
      <c r="C3159" s="4104" t="s">
        <v>890</v>
      </c>
      <c r="D3159" s="812">
        <v>450000000</v>
      </c>
      <c r="E3159" s="3744">
        <v>450000000</v>
      </c>
      <c r="F3159" s="4123">
        <v>100</v>
      </c>
      <c r="G3159" s="4123">
        <v>100</v>
      </c>
      <c r="H3159" s="535"/>
    </row>
    <row r="3160" spans="1:11" ht="12.75" hidden="1" customHeight="1" x14ac:dyDescent="0.25">
      <c r="B3160" s="2913"/>
      <c r="C3160" s="4104" t="s">
        <v>891</v>
      </c>
      <c r="D3160" s="812">
        <v>350000000</v>
      </c>
      <c r="E3160" s="3744">
        <v>350000000</v>
      </c>
      <c r="F3160" s="4123">
        <v>100</v>
      </c>
      <c r="G3160" s="4123">
        <v>100</v>
      </c>
      <c r="H3160" s="535"/>
    </row>
    <row r="3161" spans="1:11" ht="14.25" hidden="1" customHeight="1" x14ac:dyDescent="0.25">
      <c r="B3161" s="2913"/>
      <c r="C3161" s="4104" t="s">
        <v>893</v>
      </c>
      <c r="D3161" s="812">
        <v>100000000</v>
      </c>
      <c r="E3161" s="3744">
        <v>100000000</v>
      </c>
      <c r="F3161" s="4123">
        <v>100</v>
      </c>
      <c r="G3161" s="4123">
        <v>100</v>
      </c>
      <c r="H3161" s="535"/>
    </row>
    <row r="3162" spans="1:11" ht="13.5" hidden="1" customHeight="1" x14ac:dyDescent="0.25">
      <c r="B3162" s="2913"/>
      <c r="C3162" s="4104" t="s">
        <v>892</v>
      </c>
      <c r="D3162" s="812">
        <v>100000000</v>
      </c>
      <c r="E3162" s="3744">
        <v>100000000</v>
      </c>
      <c r="F3162" s="4123">
        <v>100</v>
      </c>
      <c r="G3162" s="4123">
        <v>100</v>
      </c>
      <c r="H3162" s="535"/>
    </row>
    <row r="3163" spans="1:11" ht="15.75" hidden="1" customHeight="1" x14ac:dyDescent="0.25">
      <c r="B3163" s="2913"/>
      <c r="C3163" s="4104" t="s">
        <v>894</v>
      </c>
      <c r="D3163" s="812">
        <v>142080000</v>
      </c>
      <c r="E3163" s="3744">
        <v>142080000</v>
      </c>
      <c r="F3163" s="4123">
        <v>100</v>
      </c>
      <c r="G3163" s="4123">
        <v>100</v>
      </c>
      <c r="H3163" s="535"/>
    </row>
    <row r="3164" spans="1:11" ht="12" hidden="1" customHeight="1" x14ac:dyDescent="0.25">
      <c r="B3164" s="2913"/>
      <c r="C3164" s="4104" t="s">
        <v>896</v>
      </c>
      <c r="D3164" s="812">
        <v>100000000</v>
      </c>
      <c r="E3164" s="3744">
        <v>100000000</v>
      </c>
      <c r="F3164" s="4123">
        <v>100</v>
      </c>
      <c r="G3164" s="4123">
        <v>100</v>
      </c>
      <c r="H3164" s="535"/>
    </row>
    <row r="3165" spans="1:11" ht="12" hidden="1" customHeight="1" x14ac:dyDescent="0.25">
      <c r="B3165" s="2913"/>
      <c r="C3165" s="4104" t="s">
        <v>895</v>
      </c>
      <c r="D3165" s="812">
        <v>150000000</v>
      </c>
      <c r="E3165" s="3744">
        <v>150000000</v>
      </c>
      <c r="F3165" s="4123">
        <v>100</v>
      </c>
      <c r="G3165" s="4123">
        <v>100</v>
      </c>
      <c r="H3165" s="535"/>
    </row>
    <row r="3166" spans="1:11" ht="15.75" hidden="1" customHeight="1" x14ac:dyDescent="0.25">
      <c r="B3166" s="2913"/>
      <c r="C3166" s="4104" t="s">
        <v>897</v>
      </c>
      <c r="D3166" s="812">
        <v>250000000</v>
      </c>
      <c r="E3166" s="3744">
        <v>250000000</v>
      </c>
      <c r="F3166" s="4123">
        <v>100</v>
      </c>
      <c r="G3166" s="4123">
        <v>100</v>
      </c>
      <c r="H3166" s="535"/>
    </row>
    <row r="3167" spans="1:11" ht="7.5" hidden="1" customHeight="1" x14ac:dyDescent="0.25">
      <c r="B3167" s="2913"/>
      <c r="D3167" s="1558"/>
      <c r="E3167" s="671"/>
      <c r="F3167" s="2461"/>
      <c r="G3167" s="5529"/>
      <c r="H3167" s="535"/>
    </row>
    <row r="3168" spans="1:11" s="269" customFormat="1" ht="14.25" hidden="1" customHeight="1" x14ac:dyDescent="0.25">
      <c r="A3168" s="350"/>
      <c r="B3168" s="5397"/>
      <c r="C3168" s="3858" t="s">
        <v>379</v>
      </c>
      <c r="D3168" s="1552">
        <f>D3169+D3178+D3181+D3185+D3192+D3201+D3206+D3210+D3213+D3216</f>
        <v>17067000000</v>
      </c>
      <c r="E3168" s="1552">
        <f>E3169+E3178+E3181+E3185+E3192+E3201+E3206+E3210+E3213+E3216</f>
        <v>16065561613</v>
      </c>
      <c r="F3168" s="1030">
        <f t="shared" ref="F3168:F3176" si="91">E3168/D3168*100</f>
        <v>94.132311554461822</v>
      </c>
      <c r="G3168" s="2315">
        <f>SUM(G3169+G3178+G3181+G3185+G3192+G3201+G3206+G3210+G3213+G3216)/10</f>
        <v>100</v>
      </c>
      <c r="H3168" s="553"/>
      <c r="J3168" s="2069"/>
      <c r="K3168" s="2069"/>
    </row>
    <row r="3169" spans="2:8" ht="17.25" hidden="1" customHeight="1" x14ac:dyDescent="0.25">
      <c r="B3169" s="2913"/>
      <c r="C3169" s="4299" t="s">
        <v>368</v>
      </c>
      <c r="D3169" s="1556">
        <f>SUM(D3170:D3176)</f>
        <v>5600000000</v>
      </c>
      <c r="E3169" s="1556">
        <f>SUM(E3170:E3176)</f>
        <v>5160360000</v>
      </c>
      <c r="F3169" s="3803">
        <f t="shared" si="91"/>
        <v>92.14928571428571</v>
      </c>
      <c r="G3169" s="2484">
        <v>100</v>
      </c>
      <c r="H3169" s="535"/>
    </row>
    <row r="3170" spans="2:8" ht="15.75" hidden="1" customHeight="1" x14ac:dyDescent="0.25">
      <c r="B3170" s="2913"/>
      <c r="C3170" s="4104" t="s">
        <v>369</v>
      </c>
      <c r="D3170" s="812">
        <v>2000000000</v>
      </c>
      <c r="E3170" s="3744">
        <v>1580926900</v>
      </c>
      <c r="F3170" s="4123">
        <f t="shared" si="91"/>
        <v>79.046345000000002</v>
      </c>
      <c r="G3170" s="2338">
        <v>100</v>
      </c>
      <c r="H3170" s="535"/>
    </row>
    <row r="3171" spans="2:8" ht="13.5" hidden="1" customHeight="1" x14ac:dyDescent="0.25">
      <c r="B3171" s="2913"/>
      <c r="C3171" s="4104" t="s">
        <v>438</v>
      </c>
      <c r="D3171" s="812">
        <v>1200000000</v>
      </c>
      <c r="E3171" s="3746">
        <v>1198980000</v>
      </c>
      <c r="F3171" s="4123">
        <f t="shared" si="91"/>
        <v>99.914999999999992</v>
      </c>
      <c r="G3171" s="2338">
        <v>100</v>
      </c>
      <c r="H3171" s="535"/>
    </row>
    <row r="3172" spans="2:8" ht="12.75" hidden="1" customHeight="1" x14ac:dyDescent="0.25">
      <c r="B3172" s="2913"/>
      <c r="C3172" s="4104" t="s">
        <v>439</v>
      </c>
      <c r="D3172" s="812">
        <v>500000000</v>
      </c>
      <c r="E3172" s="3746">
        <v>492258000</v>
      </c>
      <c r="F3172" s="4123">
        <f t="shared" si="91"/>
        <v>98.451599999999999</v>
      </c>
      <c r="G3172" s="2338">
        <v>100</v>
      </c>
      <c r="H3172" s="535"/>
    </row>
    <row r="3173" spans="2:8" ht="14.25" hidden="1" customHeight="1" x14ac:dyDescent="0.25">
      <c r="B3173" s="2913"/>
      <c r="C3173" s="4104" t="s">
        <v>440</v>
      </c>
      <c r="D3173" s="812">
        <v>500000000</v>
      </c>
      <c r="E3173" s="3746">
        <v>497186000</v>
      </c>
      <c r="F3173" s="4123">
        <f t="shared" si="91"/>
        <v>99.437200000000004</v>
      </c>
      <c r="G3173" s="2338">
        <v>100</v>
      </c>
      <c r="H3173" s="535"/>
    </row>
    <row r="3174" spans="2:8" ht="15.75" hidden="1" customHeight="1" x14ac:dyDescent="0.25">
      <c r="B3174" s="2913"/>
      <c r="C3174" s="4104" t="s">
        <v>441</v>
      </c>
      <c r="D3174" s="812">
        <v>500000000</v>
      </c>
      <c r="E3174" s="3746">
        <v>495746900</v>
      </c>
      <c r="F3174" s="4123">
        <f t="shared" si="91"/>
        <v>99.149379999999994</v>
      </c>
      <c r="G3174" s="2338">
        <v>100</v>
      </c>
      <c r="H3174" s="535"/>
    </row>
    <row r="3175" spans="2:8" ht="13.5" hidden="1" customHeight="1" x14ac:dyDescent="0.25">
      <c r="B3175" s="2913"/>
      <c r="C3175" s="4104" t="s">
        <v>442</v>
      </c>
      <c r="D3175" s="812">
        <v>500000000</v>
      </c>
      <c r="E3175" s="3744">
        <v>496950000</v>
      </c>
      <c r="F3175" s="4123">
        <f t="shared" si="91"/>
        <v>99.39</v>
      </c>
      <c r="G3175" s="2338">
        <v>100</v>
      </c>
      <c r="H3175" s="535"/>
    </row>
    <row r="3176" spans="2:8" ht="17.25" hidden="1" customHeight="1" x14ac:dyDescent="0.25">
      <c r="B3176" s="2913"/>
      <c r="C3176" s="4104" t="s">
        <v>443</v>
      </c>
      <c r="D3176" s="812">
        <v>400000000</v>
      </c>
      <c r="E3176" s="3746">
        <v>398312200</v>
      </c>
      <c r="F3176" s="4123">
        <f t="shared" si="91"/>
        <v>99.57804999999999</v>
      </c>
      <c r="G3176" s="2338">
        <v>100</v>
      </c>
      <c r="H3176" s="535"/>
    </row>
    <row r="3177" spans="2:8" ht="6.75" hidden="1" customHeight="1" x14ac:dyDescent="0.25">
      <c r="B3177" s="2913"/>
      <c r="C3177" s="4104"/>
      <c r="D3177" s="812"/>
      <c r="E3177" s="894"/>
      <c r="F3177" s="4123"/>
      <c r="G3177" s="2338"/>
      <c r="H3177" s="535"/>
    </row>
    <row r="3178" spans="2:8" ht="17.25" hidden="1" customHeight="1" x14ac:dyDescent="0.25">
      <c r="B3178" s="2913"/>
      <c r="C3178" s="4299" t="s">
        <v>370</v>
      </c>
      <c r="D3178" s="1557">
        <f>SUM(D3179:D3179)</f>
        <v>130000000</v>
      </c>
      <c r="E3178" s="1557">
        <f>SUM(E3179:E3179)</f>
        <v>130000000</v>
      </c>
      <c r="F3178" s="3803">
        <f>E3178/D3178*100</f>
        <v>100</v>
      </c>
      <c r="G3178" s="3803">
        <v>100</v>
      </c>
      <c r="H3178" s="535"/>
    </row>
    <row r="3179" spans="2:8" ht="16.5" hidden="1" customHeight="1" x14ac:dyDescent="0.25">
      <c r="B3179" s="2913"/>
      <c r="C3179" s="4104" t="s">
        <v>444</v>
      </c>
      <c r="D3179" s="812">
        <v>130000000</v>
      </c>
      <c r="E3179" s="3744">
        <v>130000000</v>
      </c>
      <c r="F3179" s="4123">
        <f>E3179/D3179*100</f>
        <v>100</v>
      </c>
      <c r="G3179" s="4123">
        <v>100</v>
      </c>
      <c r="H3179" s="535"/>
    </row>
    <row r="3180" spans="2:8" ht="11.25" hidden="1" customHeight="1" x14ac:dyDescent="0.25">
      <c r="B3180" s="2913"/>
      <c r="C3180" s="4104"/>
      <c r="D3180" s="812"/>
      <c r="E3180" s="666"/>
      <c r="F3180" s="1717"/>
      <c r="G3180" s="1717"/>
      <c r="H3180" s="535"/>
    </row>
    <row r="3181" spans="2:8" ht="14.25" hidden="1" customHeight="1" x14ac:dyDescent="0.25">
      <c r="B3181" s="2913"/>
      <c r="C3181" s="4299" t="s">
        <v>445</v>
      </c>
      <c r="D3181" s="1557">
        <f>SUM(D3182:D3183)</f>
        <v>91750000</v>
      </c>
      <c r="E3181" s="1557">
        <f>SUM(E3182:E3183)</f>
        <v>91750000</v>
      </c>
      <c r="F3181" s="3803">
        <f>E3181/D3181*100</f>
        <v>100</v>
      </c>
      <c r="G3181" s="3803">
        <v>100</v>
      </c>
      <c r="H3181" s="535"/>
    </row>
    <row r="3182" spans="2:8" ht="15.75" hidden="1" customHeight="1" x14ac:dyDescent="0.25">
      <c r="B3182" s="2913"/>
      <c r="C3182" s="4104" t="s">
        <v>446</v>
      </c>
      <c r="D3182" s="812">
        <v>40000000</v>
      </c>
      <c r="E3182" s="3744">
        <v>40000000</v>
      </c>
      <c r="F3182" s="4123">
        <f>E3182/D3182*100</f>
        <v>100</v>
      </c>
      <c r="G3182" s="4123">
        <v>100</v>
      </c>
      <c r="H3182" s="535"/>
    </row>
    <row r="3183" spans="2:8" ht="18" hidden="1" customHeight="1" x14ac:dyDescent="0.25">
      <c r="B3183" s="2913"/>
      <c r="C3183" s="4104" t="s">
        <v>447</v>
      </c>
      <c r="D3183" s="812">
        <v>51750000</v>
      </c>
      <c r="E3183" s="3744">
        <v>51750000</v>
      </c>
      <c r="F3183" s="4123">
        <f>E3183/D3183*100</f>
        <v>100</v>
      </c>
      <c r="G3183" s="4123">
        <v>100</v>
      </c>
      <c r="H3183" s="535"/>
    </row>
    <row r="3184" spans="2:8" ht="8.25" hidden="1" customHeight="1" x14ac:dyDescent="0.25">
      <c r="B3184" s="2913"/>
      <c r="C3184" s="4104"/>
      <c r="D3184" s="812"/>
      <c r="E3184" s="666"/>
      <c r="F3184" s="1717"/>
      <c r="G3184" s="2338"/>
      <c r="H3184" s="535"/>
    </row>
    <row r="3185" spans="2:8" ht="15" hidden="1" customHeight="1" x14ac:dyDescent="0.25">
      <c r="B3185" s="2913"/>
      <c r="C3185" s="4299" t="s">
        <v>453</v>
      </c>
      <c r="D3185" s="1557">
        <f>SUM(D3186:D3190)</f>
        <v>338750000</v>
      </c>
      <c r="E3185" s="1557">
        <f>SUM(E3186:E3190)</f>
        <v>326150000</v>
      </c>
      <c r="F3185" s="3803">
        <f t="shared" ref="F3185:F3190" si="92">E3185/D3185*100</f>
        <v>96.280442804428048</v>
      </c>
      <c r="G3185" s="2496">
        <v>100</v>
      </c>
      <c r="H3185" s="535"/>
    </row>
    <row r="3186" spans="2:8" ht="14.25" hidden="1" customHeight="1" x14ac:dyDescent="0.25">
      <c r="B3186" s="2913"/>
      <c r="C3186" s="4104" t="s">
        <v>448</v>
      </c>
      <c r="D3186" s="812">
        <v>82000000</v>
      </c>
      <c r="E3186" s="3744">
        <v>69400000</v>
      </c>
      <c r="F3186" s="4123">
        <f t="shared" si="92"/>
        <v>84.634146341463406</v>
      </c>
      <c r="G3186" s="2338">
        <v>100</v>
      </c>
      <c r="H3186" s="535"/>
    </row>
    <row r="3187" spans="2:8" ht="14.25" hidden="1" customHeight="1" x14ac:dyDescent="0.25">
      <c r="B3187" s="2913"/>
      <c r="C3187" s="4104" t="s">
        <v>449</v>
      </c>
      <c r="D3187" s="812">
        <v>69400000</v>
      </c>
      <c r="E3187" s="3746">
        <v>69400000</v>
      </c>
      <c r="F3187" s="4123">
        <f t="shared" si="92"/>
        <v>100</v>
      </c>
      <c r="G3187" s="2338">
        <v>100</v>
      </c>
      <c r="H3187" s="535"/>
    </row>
    <row r="3188" spans="2:8" ht="14.25" hidden="1" customHeight="1" x14ac:dyDescent="0.25">
      <c r="B3188" s="2913"/>
      <c r="C3188" s="4104" t="s">
        <v>450</v>
      </c>
      <c r="D3188" s="812">
        <v>62450000</v>
      </c>
      <c r="E3188" s="3744">
        <v>62450000</v>
      </c>
      <c r="F3188" s="4123">
        <f t="shared" si="92"/>
        <v>100</v>
      </c>
      <c r="G3188" s="2338">
        <v>100</v>
      </c>
      <c r="H3188" s="535"/>
    </row>
    <row r="3189" spans="2:8" ht="14.25" hidden="1" customHeight="1" x14ac:dyDescent="0.25">
      <c r="B3189" s="2913"/>
      <c r="C3189" s="4104" t="s">
        <v>451</v>
      </c>
      <c r="D3189" s="812">
        <v>62450000</v>
      </c>
      <c r="E3189" s="3744">
        <v>62450000</v>
      </c>
      <c r="F3189" s="4123">
        <f t="shared" si="92"/>
        <v>100</v>
      </c>
      <c r="G3189" s="2338">
        <v>100</v>
      </c>
      <c r="H3189" s="535"/>
    </row>
    <row r="3190" spans="2:8" ht="15.75" hidden="1" customHeight="1" x14ac:dyDescent="0.25">
      <c r="B3190" s="2913"/>
      <c r="C3190" s="4104" t="s">
        <v>452</v>
      </c>
      <c r="D3190" s="812">
        <v>62450000</v>
      </c>
      <c r="E3190" s="3744">
        <v>62450000</v>
      </c>
      <c r="F3190" s="4123">
        <f t="shared" si="92"/>
        <v>100</v>
      </c>
      <c r="G3190" s="2338">
        <v>100</v>
      </c>
      <c r="H3190" s="535"/>
    </row>
    <row r="3191" spans="2:8" ht="10.5" hidden="1" customHeight="1" x14ac:dyDescent="0.25">
      <c r="B3191" s="2913"/>
      <c r="C3191" s="4104"/>
      <c r="D3191" s="812"/>
      <c r="E3191" s="894"/>
      <c r="F3191" s="1315"/>
      <c r="G3191" s="2483"/>
      <c r="H3191" s="535"/>
    </row>
    <row r="3192" spans="2:8" ht="16.5" hidden="1" customHeight="1" x14ac:dyDescent="0.25">
      <c r="B3192" s="2913"/>
      <c r="C3192" s="4299" t="s">
        <v>454</v>
      </c>
      <c r="D3192" s="1557">
        <f>SUM(D3193:D3199)</f>
        <v>10050000000</v>
      </c>
      <c r="E3192" s="1557">
        <f>SUM(E3193:E3199)</f>
        <v>9789601613</v>
      </c>
      <c r="F3192" s="3803">
        <f t="shared" ref="F3192:F3199" si="93">E3192/D3192*100</f>
        <v>97.408971273631835</v>
      </c>
      <c r="G3192" s="2496">
        <v>100</v>
      </c>
      <c r="H3192" s="535"/>
    </row>
    <row r="3193" spans="2:8" ht="16.5" hidden="1" customHeight="1" x14ac:dyDescent="0.25">
      <c r="B3193" s="2913"/>
      <c r="C3193" s="4104" t="s">
        <v>455</v>
      </c>
      <c r="D3193" s="812">
        <v>600000000</v>
      </c>
      <c r="E3193" s="666">
        <v>594000000</v>
      </c>
      <c r="F3193" s="4123">
        <f t="shared" si="93"/>
        <v>99</v>
      </c>
      <c r="G3193" s="2338">
        <v>100</v>
      </c>
      <c r="H3193" s="535"/>
    </row>
    <row r="3194" spans="2:8" ht="17.25" hidden="1" customHeight="1" x14ac:dyDescent="0.25">
      <c r="B3194" s="2913"/>
      <c r="C3194" s="4104" t="s">
        <v>456</v>
      </c>
      <c r="D3194" s="812">
        <v>1100000000</v>
      </c>
      <c r="E3194" s="666">
        <v>1083500000</v>
      </c>
      <c r="F3194" s="4123">
        <f t="shared" si="93"/>
        <v>98.5</v>
      </c>
      <c r="G3194" s="2338">
        <v>100</v>
      </c>
      <c r="H3194" s="535"/>
    </row>
    <row r="3195" spans="2:8" ht="14.25" hidden="1" customHeight="1" x14ac:dyDescent="0.25">
      <c r="B3195" s="2913"/>
      <c r="C3195" s="4104" t="s">
        <v>457</v>
      </c>
      <c r="D3195" s="812">
        <v>1000000000</v>
      </c>
      <c r="E3195" s="666">
        <v>839104113</v>
      </c>
      <c r="F3195" s="4123">
        <f t="shared" si="93"/>
        <v>83.910411299999993</v>
      </c>
      <c r="G3195" s="2338">
        <v>100</v>
      </c>
      <c r="H3195" s="535"/>
    </row>
    <row r="3196" spans="2:8" ht="15.75" hidden="1" customHeight="1" x14ac:dyDescent="0.25">
      <c r="B3196" s="2913"/>
      <c r="C3196" s="4104" t="s">
        <v>458</v>
      </c>
      <c r="D3196" s="812">
        <v>1200000000</v>
      </c>
      <c r="E3196" s="666">
        <v>1199197500</v>
      </c>
      <c r="F3196" s="4123">
        <f t="shared" si="93"/>
        <v>99.933125000000004</v>
      </c>
      <c r="G3196" s="2338">
        <v>100</v>
      </c>
      <c r="H3196" s="535"/>
    </row>
    <row r="3197" spans="2:8" ht="14.25" hidden="1" customHeight="1" x14ac:dyDescent="0.25">
      <c r="B3197" s="2913"/>
      <c r="C3197" s="4104" t="s">
        <v>459</v>
      </c>
      <c r="D3197" s="812">
        <v>3000000000</v>
      </c>
      <c r="E3197" s="666">
        <v>2986800000</v>
      </c>
      <c r="F3197" s="4123">
        <f t="shared" si="93"/>
        <v>99.56</v>
      </c>
      <c r="G3197" s="2338">
        <v>100</v>
      </c>
      <c r="H3197" s="535"/>
    </row>
    <row r="3198" spans="2:8" ht="16.5" hidden="1" customHeight="1" x14ac:dyDescent="0.25">
      <c r="B3198" s="2913"/>
      <c r="C3198" s="4104" t="s">
        <v>460</v>
      </c>
      <c r="D3198" s="812">
        <v>950000000</v>
      </c>
      <c r="E3198" s="666">
        <v>931000000</v>
      </c>
      <c r="F3198" s="4123">
        <f t="shared" si="93"/>
        <v>98</v>
      </c>
      <c r="G3198" s="2338">
        <v>100</v>
      </c>
      <c r="H3198" s="535"/>
    </row>
    <row r="3199" spans="2:8" ht="17.25" hidden="1" customHeight="1" x14ac:dyDescent="0.25">
      <c r="B3199" s="2913"/>
      <c r="C3199" s="4104" t="s">
        <v>461</v>
      </c>
      <c r="D3199" s="812">
        <v>2200000000</v>
      </c>
      <c r="E3199" s="666">
        <v>2156000000</v>
      </c>
      <c r="F3199" s="4123">
        <f t="shared" si="93"/>
        <v>98</v>
      </c>
      <c r="G3199" s="2338">
        <v>100</v>
      </c>
      <c r="H3199" s="535"/>
    </row>
    <row r="3200" spans="2:8" ht="6.75" hidden="1" customHeight="1" x14ac:dyDescent="0.25">
      <c r="B3200" s="2913"/>
      <c r="C3200" s="4104"/>
      <c r="D3200" s="812"/>
      <c r="E3200" s="894"/>
      <c r="F3200" s="1315"/>
      <c r="G3200" s="2338"/>
      <c r="H3200" s="535"/>
    </row>
    <row r="3201" spans="2:8" ht="16.5" hidden="1" customHeight="1" x14ac:dyDescent="0.25">
      <c r="B3201" s="2913"/>
      <c r="C3201" s="4299" t="s">
        <v>462</v>
      </c>
      <c r="D3201" s="1557">
        <f>SUM(D3202:D3204)</f>
        <v>524600000</v>
      </c>
      <c r="E3201" s="1557">
        <f>SUM(E3202:E3204)</f>
        <v>235800000</v>
      </c>
      <c r="F3201" s="3803">
        <f>E3201/D3201*100</f>
        <v>44.948532215020968</v>
      </c>
      <c r="G3201" s="2496">
        <v>100</v>
      </c>
      <c r="H3201" s="535"/>
    </row>
    <row r="3202" spans="2:8" ht="13.5" hidden="1" customHeight="1" x14ac:dyDescent="0.25">
      <c r="B3202" s="2913"/>
      <c r="C3202" s="4104" t="s">
        <v>463</v>
      </c>
      <c r="D3202" s="812">
        <v>400000000</v>
      </c>
      <c r="E3202" s="3746">
        <v>111200000</v>
      </c>
      <c r="F3202" s="4123">
        <f>E3202/D3202*100</f>
        <v>27.800000000000004</v>
      </c>
      <c r="G3202" s="2338">
        <v>100</v>
      </c>
      <c r="H3202" s="535"/>
    </row>
    <row r="3203" spans="2:8" ht="17.25" hidden="1" customHeight="1" x14ac:dyDescent="0.25">
      <c r="B3203" s="2913"/>
      <c r="C3203" s="4104" t="s">
        <v>464</v>
      </c>
      <c r="D3203" s="812">
        <v>58300000</v>
      </c>
      <c r="E3203" s="3746">
        <v>58300000</v>
      </c>
      <c r="F3203" s="4123">
        <f>E3203/D3203*100</f>
        <v>100</v>
      </c>
      <c r="G3203" s="2338">
        <v>100</v>
      </c>
      <c r="H3203" s="535"/>
    </row>
    <row r="3204" spans="2:8" ht="14.25" hidden="1" customHeight="1" x14ac:dyDescent="0.25">
      <c r="B3204" s="2913"/>
      <c r="C3204" s="4104" t="s">
        <v>465</v>
      </c>
      <c r="D3204" s="812">
        <v>66300000</v>
      </c>
      <c r="E3204" s="3746">
        <v>66300000</v>
      </c>
      <c r="F3204" s="4123">
        <f>E3204/D3204*100</f>
        <v>100</v>
      </c>
      <c r="G3204" s="2338">
        <v>100</v>
      </c>
      <c r="H3204" s="535"/>
    </row>
    <row r="3205" spans="2:8" ht="9" hidden="1" customHeight="1" x14ac:dyDescent="0.25">
      <c r="B3205" s="2913"/>
      <c r="C3205" s="4104"/>
      <c r="D3205" s="812"/>
      <c r="E3205" s="666"/>
      <c r="F3205" s="2456"/>
      <c r="G3205" s="2338"/>
      <c r="H3205" s="535"/>
    </row>
    <row r="3206" spans="2:8" ht="17.25" hidden="1" customHeight="1" x14ac:dyDescent="0.25">
      <c r="B3206" s="2913"/>
      <c r="C3206" s="4299" t="s">
        <v>466</v>
      </c>
      <c r="D3206" s="1557">
        <f>SUM(D3207:D3208)</f>
        <v>102850000</v>
      </c>
      <c r="E3206" s="1557">
        <f>SUM(E3207:E3208)</f>
        <v>102850000</v>
      </c>
      <c r="F3206" s="3803">
        <f>E3206/D3206*100</f>
        <v>100</v>
      </c>
      <c r="G3206" s="2496">
        <v>100</v>
      </c>
      <c r="H3206" s="535"/>
    </row>
    <row r="3207" spans="2:8" ht="13.5" hidden="1" customHeight="1" x14ac:dyDescent="0.25">
      <c r="B3207" s="2913"/>
      <c r="C3207" s="4104" t="s">
        <v>467</v>
      </c>
      <c r="D3207" s="812">
        <v>62700000</v>
      </c>
      <c r="E3207" s="3746">
        <v>62700000</v>
      </c>
      <c r="F3207" s="4123">
        <f>E3207/D3207*100</f>
        <v>100</v>
      </c>
      <c r="G3207" s="2338">
        <v>100</v>
      </c>
      <c r="H3207" s="535"/>
    </row>
    <row r="3208" spans="2:8" ht="18" hidden="1" customHeight="1" x14ac:dyDescent="0.25">
      <c r="B3208" s="2913"/>
      <c r="C3208" s="4104" t="s">
        <v>468</v>
      </c>
      <c r="D3208" s="812">
        <v>40150000</v>
      </c>
      <c r="E3208" s="3746">
        <v>40150000</v>
      </c>
      <c r="F3208" s="4123">
        <f>E3208/D3208*100</f>
        <v>100</v>
      </c>
      <c r="G3208" s="2338">
        <v>100</v>
      </c>
      <c r="H3208" s="535"/>
    </row>
    <row r="3209" spans="2:8" ht="10.5" hidden="1" customHeight="1" x14ac:dyDescent="0.25">
      <c r="B3209" s="2913"/>
      <c r="C3209" s="4104"/>
      <c r="D3209" s="1560"/>
      <c r="E3209" s="894"/>
      <c r="F3209" s="1315"/>
      <c r="G3209" s="2483"/>
      <c r="H3209" s="535"/>
    </row>
    <row r="3210" spans="2:8" ht="13.5" hidden="1" customHeight="1" x14ac:dyDescent="0.25">
      <c r="B3210" s="2913"/>
      <c r="C3210" s="4299" t="s">
        <v>469</v>
      </c>
      <c r="D3210" s="1557">
        <f>SUM(D3211:D3211)</f>
        <v>79150000</v>
      </c>
      <c r="E3210" s="1557">
        <f>SUM(E3211:E3211)</f>
        <v>79150000</v>
      </c>
      <c r="F3210" s="3803">
        <f>E3210/D3210*100</f>
        <v>100</v>
      </c>
      <c r="G3210" s="2496">
        <v>100</v>
      </c>
      <c r="H3210" s="535"/>
    </row>
    <row r="3211" spans="2:8" ht="18" hidden="1" customHeight="1" x14ac:dyDescent="0.25">
      <c r="B3211" s="2913"/>
      <c r="C3211" s="4104" t="s">
        <v>474</v>
      </c>
      <c r="D3211" s="812">
        <v>79150000</v>
      </c>
      <c r="E3211" s="3744">
        <v>79150000</v>
      </c>
      <c r="F3211" s="4123">
        <f>E3211/D3211*100</f>
        <v>100</v>
      </c>
      <c r="G3211" s="2338">
        <v>100</v>
      </c>
      <c r="H3211" s="535"/>
    </row>
    <row r="3212" spans="2:8" ht="7.5" hidden="1" customHeight="1" x14ac:dyDescent="0.25">
      <c r="B3212" s="2913"/>
      <c r="C3212" s="4104"/>
      <c r="D3212" s="812"/>
      <c r="E3212" s="666"/>
      <c r="F3212" s="1717"/>
      <c r="G3212" s="2338"/>
      <c r="H3212" s="535"/>
    </row>
    <row r="3213" spans="2:8" ht="13.5" hidden="1" customHeight="1" x14ac:dyDescent="0.25">
      <c r="B3213" s="2913"/>
      <c r="C3213" s="4299" t="s">
        <v>470</v>
      </c>
      <c r="D3213" s="1557">
        <f>SUM(D3214:D3214)</f>
        <v>69900000</v>
      </c>
      <c r="E3213" s="1557">
        <f>SUM(E3214:E3214)</f>
        <v>69900000</v>
      </c>
      <c r="F3213" s="3803">
        <f>E3213/D3213*100</f>
        <v>100</v>
      </c>
      <c r="G3213" s="2496">
        <v>100</v>
      </c>
      <c r="H3213" s="535"/>
    </row>
    <row r="3214" spans="2:8" ht="18" hidden="1" customHeight="1" x14ac:dyDescent="0.25">
      <c r="B3214" s="2913"/>
      <c r="C3214" s="4104" t="s">
        <v>471</v>
      </c>
      <c r="D3214" s="812">
        <v>69900000</v>
      </c>
      <c r="E3214" s="3744">
        <v>69900000</v>
      </c>
      <c r="F3214" s="4123">
        <f>E3214/D3214*100</f>
        <v>100</v>
      </c>
      <c r="G3214" s="2338">
        <v>100</v>
      </c>
      <c r="H3214" s="535"/>
    </row>
    <row r="3215" spans="2:8" ht="7.5" hidden="1" customHeight="1" x14ac:dyDescent="0.25">
      <c r="B3215" s="2913"/>
      <c r="C3215" s="4104"/>
      <c r="D3215" s="812"/>
      <c r="E3215" s="666"/>
      <c r="F3215" s="1717"/>
      <c r="G3215" s="2338"/>
      <c r="H3215" s="535"/>
    </row>
    <row r="3216" spans="2:8" ht="15" hidden="1" customHeight="1" x14ac:dyDescent="0.25">
      <c r="B3216" s="2913"/>
      <c r="C3216" s="4299" t="s">
        <v>472</v>
      </c>
      <c r="D3216" s="1557">
        <f>SUM(D3217:D3217)</f>
        <v>80000000</v>
      </c>
      <c r="E3216" s="1557">
        <f>SUM(E3217:E3217)</f>
        <v>80000000</v>
      </c>
      <c r="F3216" s="3803">
        <f>E3216/D3216*100</f>
        <v>100</v>
      </c>
      <c r="G3216" s="2496">
        <v>100</v>
      </c>
      <c r="H3216" s="535"/>
    </row>
    <row r="3217" spans="1:11" ht="15.75" hidden="1" customHeight="1" x14ac:dyDescent="0.25">
      <c r="B3217" s="2913"/>
      <c r="C3217" s="4104" t="s">
        <v>473</v>
      </c>
      <c r="D3217" s="812">
        <v>80000000</v>
      </c>
      <c r="E3217" s="812">
        <v>80000000</v>
      </c>
      <c r="F3217" s="4123">
        <f>E3217/D3217*100</f>
        <v>100</v>
      </c>
      <c r="G3217" s="2338">
        <v>100</v>
      </c>
      <c r="H3217" s="535"/>
    </row>
    <row r="3218" spans="1:11" ht="10.5" hidden="1" customHeight="1" x14ac:dyDescent="0.25">
      <c r="B3218" s="2913"/>
      <c r="C3218" s="3861"/>
      <c r="D3218" s="1609"/>
      <c r="E3218" s="868"/>
      <c r="F3218" s="2281"/>
      <c r="G3218" s="2314"/>
      <c r="H3218" s="535"/>
    </row>
    <row r="3219" spans="1:11" ht="13.5" hidden="1" customHeight="1" x14ac:dyDescent="0.25">
      <c r="B3219" s="5397"/>
      <c r="C3219" s="3858" t="s">
        <v>477</v>
      </c>
      <c r="D3219" s="1552">
        <f>D3220+D3224</f>
        <v>3500000000</v>
      </c>
      <c r="E3219" s="1552">
        <f>E3220+E3224</f>
        <v>1965526072</v>
      </c>
      <c r="F3219" s="1030">
        <f>E3219/D3219*100</f>
        <v>56.15788777142857</v>
      </c>
      <c r="G3219" s="2315">
        <f>SUM(G3220)/2</f>
        <v>50</v>
      </c>
      <c r="H3219" s="536"/>
    </row>
    <row r="3220" spans="1:11" ht="15.75" hidden="1" customHeight="1" x14ac:dyDescent="0.25">
      <c r="B3220" s="2913"/>
      <c r="C3220" s="4299" t="s">
        <v>898</v>
      </c>
      <c r="D3220" s="1610">
        <f>SUM(D3221:D3222)</f>
        <v>2000000000</v>
      </c>
      <c r="E3220" s="1610">
        <f>SUM(E3221:E3222)</f>
        <v>1965526072</v>
      </c>
      <c r="F3220" s="2434">
        <f>E3220/D3220*100</f>
        <v>98.276303600000006</v>
      </c>
      <c r="G3220" s="4358">
        <v>100</v>
      </c>
      <c r="H3220" s="535"/>
    </row>
    <row r="3221" spans="1:11" ht="14.25" hidden="1" customHeight="1" x14ac:dyDescent="0.25">
      <c r="B3221" s="2913"/>
      <c r="C3221" s="4104" t="s">
        <v>478</v>
      </c>
      <c r="D3221" s="812">
        <v>1000000000</v>
      </c>
      <c r="E3221" s="1121">
        <v>979999388</v>
      </c>
      <c r="F3221" s="3772">
        <f>E3221/D3221*100</f>
        <v>97.999938799999995</v>
      </c>
      <c r="G3221" s="1121">
        <v>100</v>
      </c>
      <c r="H3221" s="535"/>
    </row>
    <row r="3222" spans="1:11" ht="17.25" hidden="1" customHeight="1" x14ac:dyDescent="0.25">
      <c r="B3222" s="2913"/>
      <c r="C3222" s="4104" t="s">
        <v>394</v>
      </c>
      <c r="D3222" s="812">
        <v>1000000000</v>
      </c>
      <c r="E3222" s="3746">
        <v>985526684</v>
      </c>
      <c r="F3222" s="3772">
        <f>E3222/D3222*100</f>
        <v>98.552668400000002</v>
      </c>
      <c r="G3222" s="2338">
        <v>100</v>
      </c>
      <c r="H3222" s="535"/>
    </row>
    <row r="3223" spans="1:11" s="3747" customFormat="1" ht="9.75" hidden="1" customHeight="1" x14ac:dyDescent="0.25">
      <c r="A3223" s="3618"/>
      <c r="B3223" s="2913"/>
      <c r="C3223" s="3892"/>
      <c r="D3223" s="1558"/>
      <c r="E3223" s="3746"/>
      <c r="F3223" s="5291"/>
      <c r="G3223" s="3290"/>
      <c r="H3223" s="579"/>
      <c r="J3223" s="522"/>
      <c r="K3223" s="522"/>
    </row>
    <row r="3224" spans="1:11" ht="17.25" hidden="1" customHeight="1" x14ac:dyDescent="0.25">
      <c r="B3224" s="2913"/>
      <c r="C3224" s="4116" t="s">
        <v>4834</v>
      </c>
      <c r="D3224" s="1601">
        <f>D3225</f>
        <v>1500000000</v>
      </c>
      <c r="E3224" s="2484">
        <v>0</v>
      </c>
      <c r="F3224" s="2484">
        <v>0</v>
      </c>
      <c r="G3224" s="2484">
        <v>0</v>
      </c>
      <c r="H3224" s="579"/>
    </row>
    <row r="3225" spans="1:11" s="3747" customFormat="1" ht="15.75" hidden="1" customHeight="1" x14ac:dyDescent="0.25">
      <c r="A3225" s="3618"/>
      <c r="B3225" s="2913"/>
      <c r="C3225" s="4104" t="s">
        <v>4835</v>
      </c>
      <c r="D3225" s="3757">
        <v>1500000000</v>
      </c>
      <c r="E3225" s="2338">
        <v>0</v>
      </c>
      <c r="F3225" s="2338">
        <v>0</v>
      </c>
      <c r="G3225" s="2338">
        <v>0</v>
      </c>
      <c r="H3225" s="579"/>
      <c r="J3225" s="522"/>
      <c r="K3225" s="522"/>
    </row>
    <row r="3226" spans="1:11" s="3747" customFormat="1" ht="12" hidden="1" customHeight="1" x14ac:dyDescent="0.25">
      <c r="A3226" s="3618"/>
      <c r="B3226" s="2913"/>
      <c r="C3226" s="4016"/>
      <c r="D3226" s="3752"/>
      <c r="E3226" s="3753"/>
      <c r="F3226" s="3750"/>
      <c r="G3226" s="3751"/>
      <c r="H3226" s="579"/>
      <c r="J3226" s="522"/>
      <c r="K3226" s="522"/>
    </row>
    <row r="3227" spans="1:11" ht="15.75" hidden="1" customHeight="1" x14ac:dyDescent="0.25">
      <c r="B3227" s="5397"/>
      <c r="C3227" s="3994" t="s">
        <v>2333</v>
      </c>
      <c r="D3227" s="1552">
        <f>D3228+D3233+D3243+D3239+D3247+D3250</f>
        <v>22853000000</v>
      </c>
      <c r="E3227" s="1552">
        <f>E3228+E3233+E3243+E3239+E3247+E3250</f>
        <v>21726584000</v>
      </c>
      <c r="F3227" s="1030">
        <f>E3227/D3227*100</f>
        <v>95.071036625388345</v>
      </c>
      <c r="G3227" s="2315">
        <v>100</v>
      </c>
      <c r="H3227" s="535"/>
    </row>
    <row r="3228" spans="1:11" ht="18" hidden="1" customHeight="1" x14ac:dyDescent="0.25">
      <c r="B3228" s="2913"/>
      <c r="C3228" s="4103" t="s">
        <v>359</v>
      </c>
      <c r="D3228" s="1557">
        <f>SUM(D3229:D3231)</f>
        <v>6100000000</v>
      </c>
      <c r="E3228" s="1557">
        <f>SUM(E3229:E3231)</f>
        <v>5930350000</v>
      </c>
      <c r="F3228" s="3835">
        <f>E3228/D3228*100</f>
        <v>97.218852459016389</v>
      </c>
      <c r="G3228" s="2496">
        <v>100</v>
      </c>
      <c r="H3228" s="535"/>
    </row>
    <row r="3229" spans="1:11" ht="14.25" hidden="1" customHeight="1" x14ac:dyDescent="0.25">
      <c r="B3229" s="2913"/>
      <c r="C3229" s="4104" t="s">
        <v>479</v>
      </c>
      <c r="D3229" s="812">
        <v>2500000000</v>
      </c>
      <c r="E3229" s="3744">
        <v>2425718000</v>
      </c>
      <c r="F3229" s="4123">
        <f>E3229/D3229*100</f>
        <v>97.028720000000007</v>
      </c>
      <c r="G3229" s="2338">
        <v>100</v>
      </c>
      <c r="H3229" s="535"/>
    </row>
    <row r="3230" spans="1:11" ht="18" hidden="1" customHeight="1" x14ac:dyDescent="0.25">
      <c r="B3230" s="2913"/>
      <c r="C3230" s="4104" t="s">
        <v>480</v>
      </c>
      <c r="D3230" s="812">
        <v>1000000000</v>
      </c>
      <c r="E3230" s="3744">
        <v>985620000</v>
      </c>
      <c r="F3230" s="4123">
        <f>E3230/D3230*100</f>
        <v>98.562000000000012</v>
      </c>
      <c r="G3230" s="2338">
        <v>100</v>
      </c>
      <c r="H3230" s="535"/>
    </row>
    <row r="3231" spans="1:11" s="3627" customFormat="1" ht="18" hidden="1" customHeight="1" x14ac:dyDescent="0.25">
      <c r="A3231" s="3618"/>
      <c r="B3231" s="2913"/>
      <c r="C3231" s="4104" t="s">
        <v>4796</v>
      </c>
      <c r="D3231" s="812">
        <v>2600000000</v>
      </c>
      <c r="E3231" s="3744">
        <v>2519012000</v>
      </c>
      <c r="F3231" s="4123">
        <f>E3231/D3231*100</f>
        <v>96.885076923076923</v>
      </c>
      <c r="G3231" s="2338">
        <v>100</v>
      </c>
      <c r="H3231" s="3619"/>
      <c r="J3231" s="522"/>
      <c r="K3231" s="522"/>
    </row>
    <row r="3232" spans="1:11" ht="9" hidden="1" customHeight="1" x14ac:dyDescent="0.25">
      <c r="B3232" s="2913"/>
      <c r="C3232" s="4104"/>
      <c r="D3232" s="812"/>
      <c r="E3232" s="666"/>
      <c r="F3232" s="1717"/>
      <c r="G3232" s="2338"/>
      <c r="H3232" s="535"/>
    </row>
    <row r="3233" spans="1:11" ht="17.25" hidden="1" customHeight="1" x14ac:dyDescent="0.25">
      <c r="B3233" s="2913"/>
      <c r="C3233" s="4299" t="s">
        <v>481</v>
      </c>
      <c r="D3233" s="1557">
        <f>SUM(D3234:D3237)</f>
        <v>10000000000</v>
      </c>
      <c r="E3233" s="1557">
        <f>SUM(E3234:E3237)</f>
        <v>9728194000</v>
      </c>
      <c r="F3233" s="3835">
        <f>E3233/D3233*100</f>
        <v>97.281940000000006</v>
      </c>
      <c r="G3233" s="2496">
        <v>100</v>
      </c>
      <c r="H3233" s="535"/>
    </row>
    <row r="3234" spans="1:11" ht="15.75" hidden="1" customHeight="1" x14ac:dyDescent="0.25">
      <c r="B3234" s="2913"/>
      <c r="C3234" s="4104" t="s">
        <v>482</v>
      </c>
      <c r="D3234" s="812">
        <v>1000000000</v>
      </c>
      <c r="E3234" s="1121">
        <v>972814000</v>
      </c>
      <c r="F3234" s="4123">
        <f>E3234/D3234*100</f>
        <v>97.281399999999991</v>
      </c>
      <c r="G3234" s="1121">
        <v>100</v>
      </c>
      <c r="H3234" s="535"/>
    </row>
    <row r="3235" spans="1:11" ht="14.25" hidden="1" customHeight="1" x14ac:dyDescent="0.25">
      <c r="B3235" s="2913"/>
      <c r="C3235" s="4104" t="s">
        <v>483</v>
      </c>
      <c r="D3235" s="812">
        <v>2000000000</v>
      </c>
      <c r="E3235" s="3744">
        <v>1960439000</v>
      </c>
      <c r="F3235" s="4123">
        <f>E3235/D3235*100</f>
        <v>98.021950000000004</v>
      </c>
      <c r="G3235" s="2338">
        <v>100</v>
      </c>
      <c r="H3235" s="535"/>
    </row>
    <row r="3236" spans="1:11" ht="20.25" hidden="1" customHeight="1" x14ac:dyDescent="0.25">
      <c r="B3236" s="2913"/>
      <c r="C3236" s="4104" t="s">
        <v>484</v>
      </c>
      <c r="D3236" s="812">
        <v>5000000000</v>
      </c>
      <c r="E3236" s="3744">
        <v>4851010000</v>
      </c>
      <c r="F3236" s="4123">
        <f>E3236/D3236*100</f>
        <v>97.020200000000003</v>
      </c>
      <c r="G3236" s="2338">
        <v>100</v>
      </c>
      <c r="H3236" s="535"/>
    </row>
    <row r="3237" spans="1:11" ht="21" hidden="1" customHeight="1" x14ac:dyDescent="0.25">
      <c r="B3237" s="2913"/>
      <c r="C3237" s="4104" t="s">
        <v>485</v>
      </c>
      <c r="D3237" s="812">
        <v>2000000000</v>
      </c>
      <c r="E3237" s="3744">
        <v>1943931000</v>
      </c>
      <c r="F3237" s="4123">
        <f>E3237/D3237*100</f>
        <v>97.196550000000002</v>
      </c>
      <c r="G3237" s="2338">
        <v>100</v>
      </c>
      <c r="H3237" s="535"/>
    </row>
    <row r="3238" spans="1:11" ht="9" hidden="1" customHeight="1" x14ac:dyDescent="0.25">
      <c r="B3238" s="2913"/>
      <c r="C3238" s="4104"/>
      <c r="D3238" s="812"/>
      <c r="E3238" s="894"/>
      <c r="F3238" s="2261"/>
      <c r="G3238" s="2338"/>
      <c r="H3238" s="535"/>
    </row>
    <row r="3239" spans="1:11" ht="14.25" hidden="1" customHeight="1" x14ac:dyDescent="0.25">
      <c r="B3239" s="2913"/>
      <c r="C3239" s="4116" t="s">
        <v>4797</v>
      </c>
      <c r="D3239" s="1557">
        <f>SUM(D3240:D3241)</f>
        <v>2953000000</v>
      </c>
      <c r="E3239" s="1557">
        <f>SUM(E3240:E3241)</f>
        <v>2884712000</v>
      </c>
      <c r="F3239" s="3835">
        <f>E3239/D3239*100</f>
        <v>97.6875042329834</v>
      </c>
      <c r="G3239" s="2484">
        <v>100</v>
      </c>
      <c r="H3239" s="535"/>
    </row>
    <row r="3240" spans="1:11" s="3627" customFormat="1" ht="15.75" hidden="1" customHeight="1" x14ac:dyDescent="0.25">
      <c r="A3240" s="3618"/>
      <c r="B3240" s="2913"/>
      <c r="C3240" s="3892" t="s">
        <v>4798</v>
      </c>
      <c r="D3240" s="812">
        <v>1453000000</v>
      </c>
      <c r="E3240" s="666">
        <v>1401800000</v>
      </c>
      <c r="F3240" s="4123">
        <f>E3240/D3240*100</f>
        <v>96.476256022023392</v>
      </c>
      <c r="G3240" s="2338">
        <v>100</v>
      </c>
      <c r="H3240" s="3619"/>
      <c r="J3240" s="522"/>
      <c r="K3240" s="522"/>
    </row>
    <row r="3241" spans="1:11" s="3627" customFormat="1" ht="14.25" hidden="1" customHeight="1" x14ac:dyDescent="0.25">
      <c r="A3241" s="3618"/>
      <c r="B3241" s="2913"/>
      <c r="C3241" s="4104" t="s">
        <v>4799</v>
      </c>
      <c r="D3241" s="812">
        <v>1500000000</v>
      </c>
      <c r="E3241" s="666">
        <v>1482912000</v>
      </c>
      <c r="F3241" s="4123">
        <f>E3241/D3241*100</f>
        <v>98.860799999999998</v>
      </c>
      <c r="G3241" s="2338">
        <v>100</v>
      </c>
      <c r="H3241" s="3619"/>
      <c r="J3241" s="522"/>
      <c r="K3241" s="522"/>
    </row>
    <row r="3242" spans="1:11" s="3627" customFormat="1" ht="8.25" hidden="1" customHeight="1" x14ac:dyDescent="0.25">
      <c r="A3242" s="3618"/>
      <c r="B3242" s="2913"/>
      <c r="C3242" s="3892"/>
      <c r="D3242" s="812"/>
      <c r="E3242" s="894"/>
      <c r="F3242" s="4123"/>
      <c r="G3242" s="2338"/>
      <c r="H3242" s="3619"/>
      <c r="J3242" s="522"/>
      <c r="K3242" s="522"/>
    </row>
    <row r="3243" spans="1:11" ht="15.75" hidden="1" customHeight="1" x14ac:dyDescent="0.25">
      <c r="B3243" s="2913"/>
      <c r="C3243" s="4103" t="s">
        <v>4800</v>
      </c>
      <c r="D3243" s="1557">
        <f>SUM(D3244:D3245)</f>
        <v>1500000000</v>
      </c>
      <c r="E3243" s="1557">
        <f>SUM(E3244:E3245)</f>
        <v>1488271000</v>
      </c>
      <c r="F3243" s="3835">
        <f>E3243/D3243*100</f>
        <v>99.218066666666672</v>
      </c>
      <c r="G3243" s="2496">
        <v>100</v>
      </c>
      <c r="H3243" s="535"/>
    </row>
    <row r="3244" spans="1:11" ht="10.5" hidden="1" customHeight="1" x14ac:dyDescent="0.25">
      <c r="B3244" s="2913"/>
      <c r="C3244" s="4104" t="s">
        <v>4802</v>
      </c>
      <c r="D3244" s="812">
        <v>1000000000</v>
      </c>
      <c r="E3244" s="3744">
        <v>989570000</v>
      </c>
      <c r="F3244" s="3772">
        <f>E3244/D3244*100</f>
        <v>98.956999999999994</v>
      </c>
      <c r="G3244" s="2338">
        <v>100</v>
      </c>
      <c r="H3244" s="535"/>
    </row>
    <row r="3245" spans="1:11" ht="17.25" hidden="1" customHeight="1" x14ac:dyDescent="0.25">
      <c r="B3245" s="2913"/>
      <c r="C3245" s="4104" t="s">
        <v>4801</v>
      </c>
      <c r="D3245" s="812">
        <v>500000000</v>
      </c>
      <c r="E3245" s="3744">
        <v>498701000</v>
      </c>
      <c r="F3245" s="1045">
        <f>E3245/D3245*100</f>
        <v>99.740200000000002</v>
      </c>
      <c r="G3245" s="2338">
        <v>100</v>
      </c>
      <c r="H3245" s="535"/>
    </row>
    <row r="3246" spans="1:11" ht="9" hidden="1" customHeight="1" x14ac:dyDescent="0.25">
      <c r="B3246" s="2913"/>
      <c r="C3246" s="4104"/>
      <c r="D3246" s="812"/>
      <c r="E3246" s="666"/>
      <c r="F3246" s="1717"/>
      <c r="G3246" s="2338"/>
      <c r="H3246" s="535"/>
    </row>
    <row r="3247" spans="1:11" s="3627" customFormat="1" ht="18" hidden="1" customHeight="1" x14ac:dyDescent="0.25">
      <c r="A3247" s="3618"/>
      <c r="B3247" s="2913"/>
      <c r="C3247" s="4116" t="s">
        <v>4804</v>
      </c>
      <c r="D3247" s="1557">
        <f>D3248</f>
        <v>600000000</v>
      </c>
      <c r="E3247" s="2484">
        <v>0</v>
      </c>
      <c r="F3247" s="2484">
        <v>0</v>
      </c>
      <c r="G3247" s="2484">
        <v>0</v>
      </c>
      <c r="H3247" s="3619"/>
      <c r="J3247" s="522"/>
      <c r="K3247" s="522"/>
    </row>
    <row r="3248" spans="1:11" s="3627" customFormat="1" ht="14.25" hidden="1" customHeight="1" x14ac:dyDescent="0.25">
      <c r="A3248" s="3618"/>
      <c r="B3248" s="2913"/>
      <c r="C3248" s="4104" t="s">
        <v>4805</v>
      </c>
      <c r="D3248" s="812">
        <v>600000000</v>
      </c>
      <c r="E3248" s="2338">
        <v>0</v>
      </c>
      <c r="F3248" s="2338">
        <v>0</v>
      </c>
      <c r="G3248" s="2338">
        <v>0</v>
      </c>
      <c r="H3248" s="3619"/>
      <c r="J3248" s="522"/>
      <c r="K3248" s="522"/>
    </row>
    <row r="3249" spans="1:11" s="3627" customFormat="1" ht="10.5" hidden="1" customHeight="1" x14ac:dyDescent="0.25">
      <c r="A3249" s="3618"/>
      <c r="B3249" s="2913"/>
      <c r="C3249" s="4104"/>
      <c r="D3249" s="812"/>
      <c r="E3249" s="666"/>
      <c r="F3249" s="1717"/>
      <c r="G3249" s="2338"/>
      <c r="H3249" s="3619"/>
      <c r="J3249" s="522"/>
      <c r="K3249" s="522"/>
    </row>
    <row r="3250" spans="1:11" s="3627" customFormat="1" ht="15" hidden="1" customHeight="1" x14ac:dyDescent="0.25">
      <c r="A3250" s="3618"/>
      <c r="B3250" s="2913"/>
      <c r="C3250" s="4116" t="s">
        <v>4806</v>
      </c>
      <c r="D3250" s="1557">
        <f>SUM(D3251:D3252)</f>
        <v>1700000000</v>
      </c>
      <c r="E3250" s="1557">
        <f>SUM(E3251:E3252)</f>
        <v>1695057000</v>
      </c>
      <c r="F3250" s="3835">
        <f>E3250/D3250*100</f>
        <v>99.709235294117647</v>
      </c>
      <c r="G3250" s="2338">
        <v>100</v>
      </c>
      <c r="H3250" s="3619"/>
      <c r="J3250" s="522"/>
      <c r="K3250" s="522"/>
    </row>
    <row r="3251" spans="1:11" s="3627" customFormat="1" ht="13.5" hidden="1" customHeight="1" x14ac:dyDescent="0.25">
      <c r="A3251" s="3618"/>
      <c r="B3251" s="2913"/>
      <c r="C3251" s="4104" t="s">
        <v>4807</v>
      </c>
      <c r="D3251" s="812">
        <v>500000000</v>
      </c>
      <c r="E3251" s="666">
        <v>497097000</v>
      </c>
      <c r="F3251" s="3745">
        <f>E3251/D3251*100</f>
        <v>99.419399999999996</v>
      </c>
      <c r="G3251" s="2338">
        <v>100</v>
      </c>
      <c r="H3251" s="3619"/>
      <c r="J3251" s="522"/>
      <c r="K3251" s="522"/>
    </row>
    <row r="3252" spans="1:11" s="3627" customFormat="1" ht="19.5" hidden="1" customHeight="1" x14ac:dyDescent="0.25">
      <c r="A3252" s="3618"/>
      <c r="B3252" s="2913"/>
      <c r="C3252" s="4104" t="s">
        <v>4808</v>
      </c>
      <c r="D3252" s="812">
        <v>1200000000</v>
      </c>
      <c r="E3252" s="666">
        <v>1197960000</v>
      </c>
      <c r="F3252" s="3745">
        <f>E3252/D3252*100</f>
        <v>99.83</v>
      </c>
      <c r="G3252" s="2338">
        <v>100</v>
      </c>
      <c r="H3252" s="3619"/>
      <c r="J3252" s="522"/>
      <c r="K3252" s="522"/>
    </row>
    <row r="3253" spans="1:11" ht="12" hidden="1" customHeight="1" x14ac:dyDescent="0.25">
      <c r="B3253" s="2913"/>
      <c r="C3253" s="3892"/>
      <c r="D3253" s="1558"/>
      <c r="E3253" s="671"/>
      <c r="F3253" s="2461"/>
      <c r="G3253" s="3290"/>
      <c r="H3253" s="535"/>
    </row>
    <row r="3254" spans="1:11" ht="15" hidden="1" customHeight="1" x14ac:dyDescent="0.25">
      <c r="B3254" s="5397"/>
      <c r="C3254" s="3994" t="s">
        <v>2334</v>
      </c>
      <c r="D3254" s="1552">
        <f>D3255</f>
        <v>350000000</v>
      </c>
      <c r="E3254" s="1552">
        <f>E3255</f>
        <v>350000000</v>
      </c>
      <c r="F3254" s="1030">
        <v>100</v>
      </c>
      <c r="G3254" s="2315">
        <v>100</v>
      </c>
      <c r="H3254" s="535"/>
    </row>
    <row r="3255" spans="1:11" ht="18.75" hidden="1" customHeight="1" x14ac:dyDescent="0.25">
      <c r="B3255" s="2913"/>
      <c r="C3255" s="4299" t="s">
        <v>372</v>
      </c>
      <c r="D3255" s="1556">
        <f>SUM(D3256)</f>
        <v>350000000</v>
      </c>
      <c r="E3255" s="1556">
        <f>SUM(E3256)</f>
        <v>350000000</v>
      </c>
      <c r="F3255" s="3835">
        <v>100</v>
      </c>
      <c r="G3255" s="2499">
        <v>100</v>
      </c>
      <c r="H3255" s="535"/>
    </row>
    <row r="3256" spans="1:11" ht="33" hidden="1" customHeight="1" x14ac:dyDescent="0.25">
      <c r="B3256" s="2913"/>
      <c r="C3256" s="4104" t="s">
        <v>1894</v>
      </c>
      <c r="D3256" s="812">
        <v>350000000</v>
      </c>
      <c r="E3256" s="663">
        <v>350000000</v>
      </c>
      <c r="F3256" s="4123">
        <v>100</v>
      </c>
      <c r="G3256" s="2338">
        <v>100</v>
      </c>
      <c r="H3256" s="535"/>
    </row>
    <row r="3257" spans="1:11" ht="10.5" hidden="1" customHeight="1" x14ac:dyDescent="0.25">
      <c r="B3257" s="2913"/>
      <c r="C3257" s="4104"/>
      <c r="D3257" s="812"/>
      <c r="E3257" s="666"/>
      <c r="F3257" s="1717"/>
      <c r="G3257" s="2338"/>
      <c r="H3257" s="535"/>
    </row>
    <row r="3258" spans="1:11" ht="14.25" hidden="1" customHeight="1" x14ac:dyDescent="0.25">
      <c r="B3258" s="5397"/>
      <c r="C3258" s="3994" t="s">
        <v>265</v>
      </c>
      <c r="D3258" s="1552">
        <f>D3259+D3263</f>
        <v>1400000000</v>
      </c>
      <c r="E3258" s="1552">
        <f>E3259+E3263</f>
        <v>1400000000</v>
      </c>
      <c r="F3258" s="1030">
        <v>100</v>
      </c>
      <c r="G3258" s="1030">
        <v>100</v>
      </c>
      <c r="H3258" s="535"/>
    </row>
    <row r="3259" spans="1:11" ht="19.5" hidden="1" customHeight="1" x14ac:dyDescent="0.25">
      <c r="B3259" s="2913"/>
      <c r="C3259" s="4299" t="s">
        <v>486</v>
      </c>
      <c r="D3259" s="1556">
        <f>SUM(D3260:D3261)</f>
        <v>900000000</v>
      </c>
      <c r="E3259" s="1556">
        <f>SUM(E3260:E3261)</f>
        <v>900000000</v>
      </c>
      <c r="F3259" s="3835">
        <v>100</v>
      </c>
      <c r="G3259" s="3835">
        <v>100</v>
      </c>
      <c r="H3259" s="535"/>
    </row>
    <row r="3260" spans="1:11" ht="15.75" hidden="1" customHeight="1" x14ac:dyDescent="0.25">
      <c r="B3260" s="2913"/>
      <c r="C3260" s="4104" t="s">
        <v>487</v>
      </c>
      <c r="D3260" s="812">
        <v>400000000</v>
      </c>
      <c r="E3260" s="663">
        <v>400000000</v>
      </c>
      <c r="F3260" s="4123">
        <v>100</v>
      </c>
      <c r="G3260" s="4123">
        <v>100</v>
      </c>
      <c r="H3260" s="535"/>
    </row>
    <row r="3261" spans="1:11" ht="18" hidden="1" customHeight="1" x14ac:dyDescent="0.25">
      <c r="B3261" s="2913"/>
      <c r="C3261" s="4104" t="s">
        <v>488</v>
      </c>
      <c r="D3261" s="812">
        <v>500000000</v>
      </c>
      <c r="E3261" s="663">
        <v>500000000</v>
      </c>
      <c r="F3261" s="4123">
        <v>100</v>
      </c>
      <c r="G3261" s="4123">
        <v>100</v>
      </c>
      <c r="H3261" s="535"/>
    </row>
    <row r="3262" spans="1:11" ht="10.5" hidden="1" customHeight="1" x14ac:dyDescent="0.25">
      <c r="B3262" s="2913"/>
      <c r="C3262" s="4104"/>
      <c r="D3262" s="812"/>
      <c r="E3262" s="663"/>
      <c r="F3262" s="1315"/>
      <c r="G3262" s="1315"/>
      <c r="H3262" s="535"/>
    </row>
    <row r="3263" spans="1:11" ht="21" hidden="1" customHeight="1" x14ac:dyDescent="0.25">
      <c r="B3263" s="2913"/>
      <c r="C3263" s="4299" t="s">
        <v>489</v>
      </c>
      <c r="D3263" s="1557">
        <f>SUM(D3264)</f>
        <v>500000000</v>
      </c>
      <c r="E3263" s="1557">
        <f>SUM(E3264)</f>
        <v>500000000</v>
      </c>
      <c r="F3263" s="3835">
        <v>100</v>
      </c>
      <c r="G3263" s="3835">
        <v>100</v>
      </c>
      <c r="H3263" s="535"/>
    </row>
    <row r="3264" spans="1:11" ht="18.75" hidden="1" customHeight="1" x14ac:dyDescent="0.25">
      <c r="B3264" s="2913"/>
      <c r="C3264" s="4104" t="s">
        <v>373</v>
      </c>
      <c r="D3264" s="812">
        <v>500000000</v>
      </c>
      <c r="E3264" s="812">
        <v>500000000</v>
      </c>
      <c r="F3264" s="4123">
        <v>100</v>
      </c>
      <c r="G3264" s="4123">
        <v>100</v>
      </c>
      <c r="H3264" s="535"/>
    </row>
    <row r="3265" spans="2:8" ht="12" hidden="1" customHeight="1" x14ac:dyDescent="0.25">
      <c r="B3265" s="2913"/>
      <c r="D3265" s="1558"/>
      <c r="E3265" s="671"/>
      <c r="F3265" s="2265"/>
      <c r="G3265" s="3290"/>
      <c r="H3265" s="535"/>
    </row>
    <row r="3266" spans="2:8" ht="15.75" hidden="1" customHeight="1" x14ac:dyDescent="0.25">
      <c r="B3266" s="5397"/>
      <c r="C3266" s="3994" t="s">
        <v>2335</v>
      </c>
      <c r="D3266" s="1552">
        <f>D3267</f>
        <v>492000000</v>
      </c>
      <c r="E3266" s="1552">
        <f>E3267</f>
        <v>242000000</v>
      </c>
      <c r="F3266" s="1030">
        <f>E3266/D3266*100</f>
        <v>49.1869918699187</v>
      </c>
      <c r="G3266" s="2315">
        <f>SUM(G3267)/1</f>
        <v>50</v>
      </c>
      <c r="H3266" s="535"/>
    </row>
    <row r="3267" spans="2:8" ht="18" hidden="1" customHeight="1" x14ac:dyDescent="0.25">
      <c r="B3267" s="2913"/>
      <c r="C3267" s="4103" t="s">
        <v>374</v>
      </c>
      <c r="D3267" s="1557">
        <f>SUM(D3268:D3269)</f>
        <v>492000000</v>
      </c>
      <c r="E3267" s="1557">
        <f>SUM(E3268:E3269)</f>
        <v>242000000</v>
      </c>
      <c r="F3267" s="4115">
        <f>E3267/D3267*100</f>
        <v>49.1869918699187</v>
      </c>
      <c r="G3267" s="2484">
        <f>SUM(G3268:G3269)/2</f>
        <v>50</v>
      </c>
      <c r="H3267" s="535"/>
    </row>
    <row r="3268" spans="2:8" ht="13.5" hidden="1" customHeight="1" x14ac:dyDescent="0.25">
      <c r="B3268" s="2913"/>
      <c r="C3268" s="4104" t="s">
        <v>490</v>
      </c>
      <c r="D3268" s="812">
        <v>242000000</v>
      </c>
      <c r="E3268" s="663">
        <v>242000000</v>
      </c>
      <c r="F3268" s="3772">
        <f>E3268/D3268*100</f>
        <v>100</v>
      </c>
      <c r="G3268" s="2338">
        <v>100</v>
      </c>
      <c r="H3268" s="535"/>
    </row>
    <row r="3269" spans="2:8" ht="14.25" hidden="1" customHeight="1" x14ac:dyDescent="0.25">
      <c r="B3269" s="2913"/>
      <c r="C3269" s="4104" t="s">
        <v>491</v>
      </c>
      <c r="D3269" s="812">
        <v>250000000</v>
      </c>
      <c r="E3269" s="1429" t="s">
        <v>4803</v>
      </c>
      <c r="F3269" s="2859" t="s">
        <v>4803</v>
      </c>
      <c r="G3269" s="5543" t="s">
        <v>4803</v>
      </c>
      <c r="H3269" s="535"/>
    </row>
    <row r="3270" spans="2:8" ht="14.25" hidden="1" customHeight="1" x14ac:dyDescent="0.25">
      <c r="B3270" s="2913"/>
      <c r="C3270" s="4104"/>
      <c r="D3270" s="812"/>
      <c r="E3270" s="666"/>
      <c r="F3270" s="1717"/>
      <c r="G3270" s="2338"/>
      <c r="H3270" s="535"/>
    </row>
    <row r="3271" spans="2:8" ht="18" hidden="1" customHeight="1" x14ac:dyDescent="0.25">
      <c r="B3271" s="5397"/>
      <c r="C3271" s="3994" t="s">
        <v>2336</v>
      </c>
      <c r="D3271" s="1552">
        <f>SUM(D3272)</f>
        <v>800000000</v>
      </c>
      <c r="E3271" s="1552">
        <f>SUM(E3272)</f>
        <v>786024716</v>
      </c>
      <c r="F3271" s="1030">
        <f>E3271/D3271*100</f>
        <v>98.253089500000002</v>
      </c>
      <c r="G3271" s="2462">
        <v>100</v>
      </c>
      <c r="H3271" s="535"/>
    </row>
    <row r="3272" spans="2:8" ht="17.25" hidden="1" customHeight="1" x14ac:dyDescent="0.25">
      <c r="B3272" s="2913"/>
      <c r="C3272" s="4103" t="s">
        <v>375</v>
      </c>
      <c r="D3272" s="1557">
        <f>SUM(D3273:D3275)</f>
        <v>800000000</v>
      </c>
      <c r="E3272" s="1557">
        <f>SUM(E3273:E3275)</f>
        <v>786024716</v>
      </c>
      <c r="F3272" s="4115">
        <f>E3272/D3272*100</f>
        <v>98.253089500000002</v>
      </c>
      <c r="G3272" s="2484">
        <v>100</v>
      </c>
      <c r="H3272" s="535"/>
    </row>
    <row r="3273" spans="2:8" ht="15.75" hidden="1" customHeight="1" x14ac:dyDescent="0.25">
      <c r="B3273" s="2913"/>
      <c r="C3273" s="4104" t="s">
        <v>475</v>
      </c>
      <c r="D3273" s="812">
        <v>200000000</v>
      </c>
      <c r="E3273" s="3744">
        <v>197474716</v>
      </c>
      <c r="F3273" s="3772">
        <f>E3273/D3273*100</f>
        <v>98.737358</v>
      </c>
      <c r="G3273" s="2338">
        <v>100</v>
      </c>
      <c r="H3273" s="535"/>
    </row>
    <row r="3274" spans="2:8" ht="15.75" hidden="1" customHeight="1" x14ac:dyDescent="0.25">
      <c r="B3274" s="2913"/>
      <c r="C3274" s="4104" t="s">
        <v>492</v>
      </c>
      <c r="D3274" s="812">
        <v>500000000</v>
      </c>
      <c r="E3274" s="3744">
        <v>500000000</v>
      </c>
      <c r="F3274" s="3772">
        <f>E3274/D3274*100</f>
        <v>100</v>
      </c>
      <c r="G3274" s="2338">
        <v>100</v>
      </c>
      <c r="H3274" s="535"/>
    </row>
    <row r="3275" spans="2:8" ht="14.25" hidden="1" customHeight="1" x14ac:dyDescent="0.25">
      <c r="B3275" s="2913"/>
      <c r="C3275" s="4104" t="s">
        <v>376</v>
      </c>
      <c r="D3275" s="812">
        <v>100000000</v>
      </c>
      <c r="E3275" s="3744">
        <v>88550000</v>
      </c>
      <c r="F3275" s="3772">
        <f>E3275/D3275*100</f>
        <v>88.55</v>
      </c>
      <c r="G3275" s="2338">
        <v>100</v>
      </c>
      <c r="H3275" s="535"/>
    </row>
    <row r="3276" spans="2:8" ht="12" hidden="1" customHeight="1" x14ac:dyDescent="0.25">
      <c r="B3276" s="2913"/>
      <c r="C3276" s="3892"/>
      <c r="D3276" s="1558"/>
      <c r="E3276" s="671"/>
      <c r="F3276" s="2461"/>
      <c r="G3276" s="3290"/>
      <c r="H3276" s="535"/>
    </row>
    <row r="3277" spans="2:8" ht="19.5" hidden="1" customHeight="1" x14ac:dyDescent="0.25">
      <c r="B3277" s="5397"/>
      <c r="C3277" s="3994" t="s">
        <v>2337</v>
      </c>
      <c r="D3277" s="1552">
        <f>D3278+D3281+D3284</f>
        <v>1190000000</v>
      </c>
      <c r="E3277" s="1552">
        <f>E3278+E3281+E3284</f>
        <v>908000000</v>
      </c>
      <c r="F3277" s="1030">
        <f>E3277/D3277*100</f>
        <v>76.30252100840336</v>
      </c>
      <c r="G3277" s="2315">
        <f>SUM(G3278+G3281+G3284)/3</f>
        <v>83.333333333333329</v>
      </c>
      <c r="H3277" s="535"/>
    </row>
    <row r="3278" spans="2:8" ht="15.75" hidden="1" customHeight="1" x14ac:dyDescent="0.25">
      <c r="B3278" s="2913"/>
      <c r="C3278" s="4103" t="s">
        <v>493</v>
      </c>
      <c r="D3278" s="1557">
        <f>SUM(D3279)</f>
        <v>200000000</v>
      </c>
      <c r="E3278" s="1557">
        <f>SUM(E3279)</f>
        <v>200000000</v>
      </c>
      <c r="F3278" s="4115">
        <f>E3278/D3278*100</f>
        <v>100</v>
      </c>
      <c r="G3278" s="2496">
        <v>100</v>
      </c>
      <c r="H3278" s="535"/>
    </row>
    <row r="3279" spans="2:8" ht="15.75" hidden="1" customHeight="1" x14ac:dyDescent="0.25">
      <c r="B3279" s="2913"/>
      <c r="C3279" s="4104" t="s">
        <v>4809</v>
      </c>
      <c r="D3279" s="812">
        <v>200000000</v>
      </c>
      <c r="E3279" s="3746">
        <v>200000000</v>
      </c>
      <c r="F3279" s="3772">
        <f>E3279/D3279*100</f>
        <v>100</v>
      </c>
      <c r="G3279" s="2338">
        <v>100</v>
      </c>
      <c r="H3279" s="535"/>
    </row>
    <row r="3280" spans="2:8" ht="12.75" hidden="1" customHeight="1" x14ac:dyDescent="0.25">
      <c r="B3280" s="2913"/>
      <c r="C3280" s="4104"/>
      <c r="D3280" s="812"/>
      <c r="E3280" s="894"/>
      <c r="F3280" s="4115"/>
      <c r="G3280" s="2338"/>
      <c r="H3280" s="535"/>
    </row>
    <row r="3281" spans="1:11" ht="15.75" hidden="1" customHeight="1" x14ac:dyDescent="0.25">
      <c r="B3281" s="2913"/>
      <c r="C3281" s="4299" t="s">
        <v>494</v>
      </c>
      <c r="D3281" s="1557">
        <f>SUM(D3282)</f>
        <v>600000000</v>
      </c>
      <c r="E3281" s="1557">
        <f>SUM(E3282)</f>
        <v>599500000</v>
      </c>
      <c r="F3281" s="4115">
        <f>E3281/D3281*100</f>
        <v>99.916666666666671</v>
      </c>
      <c r="G3281" s="2501">
        <v>100</v>
      </c>
      <c r="H3281" s="535"/>
    </row>
    <row r="3282" spans="1:11" ht="13.5" hidden="1" customHeight="1" x14ac:dyDescent="0.25">
      <c r="B3282" s="2913"/>
      <c r="C3282" s="4104" t="s">
        <v>495</v>
      </c>
      <c r="D3282" s="812">
        <v>600000000</v>
      </c>
      <c r="E3282" s="3746">
        <v>599500000</v>
      </c>
      <c r="F3282" s="3772">
        <f>E3282/D3282*100</f>
        <v>99.916666666666671</v>
      </c>
      <c r="G3282" s="2338">
        <v>100</v>
      </c>
      <c r="H3282" s="535"/>
    </row>
    <row r="3283" spans="1:11" ht="12" hidden="1" customHeight="1" x14ac:dyDescent="0.25">
      <c r="B3283" s="2913"/>
      <c r="C3283" s="3892"/>
      <c r="D3283" s="1558"/>
      <c r="E3283" s="671"/>
      <c r="F3283" s="4115"/>
      <c r="G3283" s="3290"/>
      <c r="H3283" s="535"/>
    </row>
    <row r="3284" spans="1:11" ht="12.75" hidden="1" customHeight="1" x14ac:dyDescent="0.25">
      <c r="B3284" s="2913"/>
      <c r="C3284" s="4116" t="s">
        <v>496</v>
      </c>
      <c r="D3284" s="1557">
        <f>SUM(D3285:D3286)</f>
        <v>390000000</v>
      </c>
      <c r="E3284" s="1557">
        <f>SUM(E3285:E3286)</f>
        <v>108500000</v>
      </c>
      <c r="F3284" s="4115">
        <f>E3284/D3284*100</f>
        <v>27.820512820512821</v>
      </c>
      <c r="G3284" s="2484">
        <f>SUM(G3286)/2</f>
        <v>50</v>
      </c>
      <c r="H3284" s="535"/>
    </row>
    <row r="3285" spans="1:11" ht="15.75" hidden="1" customHeight="1" x14ac:dyDescent="0.25">
      <c r="B3285" s="2913"/>
      <c r="C3285" s="4104" t="s">
        <v>497</v>
      </c>
      <c r="D3285" s="812">
        <v>190000000</v>
      </c>
      <c r="E3285" s="5544">
        <v>0</v>
      </c>
      <c r="F3285" s="3772">
        <f>E3285/D3285*100</f>
        <v>0</v>
      </c>
      <c r="G3285" s="2338">
        <v>0</v>
      </c>
      <c r="H3285" s="535"/>
    </row>
    <row r="3286" spans="1:11" ht="15.75" hidden="1" customHeight="1" x14ac:dyDescent="0.25">
      <c r="B3286" s="2913"/>
      <c r="C3286" s="4104" t="s">
        <v>4810</v>
      </c>
      <c r="D3286" s="812">
        <v>200000000</v>
      </c>
      <c r="E3286" s="666">
        <v>108500000</v>
      </c>
      <c r="F3286" s="3772">
        <f>E3286/D3286*100</f>
        <v>54.25</v>
      </c>
      <c r="G3286" s="2338">
        <v>100</v>
      </c>
      <c r="H3286" s="535"/>
    </row>
    <row r="3287" spans="1:11" s="3627" customFormat="1" ht="12" hidden="1" customHeight="1" x14ac:dyDescent="0.25">
      <c r="A3287" s="3618"/>
      <c r="B3287" s="2913"/>
      <c r="C3287" s="3892"/>
      <c r="D3287" s="1558"/>
      <c r="E3287" s="671"/>
      <c r="F3287" s="2461"/>
      <c r="G3287" s="3290"/>
      <c r="H3287" s="3619"/>
      <c r="J3287" s="522"/>
      <c r="K3287" s="522"/>
    </row>
    <row r="3288" spans="1:11" ht="17.25" hidden="1" customHeight="1" x14ac:dyDescent="0.25">
      <c r="B3288" s="5397"/>
      <c r="C3288" s="3994" t="s">
        <v>2338</v>
      </c>
      <c r="D3288" s="1552">
        <f>SUM(D3289)+D3304+D3293+D3298+D3301+D3307</f>
        <v>4750000000</v>
      </c>
      <c r="E3288" s="1552">
        <f>SUM(E3289)+E3304+E3293+E3298+E3301+E3307</f>
        <v>4703257280</v>
      </c>
      <c r="F3288" s="1030">
        <f>E3288/D3288*100</f>
        <v>99.015942736842106</v>
      </c>
      <c r="G3288" s="2315">
        <v>100</v>
      </c>
      <c r="H3288" s="535"/>
    </row>
    <row r="3289" spans="1:11" ht="14.25" hidden="1" customHeight="1" x14ac:dyDescent="0.25">
      <c r="B3289" s="5402"/>
      <c r="C3289" s="4103" t="s">
        <v>377</v>
      </c>
      <c r="D3289" s="1557">
        <f>SUM(D3290:D3291)</f>
        <v>1800000000</v>
      </c>
      <c r="E3289" s="1557">
        <f>SUM(E3290:E3291)</f>
        <v>1790288280</v>
      </c>
      <c r="F3289" s="4115">
        <f>E3289/D3289*100</f>
        <v>99.460459999999998</v>
      </c>
      <c r="G3289" s="2484">
        <v>100</v>
      </c>
      <c r="H3289" s="535"/>
    </row>
    <row r="3290" spans="1:11" ht="29.25" hidden="1" customHeight="1" x14ac:dyDescent="0.25">
      <c r="B3290" s="2913"/>
      <c r="C3290" s="4104" t="s">
        <v>476</v>
      </c>
      <c r="D3290" s="812">
        <v>1500000000</v>
      </c>
      <c r="E3290" s="5545">
        <v>1490298280</v>
      </c>
      <c r="F3290" s="3772">
        <f>E3290/D3290*100</f>
        <v>99.353218666666663</v>
      </c>
      <c r="G3290" s="2338">
        <v>100</v>
      </c>
      <c r="H3290" s="535"/>
    </row>
    <row r="3291" spans="1:11" ht="18" hidden="1" customHeight="1" x14ac:dyDescent="0.25">
      <c r="B3291" s="2913"/>
      <c r="C3291" s="4104" t="s">
        <v>498</v>
      </c>
      <c r="D3291" s="812">
        <v>300000000</v>
      </c>
      <c r="E3291" s="3746">
        <v>299990000</v>
      </c>
      <c r="F3291" s="3772">
        <f>E3291/D3291*100</f>
        <v>99.99666666666667</v>
      </c>
      <c r="G3291" s="2338">
        <v>100</v>
      </c>
      <c r="H3291" s="535"/>
    </row>
    <row r="3292" spans="1:11" ht="12" hidden="1" customHeight="1" x14ac:dyDescent="0.25">
      <c r="B3292" s="2913"/>
      <c r="C3292" s="4104"/>
      <c r="D3292" s="812"/>
      <c r="E3292" s="666"/>
      <c r="F3292" s="1717"/>
      <c r="G3292" s="2338"/>
      <c r="H3292" s="535"/>
    </row>
    <row r="3293" spans="1:11" ht="18" hidden="1" customHeight="1" x14ac:dyDescent="0.25">
      <c r="B3293" s="2913"/>
      <c r="C3293" s="4299" t="s">
        <v>499</v>
      </c>
      <c r="D3293" s="1556">
        <f>SUM(D3294:D3296)</f>
        <v>1286000000</v>
      </c>
      <c r="E3293" s="1556">
        <f>SUM(E3294:E3296)</f>
        <v>1270770000</v>
      </c>
      <c r="F3293" s="4115">
        <f>E3293/D3293*100</f>
        <v>98.815707620528769</v>
      </c>
      <c r="G3293" s="2496">
        <v>100</v>
      </c>
      <c r="H3293" s="535"/>
    </row>
    <row r="3294" spans="1:11" ht="19.5" hidden="1" customHeight="1" x14ac:dyDescent="0.25">
      <c r="B3294" s="2913"/>
      <c r="C3294" s="4104" t="s">
        <v>500</v>
      </c>
      <c r="D3294" s="812">
        <v>700000000</v>
      </c>
      <c r="E3294" s="3746">
        <v>691400000</v>
      </c>
      <c r="F3294" s="3772">
        <f>E3294/D3294*100</f>
        <v>98.771428571428572</v>
      </c>
      <c r="G3294" s="2338">
        <v>100</v>
      </c>
      <c r="H3294" s="535"/>
    </row>
    <row r="3295" spans="1:11" ht="18.75" hidden="1" customHeight="1" x14ac:dyDescent="0.25">
      <c r="B3295" s="2913"/>
      <c r="C3295" s="4104" t="s">
        <v>501</v>
      </c>
      <c r="D3295" s="812">
        <v>400000000</v>
      </c>
      <c r="E3295" s="3746">
        <v>396000000</v>
      </c>
      <c r="F3295" s="3772">
        <f>E3295/D3295*100</f>
        <v>99</v>
      </c>
      <c r="G3295" s="2338">
        <v>100</v>
      </c>
      <c r="H3295" s="535"/>
    </row>
    <row r="3296" spans="1:11" ht="17.25" hidden="1" customHeight="1" x14ac:dyDescent="0.25">
      <c r="B3296" s="2913"/>
      <c r="C3296" s="4104" t="s">
        <v>502</v>
      </c>
      <c r="D3296" s="812">
        <v>186000000</v>
      </c>
      <c r="E3296" s="3746">
        <v>183370000</v>
      </c>
      <c r="F3296" s="3772">
        <f>E3296/D3296*100</f>
        <v>98.586021505376337</v>
      </c>
      <c r="G3296" s="2338">
        <v>100</v>
      </c>
      <c r="H3296" s="535"/>
    </row>
    <row r="3297" spans="1:11" ht="12" hidden="1" customHeight="1" x14ac:dyDescent="0.25">
      <c r="B3297" s="2913"/>
      <c r="C3297" s="4104"/>
      <c r="D3297" s="812"/>
      <c r="E3297" s="666"/>
      <c r="F3297" s="2456"/>
      <c r="G3297" s="2338"/>
      <c r="H3297" s="535"/>
    </row>
    <row r="3298" spans="1:11" ht="17.25" hidden="1" customHeight="1" x14ac:dyDescent="0.25">
      <c r="B3298" s="2913"/>
      <c r="C3298" s="4116" t="s">
        <v>503</v>
      </c>
      <c r="D3298" s="1556">
        <f>SUM(D3299)</f>
        <v>369950000</v>
      </c>
      <c r="E3298" s="1556">
        <f>SUM(E3299)</f>
        <v>365040000</v>
      </c>
      <c r="F3298" s="4115">
        <f>E3298/D3298*100</f>
        <v>98.672793620759563</v>
      </c>
      <c r="G3298" s="2484">
        <v>100</v>
      </c>
      <c r="H3298" s="535"/>
    </row>
    <row r="3299" spans="1:11" ht="16.5" hidden="1" customHeight="1" x14ac:dyDescent="0.25">
      <c r="B3299" s="2913"/>
      <c r="C3299" s="4104" t="s">
        <v>504</v>
      </c>
      <c r="D3299" s="812">
        <v>369950000</v>
      </c>
      <c r="E3299" s="5542">
        <v>365040000</v>
      </c>
      <c r="F3299" s="3772">
        <f>E3299/D3299*100</f>
        <v>98.672793620759563</v>
      </c>
      <c r="G3299" s="2338">
        <v>100</v>
      </c>
      <c r="H3299" s="535"/>
    </row>
    <row r="3300" spans="1:11" ht="9.75" hidden="1" customHeight="1" x14ac:dyDescent="0.25">
      <c r="B3300" s="2913"/>
      <c r="C3300" s="4116"/>
      <c r="D3300" s="1557"/>
      <c r="E3300" s="666"/>
      <c r="F3300" s="3772"/>
      <c r="G3300" s="2338"/>
      <c r="H3300" s="535"/>
    </row>
    <row r="3301" spans="1:11" ht="15.75" hidden="1" customHeight="1" x14ac:dyDescent="0.25">
      <c r="B3301" s="2913"/>
      <c r="C3301" s="4116" t="s">
        <v>505</v>
      </c>
      <c r="D3301" s="1556">
        <f>SUM(D3302)</f>
        <v>765100000</v>
      </c>
      <c r="E3301" s="1556">
        <f>SUM(E3302)</f>
        <v>760815000</v>
      </c>
      <c r="F3301" s="4115">
        <f>E3301/D3301*100</f>
        <v>99.439942491177618</v>
      </c>
      <c r="G3301" s="2484">
        <v>100</v>
      </c>
      <c r="H3301" s="535"/>
    </row>
    <row r="3302" spans="1:11" ht="14.25" hidden="1" customHeight="1" x14ac:dyDescent="0.25">
      <c r="B3302" s="2913"/>
      <c r="C3302" s="4104" t="s">
        <v>506</v>
      </c>
      <c r="D3302" s="812">
        <v>765100000</v>
      </c>
      <c r="E3302" s="3746">
        <v>760815000</v>
      </c>
      <c r="F3302" s="3772">
        <f>E3302/D3302*100</f>
        <v>99.439942491177618</v>
      </c>
      <c r="G3302" s="2338">
        <v>100</v>
      </c>
      <c r="H3302" s="535"/>
    </row>
    <row r="3303" spans="1:11" ht="12" hidden="1" customHeight="1" x14ac:dyDescent="0.25">
      <c r="B3303" s="2913"/>
      <c r="C3303" s="4104"/>
      <c r="D3303" s="812"/>
      <c r="E3303" s="894"/>
      <c r="F3303" s="3772"/>
      <c r="G3303" s="2338"/>
      <c r="H3303" s="535"/>
    </row>
    <row r="3304" spans="1:11" ht="16.5" hidden="1" customHeight="1" x14ac:dyDescent="0.25">
      <c r="B3304" s="2913"/>
      <c r="C3304" s="4299" t="s">
        <v>507</v>
      </c>
      <c r="D3304" s="1557">
        <f>SUM(D3305)</f>
        <v>228950000</v>
      </c>
      <c r="E3304" s="1557">
        <f>SUM(E3305)</f>
        <v>216344000</v>
      </c>
      <c r="F3304" s="4115">
        <f>E3304/D3304*100</f>
        <v>94.493994321904353</v>
      </c>
      <c r="G3304" s="2496">
        <v>100</v>
      </c>
      <c r="H3304" s="535"/>
    </row>
    <row r="3305" spans="1:11" ht="18.75" hidden="1" customHeight="1" x14ac:dyDescent="0.25">
      <c r="B3305" s="2913"/>
      <c r="C3305" s="4104" t="s">
        <v>508</v>
      </c>
      <c r="D3305" s="812">
        <v>228950000</v>
      </c>
      <c r="E3305" s="5542">
        <v>216344000</v>
      </c>
      <c r="F3305" s="3772">
        <f>E3305/D3305*100</f>
        <v>94.493994321904353</v>
      </c>
      <c r="G3305" s="2338">
        <v>100</v>
      </c>
      <c r="H3305" s="535"/>
    </row>
    <row r="3306" spans="1:11" s="3627" customFormat="1" ht="11.25" hidden="1" customHeight="1" x14ac:dyDescent="0.25">
      <c r="A3306" s="3618"/>
      <c r="B3306" s="2913"/>
      <c r="C3306" s="4104"/>
      <c r="D3306" s="812"/>
      <c r="E3306" s="3746"/>
      <c r="F3306" s="3772"/>
      <c r="G3306" s="2338"/>
      <c r="H3306" s="3619"/>
      <c r="J3306" s="522"/>
      <c r="K3306" s="522"/>
    </row>
    <row r="3307" spans="1:11" s="3627" customFormat="1" ht="15" hidden="1" customHeight="1" x14ac:dyDescent="0.25">
      <c r="A3307" s="3618"/>
      <c r="B3307" s="2913"/>
      <c r="C3307" s="4116" t="s">
        <v>4811</v>
      </c>
      <c r="D3307" s="1557">
        <f>D3308</f>
        <v>300000000</v>
      </c>
      <c r="E3307" s="1557">
        <f>E3308</f>
        <v>300000000</v>
      </c>
      <c r="F3307" s="4115">
        <f>E3307/D3307*100</f>
        <v>100</v>
      </c>
      <c r="G3307" s="2484">
        <v>100</v>
      </c>
      <c r="H3307" s="3619"/>
      <c r="J3307" s="522"/>
      <c r="K3307" s="522"/>
    </row>
    <row r="3308" spans="1:11" s="3627" customFormat="1" ht="18.75" hidden="1" customHeight="1" x14ac:dyDescent="0.25">
      <c r="A3308" s="3618"/>
      <c r="B3308" s="2913"/>
      <c r="C3308" s="4104" t="s">
        <v>4812</v>
      </c>
      <c r="D3308" s="812">
        <v>300000000</v>
      </c>
      <c r="E3308" s="3746">
        <v>300000000</v>
      </c>
      <c r="F3308" s="3772">
        <f>E3308/D3308*100</f>
        <v>100</v>
      </c>
      <c r="G3308" s="2338">
        <v>100</v>
      </c>
      <c r="H3308" s="3619"/>
      <c r="J3308" s="522"/>
      <c r="K3308" s="522"/>
    </row>
    <row r="3309" spans="1:11" ht="12" hidden="1" customHeight="1" x14ac:dyDescent="0.25">
      <c r="B3309" s="2913"/>
      <c r="C3309" s="3892" t="s">
        <v>257</v>
      </c>
      <c r="D3309" s="731"/>
      <c r="E3309" s="671"/>
      <c r="F3309" s="2461"/>
      <c r="G3309" s="3290"/>
      <c r="H3309" s="535"/>
    </row>
    <row r="3310" spans="1:11" ht="16.5" hidden="1" customHeight="1" x14ac:dyDescent="0.25">
      <c r="A3310" s="350"/>
      <c r="B3310" s="5418"/>
      <c r="C3310" s="3994" t="s">
        <v>2339</v>
      </c>
      <c r="D3310" s="1552">
        <f>SUM(D3311+D3315)</f>
        <v>3000000000</v>
      </c>
      <c r="E3310" s="1552">
        <f>SUM(E3311+E3315)</f>
        <v>2977057000</v>
      </c>
      <c r="F3310" s="1030">
        <f>E3310/D3310*100</f>
        <v>99.235233333333326</v>
      </c>
      <c r="G3310" s="1235">
        <v>100</v>
      </c>
    </row>
    <row r="3311" spans="1:11" ht="16.5" hidden="1" customHeight="1" x14ac:dyDescent="0.25">
      <c r="B3311" s="2913"/>
      <c r="C3311" s="4299" t="s">
        <v>509</v>
      </c>
      <c r="D3311" s="1557">
        <f>SUM(D3312:D3313)</f>
        <v>493490000</v>
      </c>
      <c r="E3311" s="1557">
        <f>SUM(E3312:E3313)</f>
        <v>493490000</v>
      </c>
      <c r="F3311" s="5546">
        <f>E3311/D3311*100</f>
        <v>100</v>
      </c>
      <c r="G3311" s="2496">
        <v>100</v>
      </c>
      <c r="H3311" s="535"/>
    </row>
    <row r="3312" spans="1:11" ht="18" hidden="1" customHeight="1" x14ac:dyDescent="0.25">
      <c r="B3312" s="2913"/>
      <c r="C3312" s="4104" t="s">
        <v>510</v>
      </c>
      <c r="D3312" s="812">
        <v>228395000</v>
      </c>
      <c r="E3312" s="663">
        <v>228395000</v>
      </c>
      <c r="F3312" s="3749">
        <f>E3312/D3312*100</f>
        <v>100</v>
      </c>
      <c r="G3312" s="2338">
        <v>100</v>
      </c>
      <c r="H3312" s="535"/>
    </row>
    <row r="3313" spans="2:8" ht="16.5" hidden="1" customHeight="1" x14ac:dyDescent="0.25">
      <c r="B3313" s="2913"/>
      <c r="C3313" s="3892" t="s">
        <v>511</v>
      </c>
      <c r="D3313" s="1558">
        <v>265095000</v>
      </c>
      <c r="E3313" s="1841">
        <v>265095000</v>
      </c>
      <c r="F3313" s="3749">
        <f>E3313/D3313*100</f>
        <v>100</v>
      </c>
      <c r="G3313" s="2338">
        <v>100</v>
      </c>
      <c r="H3313" s="536"/>
    </row>
    <row r="3314" spans="2:8" ht="11.25" hidden="1" customHeight="1" x14ac:dyDescent="0.25">
      <c r="B3314" s="2913"/>
      <c r="C3314" s="4104"/>
      <c r="D3314" s="812"/>
      <c r="E3314" s="666"/>
      <c r="F3314" s="5546"/>
      <c r="G3314" s="2338"/>
      <c r="H3314" s="535"/>
    </row>
    <row r="3315" spans="2:8" ht="23.25" hidden="1" customHeight="1" x14ac:dyDescent="0.25">
      <c r="B3315" s="2913"/>
      <c r="C3315" s="4116" t="s">
        <v>512</v>
      </c>
      <c r="D3315" s="1557">
        <f>SUM(D3316:D3320)</f>
        <v>2506510000</v>
      </c>
      <c r="E3315" s="1557">
        <f>SUM(E3316:E3320)</f>
        <v>2483567000</v>
      </c>
      <c r="F3315" s="5546">
        <f t="shared" ref="F3315:F3320" si="94">E3315/D3315*100</f>
        <v>99.084663536151865</v>
      </c>
      <c r="G3315" s="2484">
        <v>100</v>
      </c>
      <c r="H3315" s="535"/>
    </row>
    <row r="3316" spans="2:8" ht="12.75" hidden="1" customHeight="1" x14ac:dyDescent="0.25">
      <c r="B3316" s="2913"/>
      <c r="C3316" s="4104" t="s">
        <v>513</v>
      </c>
      <c r="D3316" s="812">
        <v>750000000</v>
      </c>
      <c r="E3316" s="3744">
        <v>735530000</v>
      </c>
      <c r="F3316" s="3749">
        <f t="shared" si="94"/>
        <v>98.070666666666668</v>
      </c>
      <c r="G3316" s="2338">
        <v>100</v>
      </c>
      <c r="H3316" s="535"/>
    </row>
    <row r="3317" spans="2:8" ht="15" hidden="1" customHeight="1" x14ac:dyDescent="0.25">
      <c r="B3317" s="2913"/>
      <c r="C3317" s="4104" t="s">
        <v>515</v>
      </c>
      <c r="D3317" s="1558">
        <v>760530000</v>
      </c>
      <c r="E3317" s="3744">
        <v>756030000</v>
      </c>
      <c r="F3317" s="3749">
        <f t="shared" si="94"/>
        <v>99.408307364601001</v>
      </c>
      <c r="G3317" s="2338">
        <v>100</v>
      </c>
      <c r="H3317" s="535"/>
    </row>
    <row r="3318" spans="2:8" ht="14.25" hidden="1" customHeight="1" x14ac:dyDescent="0.25">
      <c r="B3318" s="2913"/>
      <c r="C3318" s="4104" t="s">
        <v>514</v>
      </c>
      <c r="D3318" s="812">
        <v>500000000</v>
      </c>
      <c r="E3318" s="3744">
        <v>499277000</v>
      </c>
      <c r="F3318" s="3749">
        <f t="shared" si="94"/>
        <v>99.855400000000003</v>
      </c>
      <c r="G3318" s="2338">
        <v>100</v>
      </c>
      <c r="H3318" s="535"/>
    </row>
    <row r="3319" spans="2:8" ht="13.5" hidden="1" customHeight="1" x14ac:dyDescent="0.25">
      <c r="B3319" s="2913"/>
      <c r="C3319" s="4104" t="s">
        <v>2376</v>
      </c>
      <c r="D3319" s="812">
        <v>191530000</v>
      </c>
      <c r="E3319" s="3744">
        <v>191530000</v>
      </c>
      <c r="F3319" s="3749">
        <f t="shared" si="94"/>
        <v>100</v>
      </c>
      <c r="G3319" s="2338">
        <v>100</v>
      </c>
      <c r="H3319" s="535"/>
    </row>
    <row r="3320" spans="2:8" ht="14.25" hidden="1" customHeight="1" x14ac:dyDescent="0.25">
      <c r="B3320" s="2913"/>
      <c r="C3320" s="4104" t="s">
        <v>516</v>
      </c>
      <c r="D3320" s="812">
        <v>304450000</v>
      </c>
      <c r="E3320" s="3744">
        <v>301200000</v>
      </c>
      <c r="F3320" s="3749">
        <f t="shared" si="94"/>
        <v>98.932501231729347</v>
      </c>
      <c r="G3320" s="2338">
        <v>100</v>
      </c>
      <c r="H3320" s="535"/>
    </row>
    <row r="3321" spans="2:8" ht="12" hidden="1" customHeight="1" x14ac:dyDescent="0.25">
      <c r="B3321" s="2913"/>
      <c r="C3321" s="3861"/>
      <c r="D3321" s="1609"/>
      <c r="E3321" s="788"/>
      <c r="F3321" s="2512"/>
      <c r="G3321" s="2485"/>
      <c r="H3321" s="535"/>
    </row>
    <row r="3322" spans="2:8" ht="17.25" hidden="1" customHeight="1" x14ac:dyDescent="0.25">
      <c r="B3322" s="5397"/>
      <c r="C3322" s="3994" t="s">
        <v>2340</v>
      </c>
      <c r="D3322" s="1552">
        <f>SUM(D3323+D3326)</f>
        <v>2370000000</v>
      </c>
      <c r="E3322" s="1552">
        <f>SUM(E3323+E3326)</f>
        <v>1149000000</v>
      </c>
      <c r="F3322" s="1552">
        <f>E3322/D3322*100</f>
        <v>48.481012658227847</v>
      </c>
      <c r="G3322" s="2462">
        <f>SUM(G3323+G3326)/2</f>
        <v>80</v>
      </c>
      <c r="H3322" s="579"/>
    </row>
    <row r="3323" spans="2:8" ht="15.75" hidden="1" customHeight="1" x14ac:dyDescent="0.25">
      <c r="B3323" s="2913"/>
      <c r="C3323" s="4103" t="s">
        <v>517</v>
      </c>
      <c r="D3323" s="1557">
        <f>SUM(D3324)</f>
        <v>300000000</v>
      </c>
      <c r="E3323" s="1557">
        <f>SUM(E3324)</f>
        <v>300000000</v>
      </c>
      <c r="F3323" s="4115">
        <f>E3323/D3323*100</f>
        <v>100</v>
      </c>
      <c r="G3323" s="2496">
        <v>100</v>
      </c>
      <c r="H3323" s="535"/>
    </row>
    <row r="3324" spans="2:8" ht="15.75" hidden="1" customHeight="1" x14ac:dyDescent="0.25">
      <c r="B3324" s="2913"/>
      <c r="C3324" s="4104" t="s">
        <v>518</v>
      </c>
      <c r="D3324" s="812">
        <v>300000000</v>
      </c>
      <c r="E3324" s="663">
        <v>300000000</v>
      </c>
      <c r="F3324" s="3772">
        <f>E3324/D3324*100</f>
        <v>100</v>
      </c>
      <c r="G3324" s="2338">
        <v>100</v>
      </c>
      <c r="H3324" s="535"/>
    </row>
    <row r="3325" spans="2:8" ht="12" hidden="1" customHeight="1" x14ac:dyDescent="0.25">
      <c r="B3325" s="2913"/>
      <c r="C3325" s="3892"/>
      <c r="D3325" s="1558"/>
      <c r="E3325" s="1841"/>
      <c r="F3325" s="4115"/>
      <c r="G3325" s="3290"/>
      <c r="H3325" s="536"/>
    </row>
    <row r="3326" spans="2:8" ht="19.5" hidden="1" customHeight="1" x14ac:dyDescent="0.25">
      <c r="B3326" s="2913"/>
      <c r="C3326" s="4116" t="s">
        <v>519</v>
      </c>
      <c r="D3326" s="1557">
        <f>SUM(D3327:D3331)</f>
        <v>2070000000</v>
      </c>
      <c r="E3326" s="1557">
        <f>SUM(E3327:E3330)</f>
        <v>849000000</v>
      </c>
      <c r="F3326" s="4115">
        <f t="shared" ref="F3326:F3331" si="95">E3326/D3326*100</f>
        <v>41.014492753623188</v>
      </c>
      <c r="G3326" s="2484">
        <f>SUM(G3327:G3331)/5</f>
        <v>60</v>
      </c>
      <c r="H3326" s="535"/>
    </row>
    <row r="3327" spans="2:8" ht="15.75" hidden="1" customHeight="1" x14ac:dyDescent="0.25">
      <c r="B3327" s="2913"/>
      <c r="C3327" s="4104" t="s">
        <v>520</v>
      </c>
      <c r="D3327" s="812">
        <v>650000000</v>
      </c>
      <c r="E3327" s="663">
        <v>650000000</v>
      </c>
      <c r="F3327" s="3772">
        <f t="shared" si="95"/>
        <v>100</v>
      </c>
      <c r="G3327" s="2338">
        <v>100</v>
      </c>
      <c r="H3327" s="535"/>
    </row>
    <row r="3328" spans="2:8" ht="14.25" hidden="1" customHeight="1" x14ac:dyDescent="0.25">
      <c r="B3328" s="2913"/>
      <c r="C3328" s="3861" t="s">
        <v>4813</v>
      </c>
      <c r="D3328" s="1609">
        <v>70000000</v>
      </c>
      <c r="E3328" s="868">
        <v>69000000</v>
      </c>
      <c r="F3328" s="3772">
        <f t="shared" si="95"/>
        <v>98.571428571428584</v>
      </c>
      <c r="G3328" s="2314">
        <v>100</v>
      </c>
      <c r="H3328" s="535"/>
    </row>
    <row r="3329" spans="1:11" s="3747" customFormat="1" ht="17.25" hidden="1" customHeight="1" x14ac:dyDescent="0.25">
      <c r="A3329" s="3618"/>
      <c r="B3329" s="2913"/>
      <c r="C3329" s="4104" t="s">
        <v>4814</v>
      </c>
      <c r="D3329" s="812">
        <v>1000000000</v>
      </c>
      <c r="E3329" s="4123">
        <v>0</v>
      </c>
      <c r="F3329" s="3772">
        <f t="shared" si="95"/>
        <v>0</v>
      </c>
      <c r="G3329" s="3772">
        <v>0</v>
      </c>
      <c r="H3329" s="579"/>
      <c r="J3329" s="522"/>
      <c r="K3329" s="522"/>
    </row>
    <row r="3330" spans="1:11" s="3747" customFormat="1" ht="17.25" hidden="1" customHeight="1" x14ac:dyDescent="0.25">
      <c r="A3330" s="3618"/>
      <c r="B3330" s="2913"/>
      <c r="C3330" s="4104" t="s">
        <v>4816</v>
      </c>
      <c r="D3330" s="812">
        <v>130000000</v>
      </c>
      <c r="E3330" s="666">
        <v>130000000</v>
      </c>
      <c r="F3330" s="3772">
        <f t="shared" si="95"/>
        <v>100</v>
      </c>
      <c r="G3330" s="2338">
        <v>100</v>
      </c>
      <c r="H3330" s="579"/>
      <c r="J3330" s="522"/>
      <c r="K3330" s="522"/>
    </row>
    <row r="3331" spans="1:11" s="3747" customFormat="1" ht="18.75" hidden="1" customHeight="1" x14ac:dyDescent="0.25">
      <c r="A3331" s="3618"/>
      <c r="B3331" s="2913"/>
      <c r="C3331" s="4104" t="s">
        <v>4815</v>
      </c>
      <c r="D3331" s="812">
        <v>220000000</v>
      </c>
      <c r="E3331" s="4123">
        <v>0</v>
      </c>
      <c r="F3331" s="3772">
        <f t="shared" si="95"/>
        <v>0</v>
      </c>
      <c r="G3331" s="2338">
        <v>0</v>
      </c>
      <c r="H3331" s="579"/>
      <c r="J3331" s="522"/>
      <c r="K3331" s="522"/>
    </row>
    <row r="3332" spans="1:11" s="3747" customFormat="1" ht="12" hidden="1" customHeight="1" x14ac:dyDescent="0.25">
      <c r="A3332" s="3618"/>
      <c r="B3332" s="2913"/>
      <c r="C3332" s="3892"/>
      <c r="D3332" s="1558"/>
      <c r="E3332" s="969"/>
      <c r="F3332" s="3691"/>
      <c r="G3332" s="3290"/>
      <c r="H3332" s="579"/>
      <c r="J3332" s="522"/>
      <c r="K3332" s="522"/>
    </row>
    <row r="3333" spans="1:11" ht="18" hidden="1" customHeight="1" x14ac:dyDescent="0.25">
      <c r="B3333" s="5397"/>
      <c r="C3333" s="3994" t="s">
        <v>2341</v>
      </c>
      <c r="D3333" s="1552">
        <f>SUM(D3334)</f>
        <v>442700000</v>
      </c>
      <c r="E3333" s="2786">
        <v>0</v>
      </c>
      <c r="F3333" s="1030">
        <v>0</v>
      </c>
      <c r="G3333" s="1030">
        <v>0</v>
      </c>
      <c r="H3333" s="579"/>
    </row>
    <row r="3334" spans="1:11" ht="16.5" hidden="1" customHeight="1" x14ac:dyDescent="0.25">
      <c r="B3334" s="2913"/>
      <c r="C3334" s="4103" t="s">
        <v>521</v>
      </c>
      <c r="D3334" s="1557">
        <f>SUM(D3335)</f>
        <v>442700000</v>
      </c>
      <c r="E3334" s="5039">
        <v>0</v>
      </c>
      <c r="F3334" s="4115">
        <v>0</v>
      </c>
      <c r="G3334" s="4115">
        <v>0</v>
      </c>
      <c r="H3334" s="535"/>
    </row>
    <row r="3335" spans="1:11" ht="14.25" hidden="1" customHeight="1" x14ac:dyDescent="0.25">
      <c r="B3335" s="2913"/>
      <c r="C3335" s="4104" t="s">
        <v>522</v>
      </c>
      <c r="D3335" s="812">
        <v>442700000</v>
      </c>
      <c r="E3335" s="4123">
        <v>0</v>
      </c>
      <c r="F3335" s="4123">
        <v>0</v>
      </c>
      <c r="G3335" s="4123">
        <v>0</v>
      </c>
      <c r="H3335" s="535"/>
    </row>
    <row r="3336" spans="1:11" ht="12.75" hidden="1" customHeight="1" x14ac:dyDescent="0.25">
      <c r="B3336" s="2913"/>
      <c r="C3336" s="4104"/>
      <c r="D3336" s="1560"/>
      <c r="E3336" s="666"/>
      <c r="F3336" s="1717"/>
      <c r="G3336" s="2338"/>
      <c r="H3336" s="535"/>
    </row>
    <row r="3337" spans="1:11" ht="18" hidden="1" customHeight="1" x14ac:dyDescent="0.25">
      <c r="B3337" s="5397"/>
      <c r="C3337" s="3994" t="s">
        <v>2342</v>
      </c>
      <c r="D3337" s="1552">
        <f>SUM(D3338,D3343,D3346)</f>
        <v>3120000000</v>
      </c>
      <c r="E3337" s="1552">
        <f>SUM(E3338,E3343,E3346)</f>
        <v>3116720000</v>
      </c>
      <c r="F3337" s="1030">
        <f>E3337/D3337*100</f>
        <v>99.894871794871804</v>
      </c>
      <c r="G3337" s="2315">
        <v>100</v>
      </c>
      <c r="H3337" s="535"/>
    </row>
    <row r="3338" spans="1:11" ht="15.75" hidden="1" customHeight="1" x14ac:dyDescent="0.25">
      <c r="B3338" s="2913"/>
      <c r="C3338" s="4103" t="s">
        <v>523</v>
      </c>
      <c r="D3338" s="1557">
        <f>SUM(D3339:D3341)</f>
        <v>1100000000</v>
      </c>
      <c r="E3338" s="1557">
        <f>SUM(E3339:E3341)</f>
        <v>1100000000</v>
      </c>
      <c r="F3338" s="4115">
        <f>E3338/D3338*100</f>
        <v>100</v>
      </c>
      <c r="G3338" s="2496">
        <v>100</v>
      </c>
      <c r="H3338" s="535"/>
    </row>
    <row r="3339" spans="1:11" ht="15.75" hidden="1" customHeight="1" x14ac:dyDescent="0.25">
      <c r="B3339" s="2913"/>
      <c r="C3339" s="4104" t="s">
        <v>524</v>
      </c>
      <c r="D3339" s="812">
        <v>500000000</v>
      </c>
      <c r="E3339" s="3744">
        <v>500000000</v>
      </c>
      <c r="F3339" s="4123">
        <f>E3339/D3339*100</f>
        <v>100</v>
      </c>
      <c r="G3339" s="2338">
        <v>100</v>
      </c>
      <c r="H3339" s="535"/>
    </row>
    <row r="3340" spans="1:11" ht="16.5" hidden="1" customHeight="1" x14ac:dyDescent="0.25">
      <c r="B3340" s="2913"/>
      <c r="C3340" s="4104" t="s">
        <v>525</v>
      </c>
      <c r="D3340" s="812">
        <v>300000000</v>
      </c>
      <c r="E3340" s="3744">
        <v>300000000</v>
      </c>
      <c r="F3340" s="4123">
        <f>E3340/D3340*100</f>
        <v>100</v>
      </c>
      <c r="G3340" s="2338">
        <v>100</v>
      </c>
      <c r="H3340" s="535"/>
    </row>
    <row r="3341" spans="1:11" ht="12" hidden="1" customHeight="1" x14ac:dyDescent="0.25">
      <c r="B3341" s="2913"/>
      <c r="C3341" s="4104" t="s">
        <v>526</v>
      </c>
      <c r="D3341" s="812">
        <v>300000000</v>
      </c>
      <c r="E3341" s="3744">
        <v>300000000</v>
      </c>
      <c r="F3341" s="4123">
        <f>E3341/D3341*100</f>
        <v>100</v>
      </c>
      <c r="G3341" s="2338">
        <v>100</v>
      </c>
      <c r="H3341" s="535"/>
    </row>
    <row r="3342" spans="1:11" ht="12" hidden="1" customHeight="1" x14ac:dyDescent="0.25">
      <c r="B3342" s="2913"/>
      <c r="C3342" s="4104"/>
      <c r="D3342" s="812"/>
      <c r="E3342" s="666"/>
      <c r="F3342" s="4123"/>
      <c r="G3342" s="2338"/>
      <c r="H3342" s="535"/>
    </row>
    <row r="3343" spans="1:11" ht="14.25" hidden="1" customHeight="1" x14ac:dyDescent="0.25">
      <c r="B3343" s="2913"/>
      <c r="C3343" s="4299" t="s">
        <v>556</v>
      </c>
      <c r="D3343" s="1557">
        <f>SUM(D3344)</f>
        <v>500000000</v>
      </c>
      <c r="E3343" s="1557">
        <f>SUM(E3344)</f>
        <v>496720000</v>
      </c>
      <c r="F3343" s="3803">
        <f>E3343/D3343*100</f>
        <v>99.343999999999994</v>
      </c>
      <c r="G3343" s="2496">
        <v>100</v>
      </c>
      <c r="H3343" s="535"/>
    </row>
    <row r="3344" spans="1:11" ht="14.25" hidden="1" customHeight="1" x14ac:dyDescent="0.25">
      <c r="B3344" s="2913"/>
      <c r="C3344" s="4104" t="s">
        <v>437</v>
      </c>
      <c r="D3344" s="812">
        <v>500000000</v>
      </c>
      <c r="E3344" s="3744">
        <v>496720000</v>
      </c>
      <c r="F3344" s="4123">
        <f>E3344/D3344*100</f>
        <v>99.343999999999994</v>
      </c>
      <c r="G3344" s="2338">
        <v>100</v>
      </c>
      <c r="H3344" s="535"/>
    </row>
    <row r="3345" spans="1:11" ht="12" hidden="1" customHeight="1" x14ac:dyDescent="0.25">
      <c r="B3345" s="2913"/>
      <c r="C3345" s="4104"/>
      <c r="D3345" s="812"/>
      <c r="E3345" s="666"/>
      <c r="F3345" s="4123"/>
      <c r="G3345" s="2338"/>
      <c r="H3345" s="535"/>
    </row>
    <row r="3346" spans="1:11" s="3747" customFormat="1" ht="14.25" hidden="1" customHeight="1" x14ac:dyDescent="0.25">
      <c r="A3346" s="3618"/>
      <c r="B3346" s="2913"/>
      <c r="C3346" s="4116" t="s">
        <v>4817</v>
      </c>
      <c r="D3346" s="1557">
        <f>D3347</f>
        <v>1520000000</v>
      </c>
      <c r="E3346" s="1557">
        <f>E3347</f>
        <v>1520000000</v>
      </c>
      <c r="F3346" s="3803">
        <f>E3346/D3346*100</f>
        <v>100</v>
      </c>
      <c r="G3346" s="2560">
        <v>100</v>
      </c>
      <c r="H3346" s="3619"/>
      <c r="J3346" s="522"/>
      <c r="K3346" s="522"/>
    </row>
    <row r="3347" spans="1:11" s="3747" customFormat="1" ht="16.5" hidden="1" customHeight="1" x14ac:dyDescent="0.25">
      <c r="A3347" s="3618"/>
      <c r="B3347" s="2913"/>
      <c r="C3347" s="4104" t="s">
        <v>4818</v>
      </c>
      <c r="D3347" s="812">
        <v>1520000000</v>
      </c>
      <c r="E3347" s="666">
        <v>1520000000</v>
      </c>
      <c r="F3347" s="4123">
        <f>E3347/D3347*100</f>
        <v>100</v>
      </c>
      <c r="G3347" s="2338">
        <v>100</v>
      </c>
      <c r="H3347" s="3619"/>
      <c r="J3347" s="522"/>
      <c r="K3347" s="522"/>
    </row>
    <row r="3348" spans="1:11" s="3747" customFormat="1" ht="12" hidden="1" customHeight="1" x14ac:dyDescent="0.25">
      <c r="A3348" s="3618"/>
      <c r="B3348" s="2913"/>
      <c r="C3348" s="3894"/>
      <c r="D3348" s="1561"/>
      <c r="E3348" s="1094"/>
      <c r="F3348" s="3750"/>
      <c r="G3348" s="3751"/>
      <c r="H3348" s="3619"/>
      <c r="J3348" s="522"/>
      <c r="K3348" s="522"/>
    </row>
    <row r="3349" spans="1:11" ht="16.5" hidden="1" customHeight="1" x14ac:dyDescent="0.25">
      <c r="B3349" s="5397"/>
      <c r="C3349" s="3994" t="s">
        <v>2343</v>
      </c>
      <c r="D3349" s="1552">
        <f>SUM(D3350,D3353)</f>
        <v>467000000</v>
      </c>
      <c r="E3349" s="1552">
        <f>SUM(E3350,E3353)</f>
        <v>466920000</v>
      </c>
      <c r="F3349" s="1552">
        <f>E3349/D3349*100</f>
        <v>99.982869379015</v>
      </c>
      <c r="G3349" s="2315">
        <v>100</v>
      </c>
      <c r="H3349" s="535"/>
    </row>
    <row r="3350" spans="1:11" ht="17.25" hidden="1" customHeight="1" x14ac:dyDescent="0.25">
      <c r="B3350" s="2913"/>
      <c r="C3350" s="4103" t="s">
        <v>527</v>
      </c>
      <c r="D3350" s="1557">
        <f>SUM(D3351)</f>
        <v>300000000</v>
      </c>
      <c r="E3350" s="1557">
        <f>SUM(E3351)</f>
        <v>299920000</v>
      </c>
      <c r="F3350" s="4115">
        <f>E3350/D3350*100</f>
        <v>99.973333333333329</v>
      </c>
      <c r="G3350" s="2496">
        <v>100</v>
      </c>
      <c r="H3350" s="535"/>
    </row>
    <row r="3351" spans="1:11" ht="17.25" hidden="1" customHeight="1" x14ac:dyDescent="0.25">
      <c r="B3351" s="2913"/>
      <c r="C3351" s="4104" t="s">
        <v>528</v>
      </c>
      <c r="D3351" s="812">
        <v>300000000</v>
      </c>
      <c r="E3351" s="3744">
        <v>299920000</v>
      </c>
      <c r="F3351" s="3772">
        <f>E3351/D3351*100</f>
        <v>99.973333333333329</v>
      </c>
      <c r="G3351" s="2338">
        <v>100</v>
      </c>
      <c r="H3351" s="535"/>
    </row>
    <row r="3352" spans="1:11" ht="9" hidden="1" customHeight="1" x14ac:dyDescent="0.25">
      <c r="B3352" s="2913"/>
      <c r="C3352" s="4104"/>
      <c r="D3352" s="812"/>
      <c r="E3352" s="666"/>
      <c r="F3352" s="4115"/>
      <c r="G3352" s="2338"/>
      <c r="H3352" s="535"/>
    </row>
    <row r="3353" spans="1:11" ht="15.75" hidden="1" customHeight="1" x14ac:dyDescent="0.25">
      <c r="B3353" s="2913"/>
      <c r="C3353" s="4299" t="s">
        <v>529</v>
      </c>
      <c r="D3353" s="1557">
        <f>SUM(D3354)</f>
        <v>167000000</v>
      </c>
      <c r="E3353" s="1557">
        <f>SUM(E3354)</f>
        <v>167000000</v>
      </c>
      <c r="F3353" s="4115">
        <f>E3353/D3353*100</f>
        <v>100</v>
      </c>
      <c r="G3353" s="2496">
        <v>100</v>
      </c>
      <c r="H3353" s="535"/>
    </row>
    <row r="3354" spans="1:11" ht="15.75" hidden="1" customHeight="1" x14ac:dyDescent="0.25">
      <c r="B3354" s="2913"/>
      <c r="C3354" s="4104" t="s">
        <v>530</v>
      </c>
      <c r="D3354" s="812">
        <v>167000000</v>
      </c>
      <c r="E3354" s="663">
        <v>167000000</v>
      </c>
      <c r="F3354" s="3772">
        <f>E3354/D3354*100</f>
        <v>100</v>
      </c>
      <c r="G3354" s="2338">
        <v>100</v>
      </c>
      <c r="H3354" s="535"/>
    </row>
    <row r="3355" spans="1:11" ht="12" hidden="1" customHeight="1" x14ac:dyDescent="0.25">
      <c r="B3355" s="2913"/>
      <c r="C3355" s="3861"/>
      <c r="D3355" s="1609"/>
      <c r="E3355" s="868"/>
      <c r="F3355" s="2281"/>
      <c r="G3355" s="2314"/>
      <c r="H3355" s="535"/>
    </row>
    <row r="3356" spans="1:11" ht="16.5" hidden="1" customHeight="1" x14ac:dyDescent="0.25">
      <c r="B3356" s="5397"/>
      <c r="C3356" s="3858" t="s">
        <v>6961</v>
      </c>
      <c r="D3356" s="1552">
        <f>SUM(D3357)</f>
        <v>1000000000</v>
      </c>
      <c r="E3356" s="1552">
        <f>SUM(E3357)</f>
        <v>985200000</v>
      </c>
      <c r="F3356" s="1030">
        <f>E3356/D3356*100</f>
        <v>98.52</v>
      </c>
      <c r="G3356" s="2315">
        <v>100</v>
      </c>
      <c r="H3356" s="535"/>
    </row>
    <row r="3357" spans="1:11" ht="18.75" hidden="1" customHeight="1" x14ac:dyDescent="0.25">
      <c r="B3357" s="2913"/>
      <c r="C3357" s="4299" t="s">
        <v>531</v>
      </c>
      <c r="D3357" s="1556">
        <f>SUM(D3358)</f>
        <v>1000000000</v>
      </c>
      <c r="E3357" s="1556">
        <f>SUM(E3358)</f>
        <v>985200000</v>
      </c>
      <c r="F3357" s="4115">
        <f>E3357/D3357*100</f>
        <v>98.52</v>
      </c>
      <c r="G3357" s="4358">
        <v>100</v>
      </c>
      <c r="H3357" s="535"/>
    </row>
    <row r="3358" spans="1:11" ht="17.25" hidden="1" customHeight="1" x14ac:dyDescent="0.25">
      <c r="B3358" s="2913"/>
      <c r="C3358" s="4104" t="s">
        <v>532</v>
      </c>
      <c r="D3358" s="812">
        <v>1000000000</v>
      </c>
      <c r="E3358" s="3744">
        <v>985200000</v>
      </c>
      <c r="F3358" s="3772">
        <f>E3358/D3358*100</f>
        <v>98.52</v>
      </c>
      <c r="G3358" s="2338">
        <v>100</v>
      </c>
      <c r="H3358" s="535"/>
    </row>
    <row r="3359" spans="1:11" ht="12" hidden="1" customHeight="1" x14ac:dyDescent="0.25">
      <c r="B3359" s="2913"/>
      <c r="C3359" s="3861"/>
      <c r="D3359" s="1576"/>
      <c r="E3359" s="868"/>
      <c r="F3359" s="4123"/>
      <c r="G3359" s="2314"/>
      <c r="H3359" s="535"/>
    </row>
    <row r="3360" spans="1:11" ht="17.25" hidden="1" customHeight="1" x14ac:dyDescent="0.25">
      <c r="B3360" s="5397"/>
      <c r="C3360" s="3858" t="s">
        <v>2344</v>
      </c>
      <c r="D3360" s="1552">
        <f>SUM(D3361,D3365)</f>
        <v>300000000</v>
      </c>
      <c r="E3360" s="1552">
        <f>SUM(E3361,E3365)</f>
        <v>300000000</v>
      </c>
      <c r="F3360" s="1030">
        <v>98.52</v>
      </c>
      <c r="G3360" s="2315">
        <v>100</v>
      </c>
      <c r="H3360" s="535"/>
    </row>
    <row r="3361" spans="2:8" ht="18.75" hidden="1" customHeight="1" x14ac:dyDescent="0.25">
      <c r="B3361" s="2913"/>
      <c r="C3361" s="4299" t="s">
        <v>533</v>
      </c>
      <c r="D3361" s="1556">
        <f>SUM(D3362:D3363)</f>
        <v>200000000</v>
      </c>
      <c r="E3361" s="1556">
        <f>SUM(E3362:E3363)</f>
        <v>200000000</v>
      </c>
      <c r="F3361" s="4115">
        <v>98.52</v>
      </c>
      <c r="G3361" s="4358">
        <v>100</v>
      </c>
      <c r="H3361" s="535"/>
    </row>
    <row r="3362" spans="2:8" ht="18" hidden="1" customHeight="1" x14ac:dyDescent="0.25">
      <c r="B3362" s="2913"/>
      <c r="C3362" s="4104" t="s">
        <v>534</v>
      </c>
      <c r="D3362" s="812">
        <v>100000000</v>
      </c>
      <c r="E3362" s="663">
        <v>100000000</v>
      </c>
      <c r="F3362" s="3772">
        <v>98.52</v>
      </c>
      <c r="G3362" s="2338">
        <v>100</v>
      </c>
      <c r="H3362" s="535"/>
    </row>
    <row r="3363" spans="2:8" ht="16.5" hidden="1" customHeight="1" x14ac:dyDescent="0.25">
      <c r="B3363" s="2913"/>
      <c r="C3363" s="4104" t="s">
        <v>535</v>
      </c>
      <c r="D3363" s="812">
        <v>100000000</v>
      </c>
      <c r="E3363" s="663">
        <v>100000000</v>
      </c>
      <c r="F3363" s="3772">
        <v>98.52</v>
      </c>
      <c r="G3363" s="2338">
        <v>100</v>
      </c>
      <c r="H3363" s="535"/>
    </row>
    <row r="3364" spans="2:8" ht="9.75" hidden="1" customHeight="1" x14ac:dyDescent="0.25">
      <c r="B3364" s="2913"/>
      <c r="C3364" s="4104"/>
      <c r="D3364" s="812"/>
      <c r="E3364" s="663"/>
      <c r="F3364" s="1717"/>
      <c r="G3364" s="2338"/>
      <c r="H3364" s="535"/>
    </row>
    <row r="3365" spans="2:8" ht="14.25" hidden="1" customHeight="1" x14ac:dyDescent="0.25">
      <c r="B3365" s="2913"/>
      <c r="C3365" s="4116" t="s">
        <v>536</v>
      </c>
      <c r="D3365" s="1556">
        <f>SUM(D3366:D3367)</f>
        <v>100000000</v>
      </c>
      <c r="E3365" s="1556">
        <f>SUM(E3366:E3367)</f>
        <v>100000000</v>
      </c>
      <c r="F3365" s="4115">
        <f>E3365/D3365*100</f>
        <v>100</v>
      </c>
      <c r="G3365" s="2484">
        <v>100</v>
      </c>
      <c r="H3365" s="535"/>
    </row>
    <row r="3366" spans="2:8" ht="17.25" hidden="1" customHeight="1" x14ac:dyDescent="0.25">
      <c r="B3366" s="2913"/>
      <c r="C3366" s="4104" t="s">
        <v>537</v>
      </c>
      <c r="D3366" s="812">
        <v>100000000</v>
      </c>
      <c r="E3366" s="812">
        <v>100000000</v>
      </c>
      <c r="F3366" s="3772">
        <f>E3366/D3366*100</f>
        <v>100</v>
      </c>
      <c r="G3366" s="2338">
        <v>100</v>
      </c>
      <c r="H3366" s="535"/>
    </row>
    <row r="3367" spans="2:8" ht="12" hidden="1" customHeight="1" x14ac:dyDescent="0.25">
      <c r="B3367" s="2913"/>
      <c r="C3367" s="3861"/>
      <c r="D3367" s="1609"/>
      <c r="E3367" s="868"/>
      <c r="F3367" s="2281"/>
      <c r="G3367" s="2314"/>
      <c r="H3367" s="535"/>
    </row>
    <row r="3368" spans="2:8" ht="16.5" hidden="1" customHeight="1" x14ac:dyDescent="0.25">
      <c r="B3368" s="5397"/>
      <c r="C3368" s="3858" t="s">
        <v>2345</v>
      </c>
      <c r="D3368" s="1552">
        <f>SUM(D3369+D3382+D3389+D3392+D3395)</f>
        <v>22549520000</v>
      </c>
      <c r="E3368" s="1552">
        <f>SUM(E3369+E3382+E3389+E3392+E3395)</f>
        <v>20947191357</v>
      </c>
      <c r="F3368" s="1030">
        <f t="shared" ref="F3368:F3380" si="96">E3368/D3368*100</f>
        <v>92.894178488056511</v>
      </c>
      <c r="G3368" s="2315">
        <v>100</v>
      </c>
      <c r="H3368" s="535"/>
    </row>
    <row r="3369" spans="2:8" ht="16.5" hidden="1" customHeight="1" x14ac:dyDescent="0.25">
      <c r="B3369" s="2913"/>
      <c r="C3369" s="4299" t="s">
        <v>538</v>
      </c>
      <c r="D3369" s="1556">
        <f>SUM(D3370:D3380)</f>
        <v>17750000000</v>
      </c>
      <c r="E3369" s="1556">
        <f>SUM(E3370:E3380)</f>
        <v>16590571357</v>
      </c>
      <c r="F3369" s="4115">
        <f t="shared" si="96"/>
        <v>93.468007645070429</v>
      </c>
      <c r="G3369" s="4358">
        <v>100</v>
      </c>
      <c r="H3369" s="535"/>
    </row>
    <row r="3370" spans="2:8" ht="14.25" hidden="1" customHeight="1" x14ac:dyDescent="0.25">
      <c r="B3370" s="2913"/>
      <c r="C3370" s="4104" t="s">
        <v>539</v>
      </c>
      <c r="D3370" s="812">
        <v>1950000000</v>
      </c>
      <c r="E3370" s="3744">
        <v>1767893283</v>
      </c>
      <c r="F3370" s="3772">
        <f t="shared" si="96"/>
        <v>90.661193999999995</v>
      </c>
      <c r="G3370" s="2338">
        <v>100</v>
      </c>
      <c r="H3370" s="535"/>
    </row>
    <row r="3371" spans="2:8" ht="17.25" hidden="1" customHeight="1" x14ac:dyDescent="0.25">
      <c r="B3371" s="2913"/>
      <c r="C3371" s="4104" t="s">
        <v>540</v>
      </c>
      <c r="D3371" s="812">
        <v>650000000</v>
      </c>
      <c r="E3371" s="3746">
        <v>638300000</v>
      </c>
      <c r="F3371" s="3772">
        <f t="shared" si="96"/>
        <v>98.2</v>
      </c>
      <c r="G3371" s="2338">
        <v>100</v>
      </c>
      <c r="H3371" s="535"/>
    </row>
    <row r="3372" spans="2:8" ht="17.25" hidden="1" customHeight="1" x14ac:dyDescent="0.25">
      <c r="B3372" s="2913"/>
      <c r="C3372" s="4104" t="s">
        <v>541</v>
      </c>
      <c r="D3372" s="812">
        <v>1650000000</v>
      </c>
      <c r="E3372" s="3744">
        <v>1544716674</v>
      </c>
      <c r="F3372" s="3772">
        <f t="shared" si="96"/>
        <v>93.619192363636358</v>
      </c>
      <c r="G3372" s="2338">
        <v>100</v>
      </c>
      <c r="H3372" s="535"/>
    </row>
    <row r="3373" spans="2:8" ht="17.25" hidden="1" customHeight="1" x14ac:dyDescent="0.25">
      <c r="B3373" s="2913"/>
      <c r="C3373" s="4104" t="s">
        <v>542</v>
      </c>
      <c r="D3373" s="812">
        <v>1650000000</v>
      </c>
      <c r="E3373" s="5547">
        <v>1492751400</v>
      </c>
      <c r="F3373" s="3772">
        <f t="shared" si="96"/>
        <v>90.469781818181815</v>
      </c>
      <c r="G3373" s="2338">
        <v>100</v>
      </c>
      <c r="H3373" s="535"/>
    </row>
    <row r="3374" spans="2:8" ht="15.75" hidden="1" customHeight="1" x14ac:dyDescent="0.25">
      <c r="B3374" s="2913"/>
      <c r="C3374" s="4104" t="s">
        <v>543</v>
      </c>
      <c r="D3374" s="812">
        <v>1800000000</v>
      </c>
      <c r="E3374" s="5547">
        <v>1784000000</v>
      </c>
      <c r="F3374" s="3772">
        <f t="shared" si="96"/>
        <v>99.111111111111114</v>
      </c>
      <c r="G3374" s="2338">
        <v>100</v>
      </c>
      <c r="H3374" s="535"/>
    </row>
    <row r="3375" spans="2:8" ht="16.5" hidden="1" customHeight="1" x14ac:dyDescent="0.25">
      <c r="B3375" s="2913"/>
      <c r="C3375" s="4104" t="s">
        <v>544</v>
      </c>
      <c r="D3375" s="812">
        <v>1250000000</v>
      </c>
      <c r="E3375" s="5547">
        <v>1236200000</v>
      </c>
      <c r="F3375" s="3772">
        <f t="shared" si="96"/>
        <v>98.896000000000001</v>
      </c>
      <c r="G3375" s="2338">
        <v>100</v>
      </c>
      <c r="H3375" s="535"/>
    </row>
    <row r="3376" spans="2:8" ht="14.25" hidden="1" customHeight="1" x14ac:dyDescent="0.25">
      <c r="B3376" s="2913"/>
      <c r="C3376" s="4104" t="s">
        <v>545</v>
      </c>
      <c r="D3376" s="812">
        <v>2000000000</v>
      </c>
      <c r="E3376" s="5547">
        <v>1389710000</v>
      </c>
      <c r="F3376" s="3772">
        <f t="shared" si="96"/>
        <v>69.485500000000002</v>
      </c>
      <c r="G3376" s="2338">
        <v>100</v>
      </c>
      <c r="H3376" s="535"/>
    </row>
    <row r="3377" spans="1:11" ht="16.5" hidden="1" customHeight="1" x14ac:dyDescent="0.25">
      <c r="B3377" s="2913"/>
      <c r="C3377" s="4104" t="s">
        <v>546</v>
      </c>
      <c r="D3377" s="812">
        <v>2600000000</v>
      </c>
      <c r="E3377" s="5547">
        <v>2581800000</v>
      </c>
      <c r="F3377" s="3772">
        <f t="shared" si="96"/>
        <v>99.3</v>
      </c>
      <c r="G3377" s="2338">
        <v>100</v>
      </c>
      <c r="H3377" s="535"/>
    </row>
    <row r="3378" spans="1:11" ht="16.5" hidden="1" customHeight="1" x14ac:dyDescent="0.25">
      <c r="B3378" s="2913"/>
      <c r="C3378" s="4104" t="s">
        <v>547</v>
      </c>
      <c r="D3378" s="812">
        <v>1800000000</v>
      </c>
      <c r="E3378" s="5547">
        <v>1782600000</v>
      </c>
      <c r="F3378" s="3772">
        <f t="shared" si="96"/>
        <v>99.033333333333331</v>
      </c>
      <c r="G3378" s="2338">
        <v>100</v>
      </c>
      <c r="H3378" s="535"/>
    </row>
    <row r="3379" spans="1:11" ht="17.25" hidden="1" customHeight="1" x14ac:dyDescent="0.25">
      <c r="B3379" s="2913"/>
      <c r="C3379" s="4104" t="s">
        <v>548</v>
      </c>
      <c r="D3379" s="812">
        <v>1000000000</v>
      </c>
      <c r="E3379" s="5547">
        <v>982200000</v>
      </c>
      <c r="F3379" s="3772">
        <f t="shared" si="96"/>
        <v>98.22</v>
      </c>
      <c r="G3379" s="2338">
        <v>100</v>
      </c>
      <c r="H3379" s="535"/>
    </row>
    <row r="3380" spans="1:11" ht="18" hidden="1" customHeight="1" x14ac:dyDescent="0.25">
      <c r="B3380" s="2913"/>
      <c r="C3380" s="4104" t="s">
        <v>549</v>
      </c>
      <c r="D3380" s="812">
        <v>1400000000</v>
      </c>
      <c r="E3380" s="5547">
        <v>1390400000</v>
      </c>
      <c r="F3380" s="3772">
        <f t="shared" si="96"/>
        <v>99.314285714285717</v>
      </c>
      <c r="G3380" s="2338">
        <v>100</v>
      </c>
      <c r="H3380" s="535"/>
    </row>
    <row r="3381" spans="1:11" ht="6" hidden="1" customHeight="1" x14ac:dyDescent="0.25">
      <c r="B3381" s="2913"/>
      <c r="C3381" s="4104"/>
      <c r="D3381" s="812"/>
      <c r="E3381" s="666"/>
      <c r="F3381" s="4115"/>
      <c r="G3381" s="2338"/>
      <c r="H3381" s="535"/>
    </row>
    <row r="3382" spans="1:11" ht="17.25" hidden="1" customHeight="1" x14ac:dyDescent="0.25">
      <c r="B3382" s="2913"/>
      <c r="C3382" s="3893" t="s">
        <v>550</v>
      </c>
      <c r="D3382" s="1556">
        <f>SUM(D3383:D3387)</f>
        <v>3900000000</v>
      </c>
      <c r="E3382" s="1556">
        <f>SUM(E3383:E3387)</f>
        <v>3486420000</v>
      </c>
      <c r="F3382" s="4115">
        <f t="shared" ref="F3382:F3387" si="97">E3382/D3382*100</f>
        <v>89.395384615384614</v>
      </c>
      <c r="G3382" s="2316">
        <v>100</v>
      </c>
      <c r="H3382" s="535"/>
    </row>
    <row r="3383" spans="1:11" ht="17.25" hidden="1" customHeight="1" x14ac:dyDescent="0.25">
      <c r="B3383" s="2913"/>
      <c r="C3383" s="4104" t="s">
        <v>551</v>
      </c>
      <c r="D3383" s="812">
        <v>500000000</v>
      </c>
      <c r="E3383" s="5547">
        <v>491000000</v>
      </c>
      <c r="F3383" s="3772">
        <f t="shared" si="97"/>
        <v>98.2</v>
      </c>
      <c r="G3383" s="2338">
        <v>100</v>
      </c>
      <c r="H3383" s="535"/>
    </row>
    <row r="3384" spans="1:11" ht="16.5" hidden="1" customHeight="1" x14ac:dyDescent="0.25">
      <c r="B3384" s="2913"/>
      <c r="C3384" s="4104" t="s">
        <v>552</v>
      </c>
      <c r="D3384" s="812">
        <v>500000000</v>
      </c>
      <c r="E3384" s="5542">
        <v>489700000</v>
      </c>
      <c r="F3384" s="3772">
        <f t="shared" si="97"/>
        <v>97.94</v>
      </c>
      <c r="G3384" s="2338">
        <v>100</v>
      </c>
      <c r="H3384" s="535"/>
    </row>
    <row r="3385" spans="1:11" ht="19.5" hidden="1" customHeight="1" x14ac:dyDescent="0.25">
      <c r="B3385" s="2913"/>
      <c r="C3385" s="4104" t="s">
        <v>553</v>
      </c>
      <c r="D3385" s="812">
        <v>500000000</v>
      </c>
      <c r="E3385" s="5547">
        <v>490500000</v>
      </c>
      <c r="F3385" s="3772">
        <f t="shared" si="97"/>
        <v>98.1</v>
      </c>
      <c r="G3385" s="2338">
        <v>100</v>
      </c>
      <c r="H3385" s="535"/>
    </row>
    <row r="3386" spans="1:11" ht="30" hidden="1" customHeight="1" x14ac:dyDescent="0.25">
      <c r="B3386" s="2913"/>
      <c r="C3386" s="4104" t="s">
        <v>868</v>
      </c>
      <c r="D3386" s="812">
        <v>1200000000</v>
      </c>
      <c r="E3386" s="5548">
        <v>1183900000</v>
      </c>
      <c r="F3386" s="3772">
        <f t="shared" si="97"/>
        <v>98.658333333333331</v>
      </c>
      <c r="G3386" s="2338">
        <v>100</v>
      </c>
      <c r="H3386" s="535"/>
    </row>
    <row r="3387" spans="1:11" ht="13.5" hidden="1" customHeight="1" x14ac:dyDescent="0.25">
      <c r="B3387" s="2913"/>
      <c r="C3387" s="3892" t="s">
        <v>869</v>
      </c>
      <c r="D3387" s="1558">
        <v>1200000000</v>
      </c>
      <c r="E3387" s="5542">
        <v>831320000</v>
      </c>
      <c r="F3387" s="3772">
        <f t="shared" si="97"/>
        <v>69.276666666666671</v>
      </c>
      <c r="G3387" s="2338">
        <v>100</v>
      </c>
      <c r="H3387" s="536"/>
    </row>
    <row r="3388" spans="1:11" ht="8.25" hidden="1" customHeight="1" x14ac:dyDescent="0.25">
      <c r="B3388" s="2913"/>
      <c r="C3388" s="3861"/>
      <c r="D3388" s="1609"/>
      <c r="E3388" s="868"/>
      <c r="F3388" s="4115"/>
      <c r="G3388" s="2314"/>
      <c r="H3388" s="535"/>
    </row>
    <row r="3389" spans="1:11" ht="15.75" hidden="1" customHeight="1" x14ac:dyDescent="0.25">
      <c r="B3389" s="2913"/>
      <c r="C3389" s="4116" t="s">
        <v>554</v>
      </c>
      <c r="D3389" s="1557">
        <f>SUM(D3390)</f>
        <v>200000000</v>
      </c>
      <c r="E3389" s="1557">
        <f>SUM(E3390)</f>
        <v>195200000</v>
      </c>
      <c r="F3389" s="4115">
        <f>E3389/D3389*100</f>
        <v>97.6</v>
      </c>
      <c r="G3389" s="2484">
        <v>100</v>
      </c>
      <c r="H3389" s="535"/>
    </row>
    <row r="3390" spans="1:11" ht="16.5" hidden="1" customHeight="1" x14ac:dyDescent="0.25">
      <c r="B3390" s="2913"/>
      <c r="C3390" s="4104" t="s">
        <v>555</v>
      </c>
      <c r="D3390" s="812">
        <v>200000000</v>
      </c>
      <c r="E3390" s="5547">
        <v>195200000</v>
      </c>
      <c r="F3390" s="3772">
        <f>E3390/D3390*100</f>
        <v>97.6</v>
      </c>
      <c r="G3390" s="2338">
        <v>100</v>
      </c>
      <c r="H3390" s="535"/>
    </row>
    <row r="3391" spans="1:11" ht="6.75" hidden="1" customHeight="1" x14ac:dyDescent="0.25">
      <c r="B3391" s="2913"/>
      <c r="C3391" s="3861"/>
      <c r="D3391" s="1609"/>
      <c r="E3391" s="868"/>
      <c r="F3391" s="4115"/>
      <c r="G3391" s="2314"/>
      <c r="H3391" s="535"/>
    </row>
    <row r="3392" spans="1:11" s="3747" customFormat="1" ht="16.5" hidden="1" customHeight="1" x14ac:dyDescent="0.25">
      <c r="A3392" s="3618"/>
      <c r="B3392" s="2913"/>
      <c r="C3392" s="4116" t="s">
        <v>4819</v>
      </c>
      <c r="D3392" s="1557">
        <f>D3393</f>
        <v>150000000</v>
      </c>
      <c r="E3392" s="1557">
        <f>E3393</f>
        <v>140000000</v>
      </c>
      <c r="F3392" s="4115">
        <f>E3392/D3392*100</f>
        <v>93.333333333333329</v>
      </c>
      <c r="G3392" s="2484">
        <v>100</v>
      </c>
      <c r="H3392" s="3619"/>
      <c r="J3392" s="522"/>
      <c r="K3392" s="522"/>
    </row>
    <row r="3393" spans="1:11" s="3747" customFormat="1" ht="15" hidden="1" customHeight="1" x14ac:dyDescent="0.25">
      <c r="A3393" s="3618"/>
      <c r="B3393" s="2913"/>
      <c r="C3393" s="4104" t="s">
        <v>4820</v>
      </c>
      <c r="D3393" s="812">
        <v>150000000</v>
      </c>
      <c r="E3393" s="666">
        <v>140000000</v>
      </c>
      <c r="F3393" s="3772">
        <f>E3393/D3393*100</f>
        <v>93.333333333333329</v>
      </c>
      <c r="G3393" s="2338">
        <v>100</v>
      </c>
      <c r="H3393" s="3619"/>
      <c r="J3393" s="522"/>
      <c r="K3393" s="522"/>
    </row>
    <row r="3394" spans="1:11" s="3747" customFormat="1" ht="9.75" hidden="1" customHeight="1" x14ac:dyDescent="0.25">
      <c r="A3394" s="3618"/>
      <c r="B3394" s="2913"/>
      <c r="C3394" s="4104"/>
      <c r="D3394" s="812"/>
      <c r="E3394" s="666"/>
      <c r="F3394" s="4115"/>
      <c r="G3394" s="2338"/>
      <c r="H3394" s="3619"/>
      <c r="J3394" s="522"/>
      <c r="K3394" s="522"/>
    </row>
    <row r="3395" spans="1:11" s="3747" customFormat="1" ht="15.75" hidden="1" customHeight="1" x14ac:dyDescent="0.25">
      <c r="A3395" s="3618"/>
      <c r="B3395" s="2913"/>
      <c r="C3395" s="4116" t="s">
        <v>4821</v>
      </c>
      <c r="D3395" s="1557">
        <f>D3396</f>
        <v>549520000</v>
      </c>
      <c r="E3395" s="1557">
        <f>E3396</f>
        <v>535000000</v>
      </c>
      <c r="F3395" s="4115">
        <f>E3395/D3395*100</f>
        <v>97.35769398747999</v>
      </c>
      <c r="G3395" s="2484">
        <v>100</v>
      </c>
      <c r="H3395" s="3619"/>
      <c r="J3395" s="522"/>
      <c r="K3395" s="522"/>
    </row>
    <row r="3396" spans="1:11" s="3747" customFormat="1" ht="16.5" hidden="1" customHeight="1" x14ac:dyDescent="0.25">
      <c r="A3396" s="3618"/>
      <c r="B3396" s="2913"/>
      <c r="C3396" s="3899" t="s">
        <v>4822</v>
      </c>
      <c r="D3396" s="1566">
        <v>549520000</v>
      </c>
      <c r="E3396" s="1855">
        <v>535000000</v>
      </c>
      <c r="F3396" s="3772">
        <f>E3396/D3396*100</f>
        <v>97.35769398747999</v>
      </c>
      <c r="G3396" s="3285">
        <v>100</v>
      </c>
      <c r="H3396" s="3619"/>
      <c r="J3396" s="522"/>
      <c r="K3396" s="522"/>
    </row>
    <row r="3397" spans="1:11" s="3747" customFormat="1" ht="7.5" hidden="1" customHeight="1" x14ac:dyDescent="0.25">
      <c r="A3397" s="3618"/>
      <c r="B3397" s="2913"/>
      <c r="C3397" s="3892"/>
      <c r="D3397" s="1558"/>
      <c r="E3397" s="671"/>
      <c r="F3397" s="2461"/>
      <c r="G3397" s="3290"/>
      <c r="H3397" s="536"/>
      <c r="J3397" s="522"/>
      <c r="K3397" s="522"/>
    </row>
    <row r="3398" spans="1:11" s="3747" customFormat="1" ht="16.5" hidden="1" customHeight="1" x14ac:dyDescent="0.25">
      <c r="A3398" s="3618"/>
      <c r="B3398" s="5397"/>
      <c r="C3398" s="3858" t="s">
        <v>4823</v>
      </c>
      <c r="D3398" s="1552">
        <f>D3399</f>
        <v>660000000</v>
      </c>
      <c r="E3398" s="1552">
        <f>E3399</f>
        <v>660000000</v>
      </c>
      <c r="F3398" s="2356">
        <v>100</v>
      </c>
      <c r="G3398" s="2356">
        <v>100</v>
      </c>
      <c r="H3398" s="578"/>
      <c r="J3398" s="522"/>
      <c r="K3398" s="522"/>
    </row>
    <row r="3399" spans="1:11" s="3747" customFormat="1" ht="18" hidden="1" customHeight="1" x14ac:dyDescent="0.25">
      <c r="A3399" s="3618"/>
      <c r="B3399" s="2913"/>
      <c r="C3399" s="3893" t="s">
        <v>4824</v>
      </c>
      <c r="D3399" s="1556">
        <f>SUM(D3400:D3401)</f>
        <v>660000000</v>
      </c>
      <c r="E3399" s="1556">
        <f>SUM(E3400:E3401)</f>
        <v>660000000</v>
      </c>
      <c r="F3399" s="3691">
        <v>100</v>
      </c>
      <c r="G3399" s="3691">
        <v>100</v>
      </c>
      <c r="H3399" s="579"/>
      <c r="J3399" s="522"/>
      <c r="K3399" s="522"/>
    </row>
    <row r="3400" spans="1:11" s="3747" customFormat="1" ht="15.75" hidden="1" customHeight="1" x14ac:dyDescent="0.25">
      <c r="A3400" s="3618"/>
      <c r="B3400" s="2913"/>
      <c r="C3400" s="4104" t="s">
        <v>4825</v>
      </c>
      <c r="D3400" s="812">
        <v>200000000</v>
      </c>
      <c r="E3400" s="666">
        <v>200000000</v>
      </c>
      <c r="F3400" s="1717">
        <v>100</v>
      </c>
      <c r="G3400" s="1717">
        <v>100</v>
      </c>
      <c r="H3400" s="3619"/>
      <c r="J3400" s="522"/>
      <c r="K3400" s="522"/>
    </row>
    <row r="3401" spans="1:11" s="3747" customFormat="1" ht="17.25" hidden="1" customHeight="1" x14ac:dyDescent="0.25">
      <c r="A3401" s="3618"/>
      <c r="B3401" s="2913"/>
      <c r="C3401" s="4104" t="s">
        <v>4826</v>
      </c>
      <c r="D3401" s="812">
        <v>460000000</v>
      </c>
      <c r="E3401" s="666">
        <v>460000000</v>
      </c>
      <c r="F3401" s="1717">
        <v>100</v>
      </c>
      <c r="G3401" s="1717">
        <v>100</v>
      </c>
      <c r="H3401" s="3619"/>
      <c r="J3401" s="522"/>
      <c r="K3401" s="522"/>
    </row>
    <row r="3402" spans="1:11" s="3747" customFormat="1" ht="12" hidden="1" customHeight="1" x14ac:dyDescent="0.25">
      <c r="A3402" s="3618"/>
      <c r="B3402" s="2913"/>
      <c r="C3402" s="3892"/>
      <c r="D3402" s="1558"/>
      <c r="E3402" s="671"/>
      <c r="F3402" s="2461"/>
      <c r="G3402" s="3290"/>
      <c r="H3402" s="536"/>
      <c r="J3402" s="522"/>
      <c r="K3402" s="522"/>
    </row>
    <row r="3403" spans="1:11" s="3747" customFormat="1" ht="15" hidden="1" customHeight="1" x14ac:dyDescent="0.25">
      <c r="A3403" s="3618"/>
      <c r="B3403" s="5397"/>
      <c r="C3403" s="3858" t="s">
        <v>4827</v>
      </c>
      <c r="D3403" s="1552">
        <f>D3404</f>
        <v>300000000</v>
      </c>
      <c r="E3403" s="1552">
        <f>E3404</f>
        <v>297369000</v>
      </c>
      <c r="F3403" s="2356">
        <f>E3403/D3403*100</f>
        <v>99.123000000000005</v>
      </c>
      <c r="G3403" s="2315">
        <v>100</v>
      </c>
      <c r="H3403" s="578"/>
      <c r="J3403" s="522"/>
      <c r="K3403" s="522"/>
    </row>
    <row r="3404" spans="1:11" s="3747" customFormat="1" ht="16.5" hidden="1" customHeight="1" x14ac:dyDescent="0.25">
      <c r="A3404" s="3618"/>
      <c r="B3404" s="2913"/>
      <c r="C3404" s="3893" t="s">
        <v>4828</v>
      </c>
      <c r="D3404" s="1556">
        <f>D3405</f>
        <v>300000000</v>
      </c>
      <c r="E3404" s="1556">
        <f>E3405</f>
        <v>297369000</v>
      </c>
      <c r="F3404" s="3691">
        <f>E3404/D3404*100</f>
        <v>99.123000000000005</v>
      </c>
      <c r="G3404" s="2316">
        <v>100</v>
      </c>
      <c r="H3404" s="579"/>
      <c r="J3404" s="522"/>
      <c r="K3404" s="522"/>
    </row>
    <row r="3405" spans="1:11" s="3747" customFormat="1" ht="15" hidden="1" customHeight="1" x14ac:dyDescent="0.25">
      <c r="A3405" s="3618"/>
      <c r="B3405" s="2913"/>
      <c r="C3405" s="4104" t="s">
        <v>4829</v>
      </c>
      <c r="D3405" s="812">
        <v>300000000</v>
      </c>
      <c r="E3405" s="666">
        <v>297369000</v>
      </c>
      <c r="F3405" s="1717">
        <f>E3405/D3405*100</f>
        <v>99.123000000000005</v>
      </c>
      <c r="G3405" s="2338">
        <v>100</v>
      </c>
      <c r="H3405" s="3619"/>
      <c r="J3405" s="522"/>
      <c r="K3405" s="522"/>
    </row>
    <row r="3406" spans="1:11" s="3747" customFormat="1" ht="12" hidden="1" customHeight="1" x14ac:dyDescent="0.25">
      <c r="A3406" s="3618"/>
      <c r="B3406" s="2913"/>
      <c r="C3406" s="3892"/>
      <c r="D3406" s="1558"/>
      <c r="E3406" s="671"/>
      <c r="F3406" s="2461"/>
      <c r="G3406" s="3290"/>
      <c r="H3406" s="3619"/>
      <c r="J3406" s="522"/>
      <c r="K3406" s="522"/>
    </row>
    <row r="3407" spans="1:11" ht="18" hidden="1" customHeight="1" x14ac:dyDescent="0.25">
      <c r="B3407" s="5397"/>
      <c r="C3407" s="3994" t="s">
        <v>3213</v>
      </c>
      <c r="D3407" s="1552">
        <f>SUM(D3408)</f>
        <v>2650000000</v>
      </c>
      <c r="E3407" s="1552">
        <f>SUM(E3408)</f>
        <v>1000000000</v>
      </c>
      <c r="F3407" s="1050">
        <f>E3407/D3407*100</f>
        <v>37.735849056603776</v>
      </c>
      <c r="G3407" s="1107">
        <f>SUM(G3408)/1</f>
        <v>66.666666666666671</v>
      </c>
      <c r="H3407" s="535"/>
    </row>
    <row r="3408" spans="1:11" ht="13.5" hidden="1" customHeight="1" x14ac:dyDescent="0.25">
      <c r="B3408" s="2913"/>
      <c r="C3408" s="4103" t="s">
        <v>4830</v>
      </c>
      <c r="D3408" s="1557">
        <f>SUM(D3409:D3411)</f>
        <v>2650000000</v>
      </c>
      <c r="E3408" s="1556">
        <f>SUM(E3409:E3411)</f>
        <v>1000000000</v>
      </c>
      <c r="F3408" s="1052">
        <f>E3408/D3408*100</f>
        <v>37.735849056603776</v>
      </c>
      <c r="G3408" s="1118">
        <f>SUM(G3409:G3411)/3</f>
        <v>66.666666666666671</v>
      </c>
      <c r="H3408" s="535"/>
    </row>
    <row r="3409" spans="1:11" ht="14.25" hidden="1" customHeight="1" x14ac:dyDescent="0.25">
      <c r="B3409" s="2913"/>
      <c r="C3409" s="4104" t="s">
        <v>4831</v>
      </c>
      <c r="D3409" s="812">
        <v>750000000</v>
      </c>
      <c r="E3409" s="1121">
        <v>750000000</v>
      </c>
      <c r="F3409" s="1162">
        <f>E3409/D3409*100</f>
        <v>100</v>
      </c>
      <c r="G3409" s="1121">
        <v>100</v>
      </c>
      <c r="H3409" s="535"/>
    </row>
    <row r="3410" spans="1:11" s="3747" customFormat="1" ht="14.25" hidden="1" customHeight="1" x14ac:dyDescent="0.25">
      <c r="A3410" s="3618"/>
      <c r="B3410" s="2913"/>
      <c r="C3410" s="3892" t="s">
        <v>4832</v>
      </c>
      <c r="D3410" s="1609">
        <v>1500000000</v>
      </c>
      <c r="E3410" s="1916">
        <v>0</v>
      </c>
      <c r="F3410" s="1916">
        <v>0</v>
      </c>
      <c r="G3410" s="1916">
        <v>0</v>
      </c>
      <c r="H3410" s="3619"/>
      <c r="J3410" s="522"/>
      <c r="K3410" s="522"/>
    </row>
    <row r="3411" spans="1:11" s="3747" customFormat="1" ht="14.25" hidden="1" customHeight="1" x14ac:dyDescent="0.25">
      <c r="A3411" s="3618"/>
      <c r="B3411" s="2913"/>
      <c r="C3411" s="4104" t="s">
        <v>4833</v>
      </c>
      <c r="D3411" s="1609">
        <v>400000000</v>
      </c>
      <c r="E3411" s="1916">
        <v>250000000</v>
      </c>
      <c r="F3411" s="1162">
        <f>E3411/D3411*100</f>
        <v>62.5</v>
      </c>
      <c r="G3411" s="1121">
        <v>100</v>
      </c>
      <c r="H3411" s="3619"/>
      <c r="J3411" s="522"/>
      <c r="K3411" s="522"/>
    </row>
    <row r="3412" spans="1:11" ht="12" hidden="1" customHeight="1" x14ac:dyDescent="0.25">
      <c r="B3412" s="2913"/>
      <c r="C3412" s="3892"/>
      <c r="D3412" s="1490"/>
      <c r="E3412" s="788"/>
      <c r="F3412" s="1315"/>
      <c r="G3412" s="1315"/>
      <c r="H3412" s="535"/>
    </row>
    <row r="3413" spans="1:11" ht="15.75" customHeight="1" x14ac:dyDescent="0.25">
      <c r="B3413" s="5414"/>
      <c r="C3413" s="4037" t="s">
        <v>608</v>
      </c>
      <c r="D3413" s="1612">
        <f>SUM(D3415+D3457+D3478+D3501+D3514+D3522+D3532+D3540+D3544+D3552+D3556+D3578+D3583+D3590+D3597+D3607+D3614+D3624+D3631+D3644)</f>
        <v>123371722000</v>
      </c>
      <c r="E3413" s="1612">
        <f>SUM(E3415+E3457+E3478+E3501+E3514+E3522+E3532+E3540+E3544+E3552+E3556+E3578+E3583+E3590+E3597+E3607+E3614+E3624+E3631+E3644)</f>
        <v>110854747911</v>
      </c>
      <c r="F3413" s="1471">
        <f>E3413/D3413*100</f>
        <v>89.854260047533415</v>
      </c>
      <c r="G3413" s="2531">
        <f>SUM(G3415+G3457+G3478+G3501+G3514+G3522+G3532+G3540+G3544+G3552+G3556+G3578+G3583+G3590+G3597+G3607+G3614+G3624+G3631+G3644)/20</f>
        <v>95.773237475296582</v>
      </c>
      <c r="H3413" s="1638"/>
      <c r="J3413" s="3663"/>
    </row>
    <row r="3414" spans="1:11" ht="8.25" hidden="1" customHeight="1" x14ac:dyDescent="0.25">
      <c r="B3414" s="2913"/>
      <c r="C3414" s="3893"/>
      <c r="D3414" s="1519"/>
      <c r="E3414" s="1816"/>
      <c r="F3414" s="3691"/>
      <c r="G3414" s="3691"/>
      <c r="H3414" s="535"/>
    </row>
    <row r="3415" spans="1:11" ht="12" hidden="1" customHeight="1" x14ac:dyDescent="0.25">
      <c r="B3415" s="5397"/>
      <c r="C3415" s="3858" t="s">
        <v>287</v>
      </c>
      <c r="D3415" s="1546">
        <f>SUM(D3416+D3419+D3427+D3446+D3449+D3452)</f>
        <v>15494877244</v>
      </c>
      <c r="E3415" s="1546">
        <f>SUM(E3416+E3419+E3427+E3446+E3449+E3452)</f>
        <v>14557911144</v>
      </c>
      <c r="F3415" s="1462">
        <f>E3415/D3415*100</f>
        <v>93.953058902981525</v>
      </c>
      <c r="G3415" s="2356">
        <f>SUM(G3416+G3419+G3427+G3446+G3449+G3452)/6</f>
        <v>96.417130458312684</v>
      </c>
      <c r="H3415" s="535"/>
      <c r="J3415" s="299"/>
    </row>
    <row r="3416" spans="1:11" ht="18" hidden="1" customHeight="1" x14ac:dyDescent="0.25">
      <c r="B3416" s="2913"/>
      <c r="C3416" s="3881" t="s">
        <v>702</v>
      </c>
      <c r="D3416" s="1554">
        <f>D3417</f>
        <v>1956000000</v>
      </c>
      <c r="E3416" s="1554">
        <f>E3417</f>
        <v>1956000000</v>
      </c>
      <c r="F3416" s="1052">
        <f>E3416/D3416*100</f>
        <v>100</v>
      </c>
      <c r="G3416" s="1118">
        <v>100</v>
      </c>
      <c r="H3416" s="535"/>
    </row>
    <row r="3417" spans="1:11" ht="14.25" hidden="1" customHeight="1" x14ac:dyDescent="0.25">
      <c r="B3417" s="2913"/>
      <c r="C3417" s="4104" t="s">
        <v>785</v>
      </c>
      <c r="D3417" s="1548">
        <v>1956000000</v>
      </c>
      <c r="E3417" s="4058">
        <v>1956000000</v>
      </c>
      <c r="F3417" s="1162">
        <f>E3417/D3417*100</f>
        <v>100</v>
      </c>
      <c r="G3417" s="1121">
        <v>100</v>
      </c>
      <c r="H3417" s="535"/>
    </row>
    <row r="3418" spans="1:11" ht="10.5" hidden="1" customHeight="1" x14ac:dyDescent="0.25">
      <c r="B3418" s="2913"/>
      <c r="C3418" s="4116"/>
      <c r="D3418" s="1548"/>
      <c r="E3418" s="3360"/>
      <c r="F3418" s="1315"/>
      <c r="G3418" s="1315"/>
      <c r="H3418" s="535"/>
    </row>
    <row r="3419" spans="1:11" ht="17.25" hidden="1" customHeight="1" x14ac:dyDescent="0.25">
      <c r="B3419" s="2913"/>
      <c r="C3419" s="4299" t="s">
        <v>559</v>
      </c>
      <c r="D3419" s="1551">
        <f>SUM(D3420:D3425)</f>
        <v>3675196144</v>
      </c>
      <c r="E3419" s="1551">
        <f>SUM(E3420:E3425)</f>
        <v>3425661144</v>
      </c>
      <c r="F3419" s="1052">
        <f t="shared" ref="F3419:F3425" si="98">E3419/D3419*100</f>
        <v>93.210294356469049</v>
      </c>
      <c r="G3419" s="2261">
        <f>SUM(G3420:G3425)/6</f>
        <v>92.163333333333341</v>
      </c>
      <c r="H3419" s="535"/>
    </row>
    <row r="3420" spans="1:11" ht="16.5" hidden="1" customHeight="1" x14ac:dyDescent="0.25">
      <c r="B3420" s="2913"/>
      <c r="C3420" s="4104" t="s">
        <v>786</v>
      </c>
      <c r="D3420" s="4113">
        <v>560000000</v>
      </c>
      <c r="E3420" s="1619">
        <v>560000000</v>
      </c>
      <c r="F3420" s="1162">
        <f t="shared" si="98"/>
        <v>100</v>
      </c>
      <c r="G3420" s="3648">
        <v>100</v>
      </c>
      <c r="H3420" s="535"/>
    </row>
    <row r="3421" spans="1:11" ht="15.75" hidden="1" customHeight="1" x14ac:dyDescent="0.25">
      <c r="B3421" s="2913"/>
      <c r="C3421" s="4104" t="s">
        <v>832</v>
      </c>
      <c r="D3421" s="4113">
        <v>478500000</v>
      </c>
      <c r="E3421" s="1619">
        <v>253500000</v>
      </c>
      <c r="F3421" s="1162">
        <f t="shared" si="98"/>
        <v>52.978056426332287</v>
      </c>
      <c r="G3421" s="3648">
        <v>52.98</v>
      </c>
      <c r="H3421" s="535"/>
    </row>
    <row r="3422" spans="1:11" ht="16.5" hidden="1" customHeight="1" x14ac:dyDescent="0.25">
      <c r="B3422" s="2913"/>
      <c r="C3422" s="4104" t="s">
        <v>787</v>
      </c>
      <c r="D3422" s="4113">
        <v>286808144</v>
      </c>
      <c r="E3422" s="1619">
        <v>286808144</v>
      </c>
      <c r="F3422" s="1162">
        <f t="shared" si="98"/>
        <v>100</v>
      </c>
      <c r="G3422" s="3648">
        <v>100</v>
      </c>
      <c r="H3422" s="535"/>
    </row>
    <row r="3423" spans="1:11" ht="18" hidden="1" customHeight="1" x14ac:dyDescent="0.25">
      <c r="B3423" s="2913"/>
      <c r="C3423" s="4104" t="s">
        <v>788</v>
      </c>
      <c r="D3423" s="4113">
        <v>56146000</v>
      </c>
      <c r="E3423" s="1619">
        <v>56146000</v>
      </c>
      <c r="F3423" s="1162">
        <f t="shared" si="98"/>
        <v>100</v>
      </c>
      <c r="G3423" s="1717">
        <v>100</v>
      </c>
      <c r="H3423" s="535"/>
    </row>
    <row r="3424" spans="1:11" ht="15.75" hidden="1" customHeight="1" x14ac:dyDescent="0.25">
      <c r="B3424" s="2913"/>
      <c r="C3424" s="4104" t="s">
        <v>789</v>
      </c>
      <c r="D3424" s="4113">
        <v>2190000000</v>
      </c>
      <c r="E3424" s="1619">
        <v>2165465000</v>
      </c>
      <c r="F3424" s="1162">
        <f t="shared" si="98"/>
        <v>98.879680365296807</v>
      </c>
      <c r="G3424" s="1717">
        <v>100</v>
      </c>
      <c r="H3424" s="535"/>
    </row>
    <row r="3425" spans="2:8" ht="18.75" hidden="1" customHeight="1" x14ac:dyDescent="0.25">
      <c r="B3425" s="2913"/>
      <c r="C3425" s="4104" t="s">
        <v>790</v>
      </c>
      <c r="D3425" s="4113">
        <v>103742000</v>
      </c>
      <c r="E3425" s="1121">
        <v>103742000</v>
      </c>
      <c r="F3425" s="1162">
        <f t="shared" si="98"/>
        <v>100</v>
      </c>
      <c r="G3425" s="1717">
        <v>100</v>
      </c>
      <c r="H3425" s="535"/>
    </row>
    <row r="3426" spans="2:8" ht="8.25" hidden="1" customHeight="1" x14ac:dyDescent="0.25">
      <c r="B3426" s="2913"/>
      <c r="C3426" s="4104"/>
      <c r="D3426" s="1548"/>
      <c r="E3426" s="3360"/>
      <c r="F3426" s="1315"/>
      <c r="G3426" s="1315"/>
      <c r="H3426" s="535"/>
    </row>
    <row r="3427" spans="2:8" ht="18.75" hidden="1" customHeight="1" x14ac:dyDescent="0.25">
      <c r="B3427" s="2913"/>
      <c r="C3427" s="4116" t="s">
        <v>224</v>
      </c>
      <c r="D3427" s="1549">
        <f>SUM(D3428:D3444)</f>
        <v>8922477100</v>
      </c>
      <c r="E3427" s="1549">
        <f>SUM(E3428:E3444)</f>
        <v>8235046000</v>
      </c>
      <c r="F3427" s="1052">
        <f t="shared" ref="F3427:F3434" si="99">E3427/D3427*100</f>
        <v>92.295512868281833</v>
      </c>
      <c r="G3427" s="3600">
        <f>SUM(G3428:G3444)/17</f>
        <v>86.33944941654272</v>
      </c>
      <c r="H3427" s="535"/>
    </row>
    <row r="3428" spans="2:8" ht="17.25" hidden="1" customHeight="1" x14ac:dyDescent="0.25">
      <c r="B3428" s="2913"/>
      <c r="C3428" s="4104" t="s">
        <v>791</v>
      </c>
      <c r="D3428" s="4113">
        <v>138000000</v>
      </c>
      <c r="E3428" s="1620">
        <v>138000000</v>
      </c>
      <c r="F3428" s="1162">
        <f t="shared" si="99"/>
        <v>100</v>
      </c>
      <c r="G3428" s="3648">
        <v>100</v>
      </c>
      <c r="H3428" s="535"/>
    </row>
    <row r="3429" spans="2:8" ht="15" hidden="1" customHeight="1" x14ac:dyDescent="0.25">
      <c r="B3429" s="2913"/>
      <c r="C3429" s="4104" t="s">
        <v>833</v>
      </c>
      <c r="D3429" s="4113">
        <v>246000000</v>
      </c>
      <c r="E3429" s="1620">
        <v>246000000</v>
      </c>
      <c r="F3429" s="1162">
        <f t="shared" si="99"/>
        <v>100</v>
      </c>
      <c r="G3429" s="3648">
        <v>100</v>
      </c>
      <c r="H3429" s="535"/>
    </row>
    <row r="3430" spans="2:8" ht="15" hidden="1" customHeight="1" x14ac:dyDescent="0.25">
      <c r="B3430" s="2913"/>
      <c r="C3430" s="4104" t="s">
        <v>792</v>
      </c>
      <c r="D3430" s="4113">
        <v>102500000</v>
      </c>
      <c r="E3430" s="1620">
        <v>102500000</v>
      </c>
      <c r="F3430" s="1162">
        <f t="shared" si="99"/>
        <v>100</v>
      </c>
      <c r="G3430" s="3648">
        <v>100</v>
      </c>
      <c r="H3430" s="535"/>
    </row>
    <row r="3431" spans="2:8" ht="14.25" hidden="1" customHeight="1" x14ac:dyDescent="0.25">
      <c r="B3431" s="2913"/>
      <c r="C3431" s="4104" t="s">
        <v>834</v>
      </c>
      <c r="D3431" s="4113">
        <v>1681400000</v>
      </c>
      <c r="E3431" s="1620">
        <v>1454000000</v>
      </c>
      <c r="F3431" s="1162">
        <f t="shared" si="99"/>
        <v>86.475556084215526</v>
      </c>
      <c r="G3431" s="3648">
        <v>86.475556084215526</v>
      </c>
      <c r="H3431" s="535"/>
    </row>
    <row r="3432" spans="2:8" ht="13.5" hidden="1" customHeight="1" x14ac:dyDescent="0.25">
      <c r="B3432" s="2913"/>
      <c r="C3432" s="4104" t="s">
        <v>793</v>
      </c>
      <c r="D3432" s="4113">
        <v>42400000</v>
      </c>
      <c r="E3432" s="1121">
        <v>42400000</v>
      </c>
      <c r="F3432" s="1162">
        <f t="shared" si="99"/>
        <v>100</v>
      </c>
      <c r="G3432" s="1162">
        <v>100</v>
      </c>
      <c r="H3432" s="535"/>
    </row>
    <row r="3433" spans="2:8" ht="13.5" hidden="1" customHeight="1" x14ac:dyDescent="0.25">
      <c r="B3433" s="2913"/>
      <c r="C3433" s="4104" t="s">
        <v>794</v>
      </c>
      <c r="D3433" s="4113">
        <v>2261390000</v>
      </c>
      <c r="E3433" s="1620">
        <v>1838398900</v>
      </c>
      <c r="F3433" s="1162">
        <f t="shared" si="99"/>
        <v>81.295083997010693</v>
      </c>
      <c r="G3433" s="3648">
        <v>81.295083997010693</v>
      </c>
      <c r="H3433" s="535"/>
    </row>
    <row r="3434" spans="2:8" ht="13.5" hidden="1" customHeight="1" x14ac:dyDescent="0.25">
      <c r="B3434" s="2913"/>
      <c r="C3434" s="4104" t="s">
        <v>795</v>
      </c>
      <c r="D3434" s="4113">
        <v>118680000</v>
      </c>
      <c r="E3434" s="1620">
        <v>118680000</v>
      </c>
      <c r="F3434" s="1162">
        <f t="shared" si="99"/>
        <v>100</v>
      </c>
      <c r="G3434" s="3648">
        <v>100</v>
      </c>
      <c r="H3434" s="535"/>
    </row>
    <row r="3435" spans="2:8" ht="18.75" hidden="1" customHeight="1" x14ac:dyDescent="0.25">
      <c r="B3435" s="2913"/>
      <c r="C3435" s="4104" t="s">
        <v>835</v>
      </c>
      <c r="D3435" s="4113">
        <v>16400000</v>
      </c>
      <c r="E3435" s="1121">
        <v>0</v>
      </c>
      <c r="F3435" s="1121">
        <v>0</v>
      </c>
      <c r="G3435" s="1162">
        <v>0</v>
      </c>
      <c r="H3435" s="535"/>
    </row>
    <row r="3436" spans="2:8" ht="16.5" hidden="1" customHeight="1" x14ac:dyDescent="0.25">
      <c r="B3436" s="2913"/>
      <c r="C3436" s="4104" t="s">
        <v>837</v>
      </c>
      <c r="D3436" s="4113">
        <v>20640000</v>
      </c>
      <c r="E3436" s="1121">
        <v>0</v>
      </c>
      <c r="F3436" s="1121">
        <v>0</v>
      </c>
      <c r="G3436" s="1162">
        <v>0</v>
      </c>
      <c r="H3436" s="535"/>
    </row>
    <row r="3437" spans="2:8" ht="14.25" hidden="1" customHeight="1" x14ac:dyDescent="0.25">
      <c r="B3437" s="2913"/>
      <c r="C3437" s="4104" t="s">
        <v>836</v>
      </c>
      <c r="D3437" s="4113">
        <v>164857000</v>
      </c>
      <c r="E3437" s="1620">
        <v>164857000</v>
      </c>
      <c r="F3437" s="1162">
        <f t="shared" ref="F3437:F3444" si="100">E3437/D3437*100</f>
        <v>100</v>
      </c>
      <c r="G3437" s="3648">
        <v>100</v>
      </c>
      <c r="H3437" s="535"/>
    </row>
    <row r="3438" spans="2:8" hidden="1" x14ac:dyDescent="0.25">
      <c r="B3438" s="2913"/>
      <c r="C3438" s="4104" t="s">
        <v>838</v>
      </c>
      <c r="D3438" s="4113">
        <v>173460100</v>
      </c>
      <c r="E3438" s="1620">
        <v>173460100</v>
      </c>
      <c r="F3438" s="1162">
        <f t="shared" si="100"/>
        <v>100</v>
      </c>
      <c r="G3438" s="3648">
        <v>100</v>
      </c>
      <c r="H3438" s="535"/>
    </row>
    <row r="3439" spans="2:8" ht="14.25" hidden="1" customHeight="1" x14ac:dyDescent="0.25">
      <c r="B3439" s="2913"/>
      <c r="C3439" s="4104" t="s">
        <v>796</v>
      </c>
      <c r="D3439" s="4113">
        <v>1948800000</v>
      </c>
      <c r="E3439" s="1620">
        <v>1948800000</v>
      </c>
      <c r="F3439" s="1162">
        <f t="shared" si="100"/>
        <v>100</v>
      </c>
      <c r="G3439" s="3648">
        <v>100</v>
      </c>
      <c r="H3439" s="535"/>
    </row>
    <row r="3440" spans="2:8" ht="16.5" hidden="1" customHeight="1" x14ac:dyDescent="0.25">
      <c r="B3440" s="2913"/>
      <c r="C3440" s="4104" t="s">
        <v>797</v>
      </c>
      <c r="D3440" s="4113">
        <v>258000000</v>
      </c>
      <c r="E3440" s="1620">
        <v>258000000</v>
      </c>
      <c r="F3440" s="1162">
        <f t="shared" si="100"/>
        <v>100</v>
      </c>
      <c r="G3440" s="3648">
        <v>100</v>
      </c>
      <c r="H3440" s="535"/>
    </row>
    <row r="3441" spans="2:8" ht="13.5" hidden="1" customHeight="1" x14ac:dyDescent="0.25">
      <c r="B3441" s="2913"/>
      <c r="C3441" s="4104" t="s">
        <v>798</v>
      </c>
      <c r="D3441" s="4113">
        <v>103200000</v>
      </c>
      <c r="E3441" s="1620">
        <v>103200000</v>
      </c>
      <c r="F3441" s="1162">
        <f t="shared" si="100"/>
        <v>100</v>
      </c>
      <c r="G3441" s="3648">
        <v>100</v>
      </c>
      <c r="H3441" s="535"/>
    </row>
    <row r="3442" spans="2:8" ht="19.5" hidden="1" customHeight="1" x14ac:dyDescent="0.25">
      <c r="B3442" s="2913"/>
      <c r="C3442" s="4104" t="s">
        <v>799</v>
      </c>
      <c r="D3442" s="4113">
        <v>900000000</v>
      </c>
      <c r="E3442" s="1620">
        <v>900000000</v>
      </c>
      <c r="F3442" s="1162">
        <f t="shared" si="100"/>
        <v>100</v>
      </c>
      <c r="G3442" s="3648">
        <v>100</v>
      </c>
      <c r="H3442" s="535"/>
    </row>
    <row r="3443" spans="2:8" ht="14.25" hidden="1" customHeight="1" x14ac:dyDescent="0.25">
      <c r="B3443" s="2913"/>
      <c r="C3443" s="4104" t="s">
        <v>800</v>
      </c>
      <c r="D3443" s="4113">
        <v>675000000</v>
      </c>
      <c r="E3443" s="1620">
        <v>675000000</v>
      </c>
      <c r="F3443" s="1162">
        <f t="shared" si="100"/>
        <v>100</v>
      </c>
      <c r="G3443" s="3648">
        <v>100</v>
      </c>
      <c r="H3443" s="535"/>
    </row>
    <row r="3444" spans="2:8" ht="15.75" hidden="1" customHeight="1" x14ac:dyDescent="0.25">
      <c r="B3444" s="2913"/>
      <c r="C3444" s="4104" t="s">
        <v>801</v>
      </c>
      <c r="D3444" s="4113">
        <v>71750000</v>
      </c>
      <c r="E3444" s="1620">
        <v>71750000</v>
      </c>
      <c r="F3444" s="1162">
        <f t="shared" si="100"/>
        <v>100</v>
      </c>
      <c r="G3444" s="3648">
        <v>100</v>
      </c>
      <c r="H3444" s="535"/>
    </row>
    <row r="3445" spans="2:8" ht="11.25" hidden="1" customHeight="1" x14ac:dyDescent="0.25">
      <c r="B3445" s="2913"/>
      <c r="C3445" s="4104"/>
      <c r="D3445" s="1548"/>
      <c r="E3445" s="3499"/>
      <c r="F3445" s="2508"/>
      <c r="G3445" s="3648"/>
      <c r="H3445" s="535"/>
    </row>
    <row r="3446" spans="2:8" ht="15.75" hidden="1" customHeight="1" x14ac:dyDescent="0.25">
      <c r="B3446" s="2913"/>
      <c r="C3446" s="3938" t="s">
        <v>807</v>
      </c>
      <c r="D3446" s="3629">
        <f>SUM(D3447:D3447)</f>
        <v>766600000</v>
      </c>
      <c r="E3446" s="3629">
        <f>SUM(E3447:E3447)</f>
        <v>766600000</v>
      </c>
      <c r="F3446" s="1052">
        <f>E3446/D3446*100</f>
        <v>100</v>
      </c>
      <c r="G3446" s="3600">
        <v>100</v>
      </c>
      <c r="H3446" s="535"/>
    </row>
    <row r="3447" spans="2:8" ht="15.75" hidden="1" customHeight="1" x14ac:dyDescent="0.25">
      <c r="B3447" s="2913"/>
      <c r="C3447" s="4104" t="s">
        <v>802</v>
      </c>
      <c r="D3447" s="4113">
        <v>766600000</v>
      </c>
      <c r="E3447" s="1621">
        <v>766600000</v>
      </c>
      <c r="F3447" s="1162">
        <f>E3447/D3447*100</f>
        <v>100</v>
      </c>
      <c r="G3447" s="3648">
        <v>100</v>
      </c>
      <c r="H3447" s="535"/>
    </row>
    <row r="3448" spans="2:8" ht="10.5" hidden="1" customHeight="1" x14ac:dyDescent="0.25">
      <c r="B3448" s="2913"/>
      <c r="C3448" s="4104"/>
      <c r="D3448" s="1548"/>
      <c r="E3448" s="3499"/>
      <c r="F3448" s="2508"/>
      <c r="G3448" s="3648"/>
      <c r="H3448" s="535"/>
    </row>
    <row r="3449" spans="2:8" ht="16.5" hidden="1" customHeight="1" x14ac:dyDescent="0.25">
      <c r="B3449" s="2913"/>
      <c r="C3449" s="3938" t="s">
        <v>808</v>
      </c>
      <c r="D3449" s="3629">
        <f>SUM(D3450:D3450)</f>
        <v>40836000</v>
      </c>
      <c r="E3449" s="3629">
        <f>SUM(E3450:E3450)</f>
        <v>40836000</v>
      </c>
      <c r="F3449" s="1052">
        <f>E3449/D3449*100</f>
        <v>100</v>
      </c>
      <c r="G3449" s="3600">
        <v>100</v>
      </c>
      <c r="H3449" s="535"/>
    </row>
    <row r="3450" spans="2:8" ht="16.5" hidden="1" customHeight="1" x14ac:dyDescent="0.25">
      <c r="B3450" s="2913"/>
      <c r="C3450" s="4104" t="s">
        <v>803</v>
      </c>
      <c r="D3450" s="4113">
        <v>40836000</v>
      </c>
      <c r="E3450" s="1622">
        <v>40836000</v>
      </c>
      <c r="F3450" s="1162">
        <f>E3450/D3450*100</f>
        <v>100</v>
      </c>
      <c r="G3450" s="3648">
        <v>100</v>
      </c>
      <c r="H3450" s="535"/>
    </row>
    <row r="3451" spans="2:8" ht="9.75" hidden="1" customHeight="1" x14ac:dyDescent="0.25">
      <c r="B3451" s="2913"/>
      <c r="C3451" s="4104"/>
      <c r="D3451" s="1548"/>
      <c r="E3451" s="3360"/>
      <c r="F3451" s="1315"/>
      <c r="G3451" s="1315"/>
      <c r="H3451" s="535"/>
    </row>
    <row r="3452" spans="2:8" ht="17.25" hidden="1" customHeight="1" x14ac:dyDescent="0.25">
      <c r="B3452" s="2913"/>
      <c r="C3452" s="4116" t="s">
        <v>809</v>
      </c>
      <c r="D3452" s="1549">
        <f>SUM(D3453:D3455)</f>
        <v>133768000</v>
      </c>
      <c r="E3452" s="1549">
        <f>SUM(E3453:E3455)</f>
        <v>133768000</v>
      </c>
      <c r="F3452" s="1052">
        <f>E3452/D3452*100</f>
        <v>100</v>
      </c>
      <c r="G3452" s="2261">
        <v>100</v>
      </c>
      <c r="H3452" s="535"/>
    </row>
    <row r="3453" spans="2:8" ht="16.5" hidden="1" customHeight="1" x14ac:dyDescent="0.25">
      <c r="B3453" s="2913"/>
      <c r="C3453" s="4104" t="s">
        <v>804</v>
      </c>
      <c r="D3453" s="4113">
        <v>36116000</v>
      </c>
      <c r="E3453" s="1623">
        <v>36116000</v>
      </c>
      <c r="F3453" s="1162">
        <f>E3453/D3453*100</f>
        <v>100</v>
      </c>
      <c r="G3453" s="1717">
        <v>100</v>
      </c>
      <c r="H3453" s="535"/>
    </row>
    <row r="3454" spans="2:8" ht="30" hidden="1" customHeight="1" x14ac:dyDescent="0.25">
      <c r="B3454" s="2913"/>
      <c r="C3454" s="5480" t="s">
        <v>805</v>
      </c>
      <c r="D3454" s="1038">
        <v>51546000</v>
      </c>
      <c r="E3454" s="1121">
        <v>51546000</v>
      </c>
      <c r="F3454" s="1162">
        <f>E3454/D3454*100</f>
        <v>100</v>
      </c>
      <c r="G3454" s="1121">
        <v>100</v>
      </c>
      <c r="H3454" s="535"/>
    </row>
    <row r="3455" spans="2:8" ht="15" hidden="1" customHeight="1" x14ac:dyDescent="0.25">
      <c r="B3455" s="2913"/>
      <c r="C3455" s="4104" t="s">
        <v>806</v>
      </c>
      <c r="D3455" s="4113">
        <v>46106000</v>
      </c>
      <c r="E3455" s="1623">
        <v>46106000</v>
      </c>
      <c r="F3455" s="1162">
        <f>E3455/D3455*100</f>
        <v>100</v>
      </c>
      <c r="G3455" s="3553">
        <v>100</v>
      </c>
      <c r="H3455" s="535"/>
    </row>
    <row r="3456" spans="2:8" ht="12" hidden="1" customHeight="1" x14ac:dyDescent="0.25">
      <c r="B3456" s="2913"/>
      <c r="C3456" s="3861"/>
      <c r="D3456" s="1516"/>
      <c r="E3456" s="969"/>
      <c r="F3456" s="2285"/>
      <c r="G3456" s="2285"/>
      <c r="H3456" s="535"/>
    </row>
    <row r="3457" spans="2:8" ht="16.5" hidden="1" customHeight="1" x14ac:dyDescent="0.25">
      <c r="B3457" s="5397"/>
      <c r="C3457" s="3858" t="s">
        <v>248</v>
      </c>
      <c r="D3457" s="1546">
        <f>SUM(D3458+D3461+D3464+D3468+D3471+D3475)</f>
        <v>13815440500</v>
      </c>
      <c r="E3457" s="1546">
        <f>SUM(E3458+E3461+E3464+E3468+E3471+E3475)</f>
        <v>13813440500</v>
      </c>
      <c r="F3457" s="1462">
        <f>E3457/D3457*100</f>
        <v>99.98552344385979</v>
      </c>
      <c r="G3457" s="2356">
        <v>100</v>
      </c>
      <c r="H3457" s="535"/>
    </row>
    <row r="3458" spans="2:8" ht="20.25" hidden="1" customHeight="1" x14ac:dyDescent="0.25">
      <c r="B3458" s="2913"/>
      <c r="C3458" s="4299" t="s">
        <v>810</v>
      </c>
      <c r="D3458" s="1115">
        <f>SUM(D3459)</f>
        <v>10865200000</v>
      </c>
      <c r="E3458" s="1115">
        <f>SUM(E3459)</f>
        <v>10863200000</v>
      </c>
      <c r="F3458" s="1052">
        <f>E3458/D3458*100</f>
        <v>99.98159260759121</v>
      </c>
      <c r="G3458" s="2562">
        <v>100</v>
      </c>
      <c r="H3458" s="535"/>
    </row>
    <row r="3459" spans="2:8" ht="15.75" hidden="1" customHeight="1" x14ac:dyDescent="0.25">
      <c r="B3459" s="2913"/>
      <c r="C3459" s="4104" t="s">
        <v>811</v>
      </c>
      <c r="D3459" s="4113">
        <v>10865200000</v>
      </c>
      <c r="E3459" s="1625">
        <v>10863200000</v>
      </c>
      <c r="F3459" s="1162">
        <f>E3459/D3459*100</f>
        <v>99.98159260759121</v>
      </c>
      <c r="G3459" s="1717">
        <v>100</v>
      </c>
      <c r="H3459" s="535"/>
    </row>
    <row r="3460" spans="2:8" ht="6.75" hidden="1" customHeight="1" x14ac:dyDescent="0.25">
      <c r="B3460" s="2913"/>
      <c r="C3460" s="4104"/>
      <c r="D3460" s="1548"/>
      <c r="E3460" s="3360"/>
      <c r="F3460" s="1315"/>
      <c r="G3460" s="1315"/>
      <c r="H3460" s="535"/>
    </row>
    <row r="3461" spans="2:8" ht="14.25" hidden="1" customHeight="1" x14ac:dyDescent="0.25">
      <c r="B3461" s="2913"/>
      <c r="C3461" s="4116" t="s">
        <v>290</v>
      </c>
      <c r="D3461" s="1549">
        <f>SUM(D3462:D3462)</f>
        <v>900000000</v>
      </c>
      <c r="E3461" s="1549">
        <f>SUM(E3462:E3462)</f>
        <v>900000000</v>
      </c>
      <c r="F3461" s="1052">
        <f>E3461/D3461*100</f>
        <v>100</v>
      </c>
      <c r="G3461" s="2261">
        <v>100</v>
      </c>
      <c r="H3461" s="535"/>
    </row>
    <row r="3462" spans="2:8" ht="15" hidden="1" customHeight="1" x14ac:dyDescent="0.25">
      <c r="B3462" s="2913"/>
      <c r="C3462" s="4104" t="s">
        <v>812</v>
      </c>
      <c r="D3462" s="4113">
        <v>900000000</v>
      </c>
      <c r="E3462" s="1626">
        <v>900000000</v>
      </c>
      <c r="F3462" s="1162">
        <f>E3462/D3462*100</f>
        <v>100</v>
      </c>
      <c r="G3462" s="3651">
        <v>100</v>
      </c>
      <c r="H3462" s="535"/>
    </row>
    <row r="3463" spans="2:8" ht="6" hidden="1" customHeight="1" x14ac:dyDescent="0.25">
      <c r="B3463" s="2913"/>
      <c r="C3463" s="4104"/>
      <c r="D3463" s="1548"/>
      <c r="E3463" s="3360"/>
      <c r="F3463" s="1315"/>
      <c r="G3463" s="1315"/>
      <c r="H3463" s="535"/>
    </row>
    <row r="3464" spans="2:8" ht="14.25" hidden="1" customHeight="1" x14ac:dyDescent="0.25">
      <c r="B3464" s="2913"/>
      <c r="C3464" s="3938" t="s">
        <v>813</v>
      </c>
      <c r="D3464" s="3629">
        <f>SUM(D3465:D3466)</f>
        <v>577683000</v>
      </c>
      <c r="E3464" s="3629">
        <f>SUM(E3465:E3466)</f>
        <v>577683000</v>
      </c>
      <c r="F3464" s="1052">
        <f>E3464/D3464*100</f>
        <v>100</v>
      </c>
      <c r="G3464" s="2261">
        <v>100</v>
      </c>
      <c r="H3464" s="535"/>
    </row>
    <row r="3465" spans="2:8" ht="13.5" hidden="1" customHeight="1" x14ac:dyDescent="0.25">
      <c r="B3465" s="2913"/>
      <c r="C3465" s="4104" t="s">
        <v>814</v>
      </c>
      <c r="D3465" s="4113">
        <v>150000000</v>
      </c>
      <c r="E3465" s="1627">
        <v>150000000</v>
      </c>
      <c r="F3465" s="1162">
        <f>E3465/D3465*100</f>
        <v>100</v>
      </c>
      <c r="G3465" s="1717">
        <v>100</v>
      </c>
      <c r="H3465" s="535"/>
    </row>
    <row r="3466" spans="2:8" ht="17.25" hidden="1" customHeight="1" x14ac:dyDescent="0.25">
      <c r="B3466" s="2913"/>
      <c r="C3466" s="5480" t="s">
        <v>815</v>
      </c>
      <c r="D3466" s="1492">
        <v>427683000</v>
      </c>
      <c r="E3466" s="1627">
        <v>427683000</v>
      </c>
      <c r="F3466" s="1162">
        <f>E3466/D3466*100</f>
        <v>100</v>
      </c>
      <c r="G3466" s="1717">
        <v>100</v>
      </c>
      <c r="H3466" s="535"/>
    </row>
    <row r="3467" spans="2:8" ht="7.5" hidden="1" customHeight="1" x14ac:dyDescent="0.25">
      <c r="B3467" s="2913"/>
      <c r="C3467" s="4104"/>
      <c r="D3467" s="1548"/>
      <c r="E3467" s="3360"/>
      <c r="F3467" s="1315"/>
      <c r="G3467" s="1315"/>
      <c r="H3467" s="535"/>
    </row>
    <row r="3468" spans="2:8" ht="15.75" hidden="1" customHeight="1" x14ac:dyDescent="0.25">
      <c r="B3468" s="2913"/>
      <c r="C3468" s="4116" t="s">
        <v>273</v>
      </c>
      <c r="D3468" s="1549">
        <f>D3469</f>
        <v>380424000</v>
      </c>
      <c r="E3468" s="1549">
        <f>E3469</f>
        <v>380424000</v>
      </c>
      <c r="F3468" s="1052">
        <f>E3468/D3468*100</f>
        <v>100</v>
      </c>
      <c r="G3468" s="1415">
        <v>100</v>
      </c>
      <c r="H3468" s="535"/>
    </row>
    <row r="3469" spans="2:8" ht="16.5" hidden="1" customHeight="1" x14ac:dyDescent="0.25">
      <c r="B3469" s="2913"/>
      <c r="C3469" s="4104" t="s">
        <v>816</v>
      </c>
      <c r="D3469" s="4113">
        <v>380424000</v>
      </c>
      <c r="E3469" s="1628">
        <v>380424000</v>
      </c>
      <c r="F3469" s="1162">
        <f>E3469/D3469*100</f>
        <v>100</v>
      </c>
      <c r="G3469" s="3630">
        <v>100</v>
      </c>
      <c r="H3469" s="535"/>
    </row>
    <row r="3470" spans="2:8" ht="6.75" hidden="1" customHeight="1" x14ac:dyDescent="0.25">
      <c r="B3470" s="2913"/>
      <c r="C3470" s="4116"/>
      <c r="D3470" s="1548"/>
      <c r="E3470" s="3360"/>
      <c r="F3470" s="1717"/>
      <c r="G3470" s="1717"/>
      <c r="H3470" s="535"/>
    </row>
    <row r="3471" spans="2:8" ht="17.25" hidden="1" customHeight="1" x14ac:dyDescent="0.25">
      <c r="B3471" s="2913"/>
      <c r="C3471" s="3938" t="s">
        <v>817</v>
      </c>
      <c r="D3471" s="3629">
        <f>SUM(D3472:D3473)</f>
        <v>952383500</v>
      </c>
      <c r="E3471" s="3629">
        <f>SUM(E3472:E3473)</f>
        <v>952383500</v>
      </c>
      <c r="F3471" s="1052">
        <f>E3471/D3471*100</f>
        <v>100</v>
      </c>
      <c r="G3471" s="1415">
        <v>100</v>
      </c>
      <c r="H3471" s="535"/>
    </row>
    <row r="3472" spans="2:8" ht="14.25" hidden="1" customHeight="1" x14ac:dyDescent="0.25">
      <c r="B3472" s="2913"/>
      <c r="C3472" s="4104" t="s">
        <v>818</v>
      </c>
      <c r="D3472" s="4113">
        <v>273591500</v>
      </c>
      <c r="E3472" s="1629">
        <v>273591500</v>
      </c>
      <c r="F3472" s="1162">
        <f>E3472/D3472*100</f>
        <v>100</v>
      </c>
      <c r="G3472" s="3630">
        <v>100</v>
      </c>
      <c r="H3472" s="535"/>
    </row>
    <row r="3473" spans="2:8" ht="13.5" hidden="1" customHeight="1" x14ac:dyDescent="0.25">
      <c r="B3473" s="2913"/>
      <c r="C3473" s="4104" t="s">
        <v>819</v>
      </c>
      <c r="D3473" s="4113">
        <v>678792000</v>
      </c>
      <c r="E3473" s="1629">
        <v>678792000</v>
      </c>
      <c r="F3473" s="1162">
        <f>E3473/D3473*100</f>
        <v>100</v>
      </c>
      <c r="G3473" s="3630">
        <v>100</v>
      </c>
      <c r="H3473" s="535"/>
    </row>
    <row r="3474" spans="2:8" ht="7.5" hidden="1" customHeight="1" x14ac:dyDescent="0.25">
      <c r="B3474" s="2913"/>
      <c r="C3474" s="4104"/>
      <c r="D3474" s="4113"/>
      <c r="E3474" s="1855"/>
      <c r="F3474" s="1717"/>
      <c r="G3474" s="1717"/>
      <c r="H3474" s="535"/>
    </row>
    <row r="3475" spans="2:8" ht="14.25" hidden="1" customHeight="1" x14ac:dyDescent="0.25">
      <c r="B3475" s="2913"/>
      <c r="C3475" s="3938" t="s">
        <v>4385</v>
      </c>
      <c r="D3475" s="3629">
        <f>SUM(D3476:D3476)</f>
        <v>139750000</v>
      </c>
      <c r="E3475" s="3629">
        <f>SUM(E3476:E3476)</f>
        <v>139750000</v>
      </c>
      <c r="F3475" s="1052">
        <f>E3475/D3475*100</f>
        <v>100</v>
      </c>
      <c r="G3475" s="2380">
        <v>100</v>
      </c>
      <c r="H3475" s="535"/>
    </row>
    <row r="3476" spans="2:8" ht="14.25" hidden="1" customHeight="1" x14ac:dyDescent="0.25">
      <c r="B3476" s="2913"/>
      <c r="C3476" s="4104" t="s">
        <v>4386</v>
      </c>
      <c r="D3476" s="4113">
        <v>139750000</v>
      </c>
      <c r="E3476" s="1630">
        <v>139750000</v>
      </c>
      <c r="F3476" s="1162">
        <f>E3476/D3476*100</f>
        <v>100</v>
      </c>
      <c r="G3476" s="3651">
        <v>100</v>
      </c>
      <c r="H3476" s="535"/>
    </row>
    <row r="3477" spans="2:8" ht="12" hidden="1" customHeight="1" x14ac:dyDescent="0.25">
      <c r="B3477" s="2913"/>
      <c r="C3477" s="3893"/>
      <c r="D3477" s="1550"/>
      <c r="E3477" s="788"/>
      <c r="F3477" s="2285"/>
      <c r="G3477" s="2285"/>
      <c r="H3477" s="535"/>
    </row>
    <row r="3478" spans="2:8" ht="15.75" hidden="1" customHeight="1" x14ac:dyDescent="0.25">
      <c r="B3478" s="5397"/>
      <c r="C3478" s="3994" t="s">
        <v>243</v>
      </c>
      <c r="D3478" s="1546">
        <f>SUM(D3479+D3482+D3486+D3489+D3492+D3495+D3498)</f>
        <v>19936451850</v>
      </c>
      <c r="E3478" s="1546">
        <f>SUM(E3479+E3482+E3486+E3489+E3492+E3495+E3498)</f>
        <v>9294134450</v>
      </c>
      <c r="F3478" s="1462">
        <f>E3478/D3478*100</f>
        <v>46.618799172130522</v>
      </c>
      <c r="G3478" s="1726">
        <f>SUM(G3479+G3482+G3486+G3489+G3492+G3498)/7</f>
        <v>85.714285714285708</v>
      </c>
      <c r="H3478" s="535"/>
    </row>
    <row r="3479" spans="2:8" ht="18.75" hidden="1" customHeight="1" x14ac:dyDescent="0.25">
      <c r="B3479" s="2913"/>
      <c r="C3479" s="4299" t="s">
        <v>820</v>
      </c>
      <c r="D3479" s="1115">
        <f>D3480</f>
        <v>2534000000</v>
      </c>
      <c r="E3479" s="1115">
        <f>E3480</f>
        <v>2526317000</v>
      </c>
      <c r="F3479" s="1052">
        <f>E3479/D3479*100</f>
        <v>99.696803472770327</v>
      </c>
      <c r="G3479" s="2380">
        <v>100</v>
      </c>
      <c r="H3479" s="535"/>
    </row>
    <row r="3480" spans="2:8" ht="28.5" hidden="1" customHeight="1" x14ac:dyDescent="0.25">
      <c r="B3480" s="2913"/>
      <c r="C3480" s="3856" t="s">
        <v>828</v>
      </c>
      <c r="D3480" s="880">
        <v>2534000000</v>
      </c>
      <c r="E3480" s="1631">
        <v>2526317000</v>
      </c>
      <c r="F3480" s="1162">
        <f>E3480/D3480*100</f>
        <v>99.696803472770327</v>
      </c>
      <c r="G3480" s="3648">
        <v>100</v>
      </c>
      <c r="H3480" s="535"/>
    </row>
    <row r="3481" spans="2:8" ht="10.5" hidden="1" customHeight="1" x14ac:dyDescent="0.25">
      <c r="B3481" s="2913"/>
      <c r="C3481" s="3991"/>
      <c r="D3481" s="729"/>
      <c r="E3481" s="3499"/>
      <c r="F3481" s="2508"/>
      <c r="G3481" s="3648"/>
      <c r="H3481" s="535"/>
    </row>
    <row r="3482" spans="2:8" ht="15.75" hidden="1" customHeight="1" x14ac:dyDescent="0.25">
      <c r="B3482" s="2913"/>
      <c r="C3482" s="4299" t="s">
        <v>821</v>
      </c>
      <c r="D3482" s="857">
        <f>SUM(D3483:D3484)</f>
        <v>5260035000</v>
      </c>
      <c r="E3482" s="3629">
        <f>SUM(E3483:E3484)</f>
        <v>4643402650</v>
      </c>
      <c r="F3482" s="1052">
        <f>E3482/D3482*100</f>
        <v>88.277029525468947</v>
      </c>
      <c r="G3482" s="2713">
        <v>100</v>
      </c>
      <c r="H3482" s="535"/>
    </row>
    <row r="3483" spans="2:8" ht="14.25" hidden="1" customHeight="1" x14ac:dyDescent="0.25">
      <c r="B3483" s="2913"/>
      <c r="C3483" s="3856" t="s">
        <v>822</v>
      </c>
      <c r="D3483" s="1492">
        <v>1421325000</v>
      </c>
      <c r="E3483" s="1632">
        <v>1403300150</v>
      </c>
      <c r="F3483" s="1162">
        <f>E3483/D3483*100</f>
        <v>98.731827695987889</v>
      </c>
      <c r="G3483" s="3648">
        <v>100</v>
      </c>
      <c r="H3483" s="535"/>
    </row>
    <row r="3484" spans="2:8" ht="15.75" hidden="1" customHeight="1" x14ac:dyDescent="0.25">
      <c r="B3484" s="2913"/>
      <c r="C3484" s="3856" t="s">
        <v>823</v>
      </c>
      <c r="D3484" s="1492">
        <v>3838710000</v>
      </c>
      <c r="E3484" s="1632">
        <v>3240102500</v>
      </c>
      <c r="F3484" s="1162">
        <f>E3484/D3484*100</f>
        <v>84.406024419661819</v>
      </c>
      <c r="G3484" s="3648">
        <v>100</v>
      </c>
      <c r="H3484" s="535"/>
    </row>
    <row r="3485" spans="2:8" ht="9.75" hidden="1" customHeight="1" x14ac:dyDescent="0.25">
      <c r="B3485" s="2913"/>
      <c r="C3485" s="3991"/>
      <c r="D3485" s="849"/>
      <c r="E3485" s="3499"/>
      <c r="F3485" s="3648"/>
      <c r="G3485" s="3651"/>
      <c r="H3485" s="535"/>
    </row>
    <row r="3486" spans="2:8" ht="16.5" hidden="1" customHeight="1" x14ac:dyDescent="0.25">
      <c r="B3486" s="2913"/>
      <c r="C3486" s="4299" t="s">
        <v>824</v>
      </c>
      <c r="D3486" s="3629">
        <f>D3487</f>
        <v>1628040000</v>
      </c>
      <c r="E3486" s="3629">
        <f>E3487</f>
        <v>1611537950</v>
      </c>
      <c r="F3486" s="1052">
        <f>E3486/D3486*100</f>
        <v>98.986385469644475</v>
      </c>
      <c r="G3486" s="2713">
        <v>100</v>
      </c>
      <c r="H3486" s="535"/>
    </row>
    <row r="3487" spans="2:8" ht="20.25" hidden="1" customHeight="1" x14ac:dyDescent="0.25">
      <c r="B3487" s="2913"/>
      <c r="C3487" s="3856" t="s">
        <v>825</v>
      </c>
      <c r="D3487" s="1412">
        <v>1628040000</v>
      </c>
      <c r="E3487" s="1633">
        <v>1611537950</v>
      </c>
      <c r="F3487" s="1162">
        <f>E3487/D3487*100</f>
        <v>98.986385469644475</v>
      </c>
      <c r="G3487" s="3651">
        <v>100</v>
      </c>
      <c r="H3487" s="535"/>
    </row>
    <row r="3488" spans="2:8" ht="10.5" hidden="1" customHeight="1" x14ac:dyDescent="0.25">
      <c r="B3488" s="2913"/>
      <c r="C3488" s="3991"/>
      <c r="D3488" s="729"/>
      <c r="E3488" s="3500"/>
      <c r="F3488" s="3600"/>
      <c r="G3488" s="2380"/>
      <c r="H3488" s="535"/>
    </row>
    <row r="3489" spans="1:11" ht="15.75" hidden="1" customHeight="1" x14ac:dyDescent="0.25">
      <c r="B3489" s="2913"/>
      <c r="C3489" s="4299" t="s">
        <v>826</v>
      </c>
      <c r="D3489" s="3629">
        <f>D3490</f>
        <v>300000000</v>
      </c>
      <c r="E3489" s="3629">
        <f>E3490</f>
        <v>298500000</v>
      </c>
      <c r="F3489" s="1052">
        <f>E3489/D3489*100</f>
        <v>99.5</v>
      </c>
      <c r="G3489" s="2380">
        <v>100</v>
      </c>
      <c r="H3489" s="535"/>
    </row>
    <row r="3490" spans="1:11" ht="16.5" hidden="1" customHeight="1" x14ac:dyDescent="0.25">
      <c r="B3490" s="2913"/>
      <c r="C3490" s="5480" t="s">
        <v>827</v>
      </c>
      <c r="D3490" s="1412">
        <v>300000000</v>
      </c>
      <c r="E3490" s="1635">
        <v>298500000</v>
      </c>
      <c r="F3490" s="1162">
        <f>E3490/D3490*100</f>
        <v>99.5</v>
      </c>
      <c r="G3490" s="2281">
        <v>100</v>
      </c>
      <c r="H3490" s="535"/>
    </row>
    <row r="3491" spans="1:11" ht="6" hidden="1" customHeight="1" x14ac:dyDescent="0.25">
      <c r="B3491" s="2913"/>
      <c r="C3491" s="3989"/>
      <c r="D3491" s="1516"/>
      <c r="E3491" s="969"/>
      <c r="F3491" s="2279"/>
      <c r="G3491" s="2279"/>
      <c r="H3491" s="535"/>
    </row>
    <row r="3492" spans="1:11" ht="16.5" hidden="1" customHeight="1" x14ac:dyDescent="0.25">
      <c r="B3492" s="2913"/>
      <c r="C3492" s="3938" t="s">
        <v>2383</v>
      </c>
      <c r="D3492" s="1118">
        <f>D3493</f>
        <v>144376850</v>
      </c>
      <c r="E3492" s="1118">
        <f>E3493</f>
        <v>144376850</v>
      </c>
      <c r="F3492" s="1052">
        <f>E3492/D3492*100</f>
        <v>100</v>
      </c>
      <c r="G3492" s="1118">
        <v>100</v>
      </c>
      <c r="H3492" s="535"/>
    </row>
    <row r="3493" spans="1:11" ht="16.5" hidden="1" customHeight="1" x14ac:dyDescent="0.25">
      <c r="B3493" s="2913"/>
      <c r="C3493" s="4104" t="s">
        <v>2384</v>
      </c>
      <c r="D3493" s="1121">
        <v>144376850</v>
      </c>
      <c r="E3493" s="1121">
        <v>144376850</v>
      </c>
      <c r="F3493" s="1162">
        <f>E3493/D3493*100</f>
        <v>100</v>
      </c>
      <c r="G3493" s="1121">
        <v>100</v>
      </c>
      <c r="H3493" s="535"/>
    </row>
    <row r="3494" spans="1:11" ht="9.75" hidden="1" customHeight="1" x14ac:dyDescent="0.25">
      <c r="B3494" s="2913"/>
      <c r="C3494" s="3890"/>
      <c r="D3494" s="1548"/>
      <c r="E3494" s="894"/>
      <c r="F3494" s="894"/>
      <c r="G3494" s="894"/>
      <c r="H3494" s="535"/>
    </row>
    <row r="3495" spans="1:11" ht="21" hidden="1" customHeight="1" x14ac:dyDescent="0.25">
      <c r="B3495" s="2913"/>
      <c r="C3495" s="3938" t="s">
        <v>2385</v>
      </c>
      <c r="D3495" s="1118">
        <f>D3496</f>
        <v>10000000000</v>
      </c>
      <c r="E3495" s="1118">
        <v>0</v>
      </c>
      <c r="F3495" s="1052">
        <f>E3495/D3495*100</f>
        <v>0</v>
      </c>
      <c r="G3495" s="1118">
        <v>0</v>
      </c>
      <c r="H3495" s="535"/>
    </row>
    <row r="3496" spans="1:11" ht="18.75" hidden="1" customHeight="1" x14ac:dyDescent="0.25">
      <c r="B3496" s="2913"/>
      <c r="C3496" s="4104" t="s">
        <v>2386</v>
      </c>
      <c r="D3496" s="1121">
        <v>10000000000</v>
      </c>
      <c r="E3496" s="1121">
        <v>0</v>
      </c>
      <c r="F3496" s="1162">
        <f>E3496/D3496*100</f>
        <v>0</v>
      </c>
      <c r="G3496" s="1121">
        <v>0</v>
      </c>
      <c r="H3496" s="535"/>
    </row>
    <row r="3497" spans="1:11" ht="11.25" hidden="1" customHeight="1" x14ac:dyDescent="0.25">
      <c r="B3497" s="2913"/>
      <c r="C3497" s="3890"/>
      <c r="D3497" s="1548"/>
      <c r="E3497" s="894"/>
      <c r="F3497" s="894"/>
      <c r="G3497" s="894"/>
      <c r="H3497" s="535"/>
    </row>
    <row r="3498" spans="1:11" ht="18" hidden="1" customHeight="1" x14ac:dyDescent="0.25">
      <c r="B3498" s="2913"/>
      <c r="C3498" s="3938" t="s">
        <v>2387</v>
      </c>
      <c r="D3498" s="1118">
        <f>D3499</f>
        <v>70000000</v>
      </c>
      <c r="E3498" s="1118">
        <f>E3499</f>
        <v>70000000</v>
      </c>
      <c r="F3498" s="1052">
        <f>E3498/D3498*100</f>
        <v>100</v>
      </c>
      <c r="G3498" s="1118">
        <v>100</v>
      </c>
      <c r="H3498" s="535"/>
    </row>
    <row r="3499" spans="1:11" ht="19.5" hidden="1" customHeight="1" x14ac:dyDescent="0.25">
      <c r="B3499" s="2913"/>
      <c r="C3499" s="4104" t="s">
        <v>2388</v>
      </c>
      <c r="D3499" s="1121">
        <v>70000000</v>
      </c>
      <c r="E3499" s="1121">
        <v>70000000</v>
      </c>
      <c r="F3499" s="1162">
        <f>E3499/D3499*100</f>
        <v>100</v>
      </c>
      <c r="G3499" s="1121">
        <v>100</v>
      </c>
      <c r="H3499" s="535"/>
    </row>
    <row r="3500" spans="1:11" ht="12" hidden="1" customHeight="1" x14ac:dyDescent="0.25">
      <c r="B3500" s="2913"/>
      <c r="D3500" s="1550"/>
      <c r="E3500" s="969"/>
      <c r="F3500" s="2279"/>
      <c r="G3500" s="2279"/>
      <c r="H3500" s="535"/>
    </row>
    <row r="3501" spans="1:11" s="303" customFormat="1" ht="15" hidden="1" customHeight="1" x14ac:dyDescent="0.25">
      <c r="A3501" s="3005"/>
      <c r="B3501" s="5397"/>
      <c r="C3501" s="3994" t="s">
        <v>293</v>
      </c>
      <c r="D3501" s="1571">
        <f>SUM(D3502+D3505+D3508+D3511)</f>
        <v>16518894000</v>
      </c>
      <c r="E3501" s="1571">
        <f>SUM(E3502+E3505+E3508+E3511)</f>
        <v>16471596000</v>
      </c>
      <c r="F3501" s="1462">
        <f>E3501/D3501*100</f>
        <v>99.713673324618469</v>
      </c>
      <c r="G3501" s="2356">
        <v>100</v>
      </c>
      <c r="H3501" s="554"/>
      <c r="J3501" s="522"/>
      <c r="K3501" s="522"/>
    </row>
    <row r="3502" spans="1:11" s="303" customFormat="1" ht="30.75" hidden="1" customHeight="1" x14ac:dyDescent="0.25">
      <c r="A3502" s="3005"/>
      <c r="B3502" s="2913"/>
      <c r="C3502" s="4299" t="s">
        <v>1811</v>
      </c>
      <c r="D3502" s="811">
        <f>SUM(D3503)</f>
        <v>162926000</v>
      </c>
      <c r="E3502" s="811">
        <f>SUM(E3503)</f>
        <v>162356000</v>
      </c>
      <c r="F3502" s="1052">
        <f>E3502/D3502*100</f>
        <v>99.650147919914573</v>
      </c>
      <c r="G3502" s="1118">
        <v>100</v>
      </c>
      <c r="H3502" s="554"/>
      <c r="J3502" s="522"/>
      <c r="K3502" s="522"/>
    </row>
    <row r="3503" spans="1:11" s="303" customFormat="1" ht="18" hidden="1" customHeight="1" x14ac:dyDescent="0.25">
      <c r="A3503" s="3005"/>
      <c r="B3503" s="2913"/>
      <c r="C3503" s="3856" t="s">
        <v>1895</v>
      </c>
      <c r="D3503" s="3630">
        <v>162926000</v>
      </c>
      <c r="E3503" s="1121">
        <v>162356000</v>
      </c>
      <c r="F3503" s="1162">
        <f>E3503/D3503*100</f>
        <v>99.650147919914573</v>
      </c>
      <c r="G3503" s="1121">
        <v>100</v>
      </c>
      <c r="H3503" s="554"/>
      <c r="J3503" s="522"/>
      <c r="K3503" s="522"/>
    </row>
    <row r="3504" spans="1:11" s="303" customFormat="1" ht="9.75" hidden="1" customHeight="1" x14ac:dyDescent="0.25">
      <c r="A3504" s="3005"/>
      <c r="B3504" s="2913"/>
      <c r="C3504" s="3991"/>
      <c r="D3504" s="3630"/>
      <c r="E3504" s="3499"/>
      <c r="F3504" s="3651"/>
      <c r="G3504" s="3651"/>
      <c r="H3504" s="554"/>
      <c r="J3504" s="522"/>
      <c r="K3504" s="522"/>
    </row>
    <row r="3505" spans="1:11" s="303" customFormat="1" ht="16.5" hidden="1" customHeight="1" x14ac:dyDescent="0.25">
      <c r="A3505" s="3005"/>
      <c r="B3505" s="2913"/>
      <c r="C3505" s="4299" t="s">
        <v>829</v>
      </c>
      <c r="D3505" s="1417">
        <f>SUM(D3506)</f>
        <v>176750000</v>
      </c>
      <c r="E3505" s="1417">
        <f>SUM(E3506)</f>
        <v>176750000</v>
      </c>
      <c r="F3505" s="1052">
        <f>E3505/D3505*100</f>
        <v>100</v>
      </c>
      <c r="G3505" s="1118">
        <v>100</v>
      </c>
      <c r="H3505" s="554"/>
      <c r="J3505" s="522"/>
      <c r="K3505" s="522"/>
    </row>
    <row r="3506" spans="1:11" s="303" customFormat="1" ht="30.75" hidden="1" customHeight="1" x14ac:dyDescent="0.25">
      <c r="A3506" s="3005"/>
      <c r="B3506" s="2913"/>
      <c r="C3506" s="3856" t="s">
        <v>830</v>
      </c>
      <c r="D3506" s="3630">
        <v>176750000</v>
      </c>
      <c r="E3506" s="1121">
        <v>176750000</v>
      </c>
      <c r="F3506" s="1162">
        <f>E3506/D3506*100</f>
        <v>100</v>
      </c>
      <c r="G3506" s="1121">
        <v>100</v>
      </c>
      <c r="H3506" s="554"/>
      <c r="J3506" s="522"/>
      <c r="K3506" s="522"/>
    </row>
    <row r="3507" spans="1:11" s="303" customFormat="1" ht="8.25" hidden="1" customHeight="1" x14ac:dyDescent="0.25">
      <c r="A3507" s="3005"/>
      <c r="B3507" s="2913"/>
      <c r="C3507" s="3991"/>
      <c r="D3507" s="3630"/>
      <c r="E3507" s="1381"/>
      <c r="F3507" s="2261"/>
      <c r="G3507" s="2261"/>
      <c r="H3507" s="554"/>
      <c r="J3507" s="522"/>
      <c r="K3507" s="522"/>
    </row>
    <row r="3508" spans="1:11" s="303" customFormat="1" ht="18" hidden="1" customHeight="1" x14ac:dyDescent="0.25">
      <c r="A3508" s="3005"/>
      <c r="B3508" s="2913"/>
      <c r="C3508" s="4299" t="s">
        <v>831</v>
      </c>
      <c r="D3508" s="1417">
        <f>SUM(D3509)</f>
        <v>13649810000</v>
      </c>
      <c r="E3508" s="1417">
        <f>SUM(E3509)</f>
        <v>13642109000</v>
      </c>
      <c r="F3508" s="1052">
        <f>E3508/D3508*100</f>
        <v>99.943581632271801</v>
      </c>
      <c r="G3508" s="2261">
        <v>100</v>
      </c>
      <c r="H3508" s="554"/>
      <c r="J3508" s="522"/>
      <c r="K3508" s="522"/>
    </row>
    <row r="3509" spans="1:11" s="303" customFormat="1" ht="16.5" hidden="1" customHeight="1" x14ac:dyDescent="0.25">
      <c r="A3509" s="3005"/>
      <c r="B3509" s="2913"/>
      <c r="C3509" s="3856" t="s">
        <v>839</v>
      </c>
      <c r="D3509" s="3630">
        <v>13649810000</v>
      </c>
      <c r="E3509" s="1653">
        <v>13642109000</v>
      </c>
      <c r="F3509" s="1162">
        <f>E3509/D3509*100</f>
        <v>99.943581632271801</v>
      </c>
      <c r="G3509" s="2281">
        <v>100</v>
      </c>
      <c r="H3509" s="554"/>
      <c r="J3509" s="522"/>
      <c r="K3509" s="522"/>
    </row>
    <row r="3510" spans="1:11" s="1639" customFormat="1" ht="8.25" hidden="1" customHeight="1" x14ac:dyDescent="0.25">
      <c r="A3510" s="1637"/>
      <c r="B3510" s="2913"/>
      <c r="C3510" s="3989"/>
      <c r="D3510" s="1516"/>
      <c r="E3510" s="969"/>
      <c r="F3510" s="2285"/>
      <c r="G3510" s="2285"/>
      <c r="H3510" s="1638"/>
      <c r="J3510" s="2093"/>
      <c r="K3510" s="2093"/>
    </row>
    <row r="3511" spans="1:11" s="1639" customFormat="1" ht="18.75" hidden="1" customHeight="1" x14ac:dyDescent="0.25">
      <c r="A3511" s="1637"/>
      <c r="B3511" s="2913"/>
      <c r="C3511" s="3938" t="s">
        <v>2389</v>
      </c>
      <c r="D3511" s="1118">
        <f>D3512</f>
        <v>2529408000</v>
      </c>
      <c r="E3511" s="1118">
        <f>E3512</f>
        <v>2490381000</v>
      </c>
      <c r="F3511" s="1052">
        <f>E3511/D3511*100</f>
        <v>98.457069796569002</v>
      </c>
      <c r="G3511" s="2261">
        <v>100</v>
      </c>
      <c r="H3511" s="1638"/>
      <c r="J3511" s="2093"/>
      <c r="K3511" s="2093"/>
    </row>
    <row r="3512" spans="1:11" s="1639" customFormat="1" ht="17.25" hidden="1" customHeight="1" x14ac:dyDescent="0.25">
      <c r="A3512" s="1637"/>
      <c r="B3512" s="2913"/>
      <c r="C3512" s="4118" t="s">
        <v>2390</v>
      </c>
      <c r="D3512" s="1121">
        <v>2529408000</v>
      </c>
      <c r="E3512" s="1654">
        <v>2490381000</v>
      </c>
      <c r="F3512" s="1162">
        <f>E3512/D3512*100</f>
        <v>98.457069796569002</v>
      </c>
      <c r="G3512" s="1717">
        <v>100</v>
      </c>
      <c r="H3512" s="1638"/>
      <c r="J3512" s="2093"/>
      <c r="K3512" s="2093"/>
    </row>
    <row r="3513" spans="1:11" s="1639" customFormat="1" ht="12" hidden="1" customHeight="1" x14ac:dyDescent="0.25">
      <c r="A3513" s="1637"/>
      <c r="B3513" s="2913"/>
      <c r="C3513" s="4172"/>
      <c r="D3513" s="1550"/>
      <c r="E3513" s="969"/>
      <c r="F3513" s="2279"/>
      <c r="G3513" s="2279"/>
      <c r="H3513" s="1638"/>
      <c r="J3513" s="2093"/>
      <c r="K3513" s="2093"/>
    </row>
    <row r="3514" spans="1:11" s="303" customFormat="1" ht="17.25" hidden="1" customHeight="1" x14ac:dyDescent="0.25">
      <c r="A3514" s="3005"/>
      <c r="B3514" s="5418"/>
      <c r="C3514" s="3994" t="s">
        <v>2379</v>
      </c>
      <c r="D3514" s="1462">
        <f>SUM(D3515+D3518)</f>
        <v>300000000</v>
      </c>
      <c r="E3514" s="1462">
        <f>SUM(E3515+E3518)</f>
        <v>300000000</v>
      </c>
      <c r="F3514" s="1462">
        <f>E3514/D3514*100</f>
        <v>100</v>
      </c>
      <c r="G3514" s="1726">
        <v>100</v>
      </c>
      <c r="H3514" s="554"/>
      <c r="J3514" s="522"/>
      <c r="K3514" s="522"/>
    </row>
    <row r="3515" spans="1:11" s="303" customFormat="1" ht="19.5" hidden="1" customHeight="1" x14ac:dyDescent="0.25">
      <c r="A3515" s="3005"/>
      <c r="B3515" s="2913"/>
      <c r="C3515" s="4299" t="s">
        <v>840</v>
      </c>
      <c r="D3515" s="1461">
        <f>D3516</f>
        <v>28000000</v>
      </c>
      <c r="E3515" s="1461">
        <f>E3516</f>
        <v>28000000</v>
      </c>
      <c r="F3515" s="1052">
        <f>E3515/D3515*100</f>
        <v>100</v>
      </c>
      <c r="G3515" s="1118">
        <v>100</v>
      </c>
      <c r="H3515" s="554"/>
      <c r="J3515" s="522"/>
      <c r="K3515" s="522"/>
    </row>
    <row r="3516" spans="1:11" s="303" customFormat="1" ht="27.75" hidden="1" customHeight="1" x14ac:dyDescent="0.25">
      <c r="A3516" s="3005"/>
      <c r="B3516" s="2913"/>
      <c r="C3516" s="3856" t="s">
        <v>841</v>
      </c>
      <c r="D3516" s="3630">
        <v>28000000</v>
      </c>
      <c r="E3516" s="1121">
        <v>28000000</v>
      </c>
      <c r="F3516" s="1162">
        <f>E3516/D3516*100</f>
        <v>100</v>
      </c>
      <c r="G3516" s="1121">
        <v>100</v>
      </c>
      <c r="H3516" s="554"/>
      <c r="J3516" s="522"/>
      <c r="K3516" s="522"/>
    </row>
    <row r="3517" spans="1:11" s="303" customFormat="1" ht="10.5" hidden="1" customHeight="1" x14ac:dyDescent="0.25">
      <c r="A3517" s="3005"/>
      <c r="B3517" s="2913"/>
      <c r="C3517" s="3962"/>
      <c r="D3517" s="3630"/>
      <c r="E3517" s="4059"/>
      <c r="F3517" s="3651"/>
      <c r="G3517" s="3651"/>
      <c r="H3517" s="554"/>
      <c r="J3517" s="522"/>
      <c r="K3517" s="522"/>
    </row>
    <row r="3518" spans="1:11" s="303" customFormat="1" ht="18.75" hidden="1" customHeight="1" x14ac:dyDescent="0.25">
      <c r="A3518" s="3005"/>
      <c r="B3518" s="2913"/>
      <c r="C3518" s="3938" t="s">
        <v>842</v>
      </c>
      <c r="D3518" s="811">
        <f>SUM(D3519:D3520)</f>
        <v>272000000</v>
      </c>
      <c r="E3518" s="1415">
        <f>SUM(E3519:E3520)</f>
        <v>272000000</v>
      </c>
      <c r="F3518" s="1052">
        <f>E3518/D3518*100</f>
        <v>100</v>
      </c>
      <c r="G3518" s="2713">
        <v>100</v>
      </c>
      <c r="H3518" s="554"/>
      <c r="J3518" s="522"/>
      <c r="K3518" s="522"/>
    </row>
    <row r="3519" spans="1:11" s="303" customFormat="1" ht="14.25" hidden="1" customHeight="1" x14ac:dyDescent="0.25">
      <c r="A3519" s="3005"/>
      <c r="B3519" s="2913"/>
      <c r="C3519" s="4118" t="s">
        <v>2391</v>
      </c>
      <c r="D3519" s="3630">
        <v>200000000</v>
      </c>
      <c r="E3519" s="1658">
        <v>200000000</v>
      </c>
      <c r="F3519" s="1162">
        <f>E3519/D3519*100</f>
        <v>100</v>
      </c>
      <c r="G3519" s="3651">
        <v>100</v>
      </c>
      <c r="H3519" s="554"/>
      <c r="J3519" s="522"/>
      <c r="K3519" s="522"/>
    </row>
    <row r="3520" spans="1:11" s="303" customFormat="1" ht="14.25" hidden="1" customHeight="1" x14ac:dyDescent="0.25">
      <c r="A3520" s="3005"/>
      <c r="B3520" s="2913"/>
      <c r="C3520" s="4118" t="s">
        <v>843</v>
      </c>
      <c r="D3520" s="3630">
        <v>72000000</v>
      </c>
      <c r="E3520" s="1121">
        <v>72000000</v>
      </c>
      <c r="F3520" s="1162">
        <f>E3520/D3520*100</f>
        <v>100</v>
      </c>
      <c r="G3520" s="1121">
        <v>100</v>
      </c>
      <c r="H3520" s="554"/>
      <c r="J3520" s="522"/>
      <c r="K3520" s="522"/>
    </row>
    <row r="3521" spans="1:11" ht="12" hidden="1" customHeight="1" x14ac:dyDescent="0.25">
      <c r="B3521" s="2913"/>
      <c r="D3521" s="1528"/>
      <c r="E3521" s="969"/>
      <c r="F3521" s="2285"/>
      <c r="G3521" s="2285"/>
      <c r="H3521" s="535"/>
    </row>
    <row r="3522" spans="1:11" ht="17.25" hidden="1" customHeight="1" x14ac:dyDescent="0.25">
      <c r="B3522" s="5397"/>
      <c r="C3522" s="3913" t="s">
        <v>844</v>
      </c>
      <c r="D3522" s="3631">
        <f>SUM(D3523,D3526,D3529)</f>
        <v>4633791392</v>
      </c>
      <c r="E3522" s="3631">
        <f>SUM(E3523,E3526,E3529)</f>
        <v>4368907000</v>
      </c>
      <c r="F3522" s="1462">
        <f>E3522/D3522*100</f>
        <v>94.283635805070787</v>
      </c>
      <c r="G3522" s="2356">
        <v>100</v>
      </c>
      <c r="H3522" s="535"/>
    </row>
    <row r="3523" spans="1:11" ht="17.25" hidden="1" customHeight="1" x14ac:dyDescent="0.25">
      <c r="B3523" s="2913"/>
      <c r="C3523" s="4299" t="s">
        <v>845</v>
      </c>
      <c r="D3523" s="1575">
        <f>SUM(D3524)</f>
        <v>4160000000</v>
      </c>
      <c r="E3523" s="1575">
        <f>SUM(E3524)</f>
        <v>3899907000</v>
      </c>
      <c r="F3523" s="1052">
        <f>E3523/D3523*100</f>
        <v>93.747764423076916</v>
      </c>
      <c r="G3523" s="3691">
        <v>100</v>
      </c>
      <c r="H3523" s="535"/>
    </row>
    <row r="3524" spans="1:11" ht="16.5" hidden="1" customHeight="1" x14ac:dyDescent="0.25">
      <c r="B3524" s="2913"/>
      <c r="C3524" s="4118" t="s">
        <v>846</v>
      </c>
      <c r="D3524" s="3630">
        <v>4160000000</v>
      </c>
      <c r="E3524" s="1641">
        <v>3899907000</v>
      </c>
      <c r="F3524" s="1162">
        <f>E3524/D3524*100</f>
        <v>93.747764423076916</v>
      </c>
      <c r="G3524" s="2265">
        <v>100</v>
      </c>
      <c r="H3524" s="535"/>
    </row>
    <row r="3525" spans="1:11" ht="11.25" hidden="1" customHeight="1" x14ac:dyDescent="0.25">
      <c r="B3525" s="2913"/>
      <c r="C3525" s="4118"/>
      <c r="D3525" s="3630"/>
      <c r="E3525" s="969"/>
      <c r="F3525" s="3651"/>
      <c r="G3525" s="2279"/>
      <c r="H3525" s="535"/>
    </row>
    <row r="3526" spans="1:11" ht="19.5" hidden="1" customHeight="1" x14ac:dyDescent="0.25">
      <c r="B3526" s="2913"/>
      <c r="C3526" s="3938" t="s">
        <v>847</v>
      </c>
      <c r="D3526" s="3629">
        <f>D3527</f>
        <v>263791392</v>
      </c>
      <c r="E3526" s="3629">
        <f>E3527</f>
        <v>259000000</v>
      </c>
      <c r="F3526" s="1052">
        <f>E3526/D3526*100</f>
        <v>98.183643536025627</v>
      </c>
      <c r="G3526" s="1118">
        <v>100</v>
      </c>
      <c r="H3526" s="535"/>
    </row>
    <row r="3527" spans="1:11" ht="16.5" hidden="1" customHeight="1" x14ac:dyDescent="0.25">
      <c r="B3527" s="2913"/>
      <c r="C3527" s="4118" t="s">
        <v>848</v>
      </c>
      <c r="D3527" s="3630">
        <v>263791392</v>
      </c>
      <c r="E3527" s="1643">
        <v>259000000</v>
      </c>
      <c r="F3527" s="1162">
        <f>E3527/D3527*100</f>
        <v>98.183643536025627</v>
      </c>
      <c r="G3527" s="1121">
        <v>100</v>
      </c>
      <c r="H3527" s="535"/>
    </row>
    <row r="3528" spans="1:11" ht="7.5" hidden="1" customHeight="1" x14ac:dyDescent="0.25">
      <c r="B3528" s="2913"/>
      <c r="D3528" s="1528"/>
      <c r="E3528" s="969"/>
      <c r="F3528" s="1162"/>
      <c r="G3528" s="2279"/>
      <c r="H3528" s="535"/>
    </row>
    <row r="3529" spans="1:11" ht="18" hidden="1" customHeight="1" x14ac:dyDescent="0.25">
      <c r="B3529" s="2913"/>
      <c r="C3529" s="3938" t="s">
        <v>2377</v>
      </c>
      <c r="D3529" s="1118">
        <f>D3530</f>
        <v>210000000</v>
      </c>
      <c r="E3529" s="1118">
        <f>E3530</f>
        <v>210000000</v>
      </c>
      <c r="F3529" s="1052">
        <f>E3529/D3529*100</f>
        <v>100</v>
      </c>
      <c r="G3529" s="1118">
        <v>100</v>
      </c>
      <c r="H3529" s="535"/>
    </row>
    <row r="3530" spans="1:11" ht="15.75" hidden="1" customHeight="1" x14ac:dyDescent="0.25">
      <c r="B3530" s="2913"/>
      <c r="C3530" s="4118" t="s">
        <v>2378</v>
      </c>
      <c r="D3530" s="1121">
        <v>210000000</v>
      </c>
      <c r="E3530" s="1121">
        <v>210000000</v>
      </c>
      <c r="F3530" s="1162">
        <f>E3530/D3530*100</f>
        <v>100</v>
      </c>
      <c r="G3530" s="1121">
        <v>100</v>
      </c>
      <c r="H3530" s="535"/>
    </row>
    <row r="3531" spans="1:11" ht="12" hidden="1" customHeight="1" x14ac:dyDescent="0.25">
      <c r="B3531" s="2913"/>
      <c r="D3531" s="1528"/>
      <c r="E3531" s="969"/>
      <c r="F3531" s="2279"/>
      <c r="G3531" s="2279"/>
      <c r="H3531" s="535"/>
    </row>
    <row r="3532" spans="1:11" s="303" customFormat="1" ht="14.25" hidden="1" customHeight="1" x14ac:dyDescent="0.25">
      <c r="A3532" s="3005"/>
      <c r="B3532" s="5397"/>
      <c r="C3532" s="3858" t="s">
        <v>294</v>
      </c>
      <c r="D3532" s="1546">
        <f>D3533+D3536</f>
        <v>3559776000</v>
      </c>
      <c r="E3532" s="1546">
        <f>E3533+E3536</f>
        <v>3548714660</v>
      </c>
      <c r="F3532" s="1462">
        <f>E3532/D3532*100</f>
        <v>99.689268650611723</v>
      </c>
      <c r="G3532" s="2356">
        <v>100</v>
      </c>
      <c r="H3532" s="554"/>
      <c r="J3532" s="522"/>
      <c r="K3532" s="522"/>
    </row>
    <row r="3533" spans="1:11" s="303" customFormat="1" ht="17.25" hidden="1" customHeight="1" x14ac:dyDescent="0.25">
      <c r="A3533" s="3005"/>
      <c r="B3533" s="2913"/>
      <c r="C3533" s="4299" t="s">
        <v>849</v>
      </c>
      <c r="D3533" s="1115">
        <f>D3534</f>
        <v>638000000</v>
      </c>
      <c r="E3533" s="1115">
        <f>E3534</f>
        <v>631863000</v>
      </c>
      <c r="F3533" s="1052">
        <f>E3533/D3533*100</f>
        <v>99.038087774294667</v>
      </c>
      <c r="G3533" s="2562">
        <v>100</v>
      </c>
      <c r="H3533" s="554"/>
      <c r="J3533" s="522"/>
      <c r="K3533" s="522"/>
    </row>
    <row r="3534" spans="1:11" s="303" customFormat="1" ht="14.25" hidden="1" customHeight="1" x14ac:dyDescent="0.25">
      <c r="A3534" s="3005"/>
      <c r="B3534" s="2913"/>
      <c r="C3534" s="4118" t="s">
        <v>850</v>
      </c>
      <c r="D3534" s="3630">
        <v>638000000</v>
      </c>
      <c r="E3534" s="1663">
        <v>631863000</v>
      </c>
      <c r="F3534" s="1162">
        <f>E3534/D3534*100</f>
        <v>99.038087774294667</v>
      </c>
      <c r="G3534" s="2373">
        <v>100</v>
      </c>
      <c r="H3534" s="554"/>
      <c r="J3534" s="522"/>
      <c r="K3534" s="522"/>
    </row>
    <row r="3535" spans="1:11" s="303" customFormat="1" ht="6.75" hidden="1" customHeight="1" x14ac:dyDescent="0.25">
      <c r="A3535" s="3005"/>
      <c r="B3535" s="2913"/>
      <c r="C3535" s="4118"/>
      <c r="D3535" s="3630"/>
      <c r="E3535" s="1836"/>
      <c r="F3535" s="2562"/>
      <c r="G3535" s="2562"/>
      <c r="H3535" s="554"/>
      <c r="J3535" s="522"/>
      <c r="K3535" s="522"/>
    </row>
    <row r="3536" spans="1:11" s="303" customFormat="1" ht="20.25" hidden="1" customHeight="1" x14ac:dyDescent="0.25">
      <c r="A3536" s="3005"/>
      <c r="B3536" s="2913"/>
      <c r="C3536" s="3938" t="s">
        <v>851</v>
      </c>
      <c r="D3536" s="3629">
        <f>SUM(D3537:D3538)</f>
        <v>2921776000</v>
      </c>
      <c r="E3536" s="3629">
        <f>SUM(E3537:E3538)</f>
        <v>2916851660</v>
      </c>
      <c r="F3536" s="1052">
        <f>E3536/D3536*100</f>
        <v>99.831460727995577</v>
      </c>
      <c r="G3536" s="2261">
        <v>100</v>
      </c>
      <c r="H3536" s="554"/>
      <c r="J3536" s="522"/>
      <c r="K3536" s="522"/>
    </row>
    <row r="3537" spans="1:11" s="303" customFormat="1" ht="18.75" hidden="1" customHeight="1" x14ac:dyDescent="0.25">
      <c r="A3537" s="3005"/>
      <c r="B3537" s="2913"/>
      <c r="C3537" s="4001" t="s">
        <v>852</v>
      </c>
      <c r="D3537" s="3630">
        <v>2549000000</v>
      </c>
      <c r="E3537" s="2516">
        <v>2545136900</v>
      </c>
      <c r="F3537" s="1162">
        <f>E3537/D3537*100</f>
        <v>99.848446449588067</v>
      </c>
      <c r="G3537" s="2281">
        <v>100</v>
      </c>
      <c r="H3537" s="554"/>
      <c r="J3537" s="522"/>
      <c r="K3537" s="522"/>
    </row>
    <row r="3538" spans="1:11" s="303" customFormat="1" ht="14.25" hidden="1" customHeight="1" x14ac:dyDescent="0.25">
      <c r="A3538" s="3005"/>
      <c r="B3538" s="2913"/>
      <c r="C3538" s="4104" t="s">
        <v>2380</v>
      </c>
      <c r="D3538" s="1121">
        <v>372776000</v>
      </c>
      <c r="E3538" s="1121">
        <v>371714760</v>
      </c>
      <c r="F3538" s="1162">
        <f>E3538/D3538*100</f>
        <v>99.715314290619574</v>
      </c>
      <c r="G3538" s="2281">
        <v>100</v>
      </c>
      <c r="H3538" s="554"/>
      <c r="J3538" s="522"/>
      <c r="K3538" s="522"/>
    </row>
    <row r="3539" spans="1:11" s="1639" customFormat="1" ht="6.75" hidden="1" customHeight="1" x14ac:dyDescent="0.25">
      <c r="A3539" s="1637"/>
      <c r="B3539" s="2913"/>
      <c r="C3539" s="4172"/>
      <c r="D3539" s="1516"/>
      <c r="E3539" s="969"/>
      <c r="F3539" s="2285"/>
      <c r="G3539" s="2285"/>
      <c r="H3539" s="1638"/>
      <c r="J3539" s="2093"/>
      <c r="K3539" s="2093"/>
    </row>
    <row r="3540" spans="1:11" s="303" customFormat="1" ht="18" hidden="1" customHeight="1" x14ac:dyDescent="0.25">
      <c r="A3540" s="3005"/>
      <c r="B3540" s="5397"/>
      <c r="C3540" s="3913" t="s">
        <v>295</v>
      </c>
      <c r="D3540" s="1546">
        <f>D3541</f>
        <v>292325200</v>
      </c>
      <c r="E3540" s="1546">
        <f>E3541</f>
        <v>292325200</v>
      </c>
      <c r="F3540" s="1462">
        <f>E3540/D3540*100</f>
        <v>100</v>
      </c>
      <c r="G3540" s="2356">
        <v>100</v>
      </c>
      <c r="H3540" s="554"/>
      <c r="J3540" s="522"/>
      <c r="K3540" s="522"/>
    </row>
    <row r="3541" spans="1:11" s="303" customFormat="1" ht="16.5" hidden="1" customHeight="1" x14ac:dyDescent="0.25">
      <c r="A3541" s="3005"/>
      <c r="B3541" s="2913"/>
      <c r="C3541" s="3968" t="s">
        <v>296</v>
      </c>
      <c r="D3541" s="1547">
        <f>D3542</f>
        <v>292325200</v>
      </c>
      <c r="E3541" s="1547">
        <f>E3542</f>
        <v>292325200</v>
      </c>
      <c r="F3541" s="1415">
        <f>E3541/D3541*100</f>
        <v>100</v>
      </c>
      <c r="G3541" s="2562">
        <v>100</v>
      </c>
      <c r="H3541" s="554"/>
      <c r="J3541" s="522"/>
      <c r="K3541" s="522"/>
    </row>
    <row r="3542" spans="1:11" s="303" customFormat="1" ht="15.75" hidden="1" customHeight="1" x14ac:dyDescent="0.25">
      <c r="A3542" s="3005"/>
      <c r="B3542" s="2913"/>
      <c r="C3542" s="4104" t="s">
        <v>853</v>
      </c>
      <c r="D3542" s="1492">
        <v>292325200</v>
      </c>
      <c r="E3542" s="2517">
        <v>292325200</v>
      </c>
      <c r="F3542" s="880">
        <f>E3542/D3542*100</f>
        <v>100</v>
      </c>
      <c r="G3542" s="1717">
        <v>100</v>
      </c>
      <c r="H3542" s="554"/>
      <c r="J3542" s="522"/>
      <c r="K3542" s="522"/>
    </row>
    <row r="3543" spans="1:11" ht="12" hidden="1" customHeight="1" x14ac:dyDescent="0.25">
      <c r="B3543" s="2913"/>
      <c r="C3543" s="3893"/>
      <c r="D3543" s="1550"/>
      <c r="E3543" s="969"/>
      <c r="F3543" s="2279"/>
      <c r="G3543" s="2279"/>
      <c r="H3543" s="535"/>
    </row>
    <row r="3544" spans="1:11" ht="14.25" hidden="1" customHeight="1" x14ac:dyDescent="0.25">
      <c r="B3544" s="5397"/>
      <c r="C3544" s="3858" t="s">
        <v>4316</v>
      </c>
      <c r="D3544" s="1546">
        <f>SUM(D3545+D3549)</f>
        <v>2144869000</v>
      </c>
      <c r="E3544" s="1546">
        <f>SUM(E3545+E3549)</f>
        <v>2143259000</v>
      </c>
      <c r="F3544" s="1462">
        <f>E3544/D3544*100</f>
        <v>99.924937140683184</v>
      </c>
      <c r="G3544" s="1726">
        <v>100</v>
      </c>
      <c r="H3544" s="535"/>
    </row>
    <row r="3545" spans="1:11" ht="15.75" hidden="1" customHeight="1" x14ac:dyDescent="0.25">
      <c r="B3545" s="2913"/>
      <c r="C3545" s="4299" t="s">
        <v>4317</v>
      </c>
      <c r="D3545" s="1115">
        <f>SUM(D3546:D3547)</f>
        <v>1944869000</v>
      </c>
      <c r="E3545" s="1115">
        <f>SUM(E3546:E3547)</f>
        <v>1943459000</v>
      </c>
      <c r="F3545" s="1415">
        <f>E3545/D3545*100</f>
        <v>99.927501543805775</v>
      </c>
      <c r="G3545" s="2380">
        <v>100</v>
      </c>
      <c r="H3545" s="535"/>
    </row>
    <row r="3546" spans="1:11" ht="15.75" hidden="1" customHeight="1" x14ac:dyDescent="0.25">
      <c r="B3546" s="2913"/>
      <c r="C3546" s="4118" t="s">
        <v>4318</v>
      </c>
      <c r="D3546" s="3630">
        <v>1196194000</v>
      </c>
      <c r="E3546" s="1664">
        <v>1195794000</v>
      </c>
      <c r="F3546" s="880">
        <f>E3546/D3546*100</f>
        <v>99.966560608061911</v>
      </c>
      <c r="G3546" s="3648">
        <v>100</v>
      </c>
      <c r="H3546" s="535"/>
    </row>
    <row r="3547" spans="1:11" ht="16.5" hidden="1" customHeight="1" x14ac:dyDescent="0.25">
      <c r="B3547" s="2913"/>
      <c r="C3547" s="4118" t="s">
        <v>4319</v>
      </c>
      <c r="D3547" s="3630">
        <v>748675000</v>
      </c>
      <c r="E3547" s="1664">
        <v>747665000</v>
      </c>
      <c r="F3547" s="880">
        <f>E3547/D3547*100</f>
        <v>99.86509500116874</v>
      </c>
      <c r="G3547" s="2429">
        <v>100</v>
      </c>
      <c r="H3547" s="535"/>
    </row>
    <row r="3548" spans="1:11" ht="9.75" hidden="1" customHeight="1" x14ac:dyDescent="0.25">
      <c r="B3548" s="2913"/>
      <c r="C3548" s="4118"/>
      <c r="D3548" s="3630"/>
      <c r="E3548" s="969"/>
      <c r="F3548" s="2762"/>
      <c r="G3548" s="2787"/>
      <c r="H3548" s="535"/>
    </row>
    <row r="3549" spans="1:11" ht="17.25" hidden="1" customHeight="1" x14ac:dyDescent="0.25">
      <c r="B3549" s="2912"/>
      <c r="C3549" s="3938" t="s">
        <v>4320</v>
      </c>
      <c r="D3549" s="3629">
        <f>D3550</f>
        <v>200000000</v>
      </c>
      <c r="E3549" s="3629">
        <f>E3550</f>
        <v>199800000</v>
      </c>
      <c r="F3549" s="1415">
        <f>E3549/D3549*100</f>
        <v>99.9</v>
      </c>
      <c r="G3549" s="2713">
        <v>100</v>
      </c>
      <c r="H3549" s="535"/>
    </row>
    <row r="3550" spans="1:11" ht="14.25" hidden="1" customHeight="1" x14ac:dyDescent="0.25">
      <c r="B3550" s="5405"/>
      <c r="C3550" s="4118" t="s">
        <v>4321</v>
      </c>
      <c r="D3550" s="3630">
        <v>200000000</v>
      </c>
      <c r="E3550" s="1665">
        <v>199800000</v>
      </c>
      <c r="F3550" s="880">
        <f>E3550/D3550*100</f>
        <v>99.9</v>
      </c>
      <c r="G3550" s="2429">
        <v>100</v>
      </c>
      <c r="H3550" s="535"/>
    </row>
    <row r="3551" spans="1:11" ht="12" hidden="1" customHeight="1" x14ac:dyDescent="0.25">
      <c r="B3551" s="5402"/>
      <c r="D3551" s="1516"/>
      <c r="E3551" s="969"/>
      <c r="F3551" s="2762"/>
      <c r="G3551" s="2762"/>
      <c r="H3551" s="535"/>
    </row>
    <row r="3552" spans="1:11" ht="17.25" hidden="1" customHeight="1" x14ac:dyDescent="0.25">
      <c r="B3552" s="5397"/>
      <c r="C3552" s="3913" t="s">
        <v>4322</v>
      </c>
      <c r="D3552" s="1546">
        <f>D3553</f>
        <v>140000000</v>
      </c>
      <c r="E3552" s="1546">
        <f>E3553</f>
        <v>140000000</v>
      </c>
      <c r="F3552" s="1462">
        <f>E3552/D3552*100</f>
        <v>100</v>
      </c>
      <c r="G3552" s="1726">
        <v>100</v>
      </c>
      <c r="H3552" s="535"/>
    </row>
    <row r="3553" spans="1:11" ht="18.75" hidden="1" customHeight="1" x14ac:dyDescent="0.25">
      <c r="B3553" s="2913"/>
      <c r="C3553" s="4299" t="s">
        <v>4323</v>
      </c>
      <c r="D3553" s="1613">
        <f>D3554</f>
        <v>140000000</v>
      </c>
      <c r="E3553" s="1613">
        <f>E3554</f>
        <v>140000000</v>
      </c>
      <c r="F3553" s="1415">
        <f>E3553/D3553*100</f>
        <v>100</v>
      </c>
      <c r="G3553" s="3600">
        <v>100</v>
      </c>
      <c r="H3553" s="535"/>
    </row>
    <row r="3554" spans="1:11" ht="18" hidden="1" customHeight="1" x14ac:dyDescent="0.25">
      <c r="B3554" s="2913"/>
      <c r="C3554" s="4118" t="s">
        <v>4324</v>
      </c>
      <c r="D3554" s="3630">
        <v>140000000</v>
      </c>
      <c r="E3554" s="1666">
        <v>140000000</v>
      </c>
      <c r="F3554" s="880">
        <f>E3554/D3554*100</f>
        <v>100</v>
      </c>
      <c r="G3554" s="1717">
        <v>100</v>
      </c>
      <c r="H3554" s="535"/>
    </row>
    <row r="3555" spans="1:11" ht="12" hidden="1" customHeight="1" x14ac:dyDescent="0.25">
      <c r="B3555" s="2913"/>
      <c r="D3555" s="1611"/>
      <c r="E3555" s="969"/>
      <c r="F3555" s="2279"/>
      <c r="G3555" s="2279"/>
      <c r="H3555" s="535"/>
    </row>
    <row r="3556" spans="1:11" s="303" customFormat="1" ht="17.25" hidden="1" customHeight="1" x14ac:dyDescent="0.25">
      <c r="A3556" s="3005"/>
      <c r="B3556" s="5397"/>
      <c r="C3556" s="3858" t="s">
        <v>4325</v>
      </c>
      <c r="D3556" s="1546">
        <f>D3557+D3565+D3569+D3572+D3575</f>
        <v>5568034000</v>
      </c>
      <c r="E3556" s="1546">
        <f>E3557+E3565+E3569+E3572+E3575</f>
        <v>5528121000</v>
      </c>
      <c r="F3556" s="1462">
        <f t="shared" ref="F3556:F3563" si="101">E3556/D3556*100</f>
        <v>99.283176072559897</v>
      </c>
      <c r="G3556" s="2356">
        <v>100</v>
      </c>
      <c r="H3556" s="554"/>
      <c r="J3556" s="522"/>
      <c r="K3556" s="522"/>
    </row>
    <row r="3557" spans="1:11" s="303" customFormat="1" ht="18.75" hidden="1" customHeight="1" x14ac:dyDescent="0.25">
      <c r="A3557" s="3005"/>
      <c r="B3557" s="2913"/>
      <c r="C3557" s="4299" t="s">
        <v>4326</v>
      </c>
      <c r="D3557" s="1575">
        <f>SUM(D3558:D3563)</f>
        <v>2679740000</v>
      </c>
      <c r="E3557" s="1575">
        <f>SUM(E3558:E3563)</f>
        <v>2639827000</v>
      </c>
      <c r="F3557" s="1415">
        <f t="shared" si="101"/>
        <v>98.5105644577459</v>
      </c>
      <c r="G3557" s="2562">
        <v>100</v>
      </c>
      <c r="H3557" s="554"/>
      <c r="J3557" s="522"/>
      <c r="K3557" s="522"/>
    </row>
    <row r="3558" spans="1:11" s="303" customFormat="1" ht="15.75" hidden="1" customHeight="1" x14ac:dyDescent="0.25">
      <c r="A3558" s="3005"/>
      <c r="B3558" s="2913"/>
      <c r="C3558" s="4118" t="s">
        <v>4327</v>
      </c>
      <c r="D3558" s="3630">
        <v>141120000</v>
      </c>
      <c r="E3558" s="1121">
        <v>141120000</v>
      </c>
      <c r="F3558" s="880">
        <f t="shared" si="101"/>
        <v>100</v>
      </c>
      <c r="G3558" s="1162">
        <v>100</v>
      </c>
      <c r="H3558" s="554"/>
      <c r="J3558" s="522"/>
      <c r="K3558" s="522"/>
    </row>
    <row r="3559" spans="1:11" s="303" customFormat="1" ht="16.5" hidden="1" customHeight="1" x14ac:dyDescent="0.25">
      <c r="A3559" s="3005"/>
      <c r="B3559" s="2913"/>
      <c r="C3559" s="4118" t="s">
        <v>4328</v>
      </c>
      <c r="D3559" s="3630">
        <v>1275178200</v>
      </c>
      <c r="E3559" s="2520">
        <v>1275178200</v>
      </c>
      <c r="F3559" s="880">
        <f t="shared" si="101"/>
        <v>100</v>
      </c>
      <c r="G3559" s="3651">
        <v>100</v>
      </c>
      <c r="H3559" s="554"/>
      <c r="J3559" s="522"/>
      <c r="K3559" s="522"/>
    </row>
    <row r="3560" spans="1:11" s="303" customFormat="1" ht="17.25" hidden="1" customHeight="1" x14ac:dyDescent="0.25">
      <c r="A3560" s="3005"/>
      <c r="B3560" s="2913"/>
      <c r="C3560" s="4118" t="s">
        <v>4329</v>
      </c>
      <c r="D3560" s="3630">
        <v>638613000</v>
      </c>
      <c r="E3560" s="2520">
        <v>598700000</v>
      </c>
      <c r="F3560" s="880">
        <f t="shared" si="101"/>
        <v>93.750048934174529</v>
      </c>
      <c r="G3560" s="3648">
        <v>100</v>
      </c>
      <c r="H3560" s="554"/>
      <c r="J3560" s="522"/>
      <c r="K3560" s="522"/>
    </row>
    <row r="3561" spans="1:11" s="303" customFormat="1" ht="14.25" hidden="1" customHeight="1" x14ac:dyDescent="0.25">
      <c r="A3561" s="3005"/>
      <c r="B3561" s="2913"/>
      <c r="C3561" s="4001" t="s">
        <v>4330</v>
      </c>
      <c r="D3561" s="3630">
        <v>498328800</v>
      </c>
      <c r="E3561" s="2520">
        <v>498328800</v>
      </c>
      <c r="F3561" s="880">
        <f t="shared" si="101"/>
        <v>100</v>
      </c>
      <c r="G3561" s="3648">
        <v>100</v>
      </c>
      <c r="H3561" s="554"/>
      <c r="J3561" s="522"/>
      <c r="K3561" s="522"/>
    </row>
    <row r="3562" spans="1:11" s="303" customFormat="1" ht="14.25" hidden="1" customHeight="1" x14ac:dyDescent="0.25">
      <c r="A3562" s="3005"/>
      <c r="B3562" s="2913"/>
      <c r="C3562" s="4104" t="s">
        <v>4331</v>
      </c>
      <c r="D3562" s="1121">
        <v>110500000</v>
      </c>
      <c r="E3562" s="2520">
        <v>110500000</v>
      </c>
      <c r="F3562" s="880">
        <f t="shared" si="101"/>
        <v>100</v>
      </c>
      <c r="G3562" s="3648">
        <v>100</v>
      </c>
      <c r="H3562" s="554"/>
      <c r="J3562" s="522"/>
      <c r="K3562" s="522"/>
    </row>
    <row r="3563" spans="1:11" s="303" customFormat="1" ht="14.25" hidden="1" customHeight="1" x14ac:dyDescent="0.25">
      <c r="A3563" s="3005"/>
      <c r="B3563" s="2913"/>
      <c r="C3563" s="4104" t="s">
        <v>4332</v>
      </c>
      <c r="D3563" s="1121">
        <v>16000000</v>
      </c>
      <c r="E3563" s="1121">
        <v>16000000</v>
      </c>
      <c r="F3563" s="880">
        <f t="shared" si="101"/>
        <v>100</v>
      </c>
      <c r="G3563" s="1162">
        <v>100</v>
      </c>
      <c r="H3563" s="554"/>
      <c r="J3563" s="522"/>
      <c r="K3563" s="522"/>
    </row>
    <row r="3564" spans="1:11" s="303" customFormat="1" ht="7.5" hidden="1" customHeight="1" x14ac:dyDescent="0.25">
      <c r="A3564" s="3005"/>
      <c r="B3564" s="2913"/>
      <c r="C3564" s="3962"/>
      <c r="D3564" s="849"/>
      <c r="E3564" s="1891"/>
      <c r="F3564" s="1668"/>
      <c r="G3564" s="3648"/>
      <c r="H3564" s="554"/>
      <c r="J3564" s="522"/>
      <c r="K3564" s="522"/>
    </row>
    <row r="3565" spans="1:11" s="303" customFormat="1" ht="17.25" hidden="1" customHeight="1" x14ac:dyDescent="0.25">
      <c r="A3565" s="3005"/>
      <c r="B3565" s="2913"/>
      <c r="C3565" s="3938" t="s">
        <v>4333</v>
      </c>
      <c r="D3565" s="3629">
        <f>D3566+D3567</f>
        <v>2325000000</v>
      </c>
      <c r="E3565" s="3629">
        <f>E3566+E3567</f>
        <v>2325000000</v>
      </c>
      <c r="F3565" s="1415">
        <f>E3565/D3565*100</f>
        <v>100</v>
      </c>
      <c r="G3565" s="3600">
        <v>100</v>
      </c>
      <c r="H3565" s="554"/>
      <c r="J3565" s="522"/>
      <c r="K3565" s="522"/>
    </row>
    <row r="3566" spans="1:11" s="303" customFormat="1" ht="15" hidden="1" customHeight="1" x14ac:dyDescent="0.25">
      <c r="A3566" s="3005"/>
      <c r="B3566" s="2913"/>
      <c r="C3566" s="4118" t="s">
        <v>4334</v>
      </c>
      <c r="D3566" s="3630">
        <v>2110000000</v>
      </c>
      <c r="E3566" s="1673">
        <v>2110000000</v>
      </c>
      <c r="F3566" s="880">
        <f>E3566/D3566*100</f>
        <v>100</v>
      </c>
      <c r="G3566" s="3648">
        <v>100</v>
      </c>
      <c r="H3566" s="554"/>
      <c r="J3566" s="522"/>
      <c r="K3566" s="522"/>
    </row>
    <row r="3567" spans="1:11" s="303" customFormat="1" ht="18" hidden="1" customHeight="1" x14ac:dyDescent="0.25">
      <c r="A3567" s="3005"/>
      <c r="B3567" s="2913"/>
      <c r="C3567" s="4118" t="s">
        <v>4335</v>
      </c>
      <c r="D3567" s="3630">
        <v>215000000</v>
      </c>
      <c r="E3567" s="1673">
        <v>215000000</v>
      </c>
      <c r="F3567" s="880">
        <f>E3567/D3567*100</f>
        <v>100</v>
      </c>
      <c r="G3567" s="3648">
        <v>100</v>
      </c>
      <c r="H3567" s="554"/>
      <c r="J3567" s="522"/>
      <c r="K3567" s="522"/>
    </row>
    <row r="3568" spans="1:11" s="303" customFormat="1" ht="7.5" hidden="1" customHeight="1" x14ac:dyDescent="0.25">
      <c r="A3568" s="3005"/>
      <c r="B3568" s="2913"/>
      <c r="C3568" s="4002"/>
      <c r="D3568" s="859"/>
      <c r="E3568" s="1891"/>
      <c r="F3568" s="3648"/>
      <c r="G3568" s="3648"/>
      <c r="H3568" s="554"/>
      <c r="J3568" s="522"/>
      <c r="K3568" s="522"/>
    </row>
    <row r="3569" spans="1:11" ht="18.75" hidden="1" customHeight="1" x14ac:dyDescent="0.25">
      <c r="B3569" s="2913"/>
      <c r="C3569" s="3938" t="s">
        <v>4336</v>
      </c>
      <c r="D3569" s="1118">
        <f>D3570</f>
        <v>182540000</v>
      </c>
      <c r="E3569" s="1118">
        <f>E3570</f>
        <v>182540000</v>
      </c>
      <c r="F3569" s="1415">
        <f>E3569/D3569*100</f>
        <v>100</v>
      </c>
      <c r="G3569" s="2380">
        <v>100</v>
      </c>
      <c r="H3569" s="535"/>
    </row>
    <row r="3570" spans="1:11" ht="27" hidden="1" customHeight="1" x14ac:dyDescent="0.25">
      <c r="B3570" s="2913"/>
      <c r="C3570" s="4118" t="s">
        <v>4337</v>
      </c>
      <c r="D3570" s="1121">
        <v>182540000</v>
      </c>
      <c r="E3570" s="1675">
        <v>182540000</v>
      </c>
      <c r="F3570" s="880">
        <f>E3570/D3570*100</f>
        <v>100</v>
      </c>
      <c r="G3570" s="3648">
        <v>100</v>
      </c>
      <c r="H3570" s="535"/>
    </row>
    <row r="3571" spans="1:11" ht="5.25" hidden="1" customHeight="1" x14ac:dyDescent="0.25">
      <c r="B3571" s="2913"/>
      <c r="C3571" s="3962"/>
      <c r="D3571" s="3630"/>
      <c r="E3571" s="3879"/>
      <c r="F3571" s="3630"/>
      <c r="G3571" s="3648"/>
      <c r="H3571" s="535"/>
    </row>
    <row r="3572" spans="1:11" ht="18" hidden="1" customHeight="1" x14ac:dyDescent="0.25">
      <c r="B3572" s="2913"/>
      <c r="C3572" s="3938" t="s">
        <v>4338</v>
      </c>
      <c r="D3572" s="1118">
        <f>D3573</f>
        <v>297554000</v>
      </c>
      <c r="E3572" s="1118">
        <f>E3573</f>
        <v>297554000</v>
      </c>
      <c r="F3572" s="1415">
        <f>E3572/D3572*100</f>
        <v>100</v>
      </c>
      <c r="G3572" s="3600">
        <v>100</v>
      </c>
      <c r="H3572" s="535"/>
    </row>
    <row r="3573" spans="1:11" ht="18" hidden="1" customHeight="1" x14ac:dyDescent="0.25">
      <c r="B3573" s="2913"/>
      <c r="C3573" s="4118" t="s">
        <v>4339</v>
      </c>
      <c r="D3573" s="1121">
        <v>297554000</v>
      </c>
      <c r="E3573" s="1676">
        <v>297554000</v>
      </c>
      <c r="F3573" s="880">
        <f>E3573/D3573*100</f>
        <v>100</v>
      </c>
      <c r="G3573" s="3648">
        <v>100</v>
      </c>
      <c r="H3573" s="535"/>
    </row>
    <row r="3574" spans="1:11" ht="6" hidden="1" customHeight="1" x14ac:dyDescent="0.25">
      <c r="B3574" s="2913"/>
      <c r="C3574" s="3962"/>
      <c r="D3574" s="3630"/>
      <c r="E3574" s="3879"/>
      <c r="F3574" s="3651"/>
      <c r="G3574" s="3648"/>
      <c r="H3574" s="535"/>
    </row>
    <row r="3575" spans="1:11" ht="20.25" hidden="1" customHeight="1" x14ac:dyDescent="0.25">
      <c r="B3575" s="2913"/>
      <c r="C3575" s="3938" t="s">
        <v>4340</v>
      </c>
      <c r="D3575" s="1118">
        <f>D3576</f>
        <v>83200000</v>
      </c>
      <c r="E3575" s="1118">
        <f>E3576</f>
        <v>83200000</v>
      </c>
      <c r="F3575" s="1415">
        <v>99.038087774294667</v>
      </c>
      <c r="G3575" s="3600">
        <v>100</v>
      </c>
      <c r="H3575" s="535"/>
    </row>
    <row r="3576" spans="1:11" ht="15" hidden="1" customHeight="1" x14ac:dyDescent="0.25">
      <c r="B3576" s="2913"/>
      <c r="C3576" s="4118" t="s">
        <v>4341</v>
      </c>
      <c r="D3576" s="1121">
        <v>83200000</v>
      </c>
      <c r="E3576" s="1677">
        <v>83200000</v>
      </c>
      <c r="F3576" s="3630">
        <v>99.038087774294667</v>
      </c>
      <c r="G3576" s="3648">
        <v>100</v>
      </c>
      <c r="H3576" s="535"/>
    </row>
    <row r="3577" spans="1:11" ht="12" hidden="1" customHeight="1" x14ac:dyDescent="0.25">
      <c r="B3577" s="2913"/>
      <c r="C3577" s="3896"/>
      <c r="D3577" s="3630"/>
      <c r="E3577" s="1927"/>
      <c r="F3577" s="3651"/>
      <c r="G3577" s="3651"/>
      <c r="H3577" s="535"/>
    </row>
    <row r="3578" spans="1:11" ht="27" hidden="1" customHeight="1" x14ac:dyDescent="0.25">
      <c r="B3578" s="5397"/>
      <c r="C3578" s="3913" t="s">
        <v>4342</v>
      </c>
      <c r="D3578" s="3631">
        <f>D3579</f>
        <v>799401814</v>
      </c>
      <c r="E3578" s="3631">
        <f>E3579</f>
        <v>797559707</v>
      </c>
      <c r="F3578" s="1462">
        <f>E3578/D3578*100</f>
        <v>99.769564320753474</v>
      </c>
      <c r="G3578" s="1726">
        <v>100</v>
      </c>
      <c r="H3578" s="535"/>
    </row>
    <row r="3579" spans="1:11" ht="16.5" hidden="1" customHeight="1" x14ac:dyDescent="0.25">
      <c r="B3579" s="2913"/>
      <c r="C3579" s="4299" t="s">
        <v>4343</v>
      </c>
      <c r="D3579" s="1115">
        <f>SUM(D3580:D3581)</f>
        <v>799401814</v>
      </c>
      <c r="E3579" s="1115">
        <f>SUM(E3580:E3581)</f>
        <v>797559707</v>
      </c>
      <c r="F3579" s="3326">
        <f>E3579/D3579*100</f>
        <v>99.769564320753474</v>
      </c>
      <c r="G3579" s="3691">
        <v>100</v>
      </c>
      <c r="H3579" s="535"/>
    </row>
    <row r="3580" spans="1:11" ht="14.25" hidden="1" customHeight="1" x14ac:dyDescent="0.25">
      <c r="B3580" s="2913"/>
      <c r="C3580" s="4118" t="s">
        <v>4344</v>
      </c>
      <c r="D3580" s="3630">
        <v>499401814</v>
      </c>
      <c r="E3580" s="1667">
        <v>498559707</v>
      </c>
      <c r="F3580" s="880">
        <f>E3580/D3580*100</f>
        <v>99.831376864001541</v>
      </c>
      <c r="G3580" s="3648">
        <v>100</v>
      </c>
      <c r="H3580" s="535"/>
    </row>
    <row r="3581" spans="1:11" ht="15.75" hidden="1" customHeight="1" x14ac:dyDescent="0.25">
      <c r="B3581" s="2913"/>
      <c r="C3581" s="4118" t="s">
        <v>854</v>
      </c>
      <c r="D3581" s="3630">
        <v>300000000</v>
      </c>
      <c r="E3581" s="1667">
        <v>299000000</v>
      </c>
      <c r="F3581" s="880">
        <f>E3581/D3581*100</f>
        <v>99.666666666666671</v>
      </c>
      <c r="G3581" s="3648">
        <v>100</v>
      </c>
      <c r="H3581" s="535"/>
    </row>
    <row r="3582" spans="1:11" ht="12" hidden="1" customHeight="1" x14ac:dyDescent="0.25">
      <c r="B3582" s="2913"/>
      <c r="D3582" s="1516"/>
      <c r="E3582" s="969"/>
      <c r="F3582" s="2279"/>
      <c r="G3582" s="2285"/>
      <c r="H3582" s="535"/>
    </row>
    <row r="3583" spans="1:11" ht="15" hidden="1" customHeight="1" x14ac:dyDescent="0.25">
      <c r="B3583" s="5418"/>
      <c r="C3583" s="3994" t="s">
        <v>1768</v>
      </c>
      <c r="D3583" s="1546">
        <f>SUM(D3584+D3587)</f>
        <v>7075000000</v>
      </c>
      <c r="E3583" s="1546">
        <f>SUM(E3584+E3587)</f>
        <v>7037666450</v>
      </c>
      <c r="F3583" s="1462">
        <v>99.689268650611723</v>
      </c>
      <c r="G3583" s="2356">
        <v>100</v>
      </c>
      <c r="H3583" s="535"/>
    </row>
    <row r="3584" spans="1:11" s="303" customFormat="1" ht="18" hidden="1" customHeight="1" x14ac:dyDescent="0.25">
      <c r="A3584" s="3005"/>
      <c r="B3584" s="2913"/>
      <c r="C3584" s="4299" t="s">
        <v>4345</v>
      </c>
      <c r="D3584" s="3629">
        <f>SUM(D3585:D3585)</f>
        <v>6775000000</v>
      </c>
      <c r="E3584" s="3629">
        <f>SUM(E3585:E3585)</f>
        <v>6775000000</v>
      </c>
      <c r="F3584" s="1415">
        <v>99.038087774294667</v>
      </c>
      <c r="G3584" s="3600">
        <v>100</v>
      </c>
      <c r="H3584" s="554"/>
      <c r="J3584" s="522"/>
      <c r="K3584" s="522"/>
    </row>
    <row r="3585" spans="1:11" s="303" customFormat="1" ht="16.5" hidden="1" customHeight="1" x14ac:dyDescent="0.25">
      <c r="A3585" s="3005"/>
      <c r="B3585" s="2913"/>
      <c r="C3585" s="3856" t="s">
        <v>4346</v>
      </c>
      <c r="D3585" s="3630">
        <v>6775000000</v>
      </c>
      <c r="E3585" s="1679">
        <v>6775000000</v>
      </c>
      <c r="F3585" s="3630">
        <v>99.038087774294667</v>
      </c>
      <c r="G3585" s="3648">
        <v>100</v>
      </c>
      <c r="H3585" s="554"/>
      <c r="J3585" s="522"/>
      <c r="K3585" s="522"/>
    </row>
    <row r="3586" spans="1:11" ht="9.75" hidden="1" customHeight="1" x14ac:dyDescent="0.25">
      <c r="B3586" s="2913"/>
      <c r="D3586" s="1550"/>
      <c r="E3586" s="969"/>
      <c r="F3586" s="3630"/>
      <c r="G3586" s="2279"/>
      <c r="H3586" s="535"/>
    </row>
    <row r="3587" spans="1:11" ht="15" hidden="1" customHeight="1" x14ac:dyDescent="0.25">
      <c r="B3587" s="2913"/>
      <c r="C3587" s="3938" t="s">
        <v>4347</v>
      </c>
      <c r="D3587" s="1118">
        <f>D3588</f>
        <v>300000000</v>
      </c>
      <c r="E3587" s="1118">
        <f>E3588</f>
        <v>262666450</v>
      </c>
      <c r="F3587" s="1415">
        <v>99.038087774294667</v>
      </c>
      <c r="G3587" s="2261">
        <v>100</v>
      </c>
      <c r="H3587" s="535"/>
    </row>
    <row r="3588" spans="1:11" ht="18" hidden="1" customHeight="1" x14ac:dyDescent="0.25">
      <c r="B3588" s="2913"/>
      <c r="C3588" s="4118" t="s">
        <v>4348</v>
      </c>
      <c r="D3588" s="1121">
        <v>300000000</v>
      </c>
      <c r="E3588" s="1680">
        <v>262666450</v>
      </c>
      <c r="F3588" s="3630">
        <v>99.038087774294667</v>
      </c>
      <c r="G3588" s="1717">
        <v>100</v>
      </c>
      <c r="H3588" s="535"/>
    </row>
    <row r="3589" spans="1:11" ht="12" hidden="1" customHeight="1" x14ac:dyDescent="0.25">
      <c r="B3589" s="2913"/>
      <c r="D3589" s="1550"/>
      <c r="E3589" s="969"/>
      <c r="F3589" s="2279"/>
      <c r="G3589" s="2279"/>
      <c r="H3589" s="535"/>
    </row>
    <row r="3590" spans="1:11" ht="14.25" hidden="1" customHeight="1" x14ac:dyDescent="0.25">
      <c r="B3590" s="5397"/>
      <c r="C3590" s="3858" t="s">
        <v>855</v>
      </c>
      <c r="D3590" s="1546">
        <f>SUM(D3591+D3594)</f>
        <v>142000000</v>
      </c>
      <c r="E3590" s="1546">
        <f>SUM(E3591+E3594)</f>
        <v>141990000</v>
      </c>
      <c r="F3590" s="1462">
        <f>E3590/D3590*100</f>
        <v>99.992957746478879</v>
      </c>
      <c r="G3590" s="2356">
        <v>100</v>
      </c>
      <c r="H3590" s="535"/>
    </row>
    <row r="3591" spans="1:11" ht="17.25" hidden="1" customHeight="1" x14ac:dyDescent="0.25">
      <c r="B3591" s="2913"/>
      <c r="C3591" s="4299" t="s">
        <v>4349</v>
      </c>
      <c r="D3591" s="1610">
        <f>SUM(D3592)</f>
        <v>62000000</v>
      </c>
      <c r="E3591" s="1610">
        <f>SUM(E3592)</f>
        <v>62000000</v>
      </c>
      <c r="F3591" s="1415">
        <f>E3591/D3591*100</f>
        <v>100</v>
      </c>
      <c r="G3591" s="5549">
        <v>100</v>
      </c>
      <c r="H3591" s="535"/>
    </row>
    <row r="3592" spans="1:11" ht="18" hidden="1" customHeight="1" x14ac:dyDescent="0.25">
      <c r="B3592" s="2913"/>
      <c r="C3592" s="4118" t="s">
        <v>4350</v>
      </c>
      <c r="D3592" s="3630">
        <v>62000000</v>
      </c>
      <c r="E3592" s="2524">
        <v>62000000</v>
      </c>
      <c r="F3592" s="880">
        <f>E3592/D3592*100</f>
        <v>100</v>
      </c>
      <c r="G3592" s="2429">
        <v>100</v>
      </c>
      <c r="H3592" s="535"/>
    </row>
    <row r="3593" spans="1:11" ht="8.25" hidden="1" customHeight="1" x14ac:dyDescent="0.25">
      <c r="B3593" s="2913"/>
      <c r="C3593" s="4118"/>
      <c r="D3593" s="3630"/>
      <c r="E3593" s="5550"/>
      <c r="F3593" s="3630"/>
      <c r="G3593" s="2429"/>
      <c r="H3593" s="535"/>
    </row>
    <row r="3594" spans="1:11" ht="19.5" hidden="1" customHeight="1" x14ac:dyDescent="0.25">
      <c r="B3594" s="2913"/>
      <c r="C3594" s="3938" t="s">
        <v>856</v>
      </c>
      <c r="D3594" s="3629">
        <f>SUM(D3595)</f>
        <v>80000000</v>
      </c>
      <c r="E3594" s="3629">
        <f>SUM(E3595)</f>
        <v>79990000</v>
      </c>
      <c r="F3594" s="1415">
        <f>E3594/D3594*100</f>
        <v>99.987499999999997</v>
      </c>
      <c r="G3594" s="3629">
        <v>100</v>
      </c>
      <c r="H3594" s="3621"/>
      <c r="I3594" s="753">
        <f>SUM(I3595)</f>
        <v>0</v>
      </c>
      <c r="J3594" s="3344"/>
    </row>
    <row r="3595" spans="1:11" ht="15.75" hidden="1" customHeight="1" x14ac:dyDescent="0.25">
      <c r="B3595" s="2913"/>
      <c r="C3595" s="4118" t="s">
        <v>857</v>
      </c>
      <c r="D3595" s="3630">
        <v>80000000</v>
      </c>
      <c r="E3595" s="2525">
        <v>79990000</v>
      </c>
      <c r="F3595" s="880">
        <f>E3595/D3595*100</f>
        <v>99.987499999999997</v>
      </c>
      <c r="G3595" s="2429">
        <v>100</v>
      </c>
      <c r="H3595" s="535"/>
    </row>
    <row r="3596" spans="1:11" ht="12" hidden="1" customHeight="1" x14ac:dyDescent="0.25">
      <c r="B3596" s="2913"/>
      <c r="D3596" s="1516"/>
      <c r="E3596" s="969"/>
      <c r="F3596" s="2285"/>
      <c r="G3596" s="2285"/>
      <c r="H3596" s="535"/>
    </row>
    <row r="3597" spans="1:11" ht="15" hidden="1" customHeight="1" x14ac:dyDescent="0.25">
      <c r="B3597" s="5397"/>
      <c r="C3597" s="3858" t="s">
        <v>4351</v>
      </c>
      <c r="D3597" s="1546">
        <f>SUM(D3598+D3602+D3604)</f>
        <v>284761000</v>
      </c>
      <c r="E3597" s="1546">
        <f>SUM(E3598+E3602+E3604)</f>
        <v>284726000</v>
      </c>
      <c r="F3597" s="1462">
        <f>E3597/D3597*100</f>
        <v>99.987708991048635</v>
      </c>
      <c r="G3597" s="2198">
        <v>100</v>
      </c>
      <c r="H3597" s="535"/>
    </row>
    <row r="3598" spans="1:11" ht="18.75" hidden="1" customHeight="1" x14ac:dyDescent="0.25">
      <c r="B3598" s="2913"/>
      <c r="C3598" s="4299" t="s">
        <v>4352</v>
      </c>
      <c r="D3598" s="1417">
        <f>SUM(D3599)</f>
        <v>99235000</v>
      </c>
      <c r="E3598" s="1417">
        <f>SUM(E3599)</f>
        <v>99200000</v>
      </c>
      <c r="F3598" s="1415">
        <f>E3598/D3598*100</f>
        <v>99.964730185922306</v>
      </c>
      <c r="G3598" s="5549">
        <v>100</v>
      </c>
      <c r="H3598" s="535"/>
    </row>
    <row r="3599" spans="1:11" ht="16.5" hidden="1" customHeight="1" x14ac:dyDescent="0.25">
      <c r="B3599" s="2913"/>
      <c r="C3599" s="4118" t="s">
        <v>4353</v>
      </c>
      <c r="D3599" s="3630">
        <v>99235000</v>
      </c>
      <c r="E3599" s="3664">
        <v>99200000</v>
      </c>
      <c r="F3599" s="880">
        <f>E3599/D3599*100</f>
        <v>99.964730185922306</v>
      </c>
      <c r="G3599" s="2429">
        <v>100</v>
      </c>
      <c r="H3599" s="535"/>
    </row>
    <row r="3600" spans="1:11" ht="7.5" hidden="1" customHeight="1" x14ac:dyDescent="0.25">
      <c r="B3600" s="2913"/>
      <c r="C3600" s="4118"/>
      <c r="D3600" s="3630"/>
      <c r="E3600" s="5551"/>
      <c r="F3600" s="3630"/>
      <c r="G3600" s="2429"/>
      <c r="H3600" s="535"/>
    </row>
    <row r="3601" spans="2:8" ht="18.75" hidden="1" customHeight="1" x14ac:dyDescent="0.25">
      <c r="B3601" s="2913"/>
      <c r="C3601" s="3938" t="s">
        <v>4354</v>
      </c>
      <c r="D3601" s="3629">
        <f>SUM(D3602)</f>
        <v>135000000</v>
      </c>
      <c r="E3601" s="3629">
        <f>SUM(E3602)</f>
        <v>135000000</v>
      </c>
      <c r="F3601" s="1415">
        <f>E3601/D3601*100</f>
        <v>100</v>
      </c>
      <c r="G3601" s="2713">
        <v>100</v>
      </c>
      <c r="H3601" s="535"/>
    </row>
    <row r="3602" spans="2:8" ht="15.75" hidden="1" customHeight="1" x14ac:dyDescent="0.25">
      <c r="B3602" s="2913"/>
      <c r="C3602" s="4118" t="s">
        <v>4355</v>
      </c>
      <c r="D3602" s="3630">
        <v>135000000</v>
      </c>
      <c r="E3602" s="1683">
        <v>135000000</v>
      </c>
      <c r="F3602" s="880">
        <f>E3602/D3602*100</f>
        <v>100</v>
      </c>
      <c r="G3602" s="2429">
        <v>100</v>
      </c>
      <c r="H3602" s="535"/>
    </row>
    <row r="3603" spans="2:8" ht="7.5" hidden="1" customHeight="1" x14ac:dyDescent="0.25">
      <c r="B3603" s="2913"/>
      <c r="C3603" s="4118"/>
      <c r="D3603" s="3630"/>
      <c r="E3603" s="5552"/>
      <c r="F3603" s="5553"/>
      <c r="G3603" s="2713"/>
      <c r="H3603" s="535"/>
    </row>
    <row r="3604" spans="2:8" ht="16.5" hidden="1" customHeight="1" x14ac:dyDescent="0.25">
      <c r="B3604" s="2913"/>
      <c r="C3604" s="3938" t="s">
        <v>4356</v>
      </c>
      <c r="D3604" s="3629">
        <f>SUM(D3605)</f>
        <v>50526000</v>
      </c>
      <c r="E3604" s="3629">
        <f>SUM(E3605)</f>
        <v>50526000</v>
      </c>
      <c r="F3604" s="1415">
        <f>E3604/D3604*100</f>
        <v>100</v>
      </c>
      <c r="G3604" s="2713">
        <v>100</v>
      </c>
      <c r="H3604" s="535"/>
    </row>
    <row r="3605" spans="2:8" ht="15.75" hidden="1" customHeight="1" x14ac:dyDescent="0.25">
      <c r="B3605" s="2913"/>
      <c r="C3605" s="4118" t="s">
        <v>4357</v>
      </c>
      <c r="D3605" s="3630">
        <v>50526000</v>
      </c>
      <c r="E3605" s="1684">
        <v>50526000</v>
      </c>
      <c r="F3605" s="880">
        <f>E3605/D3605*100</f>
        <v>100</v>
      </c>
      <c r="G3605" s="2429">
        <v>100</v>
      </c>
      <c r="H3605" s="535"/>
    </row>
    <row r="3606" spans="2:8" ht="12.75" hidden="1" customHeight="1" x14ac:dyDescent="0.25">
      <c r="B3606" s="2913"/>
      <c r="D3606" s="1516"/>
      <c r="E3606" s="969"/>
      <c r="F3606" s="2285"/>
      <c r="G3606" s="2285"/>
      <c r="H3606" s="535"/>
    </row>
    <row r="3607" spans="2:8" ht="17.25" hidden="1" customHeight="1" x14ac:dyDescent="0.25">
      <c r="B3607" s="5397"/>
      <c r="C3607" s="3858" t="s">
        <v>4358</v>
      </c>
      <c r="D3607" s="1546">
        <f>SUM(D3608+D3612)</f>
        <v>148400000</v>
      </c>
      <c r="E3607" s="1546">
        <f>SUM(E3608+E3612)</f>
        <v>140316000</v>
      </c>
      <c r="F3607" s="1462">
        <f>E3607/D3607*100</f>
        <v>94.552560646900275</v>
      </c>
      <c r="G3607" s="2356">
        <v>100</v>
      </c>
      <c r="H3607" s="535"/>
    </row>
    <row r="3608" spans="2:8" ht="16.5" hidden="1" customHeight="1" x14ac:dyDescent="0.25">
      <c r="B3608" s="5419"/>
      <c r="C3608" s="4299" t="s">
        <v>4359</v>
      </c>
      <c r="D3608" s="1613">
        <f>SUM(D3609)</f>
        <v>68400000</v>
      </c>
      <c r="E3608" s="1613">
        <f>SUM(E3609)</f>
        <v>68400000</v>
      </c>
      <c r="F3608" s="1415">
        <f>E3608/D3608*100</f>
        <v>100</v>
      </c>
      <c r="G3608" s="1730">
        <v>100</v>
      </c>
      <c r="H3608" s="535"/>
    </row>
    <row r="3609" spans="2:8" ht="15.75" hidden="1" customHeight="1" x14ac:dyDescent="0.25">
      <c r="B3609" s="2913"/>
      <c r="C3609" s="4118" t="s">
        <v>4360</v>
      </c>
      <c r="D3609" s="3630">
        <v>68400000</v>
      </c>
      <c r="E3609" s="1685">
        <v>68400000</v>
      </c>
      <c r="F3609" s="880">
        <f>E3609/D3609*100</f>
        <v>100</v>
      </c>
      <c r="G3609" s="3648">
        <v>100</v>
      </c>
      <c r="H3609" s="535"/>
    </row>
    <row r="3610" spans="2:8" ht="9" hidden="1" customHeight="1" x14ac:dyDescent="0.25">
      <c r="B3610" s="2913"/>
      <c r="C3610" s="4118"/>
      <c r="D3610" s="3630"/>
      <c r="E3610" s="4059"/>
      <c r="F3610" s="3630"/>
      <c r="G3610" s="1668"/>
      <c r="H3610" s="535"/>
    </row>
    <row r="3611" spans="2:8" ht="14.25" hidden="1" customHeight="1" x14ac:dyDescent="0.25">
      <c r="B3611" s="2913"/>
      <c r="C3611" s="3938" t="s">
        <v>4361</v>
      </c>
      <c r="D3611" s="3629">
        <f>SUM(D3612)</f>
        <v>80000000</v>
      </c>
      <c r="E3611" s="3629">
        <f>SUM(E3612)</f>
        <v>71916000</v>
      </c>
      <c r="F3611" s="1415">
        <f>E3611/D3611*100</f>
        <v>89.894999999999996</v>
      </c>
      <c r="G3611" s="2261">
        <v>100</v>
      </c>
      <c r="H3611" s="535"/>
    </row>
    <row r="3612" spans="2:8" ht="18" hidden="1" customHeight="1" x14ac:dyDescent="0.25">
      <c r="B3612" s="2913"/>
      <c r="C3612" s="4118" t="s">
        <v>4362</v>
      </c>
      <c r="D3612" s="3630">
        <v>80000000</v>
      </c>
      <c r="E3612" s="1686">
        <v>71916000</v>
      </c>
      <c r="F3612" s="880">
        <f>E3612/D3612*100</f>
        <v>89.894999999999996</v>
      </c>
      <c r="G3612" s="1717">
        <v>100</v>
      </c>
      <c r="H3612" s="535"/>
    </row>
    <row r="3613" spans="2:8" ht="6" hidden="1" customHeight="1" x14ac:dyDescent="0.25">
      <c r="B3613" s="2913"/>
      <c r="D3613" s="1516"/>
      <c r="E3613" s="969"/>
      <c r="F3613" s="2285"/>
      <c r="G3613" s="2285"/>
      <c r="H3613" s="535"/>
    </row>
    <row r="3614" spans="2:8" ht="15" hidden="1" customHeight="1" x14ac:dyDescent="0.25">
      <c r="B3614" s="5397"/>
      <c r="C3614" s="3858" t="s">
        <v>858</v>
      </c>
      <c r="D3614" s="1546">
        <f>SUM(D3615+D3618+D3621)</f>
        <v>257500000</v>
      </c>
      <c r="E3614" s="1546">
        <f>SUM(E3615+E3618+E3621)</f>
        <v>62000000</v>
      </c>
      <c r="F3614" s="1462">
        <f>E3614/D3614*100</f>
        <v>24.077669902912621</v>
      </c>
      <c r="G3614" s="1107">
        <f>SUM(G3615)/3</f>
        <v>33.333333333333336</v>
      </c>
      <c r="H3614" s="535"/>
    </row>
    <row r="3615" spans="2:8" ht="13.5" hidden="1" customHeight="1" x14ac:dyDescent="0.25">
      <c r="B3615" s="2913"/>
      <c r="C3615" s="4299" t="s">
        <v>4363</v>
      </c>
      <c r="D3615" s="1575">
        <f>SUM(D3616)</f>
        <v>72000000</v>
      </c>
      <c r="E3615" s="1575">
        <f>SUM(E3616)</f>
        <v>62000000</v>
      </c>
      <c r="F3615" s="1415">
        <f>E3615/D3615*100</f>
        <v>86.111111111111114</v>
      </c>
      <c r="G3615" s="3395">
        <v>100</v>
      </c>
      <c r="H3615" s="535"/>
    </row>
    <row r="3616" spans="2:8" ht="18" hidden="1" customHeight="1" x14ac:dyDescent="0.25">
      <c r="B3616" s="2913"/>
      <c r="C3616" s="4118" t="s">
        <v>4364</v>
      </c>
      <c r="D3616" s="3630">
        <v>72000000</v>
      </c>
      <c r="E3616" s="1121">
        <v>62000000</v>
      </c>
      <c r="F3616" s="880">
        <f>E3616/D3616*100</f>
        <v>86.111111111111114</v>
      </c>
      <c r="G3616" s="1121">
        <v>100</v>
      </c>
      <c r="H3616" s="535"/>
    </row>
    <row r="3617" spans="2:8" ht="9.75" hidden="1" customHeight="1" x14ac:dyDescent="0.25">
      <c r="B3617" s="2913"/>
      <c r="C3617" s="4118"/>
      <c r="D3617" s="3630"/>
      <c r="E3617" s="1859"/>
      <c r="F3617" s="732"/>
      <c r="G3617" s="677"/>
      <c r="H3617" s="535"/>
    </row>
    <row r="3618" spans="2:8" ht="18.75" hidden="1" customHeight="1" x14ac:dyDescent="0.25">
      <c r="B3618" s="2913"/>
      <c r="C3618" s="3938" t="s">
        <v>4365</v>
      </c>
      <c r="D3618" s="3629">
        <f>SUM(D3619)</f>
        <v>167500000</v>
      </c>
      <c r="E3618" s="3629">
        <f>SUM(E3619)</f>
        <v>0</v>
      </c>
      <c r="F3618" s="1159">
        <v>0</v>
      </c>
      <c r="G3618" s="3395">
        <v>0</v>
      </c>
      <c r="H3618" s="535"/>
    </row>
    <row r="3619" spans="2:8" ht="13.5" hidden="1" customHeight="1" x14ac:dyDescent="0.25">
      <c r="B3619" s="2913"/>
      <c r="C3619" s="4118" t="s">
        <v>4366</v>
      </c>
      <c r="D3619" s="3630">
        <v>167500000</v>
      </c>
      <c r="E3619" s="1121">
        <v>0</v>
      </c>
      <c r="F3619" s="1162">
        <v>0</v>
      </c>
      <c r="G3619" s="1121">
        <v>0</v>
      </c>
      <c r="H3619" s="535"/>
    </row>
    <row r="3620" spans="2:8" ht="8.25" hidden="1" customHeight="1" x14ac:dyDescent="0.25">
      <c r="B3620" s="2913"/>
      <c r="C3620" s="3962"/>
      <c r="D3620" s="849"/>
      <c r="E3620" s="4057"/>
      <c r="F3620" s="3639"/>
      <c r="G3620" s="3639"/>
      <c r="H3620" s="535"/>
    </row>
    <row r="3621" spans="2:8" ht="17.25" hidden="1" customHeight="1" x14ac:dyDescent="0.25">
      <c r="B3621" s="2913"/>
      <c r="C3621" s="3938" t="s">
        <v>859</v>
      </c>
      <c r="D3621" s="3629">
        <f>SUM(D3622)</f>
        <v>18000000</v>
      </c>
      <c r="E3621" s="3395">
        <v>0</v>
      </c>
      <c r="F3621" s="1159">
        <v>0</v>
      </c>
      <c r="G3621" s="3395">
        <v>0</v>
      </c>
      <c r="H3621" s="535"/>
    </row>
    <row r="3622" spans="2:8" ht="12.75" hidden="1" customHeight="1" x14ac:dyDescent="0.25">
      <c r="B3622" s="2913"/>
      <c r="C3622" s="4118" t="s">
        <v>860</v>
      </c>
      <c r="D3622" s="3630">
        <v>18000000</v>
      </c>
      <c r="E3622" s="1121">
        <v>0</v>
      </c>
      <c r="F3622" s="1162">
        <v>0</v>
      </c>
      <c r="G3622" s="1121">
        <v>0</v>
      </c>
      <c r="H3622" s="535"/>
    </row>
    <row r="3623" spans="2:8" ht="12" hidden="1" customHeight="1" x14ac:dyDescent="0.25">
      <c r="B3623" s="2913"/>
      <c r="C3623" s="3893"/>
      <c r="D3623" s="1550"/>
      <c r="E3623" s="969"/>
      <c r="F3623" s="2279"/>
      <c r="G3623" s="2762"/>
      <c r="H3623" s="535"/>
    </row>
    <row r="3624" spans="2:8" ht="15.75" hidden="1" customHeight="1" x14ac:dyDescent="0.25">
      <c r="B3624" s="5397"/>
      <c r="C3624" s="3858" t="s">
        <v>4367</v>
      </c>
      <c r="D3624" s="1571">
        <f>SUM(D3625+D3628)</f>
        <v>291100000</v>
      </c>
      <c r="E3624" s="1571">
        <f>SUM(E3625+E3628)</f>
        <v>290800000</v>
      </c>
      <c r="F3624" s="1462">
        <f>E3624/D3624*100</f>
        <v>99.896942631398147</v>
      </c>
      <c r="G3624" s="2198">
        <v>100</v>
      </c>
      <c r="H3624" s="535"/>
    </row>
    <row r="3625" spans="2:8" ht="17.25" hidden="1" customHeight="1" x14ac:dyDescent="0.25">
      <c r="B3625" s="2912"/>
      <c r="C3625" s="4299" t="s">
        <v>4368</v>
      </c>
      <c r="D3625" s="1701">
        <f>SUM(D3626)</f>
        <v>49800000</v>
      </c>
      <c r="E3625" s="1701">
        <f>SUM(E3626)</f>
        <v>49800000</v>
      </c>
      <c r="F3625" s="1415">
        <f>E3625/D3625*100</f>
        <v>100</v>
      </c>
      <c r="G3625" s="5549">
        <v>100</v>
      </c>
      <c r="H3625" s="535"/>
    </row>
    <row r="3626" spans="2:8" ht="16.5" hidden="1" customHeight="1" x14ac:dyDescent="0.25">
      <c r="B3626" s="5405"/>
      <c r="C3626" s="4118" t="s">
        <v>4369</v>
      </c>
      <c r="D3626" s="3630">
        <v>49800000</v>
      </c>
      <c r="E3626" s="1733">
        <v>49800000</v>
      </c>
      <c r="F3626" s="880">
        <f>E3626/D3626*100</f>
        <v>100</v>
      </c>
      <c r="G3626" s="2429">
        <v>100</v>
      </c>
      <c r="H3626" s="535"/>
    </row>
    <row r="3627" spans="2:8" ht="8.25" hidden="1" customHeight="1" x14ac:dyDescent="0.25">
      <c r="B3627" s="5405"/>
      <c r="C3627" s="4118"/>
      <c r="D3627" s="3630"/>
      <c r="E3627" s="5551"/>
      <c r="F3627" s="1668"/>
      <c r="G3627" s="2429"/>
      <c r="H3627" s="535"/>
    </row>
    <row r="3628" spans="2:8" ht="15.75" hidden="1" customHeight="1" x14ac:dyDescent="0.25">
      <c r="B3628" s="5405"/>
      <c r="C3628" s="3938" t="s">
        <v>861</v>
      </c>
      <c r="D3628" s="3629">
        <f>SUM(D3629)</f>
        <v>241300000</v>
      </c>
      <c r="E3628" s="3629">
        <f>SUM(E3629)</f>
        <v>241000000</v>
      </c>
      <c r="F3628" s="1415">
        <f>E3628/D3628*100</f>
        <v>99.875673435557403</v>
      </c>
      <c r="G3628" s="2713">
        <v>100</v>
      </c>
      <c r="H3628" s="535"/>
    </row>
    <row r="3629" spans="2:8" ht="18" hidden="1" customHeight="1" x14ac:dyDescent="0.25">
      <c r="B3629" s="5405"/>
      <c r="C3629" s="4118" t="s">
        <v>4370</v>
      </c>
      <c r="D3629" s="3630">
        <v>241300000</v>
      </c>
      <c r="E3629" s="1690">
        <v>241000000</v>
      </c>
      <c r="F3629" s="880">
        <f>E3629/D3629*100</f>
        <v>99.875673435557403</v>
      </c>
      <c r="G3629" s="2429">
        <v>100</v>
      </c>
      <c r="H3629" s="535"/>
    </row>
    <row r="3630" spans="2:8" ht="12" hidden="1" customHeight="1" x14ac:dyDescent="0.25">
      <c r="B3630" s="5402"/>
      <c r="C3630" s="3861"/>
      <c r="D3630" s="1516"/>
      <c r="E3630" s="969"/>
      <c r="F3630" s="2285"/>
      <c r="G3630" s="2285"/>
      <c r="H3630" s="535"/>
    </row>
    <row r="3631" spans="2:8" ht="16.5" hidden="1" customHeight="1" x14ac:dyDescent="0.25">
      <c r="B3631" s="5397"/>
      <c r="C3631" s="3913" t="s">
        <v>862</v>
      </c>
      <c r="D3631" s="3631">
        <f>SUM(D3632,D3635,D3638,D3641)</f>
        <v>260400000</v>
      </c>
      <c r="E3631" s="3631">
        <f>SUM(E3632,E3635,E3638,E3641)</f>
        <v>260400000</v>
      </c>
      <c r="F3631" s="1462">
        <f>E3631/D3631*100</f>
        <v>100</v>
      </c>
      <c r="G3631" s="2356">
        <v>100</v>
      </c>
      <c r="H3631" s="535"/>
    </row>
    <row r="3632" spans="2:8" ht="18.75" hidden="1" customHeight="1" x14ac:dyDescent="0.25">
      <c r="B3632" s="2913"/>
      <c r="C3632" s="4021" t="s">
        <v>863</v>
      </c>
      <c r="D3632" s="3632">
        <f>D3633</f>
        <v>21300000</v>
      </c>
      <c r="E3632" s="3632">
        <f>E3633</f>
        <v>21300000</v>
      </c>
      <c r="F3632" s="1415">
        <f>E3632/D3632*100</f>
        <v>100</v>
      </c>
      <c r="G3632" s="3691">
        <v>100</v>
      </c>
      <c r="H3632" s="535"/>
    </row>
    <row r="3633" spans="2:8" ht="14.25" hidden="1" customHeight="1" x14ac:dyDescent="0.25">
      <c r="B3633" s="2913"/>
      <c r="C3633" s="4118" t="s">
        <v>864</v>
      </c>
      <c r="D3633" s="3630">
        <v>21300000</v>
      </c>
      <c r="E3633" s="1691">
        <v>21300000</v>
      </c>
      <c r="F3633" s="880">
        <f>E3633/D3633*100</f>
        <v>100</v>
      </c>
      <c r="G3633" s="1717">
        <v>100</v>
      </c>
      <c r="H3633" s="535"/>
    </row>
    <row r="3634" spans="2:8" ht="9.75" hidden="1" customHeight="1" x14ac:dyDescent="0.25">
      <c r="B3634" s="2913"/>
      <c r="C3634" s="3962"/>
      <c r="D3634" s="849"/>
      <c r="E3634" s="894"/>
      <c r="F3634" s="1315"/>
      <c r="G3634" s="1315"/>
      <c r="H3634" s="535"/>
    </row>
    <row r="3635" spans="2:8" ht="20.25" hidden="1" customHeight="1" x14ac:dyDescent="0.25">
      <c r="B3635" s="2913"/>
      <c r="C3635" s="3938" t="s">
        <v>4371</v>
      </c>
      <c r="D3635" s="3629">
        <f>SUM(D3636:D3636)</f>
        <v>53100000</v>
      </c>
      <c r="E3635" s="3629">
        <f>SUM(E3636:E3636)</f>
        <v>53100000</v>
      </c>
      <c r="F3635" s="1415">
        <f>E3635/D3635*100</f>
        <v>100</v>
      </c>
      <c r="G3635" s="2261">
        <v>100</v>
      </c>
      <c r="H3635" s="535"/>
    </row>
    <row r="3636" spans="2:8" ht="16.5" hidden="1" customHeight="1" x14ac:dyDescent="0.25">
      <c r="B3636" s="2913"/>
      <c r="C3636" s="4118" t="s">
        <v>4372</v>
      </c>
      <c r="D3636" s="3630">
        <v>53100000</v>
      </c>
      <c r="E3636" s="1692">
        <v>53100000</v>
      </c>
      <c r="F3636" s="880">
        <f>E3636/D3636*100</f>
        <v>100</v>
      </c>
      <c r="G3636" s="1717">
        <v>100</v>
      </c>
      <c r="H3636" s="535"/>
    </row>
    <row r="3637" spans="2:8" ht="11.25" hidden="1" customHeight="1" x14ac:dyDescent="0.25">
      <c r="B3637" s="2913"/>
      <c r="C3637" s="4118"/>
      <c r="D3637" s="3630"/>
      <c r="E3637" s="894"/>
      <c r="F3637" s="1315"/>
      <c r="G3637" s="1315"/>
      <c r="H3637" s="535"/>
    </row>
    <row r="3638" spans="2:8" ht="15.75" hidden="1" customHeight="1" x14ac:dyDescent="0.25">
      <c r="B3638" s="2913"/>
      <c r="C3638" s="3938" t="s">
        <v>4373</v>
      </c>
      <c r="D3638" s="3629">
        <f>D3639</f>
        <v>60000000</v>
      </c>
      <c r="E3638" s="3629">
        <f>E3639</f>
        <v>60000000</v>
      </c>
      <c r="F3638" s="1415">
        <f>E3638/D3638*100</f>
        <v>100</v>
      </c>
      <c r="G3638" s="2261">
        <v>100</v>
      </c>
      <c r="H3638" s="535"/>
    </row>
    <row r="3639" spans="2:8" ht="16.5" hidden="1" customHeight="1" x14ac:dyDescent="0.25">
      <c r="B3639" s="2913"/>
      <c r="C3639" s="4118" t="s">
        <v>4374</v>
      </c>
      <c r="D3639" s="3630">
        <v>60000000</v>
      </c>
      <c r="E3639" s="1693">
        <v>60000000</v>
      </c>
      <c r="F3639" s="880">
        <f>E3639/D3639*100</f>
        <v>100</v>
      </c>
      <c r="G3639" s="1717">
        <v>100</v>
      </c>
      <c r="H3639" s="535"/>
    </row>
    <row r="3640" spans="2:8" ht="7.5" hidden="1" customHeight="1" x14ac:dyDescent="0.25">
      <c r="B3640" s="2913"/>
      <c r="C3640" s="4118"/>
      <c r="D3640" s="3630"/>
      <c r="E3640" s="894"/>
      <c r="F3640" s="1315"/>
      <c r="G3640" s="1315"/>
      <c r="H3640" s="535"/>
    </row>
    <row r="3641" spans="2:8" ht="16.5" hidden="1" customHeight="1" x14ac:dyDescent="0.25">
      <c r="B3641" s="2913"/>
      <c r="C3641" s="3938" t="s">
        <v>4375</v>
      </c>
      <c r="D3641" s="3629">
        <f>D3642</f>
        <v>126000000</v>
      </c>
      <c r="E3641" s="3629">
        <f>E3642</f>
        <v>126000000</v>
      </c>
      <c r="F3641" s="1415">
        <f>E3641/D3641*100</f>
        <v>100</v>
      </c>
      <c r="G3641" s="2261">
        <v>100</v>
      </c>
      <c r="H3641" s="535"/>
    </row>
    <row r="3642" spans="2:8" ht="17.25" hidden="1" customHeight="1" x14ac:dyDescent="0.25">
      <c r="B3642" s="2913"/>
      <c r="C3642" s="4118" t="s">
        <v>4376</v>
      </c>
      <c r="D3642" s="3630">
        <v>126000000</v>
      </c>
      <c r="E3642" s="1694">
        <v>126000000</v>
      </c>
      <c r="F3642" s="880">
        <f>E3642/D3642*100</f>
        <v>100</v>
      </c>
      <c r="G3642" s="1717">
        <v>100</v>
      </c>
      <c r="H3642" s="535"/>
    </row>
    <row r="3643" spans="2:8" ht="12" hidden="1" customHeight="1" x14ac:dyDescent="0.25">
      <c r="B3643" s="2913"/>
      <c r="C3643" s="3896"/>
      <c r="D3643" s="827"/>
      <c r="E3643" s="969"/>
      <c r="F3643" s="2279"/>
      <c r="G3643" s="2279"/>
      <c r="H3643" s="535"/>
    </row>
    <row r="3644" spans="2:8" ht="12" hidden="1" customHeight="1" x14ac:dyDescent="0.25">
      <c r="B3644" s="5397"/>
      <c r="C3644" s="3858" t="s">
        <v>298</v>
      </c>
      <c r="D3644" s="1546">
        <f>D3645</f>
        <v>31708700000</v>
      </c>
      <c r="E3644" s="1546">
        <f>E3645</f>
        <v>31380880800</v>
      </c>
      <c r="F3644" s="1462">
        <f t="shared" ref="F3644:F3650" si="102">E3644/D3644*100</f>
        <v>98.966153768524094</v>
      </c>
      <c r="G3644" s="2356">
        <v>100</v>
      </c>
      <c r="H3644" s="535"/>
    </row>
    <row r="3645" spans="2:8" ht="18.75" hidden="1" customHeight="1" x14ac:dyDescent="0.25">
      <c r="B3645" s="5419"/>
      <c r="C3645" s="3893" t="s">
        <v>299</v>
      </c>
      <c r="D3645" s="1547">
        <f>D3646+D3652</f>
        <v>31708700000</v>
      </c>
      <c r="E3645" s="1547">
        <f>E3646+E3652</f>
        <v>31380880800</v>
      </c>
      <c r="F3645" s="1415">
        <f t="shared" si="102"/>
        <v>98.966153768524094</v>
      </c>
      <c r="G3645" s="2562">
        <v>100</v>
      </c>
      <c r="H3645" s="535"/>
    </row>
    <row r="3646" spans="2:8" ht="13.5" hidden="1" customHeight="1" x14ac:dyDescent="0.25">
      <c r="B3646" s="2913"/>
      <c r="C3646" s="4103" t="s">
        <v>4377</v>
      </c>
      <c r="D3646" s="1416">
        <f>SUM(D3647:D3650)</f>
        <v>18436150000</v>
      </c>
      <c r="E3646" s="1416">
        <f>SUM(E3647:E3650)</f>
        <v>18301800800</v>
      </c>
      <c r="F3646" s="1415">
        <f t="shared" si="102"/>
        <v>99.271273015244503</v>
      </c>
      <c r="G3646" s="2261">
        <v>100</v>
      </c>
      <c r="H3646" s="535"/>
    </row>
    <row r="3647" spans="2:8" ht="16.5" hidden="1" customHeight="1" x14ac:dyDescent="0.25">
      <c r="B3647" s="2913"/>
      <c r="C3647" s="4104" t="s">
        <v>4378</v>
      </c>
      <c r="D3647" s="1492">
        <v>610000000</v>
      </c>
      <c r="E3647" s="1697">
        <v>610000000</v>
      </c>
      <c r="F3647" s="880">
        <f t="shared" si="102"/>
        <v>100</v>
      </c>
      <c r="G3647" s="1717">
        <v>100</v>
      </c>
      <c r="H3647" s="535"/>
    </row>
    <row r="3648" spans="2:8" ht="18.75" hidden="1" customHeight="1" x14ac:dyDescent="0.25">
      <c r="B3648" s="2913"/>
      <c r="C3648" s="4104" t="s">
        <v>865</v>
      </c>
      <c r="D3648" s="880">
        <v>2752500000</v>
      </c>
      <c r="E3648" s="1697">
        <v>2620650800</v>
      </c>
      <c r="F3648" s="880">
        <f t="shared" si="102"/>
        <v>95.209838328792003</v>
      </c>
      <c r="G3648" s="1717">
        <v>100</v>
      </c>
      <c r="H3648" s="535"/>
    </row>
    <row r="3649" spans="1:12" ht="17.25" hidden="1" customHeight="1" x14ac:dyDescent="0.25">
      <c r="B3649" s="2913"/>
      <c r="C3649" s="4104" t="s">
        <v>4379</v>
      </c>
      <c r="D3649" s="1492">
        <v>965000000</v>
      </c>
      <c r="E3649" s="1697">
        <v>965000000</v>
      </c>
      <c r="F3649" s="880">
        <f t="shared" si="102"/>
        <v>100</v>
      </c>
      <c r="G3649" s="1717">
        <v>100</v>
      </c>
      <c r="H3649" s="535"/>
    </row>
    <row r="3650" spans="1:12" ht="17.25" hidden="1" customHeight="1" x14ac:dyDescent="0.25">
      <c r="B3650" s="2913"/>
      <c r="C3650" s="4104" t="s">
        <v>4380</v>
      </c>
      <c r="D3650" s="1492">
        <v>14108650000</v>
      </c>
      <c r="E3650" s="1697">
        <v>14106150000</v>
      </c>
      <c r="F3650" s="880">
        <f t="shared" si="102"/>
        <v>99.982280374096746</v>
      </c>
      <c r="G3650" s="1717">
        <v>100</v>
      </c>
      <c r="H3650" s="535"/>
      <c r="J3650" s="1900"/>
      <c r="L3650" s="1699">
        <f>SUM(J3650-K3650)</f>
        <v>0</v>
      </c>
    </row>
    <row r="3651" spans="1:12" ht="11.25" hidden="1" customHeight="1" x14ac:dyDescent="0.25">
      <c r="B3651" s="2913"/>
      <c r="D3651" s="1550"/>
      <c r="E3651" s="969"/>
      <c r="F3651" s="2279"/>
      <c r="G3651" s="2279"/>
      <c r="H3651" s="535"/>
    </row>
    <row r="3652" spans="1:12" s="1696" customFormat="1" ht="18" hidden="1" customHeight="1" x14ac:dyDescent="0.25">
      <c r="A3652" s="350"/>
      <c r="B3652" s="2913"/>
      <c r="C3652" s="3938" t="s">
        <v>4381</v>
      </c>
      <c r="D3652" s="3629">
        <f>SUM(D3653:D3655)</f>
        <v>13272550000</v>
      </c>
      <c r="E3652" s="3629">
        <f>SUM(E3653:E3655)</f>
        <v>13079080000</v>
      </c>
      <c r="F3652" s="1415">
        <f>E3652/D3652*100</f>
        <v>98.542329846186306</v>
      </c>
      <c r="G3652" s="2261">
        <v>100</v>
      </c>
      <c r="H3652" s="553"/>
      <c r="J3652" s="3345"/>
      <c r="K3652" s="2002"/>
    </row>
    <row r="3653" spans="1:12" ht="15.75" hidden="1" customHeight="1" x14ac:dyDescent="0.25">
      <c r="B3653" s="2913"/>
      <c r="C3653" s="4118" t="s">
        <v>4382</v>
      </c>
      <c r="D3653" s="3630">
        <v>5287550000</v>
      </c>
      <c r="E3653" s="1700">
        <v>5162790000</v>
      </c>
      <c r="F3653" s="880">
        <f>E3653/D3653*100</f>
        <v>97.640495125341602</v>
      </c>
      <c r="G3653" s="2281">
        <v>100</v>
      </c>
      <c r="H3653" s="535"/>
    </row>
    <row r="3654" spans="1:12" ht="20.25" hidden="1" customHeight="1" x14ac:dyDescent="0.25">
      <c r="B3654" s="2913"/>
      <c r="C3654" s="4001" t="s">
        <v>4383</v>
      </c>
      <c r="D3654" s="798">
        <v>2000000000</v>
      </c>
      <c r="E3654" s="1700">
        <v>1931290000</v>
      </c>
      <c r="F3654" s="880">
        <f>E3654/D3654*100</f>
        <v>96.564499999999995</v>
      </c>
      <c r="G3654" s="2281">
        <v>100</v>
      </c>
      <c r="H3654" s="535"/>
    </row>
    <row r="3655" spans="1:12" ht="18" hidden="1" customHeight="1" x14ac:dyDescent="0.25">
      <c r="B3655" s="2913"/>
      <c r="C3655" s="4104" t="s">
        <v>4384</v>
      </c>
      <c r="D3655" s="1121">
        <v>5985000000</v>
      </c>
      <c r="E3655" s="1121">
        <v>5985000000</v>
      </c>
      <c r="F3655" s="880">
        <f>E3655/D3655*100</f>
        <v>100</v>
      </c>
      <c r="G3655" s="2281">
        <v>100</v>
      </c>
      <c r="H3655" s="535"/>
    </row>
    <row r="3656" spans="1:12" ht="9.75" hidden="1" customHeight="1" x14ac:dyDescent="0.25">
      <c r="B3656" s="2913"/>
      <c r="C3656" s="3894"/>
      <c r="D3656" s="972"/>
      <c r="E3656" s="973"/>
      <c r="F3656" s="2285"/>
      <c r="G3656" s="2285"/>
      <c r="H3656" s="535"/>
    </row>
    <row r="3657" spans="1:12" s="269" customFormat="1" ht="16.5" customHeight="1" x14ac:dyDescent="0.25">
      <c r="A3657" s="350"/>
      <c r="B3657" s="5414"/>
      <c r="C3657" s="4037" t="s">
        <v>609</v>
      </c>
      <c r="D3657" s="1424">
        <f>SUM(D3659+D3722+D3767+D3775+D3779+D3783+D3787+D3791+D3795+D3799+D3803+D3807+D3811+D3815+D3878+D3920+D3944+D3963+D3968+D3992+D4009+D4013+D4018+D4024+D4030+D4046+D4062+D4103+D4124+D4135+D4139+D4147+D4151+D4155+D4160+D4170)</f>
        <v>122925060000</v>
      </c>
      <c r="E3657" s="1424">
        <f>SUM(E3659+E3722+E3767+E3775+E3779+E3783+E3787+E3791+E3795+E3799+E3803+E3807+E3811+E3815+E3878+E3920+E3944+E3963+E3968+E3992+E4009+E4013+E4018+E4024+E4030+E4046+E4062+E4103+E4124+E4135+E4139+E4147+E4151+E4155+E4160+E4170)</f>
        <v>118651442442</v>
      </c>
      <c r="F3657" s="2531">
        <f>E3657/D3657*100</f>
        <v>96.523395995901893</v>
      </c>
      <c r="G3657" s="2531">
        <f>SUM(G3659+G3722+G3767+G3775+G3779+G3783+G3787+G3791+G3795+G3799+G3803+G3807+G3811+G3815+G3878+G3920+G3944+G3963+G3992+G3968+G4009+G4013+G4018+G4024+G4030+G4046+G4062+G4103+G4124+G4135+G4139+G4147+G4151+G4155+G4160+G4170)/36</f>
        <v>99.600715488215485</v>
      </c>
      <c r="H3657" s="2077"/>
      <c r="J3657" s="2069"/>
      <c r="K3657" s="2069"/>
    </row>
    <row r="3658" spans="1:12" ht="6" hidden="1" customHeight="1" x14ac:dyDescent="0.25">
      <c r="B3658" s="2913"/>
      <c r="C3658" s="4046"/>
      <c r="D3658" s="2051"/>
      <c r="E3658" s="2845"/>
      <c r="F3658" s="2279"/>
      <c r="G3658" s="2279"/>
      <c r="H3658" s="535"/>
      <c r="J3658" s="3346"/>
    </row>
    <row r="3659" spans="1:12" ht="16.5" hidden="1" customHeight="1" x14ac:dyDescent="0.25">
      <c r="B3659" s="5397"/>
      <c r="C3659" s="4047" t="s">
        <v>1024</v>
      </c>
      <c r="D3659" s="4521">
        <f>SUM(D3660+D3672+D3687+D3692+D3695+D3701+D3705+D3717)</f>
        <v>23100467700</v>
      </c>
      <c r="E3659" s="998">
        <f>SUM(E3660+E3672+E3687+E3692+E3695+E3701+E3705+E3717)</f>
        <v>22073235602</v>
      </c>
      <c r="F3659" s="2356">
        <f>E3659/D3659*100</f>
        <v>95.553197834171982</v>
      </c>
      <c r="G3659" s="2356">
        <f>SUM(G3660+G3672+G3687+G3692+G3695+G3701+G3705+G3717)/8</f>
        <v>99.883333333333326</v>
      </c>
      <c r="H3659" s="535"/>
      <c r="L3659" s="3024">
        <v>95.553197834171982</v>
      </c>
    </row>
    <row r="3660" spans="1:12" ht="18.75" hidden="1" customHeight="1" x14ac:dyDescent="0.25">
      <c r="B3660" s="2913"/>
      <c r="C3660" s="3938" t="s">
        <v>5083</v>
      </c>
      <c r="D3660" s="4520">
        <f>SUM(D3661:D3670)</f>
        <v>4990642175</v>
      </c>
      <c r="E3660" s="4141">
        <f>SUM(E3661:E3670)</f>
        <v>4851713060</v>
      </c>
      <c r="F3660" s="613">
        <f t="shared" ref="F3660:F3670" si="103">(E3660/D3660)*100</f>
        <v>97.216207651673599</v>
      </c>
      <c r="G3660" s="2261">
        <f>SUM(G3661:G3670)/10</f>
        <v>99.9</v>
      </c>
      <c r="H3660" s="535"/>
      <c r="J3660" s="3347"/>
    </row>
    <row r="3661" spans="1:12" ht="16.5" hidden="1" customHeight="1" x14ac:dyDescent="0.25">
      <c r="B3661" s="2913"/>
      <c r="C3661" s="4118" t="s">
        <v>5084</v>
      </c>
      <c r="D3661" s="3630">
        <v>715452175</v>
      </c>
      <c r="E3661" s="2001">
        <v>698300000</v>
      </c>
      <c r="F3661" s="608">
        <f t="shared" si="103"/>
        <v>97.60261054486277</v>
      </c>
      <c r="G3661" s="1717">
        <v>100</v>
      </c>
      <c r="H3661" s="535"/>
      <c r="J3661" s="3348"/>
    </row>
    <row r="3662" spans="1:12" ht="15.75" hidden="1" customHeight="1" x14ac:dyDescent="0.25">
      <c r="B3662" s="2913"/>
      <c r="C3662" s="4118" t="s">
        <v>5085</v>
      </c>
      <c r="D3662" s="3630">
        <v>120000000</v>
      </c>
      <c r="E3662" s="2001">
        <v>113100000</v>
      </c>
      <c r="F3662" s="608">
        <f t="shared" si="103"/>
        <v>94.25</v>
      </c>
      <c r="G3662" s="3648">
        <v>100</v>
      </c>
      <c r="H3662" s="535"/>
      <c r="J3662" s="3348"/>
    </row>
    <row r="3663" spans="1:12" ht="15.75" hidden="1" customHeight="1" x14ac:dyDescent="0.25">
      <c r="B3663" s="2913"/>
      <c r="C3663" s="4118" t="s">
        <v>5086</v>
      </c>
      <c r="D3663" s="3630">
        <v>157370000</v>
      </c>
      <c r="E3663" s="3638">
        <v>157000000</v>
      </c>
      <c r="F3663" s="608">
        <f t="shared" si="103"/>
        <v>99.764885302154156</v>
      </c>
      <c r="G3663" s="1717">
        <v>100</v>
      </c>
      <c r="H3663" s="535"/>
      <c r="J3663" s="3348"/>
    </row>
    <row r="3664" spans="1:12" ht="18" hidden="1" customHeight="1" x14ac:dyDescent="0.25">
      <c r="B3664" s="2913"/>
      <c r="C3664" s="4118" t="s">
        <v>4532</v>
      </c>
      <c r="D3664" s="3630">
        <v>163600000</v>
      </c>
      <c r="E3664" s="2001">
        <v>162960060</v>
      </c>
      <c r="F3664" s="608">
        <f t="shared" si="103"/>
        <v>99.608838630806844</v>
      </c>
      <c r="G3664" s="1717">
        <v>100</v>
      </c>
      <c r="H3664" s="535"/>
      <c r="J3664" s="3348"/>
    </row>
    <row r="3665" spans="1:11" ht="18.75" hidden="1" customHeight="1" x14ac:dyDescent="0.25">
      <c r="B3665" s="2913"/>
      <c r="C3665" s="4118" t="s">
        <v>5087</v>
      </c>
      <c r="D3665" s="3630">
        <v>142375000</v>
      </c>
      <c r="E3665" s="2001">
        <v>142375000</v>
      </c>
      <c r="F3665" s="608">
        <f t="shared" si="103"/>
        <v>100</v>
      </c>
      <c r="G3665" s="1717">
        <v>100</v>
      </c>
      <c r="H3665" s="535"/>
      <c r="J3665" s="3348"/>
    </row>
    <row r="3666" spans="1:11" ht="26.25" hidden="1" customHeight="1" x14ac:dyDescent="0.25">
      <c r="B3666" s="2913"/>
      <c r="C3666" s="4118" t="s">
        <v>5088</v>
      </c>
      <c r="D3666" s="3630">
        <v>197660000</v>
      </c>
      <c r="E3666" s="2537">
        <v>174620000</v>
      </c>
      <c r="F3666" s="608">
        <f t="shared" si="103"/>
        <v>88.343620358190833</v>
      </c>
      <c r="G3666" s="1717">
        <v>99</v>
      </c>
      <c r="H3666" s="535"/>
      <c r="J3666" s="3349"/>
    </row>
    <row r="3667" spans="1:11" ht="15.75" hidden="1" customHeight="1" x14ac:dyDescent="0.25">
      <c r="B3667" s="2913"/>
      <c r="C3667" s="4118" t="s">
        <v>5089</v>
      </c>
      <c r="D3667" s="3630">
        <v>1944950000</v>
      </c>
      <c r="E3667" s="2001">
        <v>1944900000</v>
      </c>
      <c r="F3667" s="608">
        <f t="shared" si="103"/>
        <v>99.997429239826218</v>
      </c>
      <c r="G3667" s="1717">
        <v>100</v>
      </c>
      <c r="H3667" s="535"/>
      <c r="J3667" s="3348"/>
    </row>
    <row r="3668" spans="1:11" ht="17.25" hidden="1" customHeight="1" x14ac:dyDescent="0.25">
      <c r="B3668" s="2913"/>
      <c r="C3668" s="4118" t="s">
        <v>5090</v>
      </c>
      <c r="D3668" s="3630">
        <v>101580000</v>
      </c>
      <c r="E3668" s="2001">
        <v>101580000</v>
      </c>
      <c r="F3668" s="608">
        <f t="shared" si="103"/>
        <v>100</v>
      </c>
      <c r="G3668" s="1717">
        <v>100</v>
      </c>
      <c r="H3668" s="535"/>
      <c r="J3668" s="3348"/>
    </row>
    <row r="3669" spans="1:11" ht="14.25" hidden="1" customHeight="1" x14ac:dyDescent="0.25">
      <c r="B3669" s="2913"/>
      <c r="C3669" s="4118" t="s">
        <v>5091</v>
      </c>
      <c r="D3669" s="3630">
        <v>1147655000</v>
      </c>
      <c r="E3669" s="2537">
        <v>1147655000</v>
      </c>
      <c r="F3669" s="608">
        <f t="shared" si="103"/>
        <v>100</v>
      </c>
      <c r="G3669" s="1717">
        <v>100</v>
      </c>
      <c r="H3669" s="535"/>
      <c r="J3669" s="3348"/>
    </row>
    <row r="3670" spans="1:11" ht="18" hidden="1" customHeight="1" x14ac:dyDescent="0.25">
      <c r="B3670" s="2913"/>
      <c r="C3670" s="4118" t="s">
        <v>5092</v>
      </c>
      <c r="D3670" s="3630">
        <v>300000000</v>
      </c>
      <c r="E3670" s="2001">
        <v>209223000</v>
      </c>
      <c r="F3670" s="608">
        <f t="shared" si="103"/>
        <v>69.741</v>
      </c>
      <c r="G3670" s="1717">
        <v>100</v>
      </c>
      <c r="H3670" s="535"/>
      <c r="J3670" s="3348"/>
    </row>
    <row r="3671" spans="1:11" s="4099" customFormat="1" ht="9.75" hidden="1" customHeight="1" x14ac:dyDescent="0.25">
      <c r="A3671" s="4101"/>
      <c r="B3671" s="2913"/>
      <c r="C3671" s="3896"/>
      <c r="D3671" s="827"/>
      <c r="E3671" s="4140"/>
      <c r="F3671" s="1315"/>
      <c r="G3671" s="1315"/>
      <c r="H3671" s="4109"/>
      <c r="J3671" s="3348"/>
      <c r="K3671" s="522"/>
    </row>
    <row r="3672" spans="1:11" ht="16.5" hidden="1" customHeight="1" x14ac:dyDescent="0.25">
      <c r="B3672" s="2913"/>
      <c r="C3672" s="3938" t="s">
        <v>279</v>
      </c>
      <c r="D3672" s="3629">
        <f>SUM(D3673:D3685)</f>
        <v>9497481325</v>
      </c>
      <c r="E3672" s="3629">
        <f>SUM(E3673:E3685)</f>
        <v>9188019500</v>
      </c>
      <c r="F3672" s="613">
        <f t="shared" ref="F3672:F3685" si="104">(E3672/D3672)*100</f>
        <v>96.741643237713873</v>
      </c>
      <c r="G3672" s="2261">
        <v>100</v>
      </c>
      <c r="H3672" s="535"/>
    </row>
    <row r="3673" spans="1:11" ht="15.75" hidden="1" customHeight="1" x14ac:dyDescent="0.25">
      <c r="B3673" s="2913"/>
      <c r="C3673" s="4118" t="s">
        <v>5093</v>
      </c>
      <c r="D3673" s="3630">
        <v>470790000</v>
      </c>
      <c r="E3673" s="2001">
        <v>469650000</v>
      </c>
      <c r="F3673" s="608">
        <f t="shared" si="104"/>
        <v>99.757853820174603</v>
      </c>
      <c r="G3673" s="1717">
        <v>100</v>
      </c>
      <c r="H3673" s="535"/>
    </row>
    <row r="3674" spans="1:11" ht="15.75" hidden="1" customHeight="1" x14ac:dyDescent="0.25">
      <c r="B3674" s="2913"/>
      <c r="C3674" s="4118" t="s">
        <v>5094</v>
      </c>
      <c r="D3674" s="3630">
        <v>235000000</v>
      </c>
      <c r="E3674" s="2001">
        <v>233700000</v>
      </c>
      <c r="F3674" s="608">
        <f t="shared" si="104"/>
        <v>99.446808510638292</v>
      </c>
      <c r="G3674" s="1717">
        <v>100</v>
      </c>
      <c r="H3674" s="535"/>
    </row>
    <row r="3675" spans="1:11" ht="15.75" hidden="1" customHeight="1" x14ac:dyDescent="0.25">
      <c r="B3675" s="2913"/>
      <c r="C3675" s="4118" t="s">
        <v>5095</v>
      </c>
      <c r="D3675" s="3630">
        <v>10000000</v>
      </c>
      <c r="E3675" s="2001">
        <v>10000000</v>
      </c>
      <c r="F3675" s="608">
        <f t="shared" si="104"/>
        <v>100</v>
      </c>
      <c r="G3675" s="1717">
        <v>100</v>
      </c>
      <c r="H3675" s="535"/>
    </row>
    <row r="3676" spans="1:11" ht="15.75" hidden="1" customHeight="1" x14ac:dyDescent="0.25">
      <c r="B3676" s="2913"/>
      <c r="C3676" s="4118" t="s">
        <v>5096</v>
      </c>
      <c r="D3676" s="3630">
        <v>3717000000</v>
      </c>
      <c r="E3676" s="2001">
        <v>3710950000</v>
      </c>
      <c r="F3676" s="608">
        <f t="shared" si="104"/>
        <v>99.837234328759749</v>
      </c>
      <c r="G3676" s="1717">
        <v>100</v>
      </c>
      <c r="H3676" s="535"/>
    </row>
    <row r="3677" spans="1:11" ht="16.5" hidden="1" customHeight="1" x14ac:dyDescent="0.25">
      <c r="B3677" s="2913"/>
      <c r="C3677" s="4118" t="s">
        <v>5097</v>
      </c>
      <c r="D3677" s="3630">
        <v>121250000</v>
      </c>
      <c r="E3677" s="2001">
        <v>121250000</v>
      </c>
      <c r="F3677" s="608">
        <f t="shared" si="104"/>
        <v>100</v>
      </c>
      <c r="G3677" s="1717">
        <v>100</v>
      </c>
      <c r="H3677" s="535"/>
    </row>
    <row r="3678" spans="1:11" ht="14.25" hidden="1" customHeight="1" x14ac:dyDescent="0.25">
      <c r="B3678" s="2913"/>
      <c r="C3678" s="4118" t="s">
        <v>5098</v>
      </c>
      <c r="D3678" s="3630">
        <v>570400000</v>
      </c>
      <c r="E3678" s="2000">
        <v>427200000</v>
      </c>
      <c r="F3678" s="608">
        <f t="shared" si="104"/>
        <v>74.894810659186533</v>
      </c>
      <c r="G3678" s="1717">
        <v>100</v>
      </c>
      <c r="H3678" s="535"/>
    </row>
    <row r="3679" spans="1:11" ht="17.25" hidden="1" customHeight="1" x14ac:dyDescent="0.25">
      <c r="B3679" s="2913"/>
      <c r="C3679" s="4118" t="s">
        <v>5099</v>
      </c>
      <c r="D3679" s="3630">
        <v>1587401000</v>
      </c>
      <c r="E3679" s="2001">
        <v>1546667500</v>
      </c>
      <c r="F3679" s="608">
        <f t="shared" si="104"/>
        <v>97.433950211698246</v>
      </c>
      <c r="G3679" s="3648">
        <v>100</v>
      </c>
      <c r="H3679" s="535"/>
    </row>
    <row r="3680" spans="1:11" ht="14.25" hidden="1" customHeight="1" x14ac:dyDescent="0.25">
      <c r="B3680" s="2913"/>
      <c r="C3680" s="4118" t="s">
        <v>5100</v>
      </c>
      <c r="D3680" s="3630">
        <v>460170225</v>
      </c>
      <c r="E3680" s="2001">
        <v>458082000</v>
      </c>
      <c r="F3680" s="608">
        <f t="shared" si="104"/>
        <v>99.546205971931371</v>
      </c>
      <c r="G3680" s="1717">
        <v>100</v>
      </c>
      <c r="H3680" s="535"/>
    </row>
    <row r="3681" spans="2:8" ht="18" hidden="1" customHeight="1" x14ac:dyDescent="0.25">
      <c r="B3681" s="2913"/>
      <c r="C3681" s="4118" t="s">
        <v>5101</v>
      </c>
      <c r="D3681" s="3630">
        <v>500000000</v>
      </c>
      <c r="E3681" s="2001">
        <v>466600000</v>
      </c>
      <c r="F3681" s="608">
        <f t="shared" si="104"/>
        <v>93.320000000000007</v>
      </c>
      <c r="G3681" s="1717">
        <v>100</v>
      </c>
      <c r="H3681" s="535"/>
    </row>
    <row r="3682" spans="2:8" ht="16.5" hidden="1" customHeight="1" x14ac:dyDescent="0.25">
      <c r="B3682" s="2913"/>
      <c r="C3682" s="4118" t="s">
        <v>5102</v>
      </c>
      <c r="D3682" s="3630">
        <v>400000000</v>
      </c>
      <c r="E3682" s="2001">
        <v>324710000</v>
      </c>
      <c r="F3682" s="608">
        <f t="shared" si="104"/>
        <v>81.177500000000009</v>
      </c>
      <c r="G3682" s="1717">
        <v>100</v>
      </c>
      <c r="H3682" s="535"/>
    </row>
    <row r="3683" spans="2:8" ht="14.25" hidden="1" customHeight="1" x14ac:dyDescent="0.25">
      <c r="B3683" s="2913"/>
      <c r="C3683" s="4118" t="s">
        <v>5103</v>
      </c>
      <c r="D3683" s="3630">
        <v>500000000</v>
      </c>
      <c r="E3683" s="2001">
        <v>497690000</v>
      </c>
      <c r="F3683" s="608">
        <f t="shared" si="104"/>
        <v>99.538000000000011</v>
      </c>
      <c r="G3683" s="1717">
        <v>100</v>
      </c>
      <c r="H3683" s="535"/>
    </row>
    <row r="3684" spans="2:8" ht="16.5" hidden="1" customHeight="1" x14ac:dyDescent="0.25">
      <c r="B3684" s="2913"/>
      <c r="C3684" s="4118" t="s">
        <v>5104</v>
      </c>
      <c r="D3684" s="3630">
        <v>450000000</v>
      </c>
      <c r="E3684" s="2001">
        <v>447390000</v>
      </c>
      <c r="F3684" s="608">
        <f t="shared" si="104"/>
        <v>99.42</v>
      </c>
      <c r="G3684" s="1717">
        <v>100</v>
      </c>
      <c r="H3684" s="535"/>
    </row>
    <row r="3685" spans="2:8" ht="16.5" hidden="1" customHeight="1" x14ac:dyDescent="0.25">
      <c r="B3685" s="2913"/>
      <c r="C3685" s="3908" t="s">
        <v>5105</v>
      </c>
      <c r="D3685" s="3638">
        <v>475470100</v>
      </c>
      <c r="E3685" s="2001">
        <v>474130000</v>
      </c>
      <c r="F3685" s="608">
        <f t="shared" si="104"/>
        <v>99.718152624108228</v>
      </c>
      <c r="G3685" s="1717">
        <v>100</v>
      </c>
      <c r="H3685" s="535"/>
    </row>
    <row r="3686" spans="2:8" ht="8.25" hidden="1" customHeight="1" x14ac:dyDescent="0.25">
      <c r="B3686" s="2913"/>
      <c r="C3686" s="3896"/>
      <c r="D3686" s="2051"/>
      <c r="E3686" s="894"/>
      <c r="F3686" s="1315"/>
      <c r="G3686" s="1315"/>
      <c r="H3686" s="535"/>
    </row>
    <row r="3687" spans="2:8" ht="17.25" hidden="1" customHeight="1" x14ac:dyDescent="0.25">
      <c r="B3687" s="2913"/>
      <c r="C3687" s="3938" t="s">
        <v>260</v>
      </c>
      <c r="D3687" s="3629">
        <f>SUM(D3688:D3690)</f>
        <v>509701200</v>
      </c>
      <c r="E3687" s="3629">
        <f>SUM(E3688:E3690)</f>
        <v>387683650</v>
      </c>
      <c r="F3687" s="613">
        <f>(E3687/D3687)*100</f>
        <v>76.060964737771855</v>
      </c>
      <c r="G3687" s="2261">
        <f>SUM(G3688:G3690)/3</f>
        <v>99.666666666666671</v>
      </c>
      <c r="H3687" s="535"/>
    </row>
    <row r="3688" spans="2:8" ht="17.25" hidden="1" customHeight="1" x14ac:dyDescent="0.25">
      <c r="B3688" s="2913"/>
      <c r="C3688" s="4118" t="s">
        <v>1006</v>
      </c>
      <c r="D3688" s="3630">
        <v>373250000</v>
      </c>
      <c r="E3688" s="2001">
        <v>252129450</v>
      </c>
      <c r="F3688" s="608">
        <f>(E3688/D3688)*100</f>
        <v>67.54975217682518</v>
      </c>
      <c r="G3688" s="608">
        <v>99</v>
      </c>
      <c r="H3688" s="535"/>
    </row>
    <row r="3689" spans="2:8" ht="27.75" hidden="1" customHeight="1" x14ac:dyDescent="0.25">
      <c r="B3689" s="2913"/>
      <c r="C3689" s="4118" t="s">
        <v>1007</v>
      </c>
      <c r="D3689" s="3630">
        <v>8003450</v>
      </c>
      <c r="E3689" s="3638">
        <v>7106450</v>
      </c>
      <c r="F3689" s="608">
        <f>(E3689/D3689)*100</f>
        <v>88.792333306261668</v>
      </c>
      <c r="G3689" s="608">
        <v>100</v>
      </c>
      <c r="H3689" s="535"/>
    </row>
    <row r="3690" spans="2:8" ht="16.5" hidden="1" customHeight="1" x14ac:dyDescent="0.25">
      <c r="B3690" s="2913"/>
      <c r="C3690" s="4118" t="s">
        <v>1011</v>
      </c>
      <c r="D3690" s="3630">
        <v>128447750</v>
      </c>
      <c r="E3690" s="2001">
        <v>128447750</v>
      </c>
      <c r="F3690" s="608">
        <f>(E3690/D3690)*100</f>
        <v>100</v>
      </c>
      <c r="G3690" s="608">
        <v>100</v>
      </c>
      <c r="H3690" s="535"/>
    </row>
    <row r="3691" spans="2:8" ht="9.75" hidden="1" customHeight="1" x14ac:dyDescent="0.25">
      <c r="B3691" s="2913"/>
      <c r="C3691" s="4118"/>
      <c r="D3691" s="731"/>
      <c r="E3691" s="894"/>
      <c r="F3691" s="1315"/>
      <c r="G3691" s="1315"/>
      <c r="H3691" s="535"/>
    </row>
    <row r="3692" spans="2:8" ht="18.75" hidden="1" customHeight="1" x14ac:dyDescent="0.25">
      <c r="B3692" s="2913"/>
      <c r="C3692" s="3938" t="s">
        <v>1008</v>
      </c>
      <c r="D3692" s="3629">
        <f>SUM(D3693:D3693)</f>
        <v>237000000</v>
      </c>
      <c r="E3692" s="3629">
        <f>SUM(E3693:E3693)</f>
        <v>236500000</v>
      </c>
      <c r="F3692" s="613">
        <f>(E3692/D3692)*100</f>
        <v>99.789029535864984</v>
      </c>
      <c r="G3692" s="2261">
        <v>100</v>
      </c>
      <c r="H3692" s="535"/>
    </row>
    <row r="3693" spans="2:8" ht="21" hidden="1" customHeight="1" x14ac:dyDescent="0.25">
      <c r="B3693" s="2913"/>
      <c r="C3693" s="4118" t="s">
        <v>1009</v>
      </c>
      <c r="D3693" s="3630">
        <v>237000000</v>
      </c>
      <c r="E3693" s="2001">
        <v>236500000</v>
      </c>
      <c r="F3693" s="608">
        <f>(E3693/D3693)*100</f>
        <v>99.789029535864984</v>
      </c>
      <c r="G3693" s="1717">
        <v>100</v>
      </c>
      <c r="H3693" s="535"/>
    </row>
    <row r="3694" spans="2:8" ht="6.75" hidden="1" customHeight="1" x14ac:dyDescent="0.25">
      <c r="B3694" s="2913"/>
      <c r="C3694" s="4118"/>
      <c r="D3694" s="3630"/>
      <c r="E3694" s="894"/>
      <c r="F3694" s="2261"/>
      <c r="G3694" s="1315"/>
      <c r="H3694" s="535"/>
    </row>
    <row r="3695" spans="2:8" ht="17.25" hidden="1" customHeight="1" x14ac:dyDescent="0.25">
      <c r="B3695" s="2913"/>
      <c r="C3695" s="3938" t="s">
        <v>392</v>
      </c>
      <c r="D3695" s="3629">
        <f>SUM(D3696:D3699)</f>
        <v>790988000</v>
      </c>
      <c r="E3695" s="3629">
        <f>SUM(E3696:E3699)</f>
        <v>701238000</v>
      </c>
      <c r="F3695" s="613">
        <f>(E3695/D3695)*100</f>
        <v>88.653430899078117</v>
      </c>
      <c r="G3695" s="2261">
        <f>SUM(G3696:G3699)/4</f>
        <v>99.5</v>
      </c>
      <c r="H3695" s="535"/>
    </row>
    <row r="3696" spans="2:8" ht="18" hidden="1" customHeight="1" x14ac:dyDescent="0.25">
      <c r="B3696" s="2913"/>
      <c r="C3696" s="4118" t="s">
        <v>5106</v>
      </c>
      <c r="D3696" s="3630">
        <v>262793000</v>
      </c>
      <c r="E3696" s="2001">
        <v>247418000</v>
      </c>
      <c r="F3696" s="608">
        <f>(E3696/D3696)*100</f>
        <v>94.149387540764025</v>
      </c>
      <c r="G3696" s="1717">
        <v>98</v>
      </c>
      <c r="H3696" s="535"/>
    </row>
    <row r="3697" spans="2:8" ht="15.75" hidden="1" customHeight="1" x14ac:dyDescent="0.25">
      <c r="B3697" s="2913"/>
      <c r="C3697" s="4118" t="s">
        <v>5107</v>
      </c>
      <c r="D3697" s="3630">
        <v>325000000</v>
      </c>
      <c r="E3697" s="2001">
        <v>258020000</v>
      </c>
      <c r="F3697" s="608">
        <f>(E3697/D3697)*100</f>
        <v>79.390769230769237</v>
      </c>
      <c r="G3697" s="3648">
        <v>100</v>
      </c>
      <c r="H3697" s="535"/>
    </row>
    <row r="3698" spans="2:8" ht="14.25" hidden="1" customHeight="1" x14ac:dyDescent="0.25">
      <c r="B3698" s="2913"/>
      <c r="C3698" s="4118" t="s">
        <v>5108</v>
      </c>
      <c r="D3698" s="3630">
        <v>100100000</v>
      </c>
      <c r="E3698" s="2000">
        <v>95010000</v>
      </c>
      <c r="F3698" s="608">
        <f>(E3698/D3698)*100</f>
        <v>94.915084915084918</v>
      </c>
      <c r="G3698" s="3648">
        <v>100</v>
      </c>
      <c r="H3698" s="535"/>
    </row>
    <row r="3699" spans="2:8" ht="18" hidden="1" customHeight="1" x14ac:dyDescent="0.25">
      <c r="B3699" s="2913"/>
      <c r="C3699" s="4118" t="s">
        <v>5109</v>
      </c>
      <c r="D3699" s="3630">
        <v>103095000</v>
      </c>
      <c r="E3699" s="2000">
        <v>100790000</v>
      </c>
      <c r="F3699" s="608">
        <f>(E3699/D3699)*100</f>
        <v>97.764198069741497</v>
      </c>
      <c r="G3699" s="3648">
        <v>100</v>
      </c>
      <c r="H3699" s="535"/>
    </row>
    <row r="3700" spans="2:8" ht="9.75" hidden="1" customHeight="1" x14ac:dyDescent="0.25">
      <c r="B3700" s="2913"/>
      <c r="D3700" s="4120"/>
      <c r="E3700" s="894"/>
      <c r="F3700" s="1717"/>
      <c r="G3700" s="1315"/>
      <c r="H3700" s="535"/>
    </row>
    <row r="3701" spans="2:8" ht="14.25" hidden="1" customHeight="1" x14ac:dyDescent="0.25">
      <c r="B3701" s="2913"/>
      <c r="C3701" s="3938" t="s">
        <v>281</v>
      </c>
      <c r="D3701" s="3629">
        <f>SUM(D3702:D3703)</f>
        <v>4942368000</v>
      </c>
      <c r="E3701" s="3629">
        <f>SUM(E3702:E3703)</f>
        <v>4596957331</v>
      </c>
      <c r="F3701" s="613">
        <f>(E3701/D3701)*100</f>
        <v>93.011231276181789</v>
      </c>
      <c r="G3701" s="2261">
        <v>100</v>
      </c>
      <c r="H3701" s="535"/>
    </row>
    <row r="3702" spans="2:8" ht="18.75" hidden="1" customHeight="1" x14ac:dyDescent="0.25">
      <c r="B3702" s="2913"/>
      <c r="C3702" s="4118" t="s">
        <v>1010</v>
      </c>
      <c r="D3702" s="3630">
        <v>3161782000</v>
      </c>
      <c r="E3702" s="2001">
        <v>2905492700</v>
      </c>
      <c r="F3702" s="608">
        <f>(E3702/D3702)*100</f>
        <v>91.894150197578455</v>
      </c>
      <c r="G3702" s="1717">
        <v>100</v>
      </c>
      <c r="H3702" s="535"/>
    </row>
    <row r="3703" spans="2:8" ht="14.25" hidden="1" customHeight="1" x14ac:dyDescent="0.25">
      <c r="B3703" s="2913"/>
      <c r="C3703" s="4118" t="s">
        <v>282</v>
      </c>
      <c r="D3703" s="3630">
        <v>1780586000</v>
      </c>
      <c r="E3703" s="2001">
        <v>1691464631</v>
      </c>
      <c r="F3703" s="608">
        <f>(E3703/D3703)*100</f>
        <v>94.994829286538248</v>
      </c>
      <c r="G3703" s="1717">
        <v>100</v>
      </c>
      <c r="H3703" s="535"/>
    </row>
    <row r="3704" spans="2:8" ht="4.5" hidden="1" customHeight="1" x14ac:dyDescent="0.25">
      <c r="B3704" s="2913"/>
      <c r="D3704" s="729"/>
      <c r="E3704" s="788"/>
      <c r="F3704" s="2281"/>
      <c r="G3704" s="2285"/>
      <c r="H3704" s="535"/>
    </row>
    <row r="3705" spans="2:8" ht="20.25" hidden="1" customHeight="1" x14ac:dyDescent="0.25">
      <c r="B3705" s="2913"/>
      <c r="C3705" s="4116" t="s">
        <v>2401</v>
      </c>
      <c r="D3705" s="3629">
        <f>SUM(D3706:D3715)</f>
        <v>1984872000</v>
      </c>
      <c r="E3705" s="3629">
        <f>SUM(E3706:E3715)</f>
        <v>1964194061</v>
      </c>
      <c r="F3705" s="613">
        <f t="shared" ref="F3705:F3715" si="105">(E3705/D3705)*100</f>
        <v>98.958223049143726</v>
      </c>
      <c r="G3705" s="2261">
        <v>100</v>
      </c>
      <c r="H3705" s="535"/>
    </row>
    <row r="3706" spans="2:8" ht="21" hidden="1" customHeight="1" x14ac:dyDescent="0.25">
      <c r="B3706" s="2913"/>
      <c r="C3706" s="4118" t="s">
        <v>5110</v>
      </c>
      <c r="D3706" s="3630">
        <v>200000000</v>
      </c>
      <c r="E3706" s="2001">
        <v>200000000</v>
      </c>
      <c r="F3706" s="608">
        <f t="shared" si="105"/>
        <v>100</v>
      </c>
      <c r="G3706" s="1717">
        <v>100</v>
      </c>
      <c r="H3706" s="535"/>
    </row>
    <row r="3707" spans="2:8" ht="14.25" hidden="1" customHeight="1" x14ac:dyDescent="0.25">
      <c r="B3707" s="2913"/>
      <c r="C3707" s="4118" t="s">
        <v>5111</v>
      </c>
      <c r="D3707" s="3630">
        <v>315976000</v>
      </c>
      <c r="E3707" s="2001">
        <v>306515800</v>
      </c>
      <c r="F3707" s="515">
        <f t="shared" si="105"/>
        <v>97.006038433298741</v>
      </c>
      <c r="G3707" s="1717">
        <v>100</v>
      </c>
      <c r="H3707" s="535"/>
    </row>
    <row r="3708" spans="2:8" ht="13.5" hidden="1" customHeight="1" x14ac:dyDescent="0.25">
      <c r="B3708" s="2913"/>
      <c r="C3708" s="4118" t="s">
        <v>5112</v>
      </c>
      <c r="D3708" s="3630">
        <v>250000000</v>
      </c>
      <c r="E3708" s="3638">
        <v>249950000</v>
      </c>
      <c r="F3708" s="608">
        <f t="shared" si="105"/>
        <v>99.98</v>
      </c>
      <c r="G3708" s="1717">
        <v>100</v>
      </c>
      <c r="H3708" s="535"/>
    </row>
    <row r="3709" spans="2:8" ht="14.25" hidden="1" customHeight="1" x14ac:dyDescent="0.25">
      <c r="B3709" s="2913"/>
      <c r="C3709" s="4118" t="s">
        <v>5113</v>
      </c>
      <c r="D3709" s="3630">
        <v>280000000</v>
      </c>
      <c r="E3709" s="2001">
        <v>280000000</v>
      </c>
      <c r="F3709" s="608">
        <f t="shared" si="105"/>
        <v>100</v>
      </c>
      <c r="G3709" s="1717">
        <v>100</v>
      </c>
      <c r="H3709" s="535"/>
    </row>
    <row r="3710" spans="2:8" ht="14.25" hidden="1" customHeight="1" x14ac:dyDescent="0.25">
      <c r="B3710" s="2913"/>
      <c r="C3710" s="4118" t="s">
        <v>5114</v>
      </c>
      <c r="D3710" s="3630">
        <v>119185000</v>
      </c>
      <c r="E3710" s="2001">
        <v>119185000</v>
      </c>
      <c r="F3710" s="608">
        <f t="shared" si="105"/>
        <v>100</v>
      </c>
      <c r="G3710" s="1717">
        <v>100</v>
      </c>
      <c r="H3710" s="535"/>
    </row>
    <row r="3711" spans="2:8" ht="13.5" hidden="1" customHeight="1" x14ac:dyDescent="0.25">
      <c r="B3711" s="2913"/>
      <c r="C3711" s="4118" t="s">
        <v>5115</v>
      </c>
      <c r="D3711" s="3630">
        <v>260000000</v>
      </c>
      <c r="E3711" s="2001">
        <v>260000000</v>
      </c>
      <c r="F3711" s="608">
        <f t="shared" si="105"/>
        <v>100</v>
      </c>
      <c r="G3711" s="1717">
        <v>100</v>
      </c>
      <c r="H3711" s="535"/>
    </row>
    <row r="3712" spans="2:8" ht="13.5" hidden="1" customHeight="1" x14ac:dyDescent="0.25">
      <c r="B3712" s="2913"/>
      <c r="C3712" s="4118" t="s">
        <v>5116</v>
      </c>
      <c r="D3712" s="3630">
        <v>250000000</v>
      </c>
      <c r="E3712" s="3638">
        <v>248345000</v>
      </c>
      <c r="F3712" s="608">
        <f t="shared" si="105"/>
        <v>99.338000000000008</v>
      </c>
      <c r="G3712" s="1717">
        <v>100</v>
      </c>
      <c r="H3712" s="535"/>
    </row>
    <row r="3713" spans="2:11" ht="15.75" hidden="1" customHeight="1" x14ac:dyDescent="0.25">
      <c r="B3713" s="2913"/>
      <c r="C3713" s="4118" t="s">
        <v>5117</v>
      </c>
      <c r="D3713" s="3630">
        <v>100000000</v>
      </c>
      <c r="E3713" s="2001">
        <v>100000000</v>
      </c>
      <c r="F3713" s="608">
        <f t="shared" si="105"/>
        <v>100</v>
      </c>
      <c r="G3713" s="1717">
        <v>100</v>
      </c>
      <c r="H3713" s="535"/>
    </row>
    <row r="3714" spans="2:11" ht="15.75" hidden="1" customHeight="1" x14ac:dyDescent="0.25">
      <c r="B3714" s="2913"/>
      <c r="C3714" s="4118" t="s">
        <v>5118</v>
      </c>
      <c r="D3714" s="3630">
        <v>109711000</v>
      </c>
      <c r="E3714" s="2001">
        <v>100898261</v>
      </c>
      <c r="F3714" s="608">
        <f t="shared" si="105"/>
        <v>91.967315036778444</v>
      </c>
      <c r="G3714" s="1717">
        <v>100</v>
      </c>
      <c r="H3714" s="535"/>
    </row>
    <row r="3715" spans="2:11" ht="15.75" hidden="1" customHeight="1" x14ac:dyDescent="0.25">
      <c r="B3715" s="2913"/>
      <c r="C3715" s="4118" t="s">
        <v>5119</v>
      </c>
      <c r="D3715" s="3630">
        <v>100000000</v>
      </c>
      <c r="E3715" s="3638">
        <v>99300000</v>
      </c>
      <c r="F3715" s="608">
        <f t="shared" si="105"/>
        <v>99.3</v>
      </c>
      <c r="G3715" s="1315">
        <v>100</v>
      </c>
      <c r="H3715" s="535"/>
    </row>
    <row r="3716" spans="2:11" ht="9.75" hidden="1" customHeight="1" x14ac:dyDescent="0.25">
      <c r="B3716" s="2913"/>
      <c r="C3716" s="4118"/>
      <c r="D3716" s="3630"/>
      <c r="E3716" s="894"/>
      <c r="F3716" s="1717"/>
      <c r="G3716" s="1315"/>
      <c r="H3716" s="535"/>
    </row>
    <row r="3717" spans="2:11" ht="15" hidden="1" customHeight="1" x14ac:dyDescent="0.25">
      <c r="B3717" s="2913"/>
      <c r="C3717" s="3938" t="s">
        <v>1012</v>
      </c>
      <c r="D3717" s="3629">
        <f>SUM(D3718:D3720)</f>
        <v>147415000</v>
      </c>
      <c r="E3717" s="3629">
        <f>SUM(E3718:E3720)</f>
        <v>146930000</v>
      </c>
      <c r="F3717" s="613">
        <f>(E3717/D3717)*100</f>
        <v>99.670996845639863</v>
      </c>
      <c r="G3717" s="2261">
        <v>100</v>
      </c>
      <c r="H3717" s="535"/>
    </row>
    <row r="3718" spans="2:11" ht="13.5" hidden="1" customHeight="1" x14ac:dyDescent="0.25">
      <c r="B3718" s="2913"/>
      <c r="C3718" s="4118" t="s">
        <v>5120</v>
      </c>
      <c r="D3718" s="3630">
        <v>102415000</v>
      </c>
      <c r="E3718" s="2001">
        <v>102415000</v>
      </c>
      <c r="F3718" s="608">
        <f>(E3718/D3718)*100</f>
        <v>100</v>
      </c>
      <c r="G3718" s="1717">
        <v>100</v>
      </c>
      <c r="H3718" s="535"/>
    </row>
    <row r="3719" spans="2:11" ht="13.5" hidden="1" customHeight="1" x14ac:dyDescent="0.25">
      <c r="B3719" s="2913"/>
      <c r="C3719" s="4118" t="s">
        <v>5121</v>
      </c>
      <c r="D3719" s="3630">
        <v>20000000</v>
      </c>
      <c r="E3719" s="2001">
        <v>19515000</v>
      </c>
      <c r="F3719" s="608">
        <f>(E3719/D3719)*100</f>
        <v>97.575000000000003</v>
      </c>
      <c r="G3719" s="1717">
        <v>100</v>
      </c>
      <c r="H3719" s="535"/>
    </row>
    <row r="3720" spans="2:11" ht="15.75" hidden="1" customHeight="1" x14ac:dyDescent="0.25">
      <c r="B3720" s="2913"/>
      <c r="C3720" s="4118" t="s">
        <v>5122</v>
      </c>
      <c r="D3720" s="3630">
        <v>25000000</v>
      </c>
      <c r="E3720" s="3638">
        <v>25000000</v>
      </c>
      <c r="F3720" s="608">
        <f>(E3720/D3720)*100</f>
        <v>100</v>
      </c>
      <c r="G3720" s="1717">
        <v>100</v>
      </c>
      <c r="H3720" s="535"/>
    </row>
    <row r="3721" spans="2:11" ht="12" hidden="1" customHeight="1" x14ac:dyDescent="0.25">
      <c r="B3721" s="2913"/>
      <c r="D3721" s="1594"/>
      <c r="E3721" s="973"/>
      <c r="F3721" s="2265"/>
      <c r="G3721" s="2279"/>
      <c r="H3721" s="535"/>
    </row>
    <row r="3722" spans="2:11" ht="16.5" hidden="1" customHeight="1" x14ac:dyDescent="0.25">
      <c r="B3722" s="5397"/>
      <c r="C3722" s="3913" t="s">
        <v>241</v>
      </c>
      <c r="D3722" s="3631">
        <f>SUM(D3723+D3726+D3731+D3734+D3739+D3744+D3747+D3751+D3754)</f>
        <v>3003260590</v>
      </c>
      <c r="E3722" s="3631">
        <f>SUM(E3723+E3726+E3731+E3734+E3739+E3744+E3747+E3751+E3754)</f>
        <v>2938827400</v>
      </c>
      <c r="F3722" s="2065">
        <f>E3722/D3722*100</f>
        <v>97.854558801372619</v>
      </c>
      <c r="G3722" s="2356">
        <f>SUM(G3723+G3726+G3731+G3734+G3739+G3744+G3747+G3751+G3754)/9</f>
        <v>100</v>
      </c>
      <c r="H3722" s="535"/>
    </row>
    <row r="3723" spans="2:11" ht="16.5" hidden="1" customHeight="1" x14ac:dyDescent="0.25">
      <c r="B3723" s="2913"/>
      <c r="C3723" s="3938" t="s">
        <v>289</v>
      </c>
      <c r="D3723" s="3633">
        <f>SUM(D3724)</f>
        <v>266000000</v>
      </c>
      <c r="E3723" s="3633">
        <f>SUM(E3724)</f>
        <v>262000000</v>
      </c>
      <c r="F3723" s="613">
        <f>(E3723/D3723)*100</f>
        <v>98.496240601503757</v>
      </c>
      <c r="G3723" s="2380">
        <v>100</v>
      </c>
      <c r="H3723" s="535"/>
      <c r="J3723" s="3350"/>
      <c r="K3723" s="3351"/>
    </row>
    <row r="3724" spans="2:11" ht="18" hidden="1" customHeight="1" x14ac:dyDescent="0.25">
      <c r="B3724" s="2913"/>
      <c r="C3724" s="4118" t="s">
        <v>5123</v>
      </c>
      <c r="D3724" s="3638">
        <v>266000000</v>
      </c>
      <c r="E3724" s="2001">
        <v>262000000</v>
      </c>
      <c r="F3724" s="608">
        <f>(E3724/D3724)*100</f>
        <v>98.496240601503757</v>
      </c>
      <c r="G3724" s="2543">
        <v>100</v>
      </c>
      <c r="H3724" s="535"/>
    </row>
    <row r="3725" spans="2:11" ht="9" hidden="1" customHeight="1" x14ac:dyDescent="0.25">
      <c r="B3725" s="2913"/>
      <c r="C3725" s="4118"/>
      <c r="D3725" s="3638"/>
      <c r="E3725" s="894"/>
      <c r="F3725" s="1717"/>
      <c r="G3725" s="1315"/>
      <c r="H3725" s="535"/>
    </row>
    <row r="3726" spans="2:11" ht="15" hidden="1" customHeight="1" x14ac:dyDescent="0.25">
      <c r="B3726" s="2913"/>
      <c r="C3726" s="3938" t="s">
        <v>5124</v>
      </c>
      <c r="D3726" s="4141">
        <f>SUM(D3727:D3729)</f>
        <v>912192400</v>
      </c>
      <c r="E3726" s="4141">
        <f>SUM(E3727:E3729)</f>
        <v>852722400</v>
      </c>
      <c r="F3726" s="613">
        <f>(E3726/D3726)*100</f>
        <v>93.48054204354257</v>
      </c>
      <c r="G3726" s="2261">
        <v>100</v>
      </c>
      <c r="H3726" s="535"/>
    </row>
    <row r="3727" spans="2:11" ht="16.5" hidden="1" customHeight="1" x14ac:dyDescent="0.25">
      <c r="B3727" s="2913"/>
      <c r="C3727" s="4118" t="s">
        <v>5125</v>
      </c>
      <c r="D3727" s="3638">
        <v>721913200</v>
      </c>
      <c r="E3727" s="608">
        <v>662443200</v>
      </c>
      <c r="F3727" s="608">
        <f>(E3727/D3727)*100</f>
        <v>91.762167529281911</v>
      </c>
      <c r="G3727" s="1717">
        <v>100</v>
      </c>
      <c r="H3727" s="535"/>
    </row>
    <row r="3728" spans="2:11" ht="13.5" hidden="1" customHeight="1" x14ac:dyDescent="0.25">
      <c r="B3728" s="2913"/>
      <c r="C3728" s="4118" t="s">
        <v>5126</v>
      </c>
      <c r="D3728" s="3638">
        <v>94879200</v>
      </c>
      <c r="E3728" s="3638">
        <v>94879200</v>
      </c>
      <c r="F3728" s="608">
        <f>(E3728/D3728)*100</f>
        <v>100</v>
      </c>
      <c r="G3728" s="3651">
        <v>100</v>
      </c>
      <c r="H3728" s="535"/>
    </row>
    <row r="3729" spans="2:8" ht="15.75" hidden="1" customHeight="1" x14ac:dyDescent="0.25">
      <c r="B3729" s="2913"/>
      <c r="C3729" s="4118" t="s">
        <v>5127</v>
      </c>
      <c r="D3729" s="3638">
        <v>95400000</v>
      </c>
      <c r="E3729" s="3638">
        <v>95400000</v>
      </c>
      <c r="F3729" s="608">
        <f>(E3729/D3729)*100</f>
        <v>100</v>
      </c>
      <c r="G3729" s="2543">
        <v>100</v>
      </c>
      <c r="H3729" s="535"/>
    </row>
    <row r="3730" spans="2:8" ht="12" hidden="1" customHeight="1" x14ac:dyDescent="0.25">
      <c r="B3730" s="2913"/>
      <c r="C3730" s="4118"/>
      <c r="D3730" s="3630"/>
      <c r="E3730" s="4056"/>
      <c r="F3730" s="2261"/>
      <c r="G3730" s="2261"/>
      <c r="H3730" s="535"/>
    </row>
    <row r="3731" spans="2:8" ht="14.25" hidden="1" customHeight="1" x14ac:dyDescent="0.25">
      <c r="B3731" s="2913"/>
      <c r="C3731" s="3938" t="s">
        <v>5128</v>
      </c>
      <c r="D3731" s="3629">
        <f>SUM(D3732:D3732)</f>
        <v>190500000</v>
      </c>
      <c r="E3731" s="3629">
        <f>SUM(E3732:E3732)</f>
        <v>189800000</v>
      </c>
      <c r="F3731" s="613">
        <f>(E3731/D3731)*100</f>
        <v>99.632545931758528</v>
      </c>
      <c r="G3731" s="2261">
        <v>100</v>
      </c>
      <c r="H3731" s="535"/>
    </row>
    <row r="3732" spans="2:8" ht="15" hidden="1" customHeight="1" x14ac:dyDescent="0.25">
      <c r="B3732" s="2913"/>
      <c r="C3732" s="4118" t="s">
        <v>5129</v>
      </c>
      <c r="D3732" s="3630">
        <v>190500000</v>
      </c>
      <c r="E3732" s="2001">
        <v>189800000</v>
      </c>
      <c r="F3732" s="608">
        <f>(E3732/D3732)*100</f>
        <v>99.632545931758528</v>
      </c>
      <c r="G3732" s="1717">
        <v>100</v>
      </c>
      <c r="H3732" s="535"/>
    </row>
    <row r="3733" spans="2:8" ht="7.5" hidden="1" customHeight="1" x14ac:dyDescent="0.25">
      <c r="B3733" s="2913"/>
      <c r="C3733" s="4118"/>
      <c r="D3733" s="3630"/>
      <c r="E3733" s="4056"/>
      <c r="F3733" s="2261"/>
      <c r="G3733" s="2261"/>
      <c r="H3733" s="535"/>
    </row>
    <row r="3734" spans="2:8" ht="16.5" hidden="1" customHeight="1" x14ac:dyDescent="0.25">
      <c r="B3734" s="2913"/>
      <c r="C3734" s="3938" t="s">
        <v>5130</v>
      </c>
      <c r="D3734" s="3629">
        <f>SUM(D3735:D3737)</f>
        <v>143950000</v>
      </c>
      <c r="E3734" s="3629">
        <f>SUM(E3735:E3737)</f>
        <v>143750000</v>
      </c>
      <c r="F3734" s="613">
        <f>(E3734/D3734)*100</f>
        <v>99.86106286905175</v>
      </c>
      <c r="G3734" s="2261">
        <v>100</v>
      </c>
      <c r="H3734" s="535"/>
    </row>
    <row r="3735" spans="2:8" ht="14.25" hidden="1" customHeight="1" x14ac:dyDescent="0.25">
      <c r="B3735" s="2913"/>
      <c r="C3735" s="4118" t="s">
        <v>5131</v>
      </c>
      <c r="D3735" s="3630">
        <v>38450000</v>
      </c>
      <c r="E3735" s="3638">
        <v>38450000</v>
      </c>
      <c r="F3735" s="608">
        <f>(E3735/D3735)*100</f>
        <v>100</v>
      </c>
      <c r="G3735" s="3638">
        <v>100</v>
      </c>
      <c r="H3735" s="535"/>
    </row>
    <row r="3736" spans="2:8" ht="16.5" hidden="1" customHeight="1" x14ac:dyDescent="0.25">
      <c r="B3736" s="2913"/>
      <c r="C3736" s="4118" t="s">
        <v>5132</v>
      </c>
      <c r="D3736" s="3630">
        <v>26500000</v>
      </c>
      <c r="E3736" s="3638">
        <v>26500000</v>
      </c>
      <c r="F3736" s="608">
        <f>(E3736/D3736)*100</f>
        <v>100</v>
      </c>
      <c r="G3736" s="3638">
        <v>100</v>
      </c>
      <c r="H3736" s="535"/>
    </row>
    <row r="3737" spans="2:8" ht="18" hidden="1" customHeight="1" x14ac:dyDescent="0.25">
      <c r="B3737" s="2913"/>
      <c r="C3737" s="4118" t="s">
        <v>5133</v>
      </c>
      <c r="D3737" s="3630">
        <v>79000000</v>
      </c>
      <c r="E3737" s="2001">
        <v>78800000</v>
      </c>
      <c r="F3737" s="608">
        <f>(E3737/D3737)*100</f>
        <v>99.74683544303798</v>
      </c>
      <c r="G3737" s="1315">
        <v>100</v>
      </c>
      <c r="H3737" s="535"/>
    </row>
    <row r="3738" spans="2:8" ht="12" hidden="1" customHeight="1" x14ac:dyDescent="0.25">
      <c r="B3738" s="2913"/>
      <c r="C3738" s="4118"/>
      <c r="D3738" s="3630"/>
      <c r="E3738" s="4056"/>
      <c r="F3738" s="2261"/>
      <c r="G3738" s="2261"/>
      <c r="H3738" s="535"/>
    </row>
    <row r="3739" spans="2:8" ht="15.75" hidden="1" customHeight="1" x14ac:dyDescent="0.25">
      <c r="B3739" s="2913"/>
      <c r="C3739" s="3938" t="s">
        <v>5134</v>
      </c>
      <c r="D3739" s="3629">
        <f>SUM(D3740:D3742)</f>
        <v>379170000</v>
      </c>
      <c r="E3739" s="3629">
        <f>SUM(E3740:E3742)</f>
        <v>379170000</v>
      </c>
      <c r="F3739" s="613">
        <f>(E3739/D3739)*100</f>
        <v>100</v>
      </c>
      <c r="G3739" s="3600">
        <v>100</v>
      </c>
      <c r="H3739" s="535"/>
    </row>
    <row r="3740" spans="2:8" ht="16.5" hidden="1" customHeight="1" x14ac:dyDescent="0.25">
      <c r="B3740" s="2913"/>
      <c r="C3740" s="4118" t="s">
        <v>5135</v>
      </c>
      <c r="D3740" s="3630">
        <v>121800000</v>
      </c>
      <c r="E3740" s="3638">
        <v>121800000</v>
      </c>
      <c r="F3740" s="608">
        <f>(E3740/D3740)*100</f>
        <v>100</v>
      </c>
      <c r="G3740" s="3638">
        <v>100</v>
      </c>
      <c r="H3740" s="535"/>
    </row>
    <row r="3741" spans="2:8" ht="33" hidden="1" customHeight="1" x14ac:dyDescent="0.25">
      <c r="B3741" s="2913"/>
      <c r="C3741" s="4118" t="s">
        <v>5136</v>
      </c>
      <c r="D3741" s="3630">
        <v>80400000</v>
      </c>
      <c r="E3741" s="3630">
        <v>80400000</v>
      </c>
      <c r="F3741" s="608">
        <f>(E3741/D3741)*100</f>
        <v>100</v>
      </c>
      <c r="G3741" s="1717">
        <v>100</v>
      </c>
      <c r="H3741" s="535"/>
    </row>
    <row r="3742" spans="2:8" ht="17.25" hidden="1" customHeight="1" x14ac:dyDescent="0.25">
      <c r="B3742" s="2913"/>
      <c r="C3742" s="4118" t="s">
        <v>5137</v>
      </c>
      <c r="D3742" s="3630">
        <v>176970000</v>
      </c>
      <c r="E3742" s="3638">
        <v>176970000</v>
      </c>
      <c r="F3742" s="608">
        <f>(E3742/D3742)*100</f>
        <v>100</v>
      </c>
      <c r="G3742" s="3638">
        <v>100</v>
      </c>
      <c r="H3742" s="535"/>
    </row>
    <row r="3743" spans="2:8" ht="6" hidden="1" customHeight="1" x14ac:dyDescent="0.25">
      <c r="B3743" s="2913"/>
      <c r="C3743" s="4118"/>
      <c r="D3743" s="3630"/>
      <c r="E3743" s="3879"/>
      <c r="F3743" s="3648"/>
      <c r="G3743" s="3648"/>
      <c r="H3743" s="535"/>
    </row>
    <row r="3744" spans="2:8" ht="16.5" hidden="1" customHeight="1" x14ac:dyDescent="0.25">
      <c r="B3744" s="2913"/>
      <c r="C3744" s="3938" t="s">
        <v>5138</v>
      </c>
      <c r="D3744" s="3629">
        <f>SUM(D3745:D3745)</f>
        <v>103200000</v>
      </c>
      <c r="E3744" s="3629">
        <f>SUM(E3745:E3745)</f>
        <v>103200000</v>
      </c>
      <c r="F3744" s="613">
        <f>(E3744/D3744)*100</f>
        <v>100</v>
      </c>
      <c r="G3744" s="2261">
        <v>100</v>
      </c>
      <c r="H3744" s="535"/>
    </row>
    <row r="3745" spans="1:11" ht="13.5" hidden="1" customHeight="1" x14ac:dyDescent="0.25">
      <c r="B3745" s="2913"/>
      <c r="C3745" s="4118" t="s">
        <v>5139</v>
      </c>
      <c r="D3745" s="3630">
        <v>103200000</v>
      </c>
      <c r="E3745" s="3638">
        <v>103200000</v>
      </c>
      <c r="F3745" s="608">
        <f>(E3745/D3745)*100</f>
        <v>100</v>
      </c>
      <c r="G3745" s="1717">
        <v>100</v>
      </c>
      <c r="H3745" s="535"/>
    </row>
    <row r="3746" spans="1:11" ht="7.5" hidden="1" customHeight="1" x14ac:dyDescent="0.25">
      <c r="B3746" s="2913"/>
      <c r="D3746" s="729"/>
      <c r="E3746" s="3879"/>
      <c r="F3746" s="3648"/>
      <c r="G3746" s="3648"/>
      <c r="H3746" s="535"/>
    </row>
    <row r="3747" spans="1:11" ht="19.5" hidden="1" customHeight="1" x14ac:dyDescent="0.25">
      <c r="B3747" s="2913"/>
      <c r="C3747" s="3938" t="s">
        <v>5140</v>
      </c>
      <c r="D3747" s="3629">
        <f>SUM(D3748:D3749)</f>
        <v>142920000</v>
      </c>
      <c r="E3747" s="3629">
        <f>SUM(E3748:E3749)</f>
        <v>142920000</v>
      </c>
      <c r="F3747" s="613">
        <f>(E3747/D3747)*100</f>
        <v>100</v>
      </c>
      <c r="G3747" s="2261">
        <v>100</v>
      </c>
      <c r="H3747" s="535"/>
    </row>
    <row r="3748" spans="1:11" ht="15" hidden="1" customHeight="1" x14ac:dyDescent="0.25">
      <c r="B3748" s="2913"/>
      <c r="C3748" s="4118" t="s">
        <v>5141</v>
      </c>
      <c r="D3748" s="3630">
        <v>71300000</v>
      </c>
      <c r="E3748" s="2001">
        <v>71300000</v>
      </c>
      <c r="F3748" s="608">
        <f>(E3748/D3748)*100</f>
        <v>100</v>
      </c>
      <c r="G3748" s="1717">
        <v>100</v>
      </c>
      <c r="H3748" s="535"/>
    </row>
    <row r="3749" spans="1:11" ht="15.75" hidden="1" customHeight="1" x14ac:dyDescent="0.25">
      <c r="B3749" s="2913"/>
      <c r="C3749" s="4118" t="s">
        <v>5142</v>
      </c>
      <c r="D3749" s="3630">
        <v>71620000</v>
      </c>
      <c r="E3749" s="2001">
        <v>71620000</v>
      </c>
      <c r="F3749" s="608">
        <f>(E3749/D3749)*100</f>
        <v>100</v>
      </c>
      <c r="G3749" s="1717">
        <v>100</v>
      </c>
      <c r="H3749" s="535"/>
    </row>
    <row r="3750" spans="1:11" s="4099" customFormat="1" ht="6.75" hidden="1" customHeight="1" x14ac:dyDescent="0.25">
      <c r="A3750" s="4101"/>
      <c r="B3750" s="2913"/>
      <c r="C3750" s="4118"/>
      <c r="D3750" s="3630"/>
      <c r="E3750" s="2001"/>
      <c r="F3750" s="1717"/>
      <c r="G3750" s="1717"/>
      <c r="H3750" s="4109"/>
      <c r="J3750" s="522"/>
      <c r="K3750" s="522"/>
    </row>
    <row r="3751" spans="1:11" s="3598" customFormat="1" ht="15.75" hidden="1" customHeight="1" x14ac:dyDescent="0.25">
      <c r="A3751" s="3588"/>
      <c r="B3751" s="2913"/>
      <c r="C3751" s="3938" t="s">
        <v>5143</v>
      </c>
      <c r="D3751" s="3629">
        <f>D3752</f>
        <v>49000000</v>
      </c>
      <c r="E3751" s="3629">
        <f>E3752</f>
        <v>48990000</v>
      </c>
      <c r="F3751" s="613">
        <f>(E3751/D3751)*100</f>
        <v>99.979591836734699</v>
      </c>
      <c r="G3751" s="2261">
        <v>100</v>
      </c>
      <c r="H3751" s="3592"/>
      <c r="J3751" s="2002"/>
      <c r="K3751" s="2002"/>
    </row>
    <row r="3752" spans="1:11" ht="12" hidden="1" customHeight="1" x14ac:dyDescent="0.25">
      <c r="B3752" s="2913"/>
      <c r="C3752" s="4118" t="s">
        <v>5144</v>
      </c>
      <c r="D3752" s="3630">
        <v>49000000</v>
      </c>
      <c r="E3752" s="2001">
        <v>48990000</v>
      </c>
      <c r="F3752" s="608">
        <f>(E3752/D3752)*100</f>
        <v>99.979591836734699</v>
      </c>
      <c r="G3752" s="1717">
        <v>100</v>
      </c>
      <c r="H3752" s="535"/>
    </row>
    <row r="3753" spans="1:11" s="4099" customFormat="1" ht="9.75" hidden="1" customHeight="1" x14ac:dyDescent="0.25">
      <c r="A3753" s="4101"/>
      <c r="B3753" s="2913"/>
      <c r="C3753" s="4118"/>
      <c r="D3753" s="3630"/>
      <c r="E3753" s="2001"/>
      <c r="F3753" s="608"/>
      <c r="G3753" s="1717"/>
      <c r="H3753" s="4109"/>
      <c r="J3753" s="522"/>
      <c r="K3753" s="522"/>
    </row>
    <row r="3754" spans="1:11" ht="13.5" hidden="1" customHeight="1" x14ac:dyDescent="0.25">
      <c r="B3754" s="2913"/>
      <c r="C3754" s="3938" t="s">
        <v>5145</v>
      </c>
      <c r="D3754" s="4141">
        <f>SUM(D3755:D3765)</f>
        <v>816328190</v>
      </c>
      <c r="E3754" s="4141">
        <f>SUM(E3755:E3765)</f>
        <v>816275000</v>
      </c>
      <c r="F3754" s="613">
        <f t="shared" ref="F3754:F3765" si="106">(E3754/D3754)*100</f>
        <v>99.993484238244918</v>
      </c>
      <c r="G3754" s="2261">
        <v>100</v>
      </c>
      <c r="H3754" s="535"/>
    </row>
    <row r="3755" spans="1:11" ht="20.25" hidden="1" customHeight="1" x14ac:dyDescent="0.25">
      <c r="B3755" s="2913"/>
      <c r="C3755" s="4118" t="s">
        <v>5146</v>
      </c>
      <c r="D3755" s="515">
        <v>48600000</v>
      </c>
      <c r="E3755" s="515">
        <v>48600000</v>
      </c>
      <c r="F3755" s="608">
        <f t="shared" si="106"/>
        <v>100</v>
      </c>
      <c r="G3755" s="1717">
        <v>100</v>
      </c>
      <c r="H3755" s="535"/>
    </row>
    <row r="3756" spans="1:11" ht="18" hidden="1" customHeight="1" x14ac:dyDescent="0.25">
      <c r="B3756" s="2913"/>
      <c r="C3756" s="4118" t="s">
        <v>5147</v>
      </c>
      <c r="D3756" s="515">
        <v>168250000</v>
      </c>
      <c r="E3756" s="515">
        <v>168250000</v>
      </c>
      <c r="F3756" s="608">
        <f t="shared" si="106"/>
        <v>100</v>
      </c>
      <c r="G3756" s="1717">
        <v>100</v>
      </c>
      <c r="H3756" s="535"/>
    </row>
    <row r="3757" spans="1:11" ht="17.25" hidden="1" customHeight="1" x14ac:dyDescent="0.25">
      <c r="B3757" s="2913"/>
      <c r="C3757" s="4118" t="s">
        <v>5148</v>
      </c>
      <c r="D3757" s="515">
        <v>82800000</v>
      </c>
      <c r="E3757" s="515">
        <v>82800000</v>
      </c>
      <c r="F3757" s="608">
        <f t="shared" si="106"/>
        <v>100</v>
      </c>
      <c r="G3757" s="1717">
        <v>100</v>
      </c>
      <c r="H3757" s="535"/>
    </row>
    <row r="3758" spans="1:11" ht="17.25" hidden="1" customHeight="1" x14ac:dyDescent="0.25">
      <c r="B3758" s="2913"/>
      <c r="C3758" s="4118" t="s">
        <v>5149</v>
      </c>
      <c r="D3758" s="515">
        <v>81880000</v>
      </c>
      <c r="E3758" s="515">
        <v>81880000</v>
      </c>
      <c r="F3758" s="608">
        <f t="shared" si="106"/>
        <v>100</v>
      </c>
      <c r="G3758" s="1717">
        <v>100</v>
      </c>
      <c r="H3758" s="535"/>
    </row>
    <row r="3759" spans="1:11" ht="15.75" hidden="1" customHeight="1" x14ac:dyDescent="0.25">
      <c r="B3759" s="2913"/>
      <c r="C3759" s="4118" t="s">
        <v>5150</v>
      </c>
      <c r="D3759" s="515">
        <v>30000000</v>
      </c>
      <c r="E3759" s="515">
        <v>30000000</v>
      </c>
      <c r="F3759" s="608">
        <f t="shared" si="106"/>
        <v>100</v>
      </c>
      <c r="G3759" s="1717">
        <v>100</v>
      </c>
      <c r="H3759" s="535"/>
    </row>
    <row r="3760" spans="1:11" ht="15.75" hidden="1" customHeight="1" x14ac:dyDescent="0.25">
      <c r="B3760" s="2913"/>
      <c r="C3760" s="4118" t="s">
        <v>5151</v>
      </c>
      <c r="D3760" s="515">
        <v>91180000</v>
      </c>
      <c r="E3760" s="515">
        <v>91180000</v>
      </c>
      <c r="F3760" s="608">
        <f t="shared" si="106"/>
        <v>100</v>
      </c>
      <c r="G3760" s="1717">
        <v>100</v>
      </c>
      <c r="H3760" s="535"/>
    </row>
    <row r="3761" spans="1:11" ht="14.25" hidden="1" customHeight="1" x14ac:dyDescent="0.25">
      <c r="B3761" s="2913"/>
      <c r="C3761" s="5480" t="s">
        <v>5152</v>
      </c>
      <c r="D3761" s="4145">
        <v>89172800</v>
      </c>
      <c r="E3761" s="4145">
        <v>89120000</v>
      </c>
      <c r="F3761" s="5554">
        <f t="shared" si="106"/>
        <v>99.94078911955215</v>
      </c>
      <c r="G3761" s="2281">
        <v>100</v>
      </c>
      <c r="H3761" s="535"/>
    </row>
    <row r="3762" spans="1:11" s="4099" customFormat="1" ht="15.75" hidden="1" customHeight="1" x14ac:dyDescent="0.25">
      <c r="A3762" s="4101"/>
      <c r="B3762" s="2913"/>
      <c r="C3762" s="3856" t="s">
        <v>5153</v>
      </c>
      <c r="D3762" s="515">
        <v>89175390</v>
      </c>
      <c r="E3762" s="515">
        <v>89175000</v>
      </c>
      <c r="F3762" s="608">
        <f t="shared" si="106"/>
        <v>99.999562659608216</v>
      </c>
      <c r="G3762" s="1717">
        <v>100</v>
      </c>
      <c r="H3762" s="4109"/>
      <c r="J3762" s="522"/>
      <c r="K3762" s="522"/>
    </row>
    <row r="3763" spans="1:11" s="4099" customFormat="1" ht="16.5" hidden="1" customHeight="1" x14ac:dyDescent="0.25">
      <c r="A3763" s="4101"/>
      <c r="B3763" s="2913"/>
      <c r="C3763" s="3856" t="s">
        <v>5154</v>
      </c>
      <c r="D3763" s="515">
        <v>33350000</v>
      </c>
      <c r="E3763" s="515">
        <v>33350000</v>
      </c>
      <c r="F3763" s="608">
        <f t="shared" si="106"/>
        <v>100</v>
      </c>
      <c r="G3763" s="1717">
        <v>100</v>
      </c>
      <c r="H3763" s="4109"/>
      <c r="J3763" s="522"/>
      <c r="K3763" s="522"/>
    </row>
    <row r="3764" spans="1:11" s="4099" customFormat="1" ht="12.75" hidden="1" customHeight="1" x14ac:dyDescent="0.25">
      <c r="A3764" s="4101"/>
      <c r="B3764" s="2913"/>
      <c r="C3764" s="3856" t="s">
        <v>5155</v>
      </c>
      <c r="D3764" s="515">
        <v>70400000</v>
      </c>
      <c r="E3764" s="515">
        <v>70400000</v>
      </c>
      <c r="F3764" s="608">
        <f t="shared" si="106"/>
        <v>100</v>
      </c>
      <c r="G3764" s="1717">
        <v>100</v>
      </c>
      <c r="H3764" s="4109"/>
      <c r="J3764" s="522"/>
      <c r="K3764" s="522"/>
    </row>
    <row r="3765" spans="1:11" s="4099" customFormat="1" ht="15" hidden="1" customHeight="1" x14ac:dyDescent="0.25">
      <c r="A3765" s="4101"/>
      <c r="B3765" s="2913"/>
      <c r="C3765" s="3856" t="s">
        <v>5156</v>
      </c>
      <c r="D3765" s="515">
        <v>31520000</v>
      </c>
      <c r="E3765" s="515">
        <v>31520000</v>
      </c>
      <c r="F3765" s="608">
        <f t="shared" si="106"/>
        <v>100</v>
      </c>
      <c r="G3765" s="1717">
        <v>100</v>
      </c>
      <c r="H3765" s="4109"/>
      <c r="J3765" s="522"/>
      <c r="K3765" s="522"/>
    </row>
    <row r="3766" spans="1:11" s="4099" customFormat="1" ht="12" hidden="1" customHeight="1" x14ac:dyDescent="0.25">
      <c r="A3766" s="4101"/>
      <c r="B3766" s="2913"/>
      <c r="C3766" s="3989"/>
      <c r="D3766" s="4120"/>
      <c r="E3766" s="788"/>
      <c r="F3766" s="2281"/>
      <c r="G3766" s="2285"/>
      <c r="H3766" s="4109"/>
      <c r="J3766" s="522"/>
      <c r="K3766" s="522"/>
    </row>
    <row r="3767" spans="1:11" ht="15.75" hidden="1" customHeight="1" x14ac:dyDescent="0.25">
      <c r="B3767" s="5397"/>
      <c r="C3767" s="3913" t="s">
        <v>358</v>
      </c>
      <c r="D3767" s="3631">
        <f>SUM(D3768+D3772)</f>
        <v>4146829700</v>
      </c>
      <c r="E3767" s="3631">
        <f>SUM(E3768+E3772)</f>
        <v>4146237273</v>
      </c>
      <c r="F3767" s="2356">
        <f>E3767/D3767*100</f>
        <v>99.985713736930165</v>
      </c>
      <c r="G3767" s="2356">
        <v>100</v>
      </c>
      <c r="H3767" s="535"/>
    </row>
    <row r="3768" spans="1:11" ht="20.25" hidden="1" customHeight="1" x14ac:dyDescent="0.25">
      <c r="B3768" s="5419"/>
      <c r="C3768" s="3968" t="s">
        <v>1016</v>
      </c>
      <c r="D3768" s="3633">
        <f>SUM(D3769:D3770)</f>
        <v>3693989700</v>
      </c>
      <c r="E3768" s="3633">
        <f>SUM(E3769:E3770)</f>
        <v>3693397693</v>
      </c>
      <c r="F3768" s="3691">
        <f>E3768/D3768*100</f>
        <v>99.983973777728735</v>
      </c>
      <c r="G3768" s="3691">
        <v>100</v>
      </c>
      <c r="H3768" s="535"/>
    </row>
    <row r="3769" spans="1:11" ht="15" hidden="1" customHeight="1" x14ac:dyDescent="0.25">
      <c r="B3769" s="2913"/>
      <c r="C3769" s="4118" t="s">
        <v>1017</v>
      </c>
      <c r="D3769" s="3638">
        <v>471200000</v>
      </c>
      <c r="E3769" s="666">
        <v>471200000</v>
      </c>
      <c r="F3769" s="1717">
        <f>E3769/D3769*100</f>
        <v>100</v>
      </c>
      <c r="G3769" s="1717">
        <v>100</v>
      </c>
      <c r="H3769" s="535"/>
    </row>
    <row r="3770" spans="1:11" ht="18" hidden="1" customHeight="1" x14ac:dyDescent="0.25">
      <c r="B3770" s="2913"/>
      <c r="C3770" s="4118" t="s">
        <v>1019</v>
      </c>
      <c r="D3770" s="3638">
        <v>3222789700</v>
      </c>
      <c r="E3770" s="894">
        <v>3222197693</v>
      </c>
      <c r="F3770" s="1717">
        <f>E3770/D3770*100</f>
        <v>99.981630604069522</v>
      </c>
      <c r="G3770" s="1315">
        <v>100</v>
      </c>
      <c r="H3770" s="535"/>
    </row>
    <row r="3771" spans="1:11" ht="8.25" hidden="1" customHeight="1" x14ac:dyDescent="0.25">
      <c r="B3771" s="2913"/>
      <c r="C3771" s="4118"/>
      <c r="D3771" s="3638"/>
      <c r="E3771" s="894"/>
      <c r="F3771" s="1717"/>
      <c r="G3771" s="1315"/>
      <c r="H3771" s="535"/>
    </row>
    <row r="3772" spans="1:11" ht="27.75" hidden="1" customHeight="1" x14ac:dyDescent="0.25">
      <c r="B3772" s="2913"/>
      <c r="C3772" s="3938" t="s">
        <v>1018</v>
      </c>
      <c r="D3772" s="3639">
        <f>SUM(D3773)</f>
        <v>452840000</v>
      </c>
      <c r="E3772" s="3639">
        <f>SUM(E3773)</f>
        <v>452839580</v>
      </c>
      <c r="F3772" s="2261">
        <f>E3772/D3772*100</f>
        <v>99.999907252009535</v>
      </c>
      <c r="G3772" s="2261">
        <v>100</v>
      </c>
      <c r="H3772" s="535"/>
    </row>
    <row r="3773" spans="1:11" ht="21.75" hidden="1" customHeight="1" x14ac:dyDescent="0.25">
      <c r="B3773" s="2913"/>
      <c r="C3773" s="4118" t="s">
        <v>1020</v>
      </c>
      <c r="D3773" s="3638">
        <v>452840000</v>
      </c>
      <c r="E3773" s="2001">
        <v>452839580</v>
      </c>
      <c r="F3773" s="1717">
        <f>E3773/D3773*100</f>
        <v>99.999907252009535</v>
      </c>
      <c r="G3773" s="1717">
        <v>100</v>
      </c>
      <c r="H3773" s="535"/>
    </row>
    <row r="3774" spans="1:11" ht="12.75" hidden="1" customHeight="1" x14ac:dyDescent="0.25">
      <c r="B3774" s="2913"/>
      <c r="C3774" s="3896"/>
      <c r="D3774" s="827"/>
      <c r="E3774" s="788"/>
      <c r="F3774" s="2265"/>
      <c r="G3774" s="2279"/>
      <c r="H3774" s="535"/>
    </row>
    <row r="3775" spans="1:11" s="4150" customFormat="1" ht="17.25" hidden="1" customHeight="1" x14ac:dyDescent="0.25">
      <c r="A3775" s="4148"/>
      <c r="B3775" s="5397"/>
      <c r="C3775" s="3913" t="s">
        <v>5175</v>
      </c>
      <c r="D3775" s="3631">
        <f>D3776</f>
        <v>350000000</v>
      </c>
      <c r="E3775" s="3631">
        <f>E3776</f>
        <v>350000000</v>
      </c>
      <c r="F3775" s="2356">
        <f>E3775/D3775*100</f>
        <v>100</v>
      </c>
      <c r="G3775" s="2356">
        <v>100</v>
      </c>
      <c r="H3775" s="4149"/>
      <c r="J3775" s="4151"/>
      <c r="K3775" s="4151"/>
    </row>
    <row r="3776" spans="1:11" s="3598" customFormat="1" ht="16.5" hidden="1" customHeight="1" x14ac:dyDescent="0.25">
      <c r="A3776" s="3588"/>
      <c r="B3776" s="2913"/>
      <c r="C3776" s="3968" t="s">
        <v>5157</v>
      </c>
      <c r="D3776" s="3633">
        <f>D3777</f>
        <v>350000000</v>
      </c>
      <c r="E3776" s="3633">
        <f>E3777</f>
        <v>350000000</v>
      </c>
      <c r="F3776" s="3691">
        <f>E3776/D3776*100</f>
        <v>100</v>
      </c>
      <c r="G3776" s="3691">
        <v>100</v>
      </c>
      <c r="H3776" s="3592"/>
      <c r="J3776" s="2002"/>
      <c r="K3776" s="2002"/>
    </row>
    <row r="3777" spans="1:11" s="4099" customFormat="1" ht="15" hidden="1" customHeight="1" x14ac:dyDescent="0.25">
      <c r="A3777" s="4101"/>
      <c r="B3777" s="2913"/>
      <c r="C3777" s="4118" t="s">
        <v>5158</v>
      </c>
      <c r="D3777" s="3630">
        <v>350000000</v>
      </c>
      <c r="E3777" s="666">
        <v>350000000</v>
      </c>
      <c r="F3777" s="1717">
        <f>E3777/D3777*100</f>
        <v>100</v>
      </c>
      <c r="G3777" s="1717">
        <v>100</v>
      </c>
      <c r="H3777" s="4109"/>
      <c r="J3777" s="522"/>
      <c r="K3777" s="522"/>
    </row>
    <row r="3778" spans="1:11" s="4099" customFormat="1" ht="7.5" hidden="1" customHeight="1" x14ac:dyDescent="0.25">
      <c r="A3778" s="4101"/>
      <c r="B3778" s="2913"/>
      <c r="C3778" s="4001"/>
      <c r="D3778" s="798"/>
      <c r="E3778" s="788"/>
      <c r="F3778" s="2281"/>
      <c r="G3778" s="2285"/>
      <c r="H3778" s="4109"/>
      <c r="J3778" s="522"/>
      <c r="K3778" s="522"/>
    </row>
    <row r="3779" spans="1:11" s="3598" customFormat="1" ht="17.25" hidden="1" customHeight="1" x14ac:dyDescent="0.25">
      <c r="A3779" s="3588"/>
      <c r="B3779" s="5397"/>
      <c r="C3779" s="3913" t="s">
        <v>5176</v>
      </c>
      <c r="D3779" s="3631">
        <f>D3780</f>
        <v>300000000</v>
      </c>
      <c r="E3779" s="3631">
        <f>E3780</f>
        <v>300000000</v>
      </c>
      <c r="F3779" s="2356">
        <f>E3779/D3779*100</f>
        <v>100</v>
      </c>
      <c r="G3779" s="2356">
        <v>100</v>
      </c>
      <c r="H3779" s="3592"/>
      <c r="J3779" s="2002"/>
      <c r="K3779" s="2002"/>
    </row>
    <row r="3780" spans="1:11" s="3598" customFormat="1" ht="15" hidden="1" customHeight="1" x14ac:dyDescent="0.25">
      <c r="A3780" s="3588"/>
      <c r="B3780" s="2913"/>
      <c r="C3780" s="4021" t="s">
        <v>5159</v>
      </c>
      <c r="D3780" s="3632">
        <f>D3781</f>
        <v>300000000</v>
      </c>
      <c r="E3780" s="3632">
        <f>E3781</f>
        <v>300000000</v>
      </c>
      <c r="F3780" s="3691">
        <f>E3780/D3780*100</f>
        <v>100</v>
      </c>
      <c r="G3780" s="2562">
        <v>100</v>
      </c>
      <c r="H3780" s="3592"/>
      <c r="J3780" s="2002"/>
      <c r="K3780" s="2002"/>
    </row>
    <row r="3781" spans="1:11" s="4099" customFormat="1" ht="18.75" hidden="1" customHeight="1" x14ac:dyDescent="0.25">
      <c r="A3781" s="4101"/>
      <c r="B3781" s="2913"/>
      <c r="C3781" s="4118" t="s">
        <v>5160</v>
      </c>
      <c r="D3781" s="3630">
        <v>300000000</v>
      </c>
      <c r="E3781" s="666">
        <v>300000000</v>
      </c>
      <c r="F3781" s="1717">
        <f>E3781/D3781*100</f>
        <v>100</v>
      </c>
      <c r="G3781" s="1717">
        <v>100</v>
      </c>
      <c r="H3781" s="4109"/>
      <c r="J3781" s="522"/>
      <c r="K3781" s="522"/>
    </row>
    <row r="3782" spans="1:11" s="4099" customFormat="1" ht="9.75" hidden="1" customHeight="1" x14ac:dyDescent="0.25">
      <c r="A3782" s="4101"/>
      <c r="B3782" s="2913"/>
      <c r="C3782" s="4001"/>
      <c r="D3782" s="798"/>
      <c r="E3782" s="788"/>
      <c r="F3782" s="2281"/>
      <c r="G3782" s="2285"/>
      <c r="H3782" s="4109"/>
      <c r="J3782" s="522"/>
      <c r="K3782" s="522"/>
    </row>
    <row r="3783" spans="1:11" s="3598" customFormat="1" ht="15" hidden="1" customHeight="1" x14ac:dyDescent="0.25">
      <c r="A3783" s="3588"/>
      <c r="B3783" s="5397"/>
      <c r="C3783" s="3913" t="s">
        <v>5177</v>
      </c>
      <c r="D3783" s="3631">
        <f>D3784</f>
        <v>435600000</v>
      </c>
      <c r="E3783" s="3631">
        <f>E3784</f>
        <v>435600000</v>
      </c>
      <c r="F3783" s="2356">
        <f>E3783/D3783*100</f>
        <v>100</v>
      </c>
      <c r="G3783" s="2356">
        <v>100</v>
      </c>
      <c r="H3783" s="3592"/>
      <c r="J3783" s="2002"/>
      <c r="K3783" s="2002"/>
    </row>
    <row r="3784" spans="1:11" s="3598" customFormat="1" ht="15" hidden="1" customHeight="1" x14ac:dyDescent="0.25">
      <c r="A3784" s="3588"/>
      <c r="B3784" s="2913"/>
      <c r="C3784" s="4021" t="s">
        <v>5161</v>
      </c>
      <c r="D3784" s="3632">
        <f>D3785</f>
        <v>435600000</v>
      </c>
      <c r="E3784" s="3632">
        <f>E3785</f>
        <v>435600000</v>
      </c>
      <c r="F3784" s="3691">
        <f>E3784/D3784*100</f>
        <v>100</v>
      </c>
      <c r="G3784" s="2562">
        <v>100</v>
      </c>
      <c r="H3784" s="3592"/>
      <c r="J3784" s="2002"/>
      <c r="K3784" s="2002"/>
    </row>
    <row r="3785" spans="1:11" s="4099" customFormat="1" ht="17.25" hidden="1" customHeight="1" x14ac:dyDescent="0.25">
      <c r="A3785" s="4101"/>
      <c r="B3785" s="2913"/>
      <c r="C3785" s="4118" t="s">
        <v>5162</v>
      </c>
      <c r="D3785" s="3630">
        <v>435600000</v>
      </c>
      <c r="E3785" s="666">
        <v>435600000</v>
      </c>
      <c r="F3785" s="1717">
        <f>E3785/D3785*100</f>
        <v>100</v>
      </c>
      <c r="G3785" s="1717">
        <v>100</v>
      </c>
      <c r="H3785" s="4109"/>
      <c r="J3785" s="522"/>
      <c r="K3785" s="522"/>
    </row>
    <row r="3786" spans="1:11" s="4099" customFormat="1" ht="12" hidden="1" customHeight="1" x14ac:dyDescent="0.25">
      <c r="A3786" s="4101"/>
      <c r="B3786" s="2913"/>
      <c r="C3786" s="4001"/>
      <c r="D3786" s="798"/>
      <c r="E3786" s="788"/>
      <c r="F3786" s="2281"/>
      <c r="G3786" s="2285"/>
      <c r="H3786" s="4109"/>
      <c r="J3786" s="522"/>
      <c r="K3786" s="522"/>
    </row>
    <row r="3787" spans="1:11" s="3598" customFormat="1" ht="17.25" hidden="1" customHeight="1" x14ac:dyDescent="0.25">
      <c r="A3787" s="3588"/>
      <c r="B3787" s="5397"/>
      <c r="C3787" s="3913" t="s">
        <v>5178</v>
      </c>
      <c r="D3787" s="3631">
        <f>D3788</f>
        <v>300000000</v>
      </c>
      <c r="E3787" s="3631">
        <f>E3788</f>
        <v>299911500</v>
      </c>
      <c r="F3787" s="2356">
        <f>E3787/D3787*100</f>
        <v>99.970500000000001</v>
      </c>
      <c r="G3787" s="2356">
        <v>100</v>
      </c>
      <c r="H3787" s="3592"/>
      <c r="J3787" s="2002"/>
      <c r="K3787" s="2002"/>
    </row>
    <row r="3788" spans="1:11" s="3598" customFormat="1" ht="21" hidden="1" customHeight="1" x14ac:dyDescent="0.25">
      <c r="A3788" s="3588"/>
      <c r="B3788" s="2913"/>
      <c r="C3788" s="4021" t="s">
        <v>5163</v>
      </c>
      <c r="D3788" s="3632">
        <f>D3789</f>
        <v>300000000</v>
      </c>
      <c r="E3788" s="3632">
        <f>E3789</f>
        <v>299911500</v>
      </c>
      <c r="F3788" s="3691">
        <f>E3788/D3788*100</f>
        <v>99.970500000000001</v>
      </c>
      <c r="G3788" s="2562">
        <v>100</v>
      </c>
      <c r="H3788" s="3592"/>
      <c r="J3788" s="2002"/>
      <c r="K3788" s="2002"/>
    </row>
    <row r="3789" spans="1:11" s="4099" customFormat="1" ht="15.75" hidden="1" customHeight="1" x14ac:dyDescent="0.25">
      <c r="A3789" s="4101"/>
      <c r="B3789" s="2913"/>
      <c r="C3789" s="4118" t="s">
        <v>5164</v>
      </c>
      <c r="D3789" s="3630">
        <v>300000000</v>
      </c>
      <c r="E3789" s="666">
        <v>299911500</v>
      </c>
      <c r="F3789" s="1717">
        <f>E3789/D3789*100</f>
        <v>99.970500000000001</v>
      </c>
      <c r="G3789" s="1717">
        <v>100</v>
      </c>
      <c r="H3789" s="4109"/>
      <c r="J3789" s="522"/>
      <c r="K3789" s="522"/>
    </row>
    <row r="3790" spans="1:11" s="4099" customFormat="1" ht="15.75" hidden="1" customHeight="1" x14ac:dyDescent="0.25">
      <c r="A3790" s="4101"/>
      <c r="B3790" s="2913"/>
      <c r="C3790" s="4001"/>
      <c r="D3790" s="798"/>
      <c r="E3790" s="788"/>
      <c r="F3790" s="2281"/>
      <c r="G3790" s="2285"/>
      <c r="H3790" s="4109"/>
      <c r="J3790" s="522"/>
      <c r="K3790" s="522"/>
    </row>
    <row r="3791" spans="1:11" s="4099" customFormat="1" ht="14.25" hidden="1" customHeight="1" x14ac:dyDescent="0.25">
      <c r="A3791" s="4101"/>
      <c r="B3791" s="5397"/>
      <c r="C3791" s="3913" t="s">
        <v>5179</v>
      </c>
      <c r="D3791" s="3631">
        <f>D3792</f>
        <v>370000000</v>
      </c>
      <c r="E3791" s="3631">
        <f>E3792</f>
        <v>370000000</v>
      </c>
      <c r="F3791" s="2356">
        <f>E3791/D3791*100</f>
        <v>100</v>
      </c>
      <c r="G3791" s="2356">
        <v>100</v>
      </c>
      <c r="H3791" s="4109"/>
      <c r="J3791" s="522"/>
      <c r="K3791" s="522"/>
    </row>
    <row r="3792" spans="1:11" s="4099" customFormat="1" ht="21" hidden="1" customHeight="1" x14ac:dyDescent="0.25">
      <c r="A3792" s="4101"/>
      <c r="B3792" s="2913"/>
      <c r="C3792" s="4021" t="s">
        <v>5165</v>
      </c>
      <c r="D3792" s="3632">
        <f>D3793</f>
        <v>370000000</v>
      </c>
      <c r="E3792" s="3632">
        <f>E3793</f>
        <v>370000000</v>
      </c>
      <c r="F3792" s="3691">
        <f>E3792/D3792*100</f>
        <v>100</v>
      </c>
      <c r="G3792" s="2562">
        <v>100</v>
      </c>
      <c r="H3792" s="4109"/>
      <c r="J3792" s="522"/>
      <c r="K3792" s="522"/>
    </row>
    <row r="3793" spans="1:11" s="4099" customFormat="1" ht="18" hidden="1" customHeight="1" x14ac:dyDescent="0.25">
      <c r="A3793" s="4101"/>
      <c r="B3793" s="2913"/>
      <c r="C3793" s="4118" t="s">
        <v>5166</v>
      </c>
      <c r="D3793" s="3630">
        <v>370000000</v>
      </c>
      <c r="E3793" s="666">
        <v>370000000</v>
      </c>
      <c r="F3793" s="1717">
        <f>E3793/D3793*100</f>
        <v>100</v>
      </c>
      <c r="G3793" s="1717">
        <v>100</v>
      </c>
      <c r="H3793" s="4109"/>
      <c r="J3793" s="522"/>
      <c r="K3793" s="522"/>
    </row>
    <row r="3794" spans="1:11" s="4099" customFormat="1" ht="10.5" hidden="1" customHeight="1" x14ac:dyDescent="0.25">
      <c r="A3794" s="4101"/>
      <c r="B3794" s="2913"/>
      <c r="C3794" s="4001"/>
      <c r="D3794" s="798"/>
      <c r="E3794" s="788"/>
      <c r="F3794" s="2281"/>
      <c r="G3794" s="2285"/>
      <c r="H3794" s="4109"/>
      <c r="J3794" s="522"/>
      <c r="K3794" s="522"/>
    </row>
    <row r="3795" spans="1:11" s="4099" customFormat="1" ht="16.5" hidden="1" customHeight="1" x14ac:dyDescent="0.25">
      <c r="A3795" s="4101"/>
      <c r="B3795" s="5397"/>
      <c r="C3795" s="3913" t="s">
        <v>5180</v>
      </c>
      <c r="D3795" s="3631">
        <f>D3796</f>
        <v>395000000</v>
      </c>
      <c r="E3795" s="3631">
        <f>E3796</f>
        <v>395000000</v>
      </c>
      <c r="F3795" s="2356">
        <f>E3795/D3795*100</f>
        <v>100</v>
      </c>
      <c r="G3795" s="2356">
        <v>100</v>
      </c>
      <c r="H3795" s="3592"/>
      <c r="J3795" s="522"/>
      <c r="K3795" s="522"/>
    </row>
    <row r="3796" spans="1:11" s="4099" customFormat="1" ht="20.25" hidden="1" customHeight="1" x14ac:dyDescent="0.25">
      <c r="A3796" s="4101"/>
      <c r="B3796" s="2913"/>
      <c r="C3796" s="4021" t="s">
        <v>5167</v>
      </c>
      <c r="D3796" s="3632">
        <f>D3797</f>
        <v>395000000</v>
      </c>
      <c r="E3796" s="3632">
        <f>E3797</f>
        <v>395000000</v>
      </c>
      <c r="F3796" s="3691">
        <f>E3796/D3796*100</f>
        <v>100</v>
      </c>
      <c r="G3796" s="2562">
        <v>100</v>
      </c>
      <c r="H3796" s="3592"/>
      <c r="J3796" s="522"/>
      <c r="K3796" s="522"/>
    </row>
    <row r="3797" spans="1:11" s="4099" customFormat="1" ht="21.75" hidden="1" customHeight="1" x14ac:dyDescent="0.25">
      <c r="A3797" s="4101"/>
      <c r="B3797" s="2913"/>
      <c r="C3797" s="4118" t="s">
        <v>5168</v>
      </c>
      <c r="D3797" s="3630">
        <v>395000000</v>
      </c>
      <c r="E3797" s="666">
        <v>395000000</v>
      </c>
      <c r="F3797" s="1717">
        <f>E3797/D3797*100</f>
        <v>100</v>
      </c>
      <c r="G3797" s="1717">
        <v>100</v>
      </c>
      <c r="H3797" s="4109"/>
      <c r="J3797" s="522"/>
      <c r="K3797" s="522"/>
    </row>
    <row r="3798" spans="1:11" s="4099" customFormat="1" ht="10.5" hidden="1" customHeight="1" x14ac:dyDescent="0.25">
      <c r="A3798" s="4101"/>
      <c r="B3798" s="2913"/>
      <c r="C3798" s="4001"/>
      <c r="D3798" s="798"/>
      <c r="E3798" s="788"/>
      <c r="F3798" s="2281"/>
      <c r="G3798" s="2285"/>
      <c r="H3798" s="4109"/>
      <c r="J3798" s="522"/>
      <c r="K3798" s="522"/>
    </row>
    <row r="3799" spans="1:11" s="3598" customFormat="1" ht="12.75" hidden="1" customHeight="1" x14ac:dyDescent="0.25">
      <c r="A3799" s="3588"/>
      <c r="B3799" s="5397"/>
      <c r="C3799" s="3913" t="s">
        <v>5181</v>
      </c>
      <c r="D3799" s="3631">
        <f>D3800</f>
        <v>200000000</v>
      </c>
      <c r="E3799" s="3631">
        <f>E3800</f>
        <v>200000000</v>
      </c>
      <c r="F3799" s="2356">
        <v>100</v>
      </c>
      <c r="G3799" s="2356">
        <v>100</v>
      </c>
      <c r="H3799" s="3592"/>
      <c r="J3799" s="2002"/>
      <c r="K3799" s="2002"/>
    </row>
    <row r="3800" spans="1:11" s="3598" customFormat="1" ht="21" hidden="1" customHeight="1" x14ac:dyDescent="0.25">
      <c r="A3800" s="3588"/>
      <c r="B3800" s="2913"/>
      <c r="C3800" s="4021" t="s">
        <v>5169</v>
      </c>
      <c r="D3800" s="3632">
        <f>D3801</f>
        <v>200000000</v>
      </c>
      <c r="E3800" s="3632">
        <f>E3801</f>
        <v>200000000</v>
      </c>
      <c r="F3800" s="2562">
        <v>100</v>
      </c>
      <c r="G3800" s="2562">
        <v>100</v>
      </c>
      <c r="H3800" s="3592"/>
      <c r="J3800" s="2002"/>
      <c r="K3800" s="2002"/>
    </row>
    <row r="3801" spans="1:11" s="4099" customFormat="1" ht="15.75" hidden="1" customHeight="1" x14ac:dyDescent="0.25">
      <c r="A3801" s="4101"/>
      <c r="B3801" s="2913"/>
      <c r="C3801" s="4118" t="s">
        <v>5170</v>
      </c>
      <c r="D3801" s="3630">
        <v>200000000</v>
      </c>
      <c r="E3801" s="666">
        <v>200000000</v>
      </c>
      <c r="F3801" s="1717">
        <v>100</v>
      </c>
      <c r="G3801" s="1717">
        <v>100</v>
      </c>
      <c r="H3801" s="4109"/>
      <c r="J3801" s="522"/>
      <c r="K3801" s="522"/>
    </row>
    <row r="3802" spans="1:11" s="4099" customFormat="1" ht="10.5" hidden="1" customHeight="1" x14ac:dyDescent="0.25">
      <c r="A3802" s="4101"/>
      <c r="B3802" s="2913"/>
      <c r="C3802" s="4001"/>
      <c r="D3802" s="798"/>
      <c r="E3802" s="788"/>
      <c r="F3802" s="2281"/>
      <c r="G3802" s="2285"/>
      <c r="H3802" s="4109"/>
      <c r="J3802" s="522"/>
      <c r="K3802" s="522"/>
    </row>
    <row r="3803" spans="1:11" s="3598" customFormat="1" ht="16.5" hidden="1" customHeight="1" x14ac:dyDescent="0.25">
      <c r="A3803" s="3588"/>
      <c r="B3803" s="5397"/>
      <c r="C3803" s="3913" t="s">
        <v>5182</v>
      </c>
      <c r="D3803" s="3631">
        <f>D3804</f>
        <v>180000000</v>
      </c>
      <c r="E3803" s="3631">
        <f>E3804</f>
        <v>180000000</v>
      </c>
      <c r="F3803" s="2356">
        <f>E3803/D3803*100</f>
        <v>100</v>
      </c>
      <c r="G3803" s="2356">
        <v>100</v>
      </c>
      <c r="H3803" s="3592"/>
      <c r="J3803" s="2002"/>
      <c r="K3803" s="2002"/>
    </row>
    <row r="3804" spans="1:11" s="3598" customFormat="1" ht="18.75" hidden="1" customHeight="1" x14ac:dyDescent="0.25">
      <c r="A3804" s="3588"/>
      <c r="B3804" s="2913"/>
      <c r="C3804" s="4021" t="s">
        <v>5171</v>
      </c>
      <c r="D3804" s="3632">
        <f>D3805</f>
        <v>180000000</v>
      </c>
      <c r="E3804" s="3632">
        <f>E3805</f>
        <v>180000000</v>
      </c>
      <c r="F3804" s="3691">
        <f>E3804/D3804*100</f>
        <v>100</v>
      </c>
      <c r="G3804" s="2562">
        <v>100</v>
      </c>
      <c r="H3804" s="3592"/>
      <c r="J3804" s="2002"/>
      <c r="K3804" s="2002"/>
    </row>
    <row r="3805" spans="1:11" s="4099" customFormat="1" ht="16.5" hidden="1" customHeight="1" x14ac:dyDescent="0.25">
      <c r="A3805" s="4101"/>
      <c r="B3805" s="2913"/>
      <c r="C3805" s="4118" t="s">
        <v>5172</v>
      </c>
      <c r="D3805" s="3630">
        <v>180000000</v>
      </c>
      <c r="E3805" s="666">
        <v>180000000</v>
      </c>
      <c r="F3805" s="1717">
        <f>E3805/D3805*100</f>
        <v>100</v>
      </c>
      <c r="G3805" s="1717">
        <v>100</v>
      </c>
      <c r="H3805" s="4109"/>
      <c r="J3805" s="522"/>
      <c r="K3805" s="522"/>
    </row>
    <row r="3806" spans="1:11" s="4099" customFormat="1" ht="9.75" hidden="1" customHeight="1" x14ac:dyDescent="0.25">
      <c r="A3806" s="4101"/>
      <c r="B3806" s="2913"/>
      <c r="C3806" s="4001"/>
      <c r="D3806" s="798"/>
      <c r="E3806" s="788"/>
      <c r="F3806" s="2281"/>
      <c r="G3806" s="2285"/>
      <c r="H3806" s="4109"/>
      <c r="J3806" s="522"/>
      <c r="K3806" s="522"/>
    </row>
    <row r="3807" spans="1:11" s="3598" customFormat="1" ht="17.25" hidden="1" customHeight="1" x14ac:dyDescent="0.25">
      <c r="A3807" s="3588"/>
      <c r="B3807" s="5397"/>
      <c r="C3807" s="3913" t="s">
        <v>5183</v>
      </c>
      <c r="D3807" s="3631">
        <f>D3808</f>
        <v>180000000</v>
      </c>
      <c r="E3807" s="3631">
        <f>E3808</f>
        <v>180000000</v>
      </c>
      <c r="F3807" s="2356">
        <f>E3807/D3807*100</f>
        <v>100</v>
      </c>
      <c r="G3807" s="2356">
        <v>100</v>
      </c>
      <c r="H3807" s="3592"/>
      <c r="J3807" s="2002"/>
      <c r="K3807" s="2002"/>
    </row>
    <row r="3808" spans="1:11" s="3598" customFormat="1" ht="18.75" hidden="1" customHeight="1" x14ac:dyDescent="0.25">
      <c r="A3808" s="3588"/>
      <c r="B3808" s="2913"/>
      <c r="C3808" s="4021" t="s">
        <v>5173</v>
      </c>
      <c r="D3808" s="3632">
        <f>D3809</f>
        <v>180000000</v>
      </c>
      <c r="E3808" s="3632">
        <f>E3809</f>
        <v>180000000</v>
      </c>
      <c r="F3808" s="3691">
        <f>E3808/D3808*100</f>
        <v>100</v>
      </c>
      <c r="G3808" s="2562">
        <v>100</v>
      </c>
      <c r="H3808" s="3592"/>
      <c r="J3808" s="2002"/>
      <c r="K3808" s="2002"/>
    </row>
    <row r="3809" spans="1:11" s="4099" customFormat="1" ht="18.75" hidden="1" customHeight="1" x14ac:dyDescent="0.25">
      <c r="A3809" s="4101"/>
      <c r="B3809" s="2913"/>
      <c r="C3809" s="4118" t="s">
        <v>5174</v>
      </c>
      <c r="D3809" s="3630">
        <v>180000000</v>
      </c>
      <c r="E3809" s="666">
        <v>180000000</v>
      </c>
      <c r="F3809" s="1717">
        <f>E3809/D3809*100</f>
        <v>100</v>
      </c>
      <c r="G3809" s="1717">
        <v>100</v>
      </c>
      <c r="H3809" s="4109"/>
      <c r="J3809" s="522"/>
      <c r="K3809" s="522"/>
    </row>
    <row r="3810" spans="1:11" s="4099" customFormat="1" ht="9" hidden="1" customHeight="1" x14ac:dyDescent="0.25">
      <c r="A3810" s="4101"/>
      <c r="B3810" s="2913"/>
      <c r="C3810" s="4001"/>
      <c r="D3810" s="798"/>
      <c r="E3810" s="788"/>
      <c r="F3810" s="2281"/>
      <c r="G3810" s="2285"/>
      <c r="H3810" s="4109"/>
      <c r="J3810" s="522"/>
      <c r="K3810" s="522"/>
    </row>
    <row r="3811" spans="1:11" s="3598" customFormat="1" ht="18" hidden="1" customHeight="1" x14ac:dyDescent="0.25">
      <c r="A3811" s="3588"/>
      <c r="B3811" s="5397"/>
      <c r="C3811" s="3913" t="s">
        <v>5184</v>
      </c>
      <c r="D3811" s="3631">
        <f>D3812</f>
        <v>300000000</v>
      </c>
      <c r="E3811" s="3631">
        <f>E3812</f>
        <v>300000000</v>
      </c>
      <c r="F3811" s="2356">
        <f>E3811/D3811*100</f>
        <v>100</v>
      </c>
      <c r="G3811" s="2356">
        <v>100</v>
      </c>
      <c r="H3811" s="3592"/>
      <c r="J3811" s="2002"/>
      <c r="K3811" s="2002"/>
    </row>
    <row r="3812" spans="1:11" s="3598" customFormat="1" ht="15.75" hidden="1" customHeight="1" x14ac:dyDescent="0.25">
      <c r="A3812" s="3588"/>
      <c r="B3812" s="2913"/>
      <c r="C3812" s="4021" t="s">
        <v>5185</v>
      </c>
      <c r="D3812" s="3632">
        <f>D3813</f>
        <v>300000000</v>
      </c>
      <c r="E3812" s="3632">
        <f>E3813</f>
        <v>300000000</v>
      </c>
      <c r="F3812" s="3691">
        <f>E3812/D3812*100</f>
        <v>100</v>
      </c>
      <c r="G3812" s="2562">
        <v>100</v>
      </c>
      <c r="H3812" s="3592"/>
      <c r="J3812" s="2002"/>
      <c r="K3812" s="2002"/>
    </row>
    <row r="3813" spans="1:11" s="4099" customFormat="1" ht="20.25" hidden="1" customHeight="1" x14ac:dyDescent="0.25">
      <c r="A3813" s="4101"/>
      <c r="B3813" s="2913"/>
      <c r="C3813" s="4118" t="s">
        <v>5186</v>
      </c>
      <c r="D3813" s="3630">
        <v>300000000</v>
      </c>
      <c r="E3813" s="666">
        <v>300000000</v>
      </c>
      <c r="F3813" s="1717">
        <f>E3813/D3813*100</f>
        <v>100</v>
      </c>
      <c r="G3813" s="1717">
        <v>100</v>
      </c>
      <c r="H3813" s="4109"/>
      <c r="J3813" s="522"/>
      <c r="K3813" s="522"/>
    </row>
    <row r="3814" spans="1:11" s="4099" customFormat="1" ht="9.75" hidden="1" customHeight="1" x14ac:dyDescent="0.25">
      <c r="A3814" s="4101"/>
      <c r="B3814" s="2913"/>
      <c r="C3814" s="3896"/>
      <c r="D3814" s="827"/>
      <c r="E3814" s="1644"/>
      <c r="F3814" s="2265"/>
      <c r="G3814" s="2279"/>
      <c r="H3814" s="4109"/>
      <c r="J3814" s="522"/>
      <c r="K3814" s="522"/>
    </row>
    <row r="3815" spans="1:11" ht="27.75" hidden="1" customHeight="1" x14ac:dyDescent="0.25">
      <c r="B3815" s="5397"/>
      <c r="C3815" s="3913" t="s">
        <v>5187</v>
      </c>
      <c r="D3815" s="3631">
        <f>SUM(D3816+D3821+D3824+D3828+D3834+D3845+D3848+D3852+D3862+D3865+D3873)</f>
        <v>40496672985</v>
      </c>
      <c r="E3815" s="3631">
        <f>SUM(E3816+E3821+E3824+E3828+E3834+E3845+E3848+E3852+E3862+E3865+E3873)</f>
        <v>39023362135</v>
      </c>
      <c r="F3815" s="2356">
        <f>E3815/D3815*100</f>
        <v>96.361896567291552</v>
      </c>
      <c r="G3815" s="5555">
        <f>SUM(G3816+G3821+G3824+G3828+G3834+G3845+G3848+G3852+G3862+G3865+G3873)/11</f>
        <v>98.242424242424249</v>
      </c>
      <c r="H3815" s="535"/>
    </row>
    <row r="3816" spans="1:11" ht="18.75" hidden="1" customHeight="1" x14ac:dyDescent="0.25">
      <c r="B3816" s="5419"/>
      <c r="C3816" s="3968" t="s">
        <v>5188</v>
      </c>
      <c r="D3816" s="3633">
        <f>SUM(D3817:D3819)</f>
        <v>1036028800</v>
      </c>
      <c r="E3816" s="3633">
        <f>SUM(E3817:E3819)</f>
        <v>667951950</v>
      </c>
      <c r="F3816" s="3691">
        <f>E3816/D3816*100</f>
        <v>64.4723341667722</v>
      </c>
      <c r="G3816" s="5556">
        <f>SUM(G3817:G3819)/3</f>
        <v>81.666666666666671</v>
      </c>
      <c r="H3816" s="535"/>
    </row>
    <row r="3817" spans="1:11" ht="18.75" hidden="1" customHeight="1" x14ac:dyDescent="0.25">
      <c r="B3817" s="2913"/>
      <c r="C3817" s="4118" t="s">
        <v>5189</v>
      </c>
      <c r="D3817" s="3638">
        <v>294000000</v>
      </c>
      <c r="E3817" s="2001">
        <v>293100000</v>
      </c>
      <c r="F3817" s="1717">
        <f>E3817/D3817*100</f>
        <v>99.693877551020407</v>
      </c>
      <c r="G3817" s="3648">
        <v>100</v>
      </c>
      <c r="H3817" s="535"/>
    </row>
    <row r="3818" spans="1:11" ht="14.25" hidden="1" customHeight="1" x14ac:dyDescent="0.25">
      <c r="B3818" s="2913"/>
      <c r="C3818" s="3896" t="s">
        <v>5190</v>
      </c>
      <c r="D3818" s="827">
        <v>492000000</v>
      </c>
      <c r="E3818" s="868">
        <v>139308000</v>
      </c>
      <c r="F3818" s="1717">
        <f>E3818/D3818*100</f>
        <v>28.314634146341461</v>
      </c>
      <c r="G3818" s="1315">
        <v>45</v>
      </c>
      <c r="H3818" s="535"/>
    </row>
    <row r="3819" spans="1:11" s="4099" customFormat="1" ht="16.5" hidden="1" customHeight="1" x14ac:dyDescent="0.25">
      <c r="A3819" s="4101"/>
      <c r="B3819" s="2913"/>
      <c r="C3819" s="4118" t="s">
        <v>5191</v>
      </c>
      <c r="D3819" s="3630">
        <v>250028800</v>
      </c>
      <c r="E3819" s="666">
        <v>235543950</v>
      </c>
      <c r="F3819" s="1717">
        <f>E3819/D3819*100</f>
        <v>94.206727385005252</v>
      </c>
      <c r="G3819" s="1717">
        <v>100</v>
      </c>
      <c r="H3819" s="4109"/>
      <c r="J3819" s="522"/>
      <c r="K3819" s="522"/>
    </row>
    <row r="3820" spans="1:11" s="4099" customFormat="1" ht="7.5" hidden="1" customHeight="1" x14ac:dyDescent="0.25">
      <c r="A3820" s="4101"/>
      <c r="B3820" s="2913"/>
      <c r="C3820" s="4118"/>
      <c r="D3820" s="3630"/>
      <c r="E3820" s="894"/>
      <c r="F3820" s="1315"/>
      <c r="G3820" s="1315"/>
      <c r="H3820" s="4109"/>
      <c r="J3820" s="522"/>
      <c r="K3820" s="522"/>
    </row>
    <row r="3821" spans="1:11" ht="17.25" hidden="1" customHeight="1" x14ac:dyDescent="0.25">
      <c r="B3821" s="2913"/>
      <c r="C3821" s="3968" t="s">
        <v>5192</v>
      </c>
      <c r="D3821" s="3633">
        <f>SUM(D3822:D3822)</f>
        <v>300000000</v>
      </c>
      <c r="E3821" s="3633">
        <f>SUM(E3822:E3822)</f>
        <v>298800000</v>
      </c>
      <c r="F3821" s="3691">
        <f>E3821/D3821*100</f>
        <v>99.6</v>
      </c>
      <c r="G3821" s="2261">
        <v>100</v>
      </c>
      <c r="H3821" s="535"/>
    </row>
    <row r="3822" spans="1:11" ht="14.25" hidden="1" customHeight="1" x14ac:dyDescent="0.25">
      <c r="B3822" s="2913"/>
      <c r="C3822" s="4118" t="s">
        <v>5193</v>
      </c>
      <c r="D3822" s="3638">
        <v>300000000</v>
      </c>
      <c r="E3822" s="3638">
        <v>298800000</v>
      </c>
      <c r="F3822" s="1717">
        <f>E3822/D3822*100</f>
        <v>99.6</v>
      </c>
      <c r="G3822" s="1717">
        <v>100</v>
      </c>
      <c r="H3822" s="535"/>
    </row>
    <row r="3823" spans="1:11" ht="9.75" hidden="1" customHeight="1" x14ac:dyDescent="0.25">
      <c r="B3823" s="2913"/>
      <c r="C3823" s="3896"/>
      <c r="D3823" s="827"/>
      <c r="E3823" s="894"/>
      <c r="F3823" s="1315"/>
      <c r="G3823" s="1315"/>
      <c r="H3823" s="535"/>
    </row>
    <row r="3824" spans="1:11" ht="19.5" hidden="1" customHeight="1" x14ac:dyDescent="0.25">
      <c r="B3824" s="2913"/>
      <c r="C3824" s="3938" t="s">
        <v>5196</v>
      </c>
      <c r="D3824" s="3629">
        <f>SUM(D3825:D3826)</f>
        <v>1159919600</v>
      </c>
      <c r="E3824" s="3633">
        <f>SUM(E3825:E3826)</f>
        <v>688642900</v>
      </c>
      <c r="F3824" s="3691">
        <f>E3824/D3824*100</f>
        <v>59.369882188386157</v>
      </c>
      <c r="G3824" s="2261">
        <f>SUM(G3825:G3826)/2</f>
        <v>99</v>
      </c>
      <c r="H3824" s="535"/>
    </row>
    <row r="3825" spans="1:11" ht="15" hidden="1" customHeight="1" x14ac:dyDescent="0.25">
      <c r="B3825" s="2913"/>
      <c r="C3825" s="4118" t="s">
        <v>5195</v>
      </c>
      <c r="D3825" s="3638">
        <v>779919600</v>
      </c>
      <c r="E3825" s="2001">
        <v>595077900</v>
      </c>
      <c r="F3825" s="1717">
        <f>E3825/D3825*100</f>
        <v>76.299903220793524</v>
      </c>
      <c r="G3825" s="1717">
        <v>98</v>
      </c>
      <c r="H3825" s="535"/>
    </row>
    <row r="3826" spans="1:11" ht="15.75" hidden="1" customHeight="1" x14ac:dyDescent="0.25">
      <c r="B3826" s="2913"/>
      <c r="C3826" s="4118" t="s">
        <v>5194</v>
      </c>
      <c r="D3826" s="3638">
        <v>380000000</v>
      </c>
      <c r="E3826" s="2001">
        <v>93565000</v>
      </c>
      <c r="F3826" s="1717">
        <f>E3826/D3826*100</f>
        <v>24.622368421052631</v>
      </c>
      <c r="G3826" s="1717">
        <v>100</v>
      </c>
      <c r="H3826" s="535"/>
    </row>
    <row r="3827" spans="1:11" ht="7.5" hidden="1" customHeight="1" x14ac:dyDescent="0.25">
      <c r="B3827" s="2913"/>
      <c r="C3827" s="3896"/>
      <c r="D3827" s="827"/>
      <c r="E3827" s="894"/>
      <c r="F3827" s="1315"/>
      <c r="G3827" s="1315"/>
      <c r="H3827" s="535"/>
    </row>
    <row r="3828" spans="1:11" ht="18.75" hidden="1" customHeight="1" x14ac:dyDescent="0.25">
      <c r="B3828" s="2913"/>
      <c r="C3828" s="3938" t="s">
        <v>5197</v>
      </c>
      <c r="D3828" s="3629">
        <f>SUM(D3829:D3832)</f>
        <v>2813300000</v>
      </c>
      <c r="E3828" s="3633">
        <f>SUM(E3829:E3832)</f>
        <v>2746183200</v>
      </c>
      <c r="F3828" s="3691">
        <f>E3828/D3828*100</f>
        <v>97.614303487008129</v>
      </c>
      <c r="G3828" s="2261">
        <f>SUM(G3829:G3832)/4</f>
        <v>100</v>
      </c>
      <c r="H3828" s="535"/>
    </row>
    <row r="3829" spans="1:11" ht="17.25" hidden="1" customHeight="1" x14ac:dyDescent="0.25">
      <c r="B3829" s="2913"/>
      <c r="C3829" s="4118" t="s">
        <v>5198</v>
      </c>
      <c r="D3829" s="3638">
        <v>324200000</v>
      </c>
      <c r="E3829" s="2001">
        <v>322733000</v>
      </c>
      <c r="F3829" s="1717">
        <f>E3829/D3829*100</f>
        <v>99.547501542257862</v>
      </c>
      <c r="G3829" s="1717">
        <v>100</v>
      </c>
      <c r="H3829" s="535"/>
    </row>
    <row r="3830" spans="1:11" ht="12" hidden="1" customHeight="1" x14ac:dyDescent="0.25">
      <c r="B3830" s="2913"/>
      <c r="C3830" s="3896" t="s">
        <v>5199</v>
      </c>
      <c r="D3830" s="827">
        <v>645600000</v>
      </c>
      <c r="E3830" s="894">
        <v>626877800</v>
      </c>
      <c r="F3830" s="1717">
        <f>E3830/D3830*100</f>
        <v>97.100030978934328</v>
      </c>
      <c r="G3830" s="1717">
        <v>100</v>
      </c>
      <c r="H3830" s="535"/>
    </row>
    <row r="3831" spans="1:11" ht="17.25" hidden="1" customHeight="1" x14ac:dyDescent="0.25">
      <c r="B3831" s="2913"/>
      <c r="C3831" s="4118" t="s">
        <v>5200</v>
      </c>
      <c r="D3831" s="3630">
        <v>16500000</v>
      </c>
      <c r="E3831" s="3630">
        <v>16500000</v>
      </c>
      <c r="F3831" s="1717">
        <f>E3831/D3831*100</f>
        <v>100</v>
      </c>
      <c r="G3831" s="1717">
        <v>100</v>
      </c>
      <c r="H3831" s="535"/>
    </row>
    <row r="3832" spans="1:11" ht="17.25" hidden="1" customHeight="1" x14ac:dyDescent="0.25">
      <c r="B3832" s="2913"/>
      <c r="C3832" s="4118" t="s">
        <v>5201</v>
      </c>
      <c r="D3832" s="3638">
        <v>1827000000</v>
      </c>
      <c r="E3832" s="3638">
        <v>1780072400</v>
      </c>
      <c r="F3832" s="1717">
        <f>E3832/D3832*100</f>
        <v>97.431439518336077</v>
      </c>
      <c r="G3832" s="3638">
        <v>100</v>
      </c>
      <c r="H3832" s="535"/>
    </row>
    <row r="3833" spans="1:11" ht="12" hidden="1" customHeight="1" x14ac:dyDescent="0.25">
      <c r="B3833" s="2913"/>
      <c r="C3833" s="3896"/>
      <c r="D3833" s="827"/>
      <c r="E3833" s="894"/>
      <c r="F3833" s="1315"/>
      <c r="G3833" s="1315"/>
      <c r="H3833" s="535"/>
    </row>
    <row r="3834" spans="1:11" ht="18.75" hidden="1" customHeight="1" x14ac:dyDescent="0.25">
      <c r="B3834" s="2913"/>
      <c r="C3834" s="3938" t="s">
        <v>5202</v>
      </c>
      <c r="D3834" s="3629">
        <f>SUM(D3835:D3843)</f>
        <v>4977050000</v>
      </c>
      <c r="E3834" s="3629">
        <f>SUM(E3835:E3843)</f>
        <v>4572681600</v>
      </c>
      <c r="F3834" s="3691">
        <f t="shared" ref="F3834:F3843" si="107">E3834/D3834*100</f>
        <v>91.87533980972664</v>
      </c>
      <c r="G3834" s="2261">
        <v>100</v>
      </c>
      <c r="H3834" s="535"/>
    </row>
    <row r="3835" spans="1:11" ht="16.5" hidden="1" customHeight="1" x14ac:dyDescent="0.25">
      <c r="B3835" s="2913"/>
      <c r="C3835" s="5480" t="s">
        <v>5203</v>
      </c>
      <c r="D3835" s="1492">
        <v>416000000</v>
      </c>
      <c r="E3835" s="2001">
        <v>394465000</v>
      </c>
      <c r="F3835" s="1717">
        <f t="shared" si="107"/>
        <v>94.823317307692307</v>
      </c>
      <c r="G3835" s="1717">
        <v>100</v>
      </c>
      <c r="H3835" s="535"/>
    </row>
    <row r="3836" spans="1:11" ht="17.25" hidden="1" customHeight="1" x14ac:dyDescent="0.25">
      <c r="B3836" s="2913"/>
      <c r="C3836" s="4118" t="s">
        <v>5204</v>
      </c>
      <c r="D3836" s="3638">
        <v>525700000</v>
      </c>
      <c r="E3836" s="2001">
        <v>523200000</v>
      </c>
      <c r="F3836" s="1717">
        <f t="shared" si="107"/>
        <v>99.524443599010851</v>
      </c>
      <c r="G3836" s="1717">
        <v>100</v>
      </c>
      <c r="H3836" s="535"/>
    </row>
    <row r="3837" spans="1:11" ht="17.25" hidden="1" customHeight="1" x14ac:dyDescent="0.25">
      <c r="B3837" s="2913"/>
      <c r="C3837" s="4104" t="s">
        <v>5205</v>
      </c>
      <c r="D3837" s="3638">
        <v>491700000</v>
      </c>
      <c r="E3837" s="3638">
        <v>489500000</v>
      </c>
      <c r="F3837" s="1717">
        <f t="shared" si="107"/>
        <v>99.552572706935123</v>
      </c>
      <c r="G3837" s="1717">
        <v>100</v>
      </c>
      <c r="H3837" s="535"/>
    </row>
    <row r="3838" spans="1:11" ht="19.5" hidden="1" customHeight="1" x14ac:dyDescent="0.25">
      <c r="B3838" s="2913"/>
      <c r="C3838" s="4104" t="s">
        <v>5206</v>
      </c>
      <c r="D3838" s="3638">
        <v>519700000</v>
      </c>
      <c r="E3838" s="3638">
        <v>516700000</v>
      </c>
      <c r="F3838" s="1717">
        <f t="shared" si="107"/>
        <v>99.422743890706172</v>
      </c>
      <c r="G3838" s="1717">
        <v>100</v>
      </c>
      <c r="H3838" s="535"/>
    </row>
    <row r="3839" spans="1:11" s="4099" customFormat="1" ht="16.5" hidden="1" customHeight="1" x14ac:dyDescent="0.25">
      <c r="A3839" s="4101"/>
      <c r="B3839" s="2913"/>
      <c r="C3839" s="4104" t="s">
        <v>5207</v>
      </c>
      <c r="D3839" s="3638">
        <v>491700000</v>
      </c>
      <c r="E3839" s="3638">
        <v>432760000</v>
      </c>
      <c r="F3839" s="1717">
        <f t="shared" si="107"/>
        <v>88.013016066707337</v>
      </c>
      <c r="G3839" s="1717">
        <v>100</v>
      </c>
      <c r="H3839" s="4109"/>
      <c r="J3839" s="522"/>
      <c r="K3839" s="522"/>
    </row>
    <row r="3840" spans="1:11" s="4099" customFormat="1" ht="14.25" hidden="1" customHeight="1" x14ac:dyDescent="0.25">
      <c r="A3840" s="4101"/>
      <c r="B3840" s="2913"/>
      <c r="C3840" s="4104" t="s">
        <v>5208</v>
      </c>
      <c r="D3840" s="3638">
        <v>540550000</v>
      </c>
      <c r="E3840" s="3638">
        <v>490150000</v>
      </c>
      <c r="F3840" s="1717">
        <f t="shared" si="107"/>
        <v>90.67616316714458</v>
      </c>
      <c r="G3840" s="1717">
        <v>100</v>
      </c>
      <c r="H3840" s="4109"/>
      <c r="J3840" s="522"/>
      <c r="K3840" s="522"/>
    </row>
    <row r="3841" spans="1:11" s="4099" customFormat="1" ht="15.75" hidden="1" customHeight="1" x14ac:dyDescent="0.25">
      <c r="A3841" s="4101"/>
      <c r="B3841" s="2913"/>
      <c r="C3841" s="4104" t="s">
        <v>5209</v>
      </c>
      <c r="D3841" s="3638">
        <v>1024200000</v>
      </c>
      <c r="E3841" s="3638">
        <v>840406600</v>
      </c>
      <c r="F3841" s="1717">
        <f t="shared" si="107"/>
        <v>82.05493067760203</v>
      </c>
      <c r="G3841" s="1717">
        <v>100</v>
      </c>
      <c r="H3841" s="4109"/>
      <c r="J3841" s="522"/>
      <c r="K3841" s="522"/>
    </row>
    <row r="3842" spans="1:11" s="4099" customFormat="1" ht="21" hidden="1" customHeight="1" x14ac:dyDescent="0.25">
      <c r="A3842" s="4101"/>
      <c r="B3842" s="2913"/>
      <c r="C3842" s="4104" t="s">
        <v>5210</v>
      </c>
      <c r="D3842" s="3638">
        <v>572500000</v>
      </c>
      <c r="E3842" s="3638">
        <v>567400000</v>
      </c>
      <c r="F3842" s="1717">
        <f t="shared" si="107"/>
        <v>99.109170305676855</v>
      </c>
      <c r="G3842" s="1717">
        <v>100</v>
      </c>
      <c r="H3842" s="4109"/>
      <c r="J3842" s="522"/>
      <c r="K3842" s="522"/>
    </row>
    <row r="3843" spans="1:11" ht="14.25" hidden="1" customHeight="1" x14ac:dyDescent="0.25">
      <c r="B3843" s="2913"/>
      <c r="C3843" s="4118" t="s">
        <v>5211</v>
      </c>
      <c r="D3843" s="3630">
        <v>395000000</v>
      </c>
      <c r="E3843" s="666">
        <v>318100000</v>
      </c>
      <c r="F3843" s="1717">
        <f t="shared" si="107"/>
        <v>80.531645569620252</v>
      </c>
      <c r="G3843" s="1717">
        <v>100</v>
      </c>
      <c r="H3843" s="535"/>
    </row>
    <row r="3844" spans="1:11" s="4099" customFormat="1" ht="12.75" hidden="1" customHeight="1" x14ac:dyDescent="0.25">
      <c r="A3844" s="4101"/>
      <c r="B3844" s="2913"/>
      <c r="C3844" s="3896"/>
      <c r="D3844" s="827"/>
      <c r="E3844" s="969"/>
      <c r="F3844" s="1315"/>
      <c r="G3844" s="1315"/>
      <c r="H3844" s="4109"/>
      <c r="J3844" s="522"/>
      <c r="K3844" s="522"/>
    </row>
    <row r="3845" spans="1:11" ht="15.75" hidden="1" customHeight="1" x14ac:dyDescent="0.25">
      <c r="B3845" s="2913"/>
      <c r="C3845" s="3938" t="s">
        <v>5212</v>
      </c>
      <c r="D3845" s="3629">
        <f>SUM(D3846:D3846)</f>
        <v>290000000</v>
      </c>
      <c r="E3845" s="3629">
        <f>SUM(E3846:E3846)</f>
        <v>290000000</v>
      </c>
      <c r="F3845" s="3691">
        <f>E3845/D3845*100</f>
        <v>100</v>
      </c>
      <c r="G3845" s="2261">
        <v>100</v>
      </c>
      <c r="H3845" s="535"/>
    </row>
    <row r="3846" spans="1:11" ht="27" hidden="1" customHeight="1" x14ac:dyDescent="0.25">
      <c r="B3846" s="2913"/>
      <c r="C3846" s="4118" t="s">
        <v>5213</v>
      </c>
      <c r="D3846" s="3638">
        <v>290000000</v>
      </c>
      <c r="E3846" s="3638">
        <v>290000000</v>
      </c>
      <c r="F3846" s="1717">
        <f>E3846/D3846*100</f>
        <v>100</v>
      </c>
      <c r="G3846" s="3638">
        <v>100</v>
      </c>
      <c r="H3846" s="535"/>
    </row>
    <row r="3847" spans="1:11" ht="12" hidden="1" customHeight="1" x14ac:dyDescent="0.25">
      <c r="B3847" s="2913"/>
      <c r="C3847" s="3896"/>
      <c r="D3847" s="827"/>
      <c r="E3847" s="969"/>
      <c r="F3847" s="2279"/>
      <c r="G3847" s="2279"/>
      <c r="H3847" s="535"/>
    </row>
    <row r="3848" spans="1:11" ht="30.75" hidden="1" customHeight="1" x14ac:dyDescent="0.25">
      <c r="B3848" s="2913"/>
      <c r="C3848" s="4116" t="s">
        <v>5214</v>
      </c>
      <c r="D3848" s="3639">
        <f>SUM(D3849:D3850)</f>
        <v>285000000</v>
      </c>
      <c r="E3848" s="3639">
        <f>SUM(E3849:E3850)</f>
        <v>284270000</v>
      </c>
      <c r="F3848" s="3691">
        <f>E3848/D3848*100</f>
        <v>99.743859649122811</v>
      </c>
      <c r="G3848" s="5557">
        <v>100</v>
      </c>
      <c r="H3848" s="535"/>
    </row>
    <row r="3849" spans="1:11" ht="27" hidden="1" customHeight="1" x14ac:dyDescent="0.25">
      <c r="B3849" s="2913"/>
      <c r="C3849" s="4104" t="s">
        <v>5215</v>
      </c>
      <c r="D3849" s="3638">
        <v>25000000</v>
      </c>
      <c r="E3849" s="3638">
        <v>24750000</v>
      </c>
      <c r="F3849" s="1717">
        <f>E3849/D3849*100</f>
        <v>99</v>
      </c>
      <c r="G3849" s="3638">
        <v>100</v>
      </c>
      <c r="H3849" s="535"/>
    </row>
    <row r="3850" spans="1:11" ht="28.5" hidden="1" customHeight="1" x14ac:dyDescent="0.25">
      <c r="B3850" s="2913"/>
      <c r="C3850" s="4104" t="s">
        <v>5216</v>
      </c>
      <c r="D3850" s="3638">
        <v>260000000</v>
      </c>
      <c r="E3850" s="3638">
        <v>259520000</v>
      </c>
      <c r="F3850" s="1717">
        <f>E3850/D3850*100</f>
        <v>99.815384615384616</v>
      </c>
      <c r="G3850" s="3638">
        <v>100</v>
      </c>
      <c r="H3850" s="535"/>
    </row>
    <row r="3851" spans="1:11" ht="12" hidden="1" customHeight="1" x14ac:dyDescent="0.25">
      <c r="B3851" s="2913"/>
      <c r="C3851" s="3892"/>
      <c r="D3851" s="1999"/>
      <c r="E3851" s="1999"/>
      <c r="F3851" s="1999"/>
      <c r="G3851" s="2279"/>
      <c r="H3851" s="535"/>
    </row>
    <row r="3852" spans="1:11" ht="19.5" hidden="1" customHeight="1" x14ac:dyDescent="0.25">
      <c r="B3852" s="2913"/>
      <c r="C3852" s="4116" t="s">
        <v>5217</v>
      </c>
      <c r="D3852" s="3639">
        <f>SUM(D3853:D3860)</f>
        <v>2387500000</v>
      </c>
      <c r="E3852" s="3639">
        <f>SUM(E3853:E3860)</f>
        <v>2325151050</v>
      </c>
      <c r="F3852" s="3691">
        <f t="shared" ref="F3852:F3860" si="108">E3852/D3852*100</f>
        <v>97.388525654450262</v>
      </c>
      <c r="G3852" s="2261">
        <v>100</v>
      </c>
      <c r="H3852" s="535"/>
    </row>
    <row r="3853" spans="1:11" ht="15" hidden="1" customHeight="1" x14ac:dyDescent="0.25">
      <c r="B3853" s="2913"/>
      <c r="C3853" s="4104" t="s">
        <v>5218</v>
      </c>
      <c r="D3853" s="3638">
        <v>200000000</v>
      </c>
      <c r="E3853" s="2001">
        <v>199255000</v>
      </c>
      <c r="F3853" s="1717">
        <f t="shared" si="108"/>
        <v>99.627499999999998</v>
      </c>
      <c r="G3853" s="1717">
        <v>100</v>
      </c>
      <c r="H3853" s="535"/>
    </row>
    <row r="3854" spans="1:11" s="4099" customFormat="1" ht="15.75" hidden="1" customHeight="1" x14ac:dyDescent="0.25">
      <c r="A3854" s="4101"/>
      <c r="B3854" s="2913"/>
      <c r="C3854" s="3892" t="s">
        <v>5219</v>
      </c>
      <c r="D3854" s="1999">
        <v>200000000</v>
      </c>
      <c r="E3854" s="4140">
        <v>199500000</v>
      </c>
      <c r="F3854" s="1717">
        <f t="shared" si="108"/>
        <v>99.75</v>
      </c>
      <c r="G3854" s="1717">
        <v>100</v>
      </c>
      <c r="H3854" s="4109"/>
      <c r="J3854" s="522"/>
      <c r="K3854" s="522"/>
    </row>
    <row r="3855" spans="1:11" s="4099" customFormat="1" ht="17.25" hidden="1" customHeight="1" x14ac:dyDescent="0.25">
      <c r="A3855" s="4101"/>
      <c r="B3855" s="2913"/>
      <c r="C3855" s="4104" t="s">
        <v>5220</v>
      </c>
      <c r="D3855" s="3638">
        <v>400000000</v>
      </c>
      <c r="E3855" s="2001">
        <v>399300000</v>
      </c>
      <c r="F3855" s="1717">
        <f t="shared" si="108"/>
        <v>99.825000000000003</v>
      </c>
      <c r="G3855" s="1717">
        <v>100</v>
      </c>
      <c r="H3855" s="4109"/>
      <c r="J3855" s="522"/>
      <c r="K3855" s="522"/>
    </row>
    <row r="3856" spans="1:11" s="4099" customFormat="1" ht="18" hidden="1" customHeight="1" x14ac:dyDescent="0.25">
      <c r="A3856" s="4101"/>
      <c r="B3856" s="2913"/>
      <c r="C3856" s="4104" t="s">
        <v>5221</v>
      </c>
      <c r="D3856" s="3638">
        <v>750000000</v>
      </c>
      <c r="E3856" s="2001">
        <v>723203550</v>
      </c>
      <c r="F3856" s="1717">
        <f t="shared" si="108"/>
        <v>96.427139999999994</v>
      </c>
      <c r="G3856" s="1717">
        <v>100</v>
      </c>
      <c r="H3856" s="4109"/>
      <c r="J3856" s="522"/>
      <c r="K3856" s="522"/>
    </row>
    <row r="3857" spans="1:11" s="4099" customFormat="1" ht="18.75" hidden="1" customHeight="1" x14ac:dyDescent="0.25">
      <c r="A3857" s="4101"/>
      <c r="B3857" s="2913"/>
      <c r="C3857" s="4104" t="s">
        <v>5222</v>
      </c>
      <c r="D3857" s="3638">
        <v>300000000</v>
      </c>
      <c r="E3857" s="2001">
        <v>284952500</v>
      </c>
      <c r="F3857" s="1717">
        <f t="shared" si="108"/>
        <v>94.984166666666667</v>
      </c>
      <c r="G3857" s="1717">
        <v>100</v>
      </c>
      <c r="H3857" s="4109"/>
      <c r="J3857" s="522"/>
      <c r="K3857" s="522"/>
    </row>
    <row r="3858" spans="1:11" s="4099" customFormat="1" ht="17.25" hidden="1" customHeight="1" x14ac:dyDescent="0.25">
      <c r="A3858" s="4101"/>
      <c r="B3858" s="2913"/>
      <c r="C3858" s="4104" t="s">
        <v>5223</v>
      </c>
      <c r="D3858" s="3638">
        <v>237500000</v>
      </c>
      <c r="E3858" s="2001">
        <v>225530000</v>
      </c>
      <c r="F3858" s="1717">
        <f t="shared" si="108"/>
        <v>94.96</v>
      </c>
      <c r="G3858" s="1717">
        <v>100</v>
      </c>
      <c r="H3858" s="4109"/>
      <c r="J3858" s="522"/>
      <c r="K3858" s="522"/>
    </row>
    <row r="3859" spans="1:11" s="4099" customFormat="1" ht="15.75" hidden="1" customHeight="1" x14ac:dyDescent="0.25">
      <c r="A3859" s="4101"/>
      <c r="B3859" s="2913"/>
      <c r="C3859" s="4104" t="s">
        <v>5224</v>
      </c>
      <c r="D3859" s="3638">
        <v>200000000</v>
      </c>
      <c r="E3859" s="2001">
        <v>199550000</v>
      </c>
      <c r="F3859" s="1717">
        <f t="shared" si="108"/>
        <v>99.775000000000006</v>
      </c>
      <c r="G3859" s="1717">
        <v>100</v>
      </c>
      <c r="H3859" s="4109"/>
      <c r="J3859" s="522"/>
      <c r="K3859" s="522"/>
    </row>
    <row r="3860" spans="1:11" s="4099" customFormat="1" ht="19.5" hidden="1" customHeight="1" x14ac:dyDescent="0.25">
      <c r="A3860" s="4101"/>
      <c r="B3860" s="2913"/>
      <c r="C3860" s="4104" t="s">
        <v>5225</v>
      </c>
      <c r="D3860" s="3638">
        <v>100000000</v>
      </c>
      <c r="E3860" s="2001">
        <v>93860000</v>
      </c>
      <c r="F3860" s="1717">
        <f t="shared" si="108"/>
        <v>93.86</v>
      </c>
      <c r="G3860" s="1717">
        <v>100</v>
      </c>
      <c r="H3860" s="4109"/>
      <c r="J3860" s="522"/>
      <c r="K3860" s="522"/>
    </row>
    <row r="3861" spans="1:11" ht="8.25" hidden="1" customHeight="1" x14ac:dyDescent="0.25">
      <c r="B3861" s="2913"/>
      <c r="C3861" s="3892"/>
      <c r="D3861" s="1999"/>
      <c r="E3861" s="4140"/>
      <c r="F3861" s="3638"/>
      <c r="G3861" s="1315"/>
      <c r="H3861" s="535"/>
    </row>
    <row r="3862" spans="1:11" ht="20.25" hidden="1" customHeight="1" x14ac:dyDescent="0.25">
      <c r="B3862" s="2913"/>
      <c r="C3862" s="4116" t="s">
        <v>5226</v>
      </c>
      <c r="D3862" s="3639">
        <f>D3863</f>
        <v>499998000</v>
      </c>
      <c r="E3862" s="3639">
        <f>E3863</f>
        <v>499998000</v>
      </c>
      <c r="F3862" s="3691">
        <f>E3862/D3862*100</f>
        <v>100</v>
      </c>
      <c r="G3862" s="2261">
        <v>100</v>
      </c>
      <c r="H3862" s="535"/>
    </row>
    <row r="3863" spans="1:11" ht="18.75" hidden="1" customHeight="1" x14ac:dyDescent="0.25">
      <c r="B3863" s="2913"/>
      <c r="C3863" s="4104" t="s">
        <v>5227</v>
      </c>
      <c r="D3863" s="3638">
        <v>499998000</v>
      </c>
      <c r="E3863" s="2001">
        <v>499998000</v>
      </c>
      <c r="F3863" s="1717">
        <f>E3863/D3863*100</f>
        <v>100</v>
      </c>
      <c r="G3863" s="1717">
        <v>100</v>
      </c>
      <c r="H3863" s="535"/>
    </row>
    <row r="3864" spans="1:11" ht="10.5" hidden="1" customHeight="1" x14ac:dyDescent="0.25">
      <c r="B3864" s="2913"/>
      <c r="C3864" s="3896"/>
      <c r="D3864" s="827"/>
      <c r="E3864" s="969"/>
      <c r="F3864" s="2279"/>
      <c r="G3864" s="2279"/>
      <c r="H3864" s="535"/>
    </row>
    <row r="3865" spans="1:11" s="3598" customFormat="1" ht="15.75" hidden="1" customHeight="1" x14ac:dyDescent="0.25">
      <c r="A3865" s="3588"/>
      <c r="B3865" s="2913"/>
      <c r="C3865" s="3938" t="s">
        <v>5228</v>
      </c>
      <c r="D3865" s="3629">
        <f>SUM(D3866:D3871)</f>
        <v>3118500000</v>
      </c>
      <c r="E3865" s="3629">
        <f>SUM(E3866:E3871)</f>
        <v>3103257000</v>
      </c>
      <c r="F3865" s="3691">
        <f t="shared" ref="F3865:F3871" si="109">E3865/D3865*100</f>
        <v>99.511207311207301</v>
      </c>
      <c r="G3865" s="2261">
        <v>100</v>
      </c>
      <c r="H3865" s="3592"/>
      <c r="J3865" s="2002"/>
      <c r="K3865" s="2002"/>
    </row>
    <row r="3866" spans="1:11" s="4099" customFormat="1" ht="18" hidden="1" customHeight="1" x14ac:dyDescent="0.25">
      <c r="A3866" s="4101"/>
      <c r="B3866" s="2913"/>
      <c r="C3866" s="4118" t="s">
        <v>5229</v>
      </c>
      <c r="D3866" s="3630">
        <v>500000000</v>
      </c>
      <c r="E3866" s="666">
        <v>495044000</v>
      </c>
      <c r="F3866" s="1717">
        <f t="shared" si="109"/>
        <v>99.008799999999994</v>
      </c>
      <c r="G3866" s="1717">
        <v>100</v>
      </c>
      <c r="H3866" s="4109"/>
      <c r="J3866" s="522"/>
      <c r="K3866" s="522"/>
    </row>
    <row r="3867" spans="1:11" s="4099" customFormat="1" ht="15.75" hidden="1" customHeight="1" x14ac:dyDescent="0.25">
      <c r="A3867" s="4101"/>
      <c r="B3867" s="2913"/>
      <c r="C3867" s="4118" t="s">
        <v>5230</v>
      </c>
      <c r="D3867" s="3630">
        <v>282500000</v>
      </c>
      <c r="E3867" s="666">
        <v>281422000</v>
      </c>
      <c r="F3867" s="1717">
        <f t="shared" si="109"/>
        <v>99.618407079646019</v>
      </c>
      <c r="G3867" s="1717">
        <v>100</v>
      </c>
      <c r="H3867" s="4109"/>
      <c r="J3867" s="522"/>
      <c r="K3867" s="522"/>
    </row>
    <row r="3868" spans="1:11" s="4099" customFormat="1" ht="15.75" hidden="1" customHeight="1" x14ac:dyDescent="0.25">
      <c r="A3868" s="4101"/>
      <c r="B3868" s="2913"/>
      <c r="C3868" s="4118" t="s">
        <v>5231</v>
      </c>
      <c r="D3868" s="3630">
        <v>907500000</v>
      </c>
      <c r="E3868" s="666">
        <v>903935000</v>
      </c>
      <c r="F3868" s="1717">
        <f t="shared" si="109"/>
        <v>99.607162534435261</v>
      </c>
      <c r="G3868" s="1717">
        <v>100</v>
      </c>
      <c r="H3868" s="4109"/>
      <c r="J3868" s="522"/>
      <c r="K3868" s="522"/>
    </row>
    <row r="3869" spans="1:11" s="4099" customFormat="1" ht="15.75" hidden="1" customHeight="1" x14ac:dyDescent="0.25">
      <c r="A3869" s="4101"/>
      <c r="B3869" s="2913"/>
      <c r="C3869" s="4118" t="s">
        <v>5232</v>
      </c>
      <c r="D3869" s="3630">
        <v>428500000</v>
      </c>
      <c r="E3869" s="666">
        <v>427334000</v>
      </c>
      <c r="F3869" s="1717">
        <f t="shared" si="109"/>
        <v>99.727887981330227</v>
      </c>
      <c r="G3869" s="1717">
        <v>100</v>
      </c>
      <c r="H3869" s="4109"/>
      <c r="J3869" s="522"/>
      <c r="K3869" s="522"/>
    </row>
    <row r="3870" spans="1:11" s="4099" customFormat="1" ht="17.25" hidden="1" customHeight="1" x14ac:dyDescent="0.25">
      <c r="A3870" s="4101"/>
      <c r="B3870" s="2913"/>
      <c r="C3870" s="4118" t="s">
        <v>5233</v>
      </c>
      <c r="D3870" s="3630">
        <v>500000000</v>
      </c>
      <c r="E3870" s="666">
        <v>499500000</v>
      </c>
      <c r="F3870" s="1717">
        <f t="shared" si="109"/>
        <v>99.9</v>
      </c>
      <c r="G3870" s="1717">
        <v>100</v>
      </c>
      <c r="H3870" s="4109"/>
      <c r="J3870" s="522"/>
      <c r="K3870" s="522"/>
    </row>
    <row r="3871" spans="1:11" s="4099" customFormat="1" ht="18" hidden="1" customHeight="1" x14ac:dyDescent="0.25">
      <c r="A3871" s="4101"/>
      <c r="B3871" s="2913"/>
      <c r="C3871" s="4118" t="s">
        <v>5234</v>
      </c>
      <c r="D3871" s="3630">
        <v>500000000</v>
      </c>
      <c r="E3871" s="666">
        <v>496022000</v>
      </c>
      <c r="F3871" s="1717">
        <f t="shared" si="109"/>
        <v>99.204400000000007</v>
      </c>
      <c r="G3871" s="1717">
        <v>100</v>
      </c>
      <c r="H3871" s="4109"/>
      <c r="J3871" s="522"/>
      <c r="K3871" s="522"/>
    </row>
    <row r="3872" spans="1:11" s="4099" customFormat="1" ht="6" hidden="1" customHeight="1" x14ac:dyDescent="0.25">
      <c r="A3872" s="4101"/>
      <c r="B3872" s="2913"/>
      <c r="C3872" s="4118"/>
      <c r="D3872" s="3630"/>
      <c r="E3872" s="894"/>
      <c r="F3872" s="1315"/>
      <c r="G3872" s="1315"/>
      <c r="H3872" s="4109"/>
      <c r="J3872" s="522"/>
      <c r="K3872" s="522"/>
    </row>
    <row r="3873" spans="1:11" s="3598" customFormat="1" ht="15.75" hidden="1" customHeight="1" x14ac:dyDescent="0.25">
      <c r="A3873" s="3588"/>
      <c r="B3873" s="2913"/>
      <c r="C3873" s="3938" t="s">
        <v>5235</v>
      </c>
      <c r="D3873" s="3629">
        <f>SUM(D3874:D3876)</f>
        <v>23629376585</v>
      </c>
      <c r="E3873" s="3629">
        <f>SUM(E3874:E3876)</f>
        <v>23546426435</v>
      </c>
      <c r="F3873" s="3691">
        <f>E3873/D3873*100</f>
        <v>99.648953286170666</v>
      </c>
      <c r="G3873" s="2261">
        <v>100</v>
      </c>
      <c r="H3873" s="3592"/>
      <c r="J3873" s="2002"/>
      <c r="K3873" s="2002"/>
    </row>
    <row r="3874" spans="1:11" s="4099" customFormat="1" ht="15.75" hidden="1" customHeight="1" x14ac:dyDescent="0.25">
      <c r="A3874" s="4101"/>
      <c r="B3874" s="2913"/>
      <c r="C3874" s="4118" t="s">
        <v>5236</v>
      </c>
      <c r="D3874" s="3630">
        <v>3592460000</v>
      </c>
      <c r="E3874" s="666">
        <v>3580000000</v>
      </c>
      <c r="F3874" s="1717">
        <f>E3874/D3874*100</f>
        <v>99.653162456923667</v>
      </c>
      <c r="G3874" s="1717">
        <v>100</v>
      </c>
      <c r="H3874" s="4109"/>
      <c r="J3874" s="522"/>
      <c r="K3874" s="522"/>
    </row>
    <row r="3875" spans="1:11" s="4099" customFormat="1" ht="15.75" hidden="1" customHeight="1" x14ac:dyDescent="0.25">
      <c r="A3875" s="4101"/>
      <c r="B3875" s="2913"/>
      <c r="C3875" s="4118" t="s">
        <v>5237</v>
      </c>
      <c r="D3875" s="3630">
        <v>889483000</v>
      </c>
      <c r="E3875" s="666">
        <v>889483000</v>
      </c>
      <c r="F3875" s="1717">
        <f>E3875/D3875*100</f>
        <v>100</v>
      </c>
      <c r="G3875" s="1717">
        <v>100</v>
      </c>
      <c r="H3875" s="4109"/>
      <c r="J3875" s="522"/>
      <c r="K3875" s="522"/>
    </row>
    <row r="3876" spans="1:11" s="4099" customFormat="1" ht="15.75" hidden="1" customHeight="1" x14ac:dyDescent="0.25">
      <c r="A3876" s="4101"/>
      <c r="B3876" s="2913"/>
      <c r="C3876" s="4118" t="s">
        <v>5238</v>
      </c>
      <c r="D3876" s="3630">
        <v>19147433585</v>
      </c>
      <c r="E3876" s="666">
        <v>19076943435</v>
      </c>
      <c r="F3876" s="1717">
        <f>E3876/D3876*100</f>
        <v>99.631855884565013</v>
      </c>
      <c r="G3876" s="1717">
        <v>100</v>
      </c>
      <c r="H3876" s="4109"/>
      <c r="J3876" s="522"/>
      <c r="K3876" s="522"/>
    </row>
    <row r="3877" spans="1:11" s="4099" customFormat="1" ht="6" hidden="1" customHeight="1" x14ac:dyDescent="0.25">
      <c r="A3877" s="4101"/>
      <c r="B3877" s="2913"/>
      <c r="C3877" s="3896"/>
      <c r="D3877" s="827"/>
      <c r="E3877" s="969"/>
      <c r="F3877" s="2279"/>
      <c r="G3877" s="2279"/>
      <c r="H3877" s="4109"/>
      <c r="J3877" s="522"/>
      <c r="K3877" s="522"/>
    </row>
    <row r="3878" spans="1:11" ht="18" hidden="1" customHeight="1" x14ac:dyDescent="0.25">
      <c r="B3878" s="5397"/>
      <c r="C3878" s="3913" t="s">
        <v>5239</v>
      </c>
      <c r="D3878" s="3631">
        <f>SUM(D3879+D3883+D3890+D3894+D3897+D3910+D3913+D3916)</f>
        <v>8998485400</v>
      </c>
      <c r="E3878" s="3631">
        <f>SUM(E3879+E3883+E3890+E3894+E3897+E3910+E3913+E3916)</f>
        <v>8461009000</v>
      </c>
      <c r="F3878" s="2397">
        <f>E3878/D3878*100</f>
        <v>94.027034816325866</v>
      </c>
      <c r="G3878" s="2356">
        <f>SUM(G3879+G3883+G3890+G3894+G3897+G3910+G3913+G3916)/8</f>
        <v>96.25</v>
      </c>
      <c r="H3878" s="535"/>
    </row>
    <row r="3879" spans="1:11" ht="32.25" hidden="1" customHeight="1" x14ac:dyDescent="0.25">
      <c r="B3879" s="2913"/>
      <c r="C3879" s="5558" t="s">
        <v>5240</v>
      </c>
      <c r="D3879" s="3629">
        <f>SUM(D3880:D3881)</f>
        <v>216120000</v>
      </c>
      <c r="E3879" s="3629">
        <f>SUM(E3880:E3881)</f>
        <v>211765000</v>
      </c>
      <c r="F3879" s="2259">
        <f>E3879/D3879*100</f>
        <v>97.984915787525452</v>
      </c>
      <c r="G3879" s="2261">
        <v>100</v>
      </c>
      <c r="H3879" s="535"/>
    </row>
    <row r="3880" spans="1:11" ht="16.5" hidden="1" customHeight="1" x14ac:dyDescent="0.25">
      <c r="B3880" s="2913"/>
      <c r="C3880" s="3856" t="s">
        <v>5241</v>
      </c>
      <c r="D3880" s="880">
        <v>105770000</v>
      </c>
      <c r="E3880" s="3638">
        <v>102555000</v>
      </c>
      <c r="F3880" s="1717">
        <f>E3880/D3880*100</f>
        <v>96.960385742649152</v>
      </c>
      <c r="G3880" s="3638">
        <v>100</v>
      </c>
      <c r="H3880" s="535"/>
    </row>
    <row r="3881" spans="1:11" ht="15.75" hidden="1" customHeight="1" x14ac:dyDescent="0.25">
      <c r="B3881" s="2913"/>
      <c r="C3881" s="3856" t="s">
        <v>5242</v>
      </c>
      <c r="D3881" s="3638">
        <v>110350000</v>
      </c>
      <c r="E3881" s="2001">
        <v>109210000</v>
      </c>
      <c r="F3881" s="1717">
        <f>E3881/D3881*100</f>
        <v>98.966923425464429</v>
      </c>
      <c r="G3881" s="1717">
        <v>100</v>
      </c>
      <c r="H3881" s="535"/>
    </row>
    <row r="3882" spans="1:11" ht="5.25" hidden="1" customHeight="1" x14ac:dyDescent="0.25">
      <c r="B3882" s="2913"/>
      <c r="D3882" s="3638"/>
      <c r="E3882" s="666"/>
      <c r="F3882" s="1717"/>
      <c r="G3882" s="2338"/>
      <c r="H3882" s="535"/>
    </row>
    <row r="3883" spans="1:11" ht="17.25" hidden="1" customHeight="1" x14ac:dyDescent="0.25">
      <c r="B3883" s="2913"/>
      <c r="C3883" s="3938" t="s">
        <v>5243</v>
      </c>
      <c r="D3883" s="3639">
        <f>SUM(D3884:D3888)</f>
        <v>1845905000</v>
      </c>
      <c r="E3883" s="3639">
        <f>SUM(E3884:E3888)</f>
        <v>1825920000</v>
      </c>
      <c r="F3883" s="2261">
        <f t="shared" ref="F3883:F3888" si="110">E3883/D3883*100</f>
        <v>98.917333232208591</v>
      </c>
      <c r="G3883" s="2484">
        <v>100</v>
      </c>
      <c r="H3883" s="535"/>
      <c r="J3883" s="3350"/>
      <c r="K3883" s="3351"/>
    </row>
    <row r="3884" spans="1:11" ht="15.75" hidden="1" customHeight="1" x14ac:dyDescent="0.25">
      <c r="B3884" s="2913"/>
      <c r="C3884" s="3856" t="s">
        <v>5244</v>
      </c>
      <c r="D3884" s="3638">
        <v>134850000</v>
      </c>
      <c r="E3884" s="2001">
        <v>133850000</v>
      </c>
      <c r="F3884" s="1717">
        <f t="shared" si="110"/>
        <v>99.258435298479796</v>
      </c>
      <c r="G3884" s="3648">
        <v>100</v>
      </c>
      <c r="H3884" s="535"/>
    </row>
    <row r="3885" spans="1:11" ht="15" hidden="1" customHeight="1" x14ac:dyDescent="0.25">
      <c r="B3885" s="2913"/>
      <c r="C3885" s="3856" t="s">
        <v>5245</v>
      </c>
      <c r="D3885" s="3638">
        <v>49500000</v>
      </c>
      <c r="E3885" s="3638">
        <v>49500000</v>
      </c>
      <c r="F3885" s="1717">
        <f t="shared" si="110"/>
        <v>100</v>
      </c>
      <c r="G3885" s="3648">
        <v>100</v>
      </c>
      <c r="H3885" s="535"/>
    </row>
    <row r="3886" spans="1:11" ht="16.5" hidden="1" customHeight="1" x14ac:dyDescent="0.25">
      <c r="B3886" s="2913"/>
      <c r="C3886" s="3856" t="s">
        <v>5246</v>
      </c>
      <c r="D3886" s="3638">
        <v>1113370000</v>
      </c>
      <c r="E3886" s="2001">
        <v>1108835000</v>
      </c>
      <c r="F3886" s="1717">
        <f t="shared" si="110"/>
        <v>99.592678085452278</v>
      </c>
      <c r="G3886" s="3648">
        <v>100</v>
      </c>
      <c r="H3886" s="535"/>
    </row>
    <row r="3887" spans="1:11" ht="14.25" hidden="1" customHeight="1" x14ac:dyDescent="0.25">
      <c r="B3887" s="2913"/>
      <c r="C3887" s="3856" t="s">
        <v>5247</v>
      </c>
      <c r="D3887" s="3638">
        <v>299435000</v>
      </c>
      <c r="E3887" s="2001">
        <v>285935000</v>
      </c>
      <c r="F3887" s="1717">
        <f t="shared" si="110"/>
        <v>95.491509008632931</v>
      </c>
      <c r="G3887" s="3648">
        <v>100</v>
      </c>
      <c r="H3887" s="535"/>
    </row>
    <row r="3888" spans="1:11" ht="14.25" hidden="1" customHeight="1" x14ac:dyDescent="0.25">
      <c r="B3888" s="2913"/>
      <c r="C3888" s="5480" t="s">
        <v>5248</v>
      </c>
      <c r="D3888" s="3638">
        <v>248750000</v>
      </c>
      <c r="E3888" s="2001">
        <v>247800000</v>
      </c>
      <c r="F3888" s="1717">
        <f t="shared" si="110"/>
        <v>99.618090452261313</v>
      </c>
      <c r="G3888" s="3648">
        <v>100</v>
      </c>
      <c r="H3888" s="535"/>
    </row>
    <row r="3889" spans="1:11" ht="12" hidden="1" customHeight="1" x14ac:dyDescent="0.25">
      <c r="B3889" s="2913"/>
      <c r="D3889" s="3638"/>
      <c r="E3889" s="3879"/>
      <c r="F3889" s="3648"/>
      <c r="G3889" s="3648"/>
      <c r="H3889" s="535"/>
    </row>
    <row r="3890" spans="1:11" ht="18" hidden="1" customHeight="1" x14ac:dyDescent="0.25">
      <c r="B3890" s="2913"/>
      <c r="C3890" s="3938" t="s">
        <v>5249</v>
      </c>
      <c r="D3890" s="3639">
        <f>SUM(D3891:D3892)</f>
        <v>218000000</v>
      </c>
      <c r="E3890" s="3639">
        <f>SUM(E3891:E3892)</f>
        <v>182740000</v>
      </c>
      <c r="F3890" s="2261">
        <f>E3890/D3890*100</f>
        <v>83.825688073394502</v>
      </c>
      <c r="G3890" s="2484">
        <f>SUM(G3891:G3892)/2</f>
        <v>95</v>
      </c>
      <c r="H3890" s="535"/>
    </row>
    <row r="3891" spans="1:11" ht="15" hidden="1" customHeight="1" x14ac:dyDescent="0.25">
      <c r="B3891" s="2913"/>
      <c r="C3891" s="5480" t="s">
        <v>5250</v>
      </c>
      <c r="D3891" s="3638">
        <v>88275000</v>
      </c>
      <c r="E3891" s="3638">
        <v>55275000</v>
      </c>
      <c r="F3891" s="1717">
        <f>E3891/D3891*100</f>
        <v>62.616822429906534</v>
      </c>
      <c r="G3891" s="2338">
        <v>90</v>
      </c>
      <c r="H3891" s="535"/>
    </row>
    <row r="3892" spans="1:11" ht="17.25" hidden="1" customHeight="1" x14ac:dyDescent="0.25">
      <c r="B3892" s="2913"/>
      <c r="C3892" s="3856" t="s">
        <v>5251</v>
      </c>
      <c r="D3892" s="3638">
        <v>129725000</v>
      </c>
      <c r="E3892" s="3638">
        <v>127465000</v>
      </c>
      <c r="F3892" s="1717">
        <f>E3892/D3892*100</f>
        <v>98.257853150896125</v>
      </c>
      <c r="G3892" s="2338">
        <v>100</v>
      </c>
      <c r="H3892" s="535"/>
    </row>
    <row r="3893" spans="1:11" ht="12" hidden="1" customHeight="1" x14ac:dyDescent="0.25">
      <c r="B3893" s="2913"/>
      <c r="C3893" s="3991"/>
      <c r="D3893" s="3638"/>
      <c r="E3893" s="666"/>
      <c r="F3893" s="3638"/>
      <c r="G3893" s="2338"/>
      <c r="H3893" s="535"/>
    </row>
    <row r="3894" spans="1:11" ht="18.75" hidden="1" customHeight="1" x14ac:dyDescent="0.25">
      <c r="B3894" s="2913"/>
      <c r="C3894" s="3938" t="s">
        <v>5252</v>
      </c>
      <c r="D3894" s="3639">
        <f>SUM(D3895:D3895)</f>
        <v>100340000</v>
      </c>
      <c r="E3894" s="3639">
        <f>SUM(E3895:E3895)</f>
        <v>100340000</v>
      </c>
      <c r="F3894" s="2261">
        <f>E3894/D3894*100</f>
        <v>100</v>
      </c>
      <c r="G3894" s="2484">
        <v>100</v>
      </c>
      <c r="H3894" s="535"/>
    </row>
    <row r="3895" spans="1:11" ht="15.75" hidden="1" customHeight="1" x14ac:dyDescent="0.25">
      <c r="B3895" s="2913"/>
      <c r="C3895" s="3856" t="s">
        <v>5253</v>
      </c>
      <c r="D3895" s="3638">
        <v>100340000</v>
      </c>
      <c r="E3895" s="3638">
        <v>100340000</v>
      </c>
      <c r="F3895" s="1717">
        <f>E3895/D3895*100</f>
        <v>100</v>
      </c>
      <c r="G3895" s="2338">
        <v>100</v>
      </c>
      <c r="H3895" s="535"/>
    </row>
    <row r="3896" spans="1:11" ht="9.75" hidden="1" customHeight="1" x14ac:dyDescent="0.25">
      <c r="B3896" s="2913"/>
      <c r="C3896" s="3991"/>
      <c r="D3896" s="3638"/>
      <c r="E3896" s="4057"/>
      <c r="F3896" s="3600"/>
      <c r="G3896" s="3600"/>
      <c r="H3896" s="535"/>
    </row>
    <row r="3897" spans="1:11" ht="14.25" hidden="1" customHeight="1" x14ac:dyDescent="0.25">
      <c r="B3897" s="2913"/>
      <c r="C3897" s="4103" t="s">
        <v>5254</v>
      </c>
      <c r="D3897" s="3639">
        <f>SUM(D3898:D3908)</f>
        <v>5367350000</v>
      </c>
      <c r="E3897" s="3639">
        <f>SUM(E3898:E3908)</f>
        <v>5219376000</v>
      </c>
      <c r="F3897" s="2261">
        <f t="shared" ref="F3897:F3908" si="111">E3897/D3897*100</f>
        <v>97.243071534369847</v>
      </c>
      <c r="G3897" s="3639">
        <v>100</v>
      </c>
      <c r="H3897" s="535"/>
    </row>
    <row r="3898" spans="1:11" ht="17.25" hidden="1" customHeight="1" x14ac:dyDescent="0.25">
      <c r="B3898" s="2913"/>
      <c r="C3898" s="5480" t="s">
        <v>5265</v>
      </c>
      <c r="D3898" s="3638">
        <v>2438570000</v>
      </c>
      <c r="E3898" s="3638">
        <v>2364070000</v>
      </c>
      <c r="F3898" s="1717">
        <f t="shared" si="111"/>
        <v>96.944930840615612</v>
      </c>
      <c r="G3898" s="3638">
        <v>100</v>
      </c>
      <c r="H3898" s="535"/>
    </row>
    <row r="3899" spans="1:11" ht="18" hidden="1" customHeight="1" x14ac:dyDescent="0.25">
      <c r="B3899" s="2913"/>
      <c r="C3899" s="3856" t="s">
        <v>5255</v>
      </c>
      <c r="D3899" s="3638">
        <v>275000000</v>
      </c>
      <c r="E3899" s="4059">
        <v>273000000</v>
      </c>
      <c r="F3899" s="1717">
        <f t="shared" si="111"/>
        <v>99.272727272727266</v>
      </c>
      <c r="G3899" s="3638">
        <v>100</v>
      </c>
      <c r="H3899" s="535"/>
    </row>
    <row r="3900" spans="1:11" s="4099" customFormat="1" ht="17.25" hidden="1" customHeight="1" x14ac:dyDescent="0.25">
      <c r="A3900" s="4101"/>
      <c r="B3900" s="2913"/>
      <c r="C3900" s="3856" t="s">
        <v>5256</v>
      </c>
      <c r="D3900" s="3638">
        <v>600000000</v>
      </c>
      <c r="E3900" s="4059">
        <v>599200000</v>
      </c>
      <c r="F3900" s="1717">
        <f t="shared" si="111"/>
        <v>99.866666666666674</v>
      </c>
      <c r="G3900" s="3638">
        <v>100</v>
      </c>
      <c r="H3900" s="4109"/>
      <c r="J3900" s="522"/>
      <c r="K3900" s="522"/>
    </row>
    <row r="3901" spans="1:11" s="4099" customFormat="1" ht="16.5" hidden="1" customHeight="1" x14ac:dyDescent="0.25">
      <c r="A3901" s="4101"/>
      <c r="B3901" s="2913"/>
      <c r="C3901" s="3856" t="s">
        <v>5257</v>
      </c>
      <c r="D3901" s="3638">
        <v>400000000</v>
      </c>
      <c r="E3901" s="4059">
        <v>399540000</v>
      </c>
      <c r="F3901" s="1717">
        <f t="shared" si="111"/>
        <v>99.885000000000005</v>
      </c>
      <c r="G3901" s="3638">
        <v>100</v>
      </c>
      <c r="H3901" s="4109"/>
      <c r="J3901" s="522"/>
      <c r="K3901" s="522"/>
    </row>
    <row r="3902" spans="1:11" s="4099" customFormat="1" ht="13.5" hidden="1" customHeight="1" x14ac:dyDescent="0.25">
      <c r="A3902" s="4101"/>
      <c r="B3902" s="2913"/>
      <c r="C3902" s="3856" t="s">
        <v>5258</v>
      </c>
      <c r="D3902" s="3638">
        <v>125000000</v>
      </c>
      <c r="E3902" s="4059">
        <v>124660000</v>
      </c>
      <c r="F3902" s="1717">
        <f t="shared" si="111"/>
        <v>99.728000000000009</v>
      </c>
      <c r="G3902" s="3638">
        <v>100</v>
      </c>
      <c r="H3902" s="4109"/>
      <c r="J3902" s="522"/>
      <c r="K3902" s="522"/>
    </row>
    <row r="3903" spans="1:11" s="4099" customFormat="1" ht="14.25" hidden="1" customHeight="1" x14ac:dyDescent="0.25">
      <c r="A3903" s="4101"/>
      <c r="B3903" s="2913"/>
      <c r="C3903" s="3856" t="s">
        <v>5259</v>
      </c>
      <c r="D3903" s="3638">
        <v>125000000</v>
      </c>
      <c r="E3903" s="4059">
        <v>124660000</v>
      </c>
      <c r="F3903" s="1717">
        <f t="shared" si="111"/>
        <v>99.728000000000009</v>
      </c>
      <c r="G3903" s="3638">
        <v>100</v>
      </c>
      <c r="H3903" s="4109"/>
      <c r="J3903" s="522"/>
      <c r="K3903" s="522"/>
    </row>
    <row r="3904" spans="1:11" s="4099" customFormat="1" ht="15.75" hidden="1" customHeight="1" x14ac:dyDescent="0.25">
      <c r="A3904" s="4101"/>
      <c r="B3904" s="2913"/>
      <c r="C3904" s="3856" t="s">
        <v>5260</v>
      </c>
      <c r="D3904" s="3638">
        <v>500000000</v>
      </c>
      <c r="E3904" s="4059">
        <v>497900000</v>
      </c>
      <c r="F3904" s="1717">
        <f t="shared" si="111"/>
        <v>99.58</v>
      </c>
      <c r="G3904" s="3638">
        <v>100</v>
      </c>
      <c r="H3904" s="4109"/>
      <c r="J3904" s="522"/>
      <c r="K3904" s="522"/>
    </row>
    <row r="3905" spans="1:11" s="4099" customFormat="1" ht="13.5" hidden="1" customHeight="1" x14ac:dyDescent="0.25">
      <c r="A3905" s="4101"/>
      <c r="B3905" s="2913"/>
      <c r="C3905" s="3856" t="s">
        <v>5261</v>
      </c>
      <c r="D3905" s="3638">
        <v>200000000</v>
      </c>
      <c r="E3905" s="4059">
        <v>199541000</v>
      </c>
      <c r="F3905" s="1717">
        <f t="shared" si="111"/>
        <v>99.770499999999998</v>
      </c>
      <c r="G3905" s="3638">
        <v>100</v>
      </c>
      <c r="H3905" s="4109"/>
      <c r="J3905" s="522"/>
      <c r="K3905" s="522"/>
    </row>
    <row r="3906" spans="1:11" s="4099" customFormat="1" ht="13.5" hidden="1" customHeight="1" x14ac:dyDescent="0.25">
      <c r="A3906" s="4101"/>
      <c r="B3906" s="2913"/>
      <c r="C3906" s="3856" t="s">
        <v>5262</v>
      </c>
      <c r="D3906" s="3638">
        <v>250000000</v>
      </c>
      <c r="E3906" s="4059">
        <v>249480000</v>
      </c>
      <c r="F3906" s="1717">
        <f t="shared" si="111"/>
        <v>99.792000000000002</v>
      </c>
      <c r="G3906" s="3638">
        <v>100</v>
      </c>
      <c r="H3906" s="4109"/>
      <c r="J3906" s="522"/>
      <c r="K3906" s="522"/>
    </row>
    <row r="3907" spans="1:11" s="4099" customFormat="1" ht="15" hidden="1" customHeight="1" x14ac:dyDescent="0.25">
      <c r="A3907" s="4101"/>
      <c r="B3907" s="2913"/>
      <c r="C3907" s="3856" t="s">
        <v>5263</v>
      </c>
      <c r="D3907" s="3638">
        <v>218000000</v>
      </c>
      <c r="E3907" s="4059">
        <v>216900000</v>
      </c>
      <c r="F3907" s="1717">
        <f t="shared" si="111"/>
        <v>99.495412844036707</v>
      </c>
      <c r="G3907" s="3638">
        <v>100</v>
      </c>
      <c r="H3907" s="4109"/>
      <c r="J3907" s="522"/>
      <c r="K3907" s="522"/>
    </row>
    <row r="3908" spans="1:11" s="4099" customFormat="1" ht="13.5" hidden="1" customHeight="1" x14ac:dyDescent="0.25">
      <c r="A3908" s="4101"/>
      <c r="B3908" s="2913"/>
      <c r="C3908" s="3856" t="s">
        <v>5264</v>
      </c>
      <c r="D3908" s="3638">
        <v>235780000</v>
      </c>
      <c r="E3908" s="4059">
        <v>170425000</v>
      </c>
      <c r="F3908" s="1717">
        <f t="shared" si="111"/>
        <v>72.281363983374334</v>
      </c>
      <c r="G3908" s="3638">
        <v>100</v>
      </c>
      <c r="H3908" s="4109"/>
      <c r="J3908" s="522"/>
      <c r="K3908" s="522"/>
    </row>
    <row r="3909" spans="1:11" s="4099" customFormat="1" ht="12" hidden="1" customHeight="1" x14ac:dyDescent="0.25">
      <c r="A3909" s="4101"/>
      <c r="B3909" s="2913"/>
      <c r="C3909" s="3991"/>
      <c r="D3909" s="3638"/>
      <c r="E3909" s="4057"/>
      <c r="F3909" s="2484"/>
      <c r="G3909" s="2484"/>
      <c r="H3909" s="4109"/>
      <c r="J3909" s="522"/>
      <c r="K3909" s="522"/>
    </row>
    <row r="3910" spans="1:11" ht="15.75" hidden="1" customHeight="1" x14ac:dyDescent="0.25">
      <c r="B3910" s="2913"/>
      <c r="C3910" s="4299" t="s">
        <v>5266</v>
      </c>
      <c r="D3910" s="3639">
        <f>SUM(D3911:D3911)</f>
        <v>230510000</v>
      </c>
      <c r="E3910" s="3639">
        <f>SUM(E3911:E3911)</f>
        <v>220340000</v>
      </c>
      <c r="F3910" s="2261">
        <f>E3910/D3910*100</f>
        <v>95.588043902650639</v>
      </c>
      <c r="G3910" s="2484">
        <v>100</v>
      </c>
      <c r="H3910" s="535"/>
    </row>
    <row r="3911" spans="1:11" ht="17.25" hidden="1" customHeight="1" x14ac:dyDescent="0.25">
      <c r="B3911" s="2913"/>
      <c r="C3911" s="3856" t="s">
        <v>5267</v>
      </c>
      <c r="D3911" s="3638">
        <v>230510000</v>
      </c>
      <c r="E3911" s="2553">
        <v>220340000</v>
      </c>
      <c r="F3911" s="1717">
        <f>E3911/D3911*100</f>
        <v>95.588043902650639</v>
      </c>
      <c r="G3911" s="2338">
        <v>100</v>
      </c>
      <c r="H3911" s="535"/>
    </row>
    <row r="3912" spans="1:11" ht="9" hidden="1" customHeight="1" x14ac:dyDescent="0.25">
      <c r="B3912" s="2913"/>
      <c r="C3912" s="3991"/>
      <c r="D3912" s="3638"/>
      <c r="E3912" s="894"/>
      <c r="F3912" s="1717"/>
      <c r="G3912" s="2483"/>
      <c r="H3912" s="535"/>
    </row>
    <row r="3913" spans="1:11" ht="29.25" hidden="1" customHeight="1" x14ac:dyDescent="0.25">
      <c r="B3913" s="2913"/>
      <c r="C3913" s="4103" t="s">
        <v>5268</v>
      </c>
      <c r="D3913" s="3639">
        <f>SUM(D3914:D3914)</f>
        <v>235013000</v>
      </c>
      <c r="E3913" s="3639">
        <f>SUM(E3914:E3914)</f>
        <v>235013000</v>
      </c>
      <c r="F3913" s="2261">
        <f>E3913/D3913*100</f>
        <v>100</v>
      </c>
      <c r="G3913" s="2484">
        <v>100</v>
      </c>
      <c r="H3913" s="535"/>
    </row>
    <row r="3914" spans="1:11" ht="17.25" hidden="1" customHeight="1" x14ac:dyDescent="0.25">
      <c r="B3914" s="2913"/>
      <c r="C3914" s="5480" t="s">
        <v>5269</v>
      </c>
      <c r="D3914" s="3638">
        <v>235013000</v>
      </c>
      <c r="E3914" s="3638">
        <v>235013000</v>
      </c>
      <c r="F3914" s="1717">
        <f>E3914/D3914*100</f>
        <v>100</v>
      </c>
      <c r="G3914" s="2338">
        <v>100</v>
      </c>
      <c r="H3914" s="535"/>
    </row>
    <row r="3915" spans="1:11" ht="7.5" hidden="1" customHeight="1" x14ac:dyDescent="0.25">
      <c r="B3915" s="2913"/>
      <c r="C3915" s="3991"/>
      <c r="D3915" s="3638"/>
      <c r="E3915" s="4059"/>
      <c r="F3915" s="1717"/>
      <c r="G3915" s="2483"/>
      <c r="H3915" s="535"/>
    </row>
    <row r="3916" spans="1:11" ht="18.75" hidden="1" customHeight="1" x14ac:dyDescent="0.25">
      <c r="B3916" s="2913"/>
      <c r="C3916" s="4299" t="s">
        <v>5270</v>
      </c>
      <c r="D3916" s="3639">
        <f>SUM(D3917:D3918)</f>
        <v>785247400</v>
      </c>
      <c r="E3916" s="3639">
        <f>SUM(E3917:E3918)</f>
        <v>465515000</v>
      </c>
      <c r="F3916" s="2261">
        <f>E3916/D3916*100</f>
        <v>59.282590429462104</v>
      </c>
      <c r="G3916" s="2484">
        <f>SUM(G3917:G3918)/2</f>
        <v>75</v>
      </c>
      <c r="H3916" s="535"/>
    </row>
    <row r="3917" spans="1:11" ht="30.75" hidden="1" customHeight="1" x14ac:dyDescent="0.25">
      <c r="B3917" s="2913"/>
      <c r="C3917" s="3856" t="s">
        <v>5271</v>
      </c>
      <c r="D3917" s="3638">
        <v>313247400</v>
      </c>
      <c r="E3917" s="2001">
        <v>312054000</v>
      </c>
      <c r="F3917" s="1717">
        <f>E3917/D3917*100</f>
        <v>99.619023174653648</v>
      </c>
      <c r="G3917" s="3648">
        <v>100</v>
      </c>
      <c r="H3917" s="535"/>
    </row>
    <row r="3918" spans="1:11" ht="17.25" hidden="1" customHeight="1" x14ac:dyDescent="0.25">
      <c r="B3918" s="2913"/>
      <c r="C3918" s="3856" t="s">
        <v>5272</v>
      </c>
      <c r="D3918" s="3638">
        <v>472000000</v>
      </c>
      <c r="E3918" s="3638">
        <v>153461000</v>
      </c>
      <c r="F3918" s="1717">
        <f>E3918/D3918*100</f>
        <v>32.512923728813561</v>
      </c>
      <c r="G3918" s="3638">
        <v>50</v>
      </c>
      <c r="H3918" s="535"/>
    </row>
    <row r="3919" spans="1:11" ht="10.5" hidden="1" customHeight="1" x14ac:dyDescent="0.25">
      <c r="B3919" s="2913"/>
      <c r="C3919" s="3892"/>
      <c r="D3919" s="972"/>
      <c r="E3919" s="973"/>
      <c r="F3919" s="2265"/>
      <c r="G3919" s="5529"/>
      <c r="H3919" s="535"/>
    </row>
    <row r="3920" spans="1:11" ht="30" hidden="1" customHeight="1" x14ac:dyDescent="0.25">
      <c r="B3920" s="5397"/>
      <c r="C3920" s="3994" t="s">
        <v>5273</v>
      </c>
      <c r="D3920" s="1462">
        <f>SUM(D3921+D3925+D3932+D3937+D3941)</f>
        <v>2015715000</v>
      </c>
      <c r="E3920" s="1462">
        <f>SUM(E3921+E3925+E3932+E3937+E3941)</f>
        <v>2012625000</v>
      </c>
      <c r="F3920" s="2397">
        <f>E3920/D3920*100</f>
        <v>99.846704519240063</v>
      </c>
      <c r="G3920" s="1432">
        <f>SUM(G3921+G3925+G3932+G3937+G3941)/5</f>
        <v>100</v>
      </c>
      <c r="H3920" s="535"/>
    </row>
    <row r="3921" spans="2:8" ht="19.5" hidden="1" customHeight="1" x14ac:dyDescent="0.25">
      <c r="B3921" s="2913"/>
      <c r="C3921" s="4299" t="s">
        <v>5274</v>
      </c>
      <c r="D3921" s="3632">
        <f>SUM(D3922:D3923)</f>
        <v>377950000</v>
      </c>
      <c r="E3921" s="3632">
        <f>SUM(E3922:E3923)</f>
        <v>377650000</v>
      </c>
      <c r="F3921" s="2259">
        <f>E3921/D3921*100</f>
        <v>99.920624421219742</v>
      </c>
      <c r="G3921" s="4358">
        <v>100</v>
      </c>
      <c r="H3921" s="535"/>
    </row>
    <row r="3922" spans="2:8" ht="17.25" hidden="1" customHeight="1" x14ac:dyDescent="0.25">
      <c r="B3922" s="2913"/>
      <c r="C3922" s="4118" t="s">
        <v>5275</v>
      </c>
      <c r="D3922" s="3638">
        <v>108850000</v>
      </c>
      <c r="E3922" s="2001">
        <v>108550000</v>
      </c>
      <c r="F3922" s="1717">
        <f>E3922/D3922*100</f>
        <v>99.724391364262743</v>
      </c>
      <c r="G3922" s="2338">
        <v>100</v>
      </c>
      <c r="H3922" s="535"/>
    </row>
    <row r="3923" spans="2:8" ht="15" hidden="1" customHeight="1" x14ac:dyDescent="0.25">
      <c r="B3923" s="2913"/>
      <c r="C3923" s="4118" t="s">
        <v>5276</v>
      </c>
      <c r="D3923" s="3638">
        <v>269100000</v>
      </c>
      <c r="E3923" s="2001">
        <v>269100000</v>
      </c>
      <c r="F3923" s="1717">
        <f>E3923/D3923*100</f>
        <v>100</v>
      </c>
      <c r="G3923" s="2338">
        <v>100</v>
      </c>
      <c r="H3923" s="535"/>
    </row>
    <row r="3924" spans="2:8" ht="12" hidden="1" customHeight="1" x14ac:dyDescent="0.25">
      <c r="B3924" s="2913"/>
      <c r="C3924" s="4118"/>
      <c r="D3924" s="3638"/>
      <c r="E3924" s="4057"/>
      <c r="F3924" s="2512"/>
      <c r="G3924" s="2484"/>
      <c r="H3924" s="535"/>
    </row>
    <row r="3925" spans="2:8" ht="18.75" hidden="1" customHeight="1" x14ac:dyDescent="0.25">
      <c r="B3925" s="2913"/>
      <c r="C3925" s="3938" t="s">
        <v>5277</v>
      </c>
      <c r="D3925" s="3639">
        <f>SUM(D3926:D3930)</f>
        <v>695050000</v>
      </c>
      <c r="E3925" s="3639">
        <f>SUM(E3926:E3930)</f>
        <v>694650000</v>
      </c>
      <c r="F3925" s="2261">
        <f t="shared" ref="F3925:F3930" si="112">E3925/D3925*100</f>
        <v>99.942450183440044</v>
      </c>
      <c r="G3925" s="2484">
        <v>100</v>
      </c>
      <c r="H3925" s="535"/>
    </row>
    <row r="3926" spans="2:8" ht="14.25" hidden="1" customHeight="1" x14ac:dyDescent="0.25">
      <c r="B3926" s="2913"/>
      <c r="C3926" s="4118" t="s">
        <v>5278</v>
      </c>
      <c r="D3926" s="3638">
        <v>88660000</v>
      </c>
      <c r="E3926" s="2001">
        <v>88660000</v>
      </c>
      <c r="F3926" s="1717">
        <f t="shared" si="112"/>
        <v>100</v>
      </c>
      <c r="G3926" s="2338">
        <v>100</v>
      </c>
      <c r="H3926" s="535"/>
    </row>
    <row r="3927" spans="2:8" ht="14.25" hidden="1" customHeight="1" x14ac:dyDescent="0.25">
      <c r="B3927" s="2913"/>
      <c r="C3927" s="4118" t="s">
        <v>5279</v>
      </c>
      <c r="D3927" s="3638">
        <v>183550000</v>
      </c>
      <c r="E3927" s="2001">
        <v>183150000</v>
      </c>
      <c r="F3927" s="1717">
        <f t="shared" si="112"/>
        <v>99.782075728684276</v>
      </c>
      <c r="G3927" s="2338">
        <v>100</v>
      </c>
      <c r="H3927" s="535"/>
    </row>
    <row r="3928" spans="2:8" ht="14.25" hidden="1" customHeight="1" x14ac:dyDescent="0.25">
      <c r="B3928" s="2913"/>
      <c r="C3928" s="4118" t="s">
        <v>5280</v>
      </c>
      <c r="D3928" s="3638">
        <v>167060000</v>
      </c>
      <c r="E3928" s="2001">
        <v>167060000</v>
      </c>
      <c r="F3928" s="1717">
        <f t="shared" si="112"/>
        <v>100</v>
      </c>
      <c r="G3928" s="2338">
        <v>100</v>
      </c>
      <c r="H3928" s="535"/>
    </row>
    <row r="3929" spans="2:8" ht="18" hidden="1" customHeight="1" x14ac:dyDescent="0.25">
      <c r="B3929" s="2913"/>
      <c r="C3929" s="4118" t="s">
        <v>5281</v>
      </c>
      <c r="D3929" s="3638">
        <v>91150000</v>
      </c>
      <c r="E3929" s="2001">
        <v>91150000</v>
      </c>
      <c r="F3929" s="1717">
        <f t="shared" si="112"/>
        <v>100</v>
      </c>
      <c r="G3929" s="2338">
        <v>100</v>
      </c>
      <c r="H3929" s="535"/>
    </row>
    <row r="3930" spans="2:8" ht="14.25" hidden="1" customHeight="1" x14ac:dyDescent="0.25">
      <c r="B3930" s="2913"/>
      <c r="C3930" s="4118" t="s">
        <v>5282</v>
      </c>
      <c r="D3930" s="3638">
        <v>164630000</v>
      </c>
      <c r="E3930" s="2001">
        <v>164630000</v>
      </c>
      <c r="F3930" s="1717">
        <f t="shared" si="112"/>
        <v>100</v>
      </c>
      <c r="G3930" s="2338">
        <v>100</v>
      </c>
      <c r="H3930" s="535"/>
    </row>
    <row r="3931" spans="2:8" ht="6.75" hidden="1" customHeight="1" x14ac:dyDescent="0.25">
      <c r="B3931" s="2913"/>
      <c r="C3931" s="4118"/>
      <c r="D3931" s="3638"/>
      <c r="E3931" s="4059"/>
      <c r="F3931" s="2543"/>
      <c r="G3931" s="3648"/>
      <c r="H3931" s="535"/>
    </row>
    <row r="3932" spans="2:8" ht="20.25" hidden="1" customHeight="1" x14ac:dyDescent="0.25">
      <c r="B3932" s="2913"/>
      <c r="C3932" s="3938" t="s">
        <v>5283</v>
      </c>
      <c r="D3932" s="3639">
        <f>SUM(D3933:D3935)</f>
        <v>470995000</v>
      </c>
      <c r="E3932" s="3639">
        <f>SUM(E3933:E3935)</f>
        <v>468795000</v>
      </c>
      <c r="F3932" s="2261">
        <f>E3932/D3932*100</f>
        <v>99.53290374632428</v>
      </c>
      <c r="G3932" s="2484">
        <v>100</v>
      </c>
      <c r="H3932" s="535"/>
    </row>
    <row r="3933" spans="2:8" ht="17.25" hidden="1" customHeight="1" x14ac:dyDescent="0.25">
      <c r="B3933" s="2913"/>
      <c r="C3933" s="4118" t="s">
        <v>5284</v>
      </c>
      <c r="D3933" s="3638">
        <v>219545000</v>
      </c>
      <c r="E3933" s="608">
        <v>219545000</v>
      </c>
      <c r="F3933" s="1717">
        <f>E3933/D3933*100</f>
        <v>100</v>
      </c>
      <c r="G3933" s="1999">
        <v>100</v>
      </c>
      <c r="H3933" s="535"/>
    </row>
    <row r="3934" spans="2:8" ht="15.75" hidden="1" customHeight="1" x14ac:dyDescent="0.25">
      <c r="B3934" s="2913"/>
      <c r="C3934" s="4118" t="s">
        <v>5285</v>
      </c>
      <c r="D3934" s="1412">
        <v>134950000</v>
      </c>
      <c r="E3934" s="2558">
        <v>132750000</v>
      </c>
      <c r="F3934" s="1717">
        <f>E3934/D3934*100</f>
        <v>98.369766580214886</v>
      </c>
      <c r="G3934" s="2338">
        <v>100</v>
      </c>
      <c r="H3934" s="535"/>
    </row>
    <row r="3935" spans="2:8" ht="13.5" hidden="1" customHeight="1" x14ac:dyDescent="0.25">
      <c r="B3935" s="2913"/>
      <c r="C3935" s="4118" t="s">
        <v>5286</v>
      </c>
      <c r="D3935" s="3638">
        <v>116500000</v>
      </c>
      <c r="E3935" s="2559">
        <v>116500000</v>
      </c>
      <c r="F3935" s="1717">
        <f>E3935/D3935*100</f>
        <v>100</v>
      </c>
      <c r="G3935" s="2338">
        <v>100</v>
      </c>
      <c r="H3935" s="535"/>
    </row>
    <row r="3936" spans="2:8" ht="6" hidden="1" customHeight="1" x14ac:dyDescent="0.25">
      <c r="B3936" s="2913"/>
      <c r="C3936" s="4118"/>
      <c r="D3936" s="3638"/>
      <c r="E3936" s="1927"/>
      <c r="F3936" s="1717"/>
      <c r="G3936" s="2338"/>
      <c r="H3936" s="535"/>
    </row>
    <row r="3937" spans="1:11" ht="15.75" hidden="1" customHeight="1" x14ac:dyDescent="0.25">
      <c r="B3937" s="2913"/>
      <c r="C3937" s="3938" t="s">
        <v>5287</v>
      </c>
      <c r="D3937" s="3639">
        <f>SUM(D3938:D3939)</f>
        <v>185620000</v>
      </c>
      <c r="E3937" s="3639">
        <f>SUM(E3938:E3939)</f>
        <v>185430000</v>
      </c>
      <c r="F3937" s="2261">
        <f>E3937/D3937*100</f>
        <v>99.89764034048055</v>
      </c>
      <c r="G3937" s="5487">
        <v>100</v>
      </c>
      <c r="H3937" s="535"/>
    </row>
    <row r="3938" spans="1:11" ht="15" hidden="1" customHeight="1" x14ac:dyDescent="0.25">
      <c r="B3938" s="2913"/>
      <c r="C3938" s="4118" t="s">
        <v>5288</v>
      </c>
      <c r="D3938" s="3638">
        <v>48650000</v>
      </c>
      <c r="E3938" s="2001">
        <v>48650000</v>
      </c>
      <c r="F3938" s="1717">
        <f>E3938/D3938*100</f>
        <v>100</v>
      </c>
      <c r="G3938" s="2338">
        <v>100</v>
      </c>
      <c r="H3938" s="535"/>
    </row>
    <row r="3939" spans="1:11" ht="16.5" hidden="1" customHeight="1" x14ac:dyDescent="0.25">
      <c r="B3939" s="2913"/>
      <c r="C3939" s="4118" t="s">
        <v>5289</v>
      </c>
      <c r="D3939" s="3638">
        <v>136970000</v>
      </c>
      <c r="E3939" s="666">
        <v>136780000</v>
      </c>
      <c r="F3939" s="1717">
        <f>E3939/D3939*100</f>
        <v>99.861283492735637</v>
      </c>
      <c r="G3939" s="2338">
        <v>100</v>
      </c>
      <c r="H3939" s="535"/>
    </row>
    <row r="3940" spans="1:11" s="4099" customFormat="1" ht="6.75" hidden="1" customHeight="1" x14ac:dyDescent="0.25">
      <c r="A3940" s="4101"/>
      <c r="B3940" s="2913"/>
      <c r="C3940" s="4118"/>
      <c r="D3940" s="3638"/>
      <c r="E3940" s="894"/>
      <c r="F3940" s="1717"/>
      <c r="G3940" s="2483"/>
      <c r="H3940" s="4109"/>
      <c r="J3940" s="522"/>
      <c r="K3940" s="522"/>
    </row>
    <row r="3941" spans="1:11" ht="13.5" hidden="1" customHeight="1" x14ac:dyDescent="0.25">
      <c r="B3941" s="2913"/>
      <c r="C3941" s="3938" t="s">
        <v>5290</v>
      </c>
      <c r="D3941" s="3639">
        <f>SUM(D3942)</f>
        <v>286100000</v>
      </c>
      <c r="E3941" s="3639">
        <f>SUM(E3942)</f>
        <v>286100000</v>
      </c>
      <c r="F3941" s="2261">
        <f>E3941/D3941*100</f>
        <v>100</v>
      </c>
      <c r="G3941" s="2484">
        <v>100</v>
      </c>
      <c r="H3941" s="535"/>
    </row>
    <row r="3942" spans="1:11" ht="14.25" hidden="1" customHeight="1" x14ac:dyDescent="0.25">
      <c r="B3942" s="2913"/>
      <c r="C3942" s="4118" t="s">
        <v>5291</v>
      </c>
      <c r="D3942" s="3638">
        <v>286100000</v>
      </c>
      <c r="E3942" s="3638">
        <v>286100000</v>
      </c>
      <c r="F3942" s="1717">
        <f>E3942/D3942*100</f>
        <v>100</v>
      </c>
      <c r="G3942" s="2338">
        <v>100</v>
      </c>
      <c r="H3942" s="535"/>
    </row>
    <row r="3943" spans="1:11" ht="12" hidden="1" customHeight="1" x14ac:dyDescent="0.25">
      <c r="B3943" s="2913"/>
      <c r="D3943" s="1614"/>
      <c r="E3943" s="973"/>
      <c r="F3943" s="2265"/>
      <c r="G3943" s="5529"/>
      <c r="H3943" s="535"/>
    </row>
    <row r="3944" spans="1:11" s="303" customFormat="1" ht="16.5" hidden="1" customHeight="1" x14ac:dyDescent="0.25">
      <c r="A3944" s="3005"/>
      <c r="B3944" s="5397"/>
      <c r="C3944" s="3913" t="s">
        <v>5292</v>
      </c>
      <c r="D3944" s="3631">
        <f>SUM(D3945+D3948+D3952+D3955+D3959)</f>
        <v>1089722700</v>
      </c>
      <c r="E3944" s="3631">
        <f>SUM(E3945+E3948+E3952+E3955+E3959)</f>
        <v>1087880000</v>
      </c>
      <c r="F3944" s="2356">
        <f>E3944/D3944*100</f>
        <v>99.830901934960153</v>
      </c>
      <c r="G3944" s="2315">
        <v>100</v>
      </c>
      <c r="H3944" s="1735"/>
      <c r="J3944" s="522"/>
      <c r="K3944" s="522"/>
    </row>
    <row r="3945" spans="1:11" ht="17.25" hidden="1" customHeight="1" x14ac:dyDescent="0.25">
      <c r="B3945" s="2913"/>
      <c r="C3945" s="4103" t="s">
        <v>5293</v>
      </c>
      <c r="D3945" s="3629">
        <f>SUM(D3946:D3946)</f>
        <v>125000000</v>
      </c>
      <c r="E3945" s="3629">
        <f>SUM(E3946:E3946)</f>
        <v>124900000</v>
      </c>
      <c r="F3945" s="2562">
        <f>E3945/D3945*100</f>
        <v>99.92</v>
      </c>
      <c r="G3945" s="2484">
        <v>100</v>
      </c>
      <c r="H3945" s="535"/>
    </row>
    <row r="3946" spans="1:11" ht="17.25" hidden="1" customHeight="1" x14ac:dyDescent="0.25">
      <c r="B3946" s="2913"/>
      <c r="C3946" s="3856" t="s">
        <v>5294</v>
      </c>
      <c r="D3946" s="3638">
        <v>125000000</v>
      </c>
      <c r="E3946" s="2001">
        <v>124900000</v>
      </c>
      <c r="F3946" s="1717">
        <f>E3946/D3946*100</f>
        <v>99.92</v>
      </c>
      <c r="G3946" s="2338">
        <v>100</v>
      </c>
      <c r="H3946" s="535"/>
    </row>
    <row r="3947" spans="1:11" ht="5.25" hidden="1" customHeight="1" x14ac:dyDescent="0.25">
      <c r="B3947" s="2913"/>
      <c r="C3947" s="3991"/>
      <c r="D3947" s="3638"/>
      <c r="E3947" s="4059"/>
      <c r="F3947" s="1717"/>
      <c r="G3947" s="2338"/>
      <c r="H3947" s="535"/>
    </row>
    <row r="3948" spans="1:11" ht="18" hidden="1" customHeight="1" x14ac:dyDescent="0.25">
      <c r="B3948" s="2913"/>
      <c r="C3948" s="4299" t="s">
        <v>5295</v>
      </c>
      <c r="D3948" s="1124">
        <f>SUM(D3949:D3950)</f>
        <v>393035000</v>
      </c>
      <c r="E3948" s="1124">
        <f>SUM(E3949:E3950)</f>
        <v>392905000</v>
      </c>
      <c r="F3948" s="2261">
        <f>E3948/D3948*100</f>
        <v>99.966924065286804</v>
      </c>
      <c r="G3948" s="4358">
        <v>100</v>
      </c>
      <c r="H3948" s="535"/>
    </row>
    <row r="3949" spans="1:11" ht="14.25" hidden="1" customHeight="1" x14ac:dyDescent="0.25">
      <c r="B3949" s="2913"/>
      <c r="C3949" s="3856" t="s">
        <v>5296</v>
      </c>
      <c r="D3949" s="3638">
        <v>56315000</v>
      </c>
      <c r="E3949" s="3638">
        <v>56235000</v>
      </c>
      <c r="F3949" s="1717">
        <f>E3949/D3949*100</f>
        <v>99.857941933765431</v>
      </c>
      <c r="G3949" s="3648">
        <v>100</v>
      </c>
      <c r="H3949" s="535"/>
    </row>
    <row r="3950" spans="1:11" ht="15.75" hidden="1" customHeight="1" x14ac:dyDescent="0.25">
      <c r="B3950" s="2913"/>
      <c r="C3950" s="3856" t="s">
        <v>5297</v>
      </c>
      <c r="D3950" s="3638">
        <v>336720000</v>
      </c>
      <c r="E3950" s="2001">
        <v>336670000</v>
      </c>
      <c r="F3950" s="1717">
        <f>E3950/D3950*100</f>
        <v>99.985150867189361</v>
      </c>
      <c r="G3950" s="3648">
        <v>100</v>
      </c>
      <c r="H3950" s="535"/>
    </row>
    <row r="3951" spans="1:11" ht="8.25" hidden="1" customHeight="1" x14ac:dyDescent="0.25">
      <c r="B3951" s="2913"/>
      <c r="C3951" s="3991"/>
      <c r="D3951" s="3638"/>
      <c r="E3951" s="4059"/>
      <c r="F3951" s="1717"/>
      <c r="G3951" s="2338"/>
      <c r="H3951" s="535"/>
    </row>
    <row r="3952" spans="1:11" ht="18.75" hidden="1" customHeight="1" x14ac:dyDescent="0.25">
      <c r="B3952" s="2913"/>
      <c r="C3952" s="4103" t="s">
        <v>5298</v>
      </c>
      <c r="D3952" s="3639">
        <f>SUM(D3953:D3953)</f>
        <v>200000000</v>
      </c>
      <c r="E3952" s="3639">
        <f>SUM(E3953:E3953)</f>
        <v>200000000</v>
      </c>
      <c r="F3952" s="2261">
        <f>E3952/D3952*100</f>
        <v>100</v>
      </c>
      <c r="G3952" s="4358">
        <v>100</v>
      </c>
      <c r="H3952" s="535"/>
    </row>
    <row r="3953" spans="1:11" ht="14.25" hidden="1" customHeight="1" x14ac:dyDescent="0.25">
      <c r="B3953" s="2913"/>
      <c r="C3953" s="3856" t="s">
        <v>5299</v>
      </c>
      <c r="D3953" s="3638">
        <v>200000000</v>
      </c>
      <c r="E3953" s="2001">
        <v>200000000</v>
      </c>
      <c r="F3953" s="1717">
        <f>E3953/D3953*100</f>
        <v>100</v>
      </c>
      <c r="G3953" s="2338">
        <v>100</v>
      </c>
      <c r="H3953" s="535"/>
    </row>
    <row r="3954" spans="1:11" ht="7.5" hidden="1" customHeight="1" x14ac:dyDescent="0.25">
      <c r="B3954" s="2913"/>
      <c r="C3954" s="3991"/>
      <c r="D3954" s="3638"/>
      <c r="E3954" s="788"/>
      <c r="F3954" s="2285"/>
      <c r="G3954" s="2485"/>
      <c r="H3954" s="535"/>
    </row>
    <row r="3955" spans="1:11" ht="18.75" hidden="1" customHeight="1" x14ac:dyDescent="0.25">
      <c r="B3955" s="2913"/>
      <c r="C3955" s="4103" t="s">
        <v>5300</v>
      </c>
      <c r="D3955" s="3639">
        <f>SUM(D3956:D3957)</f>
        <v>243355000</v>
      </c>
      <c r="E3955" s="3639">
        <f>SUM(E3956:E3957)</f>
        <v>243355000</v>
      </c>
      <c r="F3955" s="2261">
        <f>E3955/D3955*100</f>
        <v>100</v>
      </c>
      <c r="G3955" s="2484">
        <v>100</v>
      </c>
      <c r="H3955" s="535"/>
    </row>
    <row r="3956" spans="1:11" ht="17.25" hidden="1" customHeight="1" x14ac:dyDescent="0.25">
      <c r="B3956" s="2913"/>
      <c r="C3956" s="3856" t="s">
        <v>5301</v>
      </c>
      <c r="D3956" s="3638">
        <v>200000000</v>
      </c>
      <c r="E3956" s="3638">
        <v>200000000</v>
      </c>
      <c r="F3956" s="1717">
        <f>E3956/D3956*100</f>
        <v>100</v>
      </c>
      <c r="G3956" s="2338">
        <v>100</v>
      </c>
      <c r="H3956" s="535"/>
    </row>
    <row r="3957" spans="1:11" ht="13.5" hidden="1" customHeight="1" x14ac:dyDescent="0.25">
      <c r="B3957" s="2913"/>
      <c r="C3957" s="3856" t="s">
        <v>5302</v>
      </c>
      <c r="D3957" s="3638">
        <v>43355000</v>
      </c>
      <c r="E3957" s="666">
        <v>43355000</v>
      </c>
      <c r="F3957" s="1717">
        <f>E3957/D3957*100</f>
        <v>100</v>
      </c>
      <c r="G3957" s="2338">
        <v>100</v>
      </c>
      <c r="H3957" s="535"/>
    </row>
    <row r="3958" spans="1:11" s="4099" customFormat="1" ht="8.25" hidden="1" customHeight="1" x14ac:dyDescent="0.25">
      <c r="A3958" s="4101"/>
      <c r="B3958" s="2913"/>
      <c r="C3958" s="5480"/>
      <c r="D3958" s="3638"/>
      <c r="E3958" s="894"/>
      <c r="F3958" s="1315"/>
      <c r="G3958" s="5559"/>
      <c r="H3958" s="4109"/>
      <c r="J3958" s="522"/>
      <c r="K3958" s="522"/>
    </row>
    <row r="3959" spans="1:11" ht="18" hidden="1" customHeight="1" x14ac:dyDescent="0.25">
      <c r="B3959" s="2913"/>
      <c r="C3959" s="4103" t="s">
        <v>5303</v>
      </c>
      <c r="D3959" s="3639">
        <f>SUM(D3960:D3961)</f>
        <v>128332700</v>
      </c>
      <c r="E3959" s="3639">
        <f>SUM(E3960:E3961)</f>
        <v>126720000</v>
      </c>
      <c r="F3959" s="2261">
        <f>E3959/D3959*100</f>
        <v>98.743344447673891</v>
      </c>
      <c r="G3959" s="4358">
        <v>100</v>
      </c>
      <c r="H3959" s="535"/>
    </row>
    <row r="3960" spans="1:11" ht="14.25" hidden="1" customHeight="1" x14ac:dyDescent="0.25">
      <c r="B3960" s="2913"/>
      <c r="C3960" s="3856" t="s">
        <v>5304</v>
      </c>
      <c r="D3960" s="3638">
        <v>63300000</v>
      </c>
      <c r="E3960" s="2001">
        <v>63300000</v>
      </c>
      <c r="F3960" s="1717">
        <f>E3960/D3960*100</f>
        <v>100</v>
      </c>
      <c r="G3960" s="2338">
        <v>100</v>
      </c>
      <c r="H3960" s="535"/>
    </row>
    <row r="3961" spans="1:11" ht="15.75" hidden="1" customHeight="1" x14ac:dyDescent="0.25">
      <c r="B3961" s="2913"/>
      <c r="C3961" s="5480" t="s">
        <v>5305</v>
      </c>
      <c r="D3961" s="3638">
        <v>65032700</v>
      </c>
      <c r="E3961" s="2001">
        <v>63420000</v>
      </c>
      <c r="F3961" s="1717">
        <f>E3961/D3961*100</f>
        <v>97.520170621856394</v>
      </c>
      <c r="G3961" s="2338">
        <v>100</v>
      </c>
      <c r="H3961" s="535"/>
    </row>
    <row r="3962" spans="1:11" ht="12" hidden="1" customHeight="1" x14ac:dyDescent="0.25">
      <c r="B3962" s="2913"/>
      <c r="C3962" s="4048"/>
      <c r="D3962" s="731"/>
      <c r="E3962" s="788"/>
      <c r="F3962" s="2279"/>
      <c r="G3962" s="5529"/>
      <c r="H3962" s="535"/>
    </row>
    <row r="3963" spans="1:11" ht="15" hidden="1" customHeight="1" x14ac:dyDescent="0.25">
      <c r="B3963" s="5397"/>
      <c r="C3963" s="3913" t="s">
        <v>5306</v>
      </c>
      <c r="D3963" s="3631">
        <f>SUM(D3964)</f>
        <v>445033775</v>
      </c>
      <c r="E3963" s="3631">
        <f>SUM(E3964)</f>
        <v>423985800</v>
      </c>
      <c r="F3963" s="2356">
        <f>E3963/D3963*100</f>
        <v>95.270476943014046</v>
      </c>
      <c r="G3963" s="2315">
        <v>100</v>
      </c>
      <c r="H3963" s="535"/>
    </row>
    <row r="3964" spans="1:11" ht="16.5" hidden="1" customHeight="1" x14ac:dyDescent="0.25">
      <c r="B3964" s="2913"/>
      <c r="C3964" s="4103" t="s">
        <v>5307</v>
      </c>
      <c r="D3964" s="3629">
        <f>SUM(D3965:D3966)</f>
        <v>445033775</v>
      </c>
      <c r="E3964" s="3629">
        <f>SUM(E3965:E3966)</f>
        <v>423985800</v>
      </c>
      <c r="F3964" s="2562">
        <f>E3964/D3964*100</f>
        <v>95.270476943014046</v>
      </c>
      <c r="G3964" s="2484">
        <v>100</v>
      </c>
      <c r="H3964" s="535"/>
    </row>
    <row r="3965" spans="1:11" ht="15.75" hidden="1" customHeight="1" x14ac:dyDescent="0.25">
      <c r="B3965" s="2913"/>
      <c r="C3965" s="3856" t="s">
        <v>5308</v>
      </c>
      <c r="D3965" s="5560">
        <v>261033775</v>
      </c>
      <c r="E3965" s="2001">
        <v>250985800</v>
      </c>
      <c r="F3965" s="1717">
        <f>E3965/D3965*100</f>
        <v>96.15069927253667</v>
      </c>
      <c r="G3965" s="2338">
        <v>100</v>
      </c>
      <c r="H3965" s="535"/>
    </row>
    <row r="3966" spans="1:11" ht="16.5" hidden="1" customHeight="1" x14ac:dyDescent="0.25">
      <c r="B3966" s="2913"/>
      <c r="C3966" s="3856" t="s">
        <v>5309</v>
      </c>
      <c r="D3966" s="4519">
        <v>184000000</v>
      </c>
      <c r="E3966" s="2001">
        <v>173000000</v>
      </c>
      <c r="F3966" s="1717">
        <f>E3966/D3966*100</f>
        <v>94.021739130434781</v>
      </c>
      <c r="G3966" s="2338">
        <v>100</v>
      </c>
      <c r="H3966" s="535"/>
    </row>
    <row r="3967" spans="1:11" ht="12" hidden="1" customHeight="1" x14ac:dyDescent="0.25">
      <c r="B3967" s="2913"/>
      <c r="C3967" s="3989"/>
      <c r="D3967" s="731"/>
      <c r="E3967" s="894"/>
      <c r="F3967" s="2281"/>
      <c r="G3967" s="2485"/>
      <c r="H3967" s="535"/>
    </row>
    <row r="3968" spans="1:11" ht="15" hidden="1" customHeight="1" x14ac:dyDescent="0.25">
      <c r="B3968" s="5397"/>
      <c r="C3968" s="3913" t="s">
        <v>5310</v>
      </c>
      <c r="D3968" s="3631">
        <f>SUM(D3969+D3975+D3978+D3983+D3986+D3989)</f>
        <v>2450335000</v>
      </c>
      <c r="E3968" s="3631">
        <f>SUM(E3969+E3975+E3978+E3983+E3986+E3989)</f>
        <v>2449634000</v>
      </c>
      <c r="F3968" s="2356">
        <f t="shared" ref="F3968:F3973" si="113">E3968/D3968*100</f>
        <v>99.971391666853719</v>
      </c>
      <c r="G3968" s="2315">
        <v>100</v>
      </c>
      <c r="H3968" s="535"/>
    </row>
    <row r="3969" spans="1:11" ht="18" hidden="1" customHeight="1" x14ac:dyDescent="0.25">
      <c r="B3969" s="2913"/>
      <c r="C3969" s="4103" t="s">
        <v>5311</v>
      </c>
      <c r="D3969" s="3629">
        <f>SUM(D3970:D3973)</f>
        <v>623855000</v>
      </c>
      <c r="E3969" s="3629">
        <f>SUM(E3970:E3973)</f>
        <v>623154000</v>
      </c>
      <c r="F3969" s="2562">
        <f t="shared" si="113"/>
        <v>99.887634145755015</v>
      </c>
      <c r="G3969" s="2484">
        <v>100</v>
      </c>
      <c r="H3969" s="535"/>
    </row>
    <row r="3970" spans="1:11" ht="17.25" hidden="1" customHeight="1" x14ac:dyDescent="0.25">
      <c r="B3970" s="2913"/>
      <c r="C3970" s="3856" t="s">
        <v>5312</v>
      </c>
      <c r="D3970" s="3638">
        <v>160120000</v>
      </c>
      <c r="E3970" s="2001">
        <v>160120000</v>
      </c>
      <c r="F3970" s="1717">
        <f t="shared" si="113"/>
        <v>100</v>
      </c>
      <c r="G3970" s="2338">
        <v>100</v>
      </c>
      <c r="H3970" s="535"/>
    </row>
    <row r="3971" spans="1:11" ht="13.5" hidden="1" customHeight="1" x14ac:dyDescent="0.25">
      <c r="B3971" s="2913"/>
      <c r="C3971" s="3856" t="s">
        <v>5313</v>
      </c>
      <c r="D3971" s="3638">
        <v>130000000</v>
      </c>
      <c r="E3971" s="2001">
        <v>130000000</v>
      </c>
      <c r="F3971" s="1717">
        <f t="shared" si="113"/>
        <v>100</v>
      </c>
      <c r="G3971" s="2338">
        <v>100</v>
      </c>
      <c r="H3971" s="535"/>
    </row>
    <row r="3972" spans="1:11" ht="15.75" hidden="1" customHeight="1" x14ac:dyDescent="0.25">
      <c r="B3972" s="2913"/>
      <c r="C3972" s="3856" t="s">
        <v>5314</v>
      </c>
      <c r="D3972" s="3638">
        <v>235500000</v>
      </c>
      <c r="E3972" s="2001">
        <v>234799000</v>
      </c>
      <c r="F3972" s="1717">
        <f t="shared" si="113"/>
        <v>99.702335456475595</v>
      </c>
      <c r="G3972" s="2338">
        <v>100</v>
      </c>
      <c r="H3972" s="535"/>
    </row>
    <row r="3973" spans="1:11" ht="12.75" hidden="1" customHeight="1" x14ac:dyDescent="0.25">
      <c r="B3973" s="2913"/>
      <c r="C3973" s="3856" t="s">
        <v>5315</v>
      </c>
      <c r="D3973" s="3638">
        <v>98235000</v>
      </c>
      <c r="E3973" s="2001">
        <v>98235000</v>
      </c>
      <c r="F3973" s="1717">
        <f t="shared" si="113"/>
        <v>100</v>
      </c>
      <c r="G3973" s="2338">
        <v>100</v>
      </c>
      <c r="H3973" s="535"/>
    </row>
    <row r="3974" spans="1:11" ht="6.75" hidden="1" customHeight="1" x14ac:dyDescent="0.25">
      <c r="B3974" s="2913"/>
      <c r="C3974" s="3991"/>
      <c r="D3974" s="3638"/>
      <c r="E3974" s="4059"/>
      <c r="F3974" s="2543"/>
      <c r="G3974" s="3648"/>
      <c r="H3974" s="535"/>
    </row>
    <row r="3975" spans="1:11" ht="19.5" hidden="1" customHeight="1" x14ac:dyDescent="0.25">
      <c r="B3975" s="2913"/>
      <c r="C3975" s="4103" t="s">
        <v>5316</v>
      </c>
      <c r="D3975" s="3639">
        <f>SUM(D3976:D3976)</f>
        <v>331200000</v>
      </c>
      <c r="E3975" s="3639">
        <f>SUM(E3976:E3976)</f>
        <v>331200000</v>
      </c>
      <c r="F3975" s="2261">
        <f>E3975/D3975*100</f>
        <v>100</v>
      </c>
      <c r="G3975" s="4358">
        <v>100</v>
      </c>
      <c r="H3975" s="535"/>
    </row>
    <row r="3976" spans="1:11" ht="28.5" hidden="1" customHeight="1" x14ac:dyDescent="0.25">
      <c r="B3976" s="2913"/>
      <c r="C3976" s="3856" t="s">
        <v>5317</v>
      </c>
      <c r="D3976" s="3638">
        <v>331200000</v>
      </c>
      <c r="E3976" s="2001">
        <v>331200000</v>
      </c>
      <c r="F3976" s="1717">
        <f>E3976/D3976*100</f>
        <v>100</v>
      </c>
      <c r="G3976" s="2338">
        <v>100</v>
      </c>
      <c r="H3976" s="535"/>
    </row>
    <row r="3977" spans="1:11" ht="9" hidden="1" customHeight="1" x14ac:dyDescent="0.25">
      <c r="B3977" s="2913"/>
      <c r="C3977" s="3991"/>
      <c r="D3977" s="3638"/>
      <c r="E3977" s="4059"/>
      <c r="F3977" s="1507"/>
      <c r="G3977" s="2338"/>
      <c r="H3977" s="535"/>
    </row>
    <row r="3978" spans="1:11" ht="18.75" hidden="1" customHeight="1" x14ac:dyDescent="0.25">
      <c r="B3978" s="2913"/>
      <c r="C3978" s="4103" t="s">
        <v>5318</v>
      </c>
      <c r="D3978" s="3639">
        <f>SUM(D3979:D3981)</f>
        <v>556580000</v>
      </c>
      <c r="E3978" s="3639">
        <f>SUM(E3979:E3981)</f>
        <v>556580000</v>
      </c>
      <c r="F3978" s="2261">
        <f>E3978/D3978*100</f>
        <v>100</v>
      </c>
      <c r="G3978" s="2484">
        <v>100</v>
      </c>
      <c r="H3978" s="535"/>
    </row>
    <row r="3979" spans="1:11" ht="28.5" hidden="1" customHeight="1" x14ac:dyDescent="0.25">
      <c r="B3979" s="2913"/>
      <c r="C3979" s="3856" t="s">
        <v>5319</v>
      </c>
      <c r="D3979" s="3638">
        <v>234180000</v>
      </c>
      <c r="E3979" s="3638">
        <v>234180000</v>
      </c>
      <c r="F3979" s="1717">
        <f>E3979/D3979*100</f>
        <v>100</v>
      </c>
      <c r="G3979" s="3648">
        <v>100</v>
      </c>
      <c r="H3979" s="535"/>
    </row>
    <row r="3980" spans="1:11" s="4099" customFormat="1" ht="13.5" hidden="1" customHeight="1" x14ac:dyDescent="0.25">
      <c r="A3980" s="4101"/>
      <c r="B3980" s="2913"/>
      <c r="C3980" s="3856" t="s">
        <v>5320</v>
      </c>
      <c r="D3980" s="3638">
        <v>204200000</v>
      </c>
      <c r="E3980" s="3638">
        <v>204200000</v>
      </c>
      <c r="F3980" s="1717">
        <f>E3980/D3980*100</f>
        <v>100</v>
      </c>
      <c r="G3980" s="3648">
        <v>100</v>
      </c>
      <c r="H3980" s="4109"/>
      <c r="J3980" s="522"/>
      <c r="K3980" s="522"/>
    </row>
    <row r="3981" spans="1:11" s="4099" customFormat="1" ht="17.25" hidden="1" customHeight="1" x14ac:dyDescent="0.25">
      <c r="A3981" s="4101"/>
      <c r="B3981" s="2913"/>
      <c r="C3981" s="3856" t="s">
        <v>5321</v>
      </c>
      <c r="D3981" s="3638">
        <v>118200000</v>
      </c>
      <c r="E3981" s="3638">
        <v>118200000</v>
      </c>
      <c r="F3981" s="1717">
        <f>E3981/D3981*100</f>
        <v>100</v>
      </c>
      <c r="G3981" s="3648">
        <v>100</v>
      </c>
      <c r="H3981" s="4109"/>
      <c r="J3981" s="522"/>
      <c r="K3981" s="522"/>
    </row>
    <row r="3982" spans="1:11" ht="7.5" hidden="1" customHeight="1" x14ac:dyDescent="0.25">
      <c r="B3982" s="2913"/>
      <c r="C3982" s="3991"/>
      <c r="D3982" s="3638"/>
      <c r="E3982" s="3879"/>
      <c r="F3982" s="3648"/>
      <c r="G3982" s="3648"/>
      <c r="H3982" s="535"/>
    </row>
    <row r="3983" spans="1:11" ht="17.25" hidden="1" customHeight="1" x14ac:dyDescent="0.25">
      <c r="B3983" s="2913"/>
      <c r="C3983" s="4299" t="s">
        <v>5322</v>
      </c>
      <c r="D3983" s="3639">
        <f>SUM(D3984)</f>
        <v>260800000</v>
      </c>
      <c r="E3983" s="3639">
        <f>SUM(E3984)</f>
        <v>260800000</v>
      </c>
      <c r="F3983" s="2261">
        <f>E3983/D3983*100</f>
        <v>100</v>
      </c>
      <c r="G3983" s="2484">
        <v>100</v>
      </c>
      <c r="H3983" s="535"/>
    </row>
    <row r="3984" spans="1:11" ht="15.75" hidden="1" customHeight="1" x14ac:dyDescent="0.25">
      <c r="B3984" s="2913"/>
      <c r="C3984" s="3856" t="s">
        <v>5323</v>
      </c>
      <c r="D3984" s="3638">
        <v>260800000</v>
      </c>
      <c r="E3984" s="3638">
        <v>260800000</v>
      </c>
      <c r="F3984" s="1717">
        <f>E3984/D3984*100</f>
        <v>100</v>
      </c>
      <c r="G3984" s="3648">
        <v>100</v>
      </c>
      <c r="H3984" s="535"/>
    </row>
    <row r="3985" spans="1:11" ht="8.25" hidden="1" customHeight="1" x14ac:dyDescent="0.25">
      <c r="B3985" s="2913"/>
      <c r="C3985" s="3991"/>
      <c r="D3985" s="3638"/>
      <c r="E3985" s="3879"/>
      <c r="F3985" s="3648"/>
      <c r="G3985" s="3648"/>
      <c r="H3985" s="535"/>
    </row>
    <row r="3986" spans="1:11" ht="18" hidden="1" customHeight="1" x14ac:dyDescent="0.25">
      <c r="B3986" s="2913"/>
      <c r="C3986" s="4299" t="s">
        <v>5324</v>
      </c>
      <c r="D3986" s="3639">
        <f>SUM(D3987:D3987)</f>
        <v>143000000</v>
      </c>
      <c r="E3986" s="3639">
        <f>SUM(E3987:E3987)</f>
        <v>143000000</v>
      </c>
      <c r="F3986" s="2261">
        <f>E3986/D3986*100</f>
        <v>100</v>
      </c>
      <c r="G3986" s="3600">
        <v>100</v>
      </c>
      <c r="H3986" s="535"/>
    </row>
    <row r="3987" spans="1:11" ht="17.25" hidden="1" customHeight="1" x14ac:dyDescent="0.25">
      <c r="B3987" s="2913"/>
      <c r="C3987" s="3856" t="s">
        <v>5325</v>
      </c>
      <c r="D3987" s="3638">
        <v>143000000</v>
      </c>
      <c r="E3987" s="3638">
        <v>143000000</v>
      </c>
      <c r="F3987" s="1717">
        <f>E3987/D3987*100</f>
        <v>100</v>
      </c>
      <c r="G3987" s="2338">
        <v>100</v>
      </c>
      <c r="H3987" s="535"/>
    </row>
    <row r="3988" spans="1:11" s="4099" customFormat="1" ht="9" hidden="1" customHeight="1" x14ac:dyDescent="0.25">
      <c r="A3988" s="4101"/>
      <c r="B3988" s="2913"/>
      <c r="C3988" s="5480"/>
      <c r="D3988" s="1995"/>
      <c r="E3988" s="1995"/>
      <c r="F3988" s="1995"/>
      <c r="G3988" s="2485"/>
      <c r="H3988" s="4109"/>
      <c r="J3988" s="522"/>
      <c r="K3988" s="522"/>
    </row>
    <row r="3989" spans="1:11" s="3598" customFormat="1" ht="12.75" hidden="1" customHeight="1" x14ac:dyDescent="0.25">
      <c r="A3989" s="3588"/>
      <c r="B3989" s="2913"/>
      <c r="C3989" s="4103" t="s">
        <v>5326</v>
      </c>
      <c r="D3989" s="1124">
        <f>D3990</f>
        <v>534900000</v>
      </c>
      <c r="E3989" s="1124">
        <f>E3990</f>
        <v>534900000</v>
      </c>
      <c r="F3989" s="2261">
        <f>E3989/D3989*100</f>
        <v>100</v>
      </c>
      <c r="G3989" s="3600">
        <v>100</v>
      </c>
      <c r="H3989" s="3592"/>
      <c r="J3989" s="2002"/>
      <c r="K3989" s="2002"/>
    </row>
    <row r="3990" spans="1:11" s="4099" customFormat="1" ht="17.25" hidden="1" customHeight="1" x14ac:dyDescent="0.25">
      <c r="A3990" s="4101"/>
      <c r="B3990" s="2913"/>
      <c r="C3990" s="3856" t="s">
        <v>5327</v>
      </c>
      <c r="D3990" s="1995">
        <v>534900000</v>
      </c>
      <c r="E3990" s="1995">
        <v>534900000</v>
      </c>
      <c r="F3990" s="1717">
        <f>E3990/D3990*100</f>
        <v>100</v>
      </c>
      <c r="G3990" s="2338">
        <v>100</v>
      </c>
      <c r="H3990" s="4109"/>
      <c r="J3990" s="522"/>
      <c r="K3990" s="522"/>
    </row>
    <row r="3991" spans="1:11" ht="6.75" hidden="1" customHeight="1" x14ac:dyDescent="0.25">
      <c r="B3991" s="2913"/>
      <c r="D3991" s="798"/>
      <c r="E3991" s="1945"/>
      <c r="F3991" s="2275"/>
      <c r="G3991" s="2275"/>
      <c r="H3991" s="535"/>
    </row>
    <row r="3992" spans="1:11" ht="15" hidden="1" customHeight="1" x14ac:dyDescent="0.25">
      <c r="B3992" s="5397"/>
      <c r="C3992" s="3913" t="s">
        <v>4827</v>
      </c>
      <c r="D3992" s="3631">
        <f>SUM(D3993+D3997)</f>
        <v>6807000000</v>
      </c>
      <c r="E3992" s="3631">
        <f>SUM(E3993+E3997)</f>
        <v>6684269399</v>
      </c>
      <c r="F3992" s="2356">
        <f>E3992/D3992*100</f>
        <v>98.196994255913026</v>
      </c>
      <c r="G3992" s="2315">
        <v>100</v>
      </c>
      <c r="H3992" s="535"/>
    </row>
    <row r="3993" spans="1:11" s="3598" customFormat="1" ht="18.75" hidden="1" customHeight="1" x14ac:dyDescent="0.25">
      <c r="A3993" s="3588"/>
      <c r="B3993" s="2913"/>
      <c r="C3993" s="4103" t="s">
        <v>5328</v>
      </c>
      <c r="D3993" s="3629">
        <f>SUM(D3994:D3995)</f>
        <v>1411179680</v>
      </c>
      <c r="E3993" s="3629">
        <f>SUM(E3994:E3995)</f>
        <v>1403300000</v>
      </c>
      <c r="F3993" s="2562">
        <f>E3993/D3993*100</f>
        <v>99.441624612962116</v>
      </c>
      <c r="G3993" s="2484">
        <v>100</v>
      </c>
      <c r="H3993" s="3592"/>
      <c r="J3993" s="2002"/>
      <c r="K3993" s="2002"/>
    </row>
    <row r="3994" spans="1:11" s="3387" customFormat="1" ht="14.25" hidden="1" customHeight="1" x14ac:dyDescent="0.25">
      <c r="A3994" s="3587"/>
      <c r="B3994" s="5411"/>
      <c r="C3994" s="3856" t="s">
        <v>5329</v>
      </c>
      <c r="D3994" s="3630">
        <v>650000000</v>
      </c>
      <c r="E3994" s="386">
        <v>643000000</v>
      </c>
      <c r="F3994" s="1717">
        <f>E3994/D3994*100</f>
        <v>98.92307692307692</v>
      </c>
      <c r="G3994" s="2338">
        <v>100</v>
      </c>
      <c r="H3994" s="3590"/>
      <c r="J3994" s="3700"/>
      <c r="K3994" s="3700"/>
    </row>
    <row r="3995" spans="1:11" s="3387" customFormat="1" ht="15.75" hidden="1" customHeight="1" x14ac:dyDescent="0.25">
      <c r="A3995" s="3587"/>
      <c r="B3995" s="5411"/>
      <c r="C3995" s="3856" t="s">
        <v>5330</v>
      </c>
      <c r="D3995" s="3630">
        <v>761179680</v>
      </c>
      <c r="E3995" s="386">
        <v>760300000</v>
      </c>
      <c r="F3995" s="1717">
        <f>E3995/D3995*100</f>
        <v>99.884432017418007</v>
      </c>
      <c r="G3995" s="2338">
        <v>100</v>
      </c>
      <c r="H3995" s="3590"/>
      <c r="J3995" s="3700"/>
      <c r="K3995" s="3700"/>
    </row>
    <row r="3996" spans="1:11" s="4099" customFormat="1" ht="8.25" hidden="1" customHeight="1" x14ac:dyDescent="0.25">
      <c r="A3996" s="4101"/>
      <c r="B3996" s="2913"/>
      <c r="C3996" s="3991"/>
      <c r="D3996" s="3629"/>
      <c r="E3996" s="4107"/>
      <c r="F3996" s="1717"/>
      <c r="G3996" s="2484"/>
      <c r="H3996" s="4109"/>
      <c r="J3996" s="522"/>
      <c r="K3996" s="522"/>
    </row>
    <row r="3997" spans="1:11" s="3598" customFormat="1" ht="13.5" hidden="1" customHeight="1" x14ac:dyDescent="0.25">
      <c r="A3997" s="3588"/>
      <c r="B3997" s="2913"/>
      <c r="C3997" s="4103" t="s">
        <v>5331</v>
      </c>
      <c r="D3997" s="3629">
        <f>SUM(D3998:D4007)</f>
        <v>5395820320</v>
      </c>
      <c r="E3997" s="3629">
        <f>SUM(E3998:E4007)</f>
        <v>5280969399</v>
      </c>
      <c r="F3997" s="2261">
        <f t="shared" ref="F3997:F4007" si="114">E3997/D3997*100</f>
        <v>97.871483589357183</v>
      </c>
      <c r="G3997" s="2484">
        <v>100</v>
      </c>
      <c r="H3997" s="3592"/>
      <c r="J3997" s="2002"/>
      <c r="K3997" s="2002"/>
    </row>
    <row r="3998" spans="1:11" ht="17.25" hidden="1" customHeight="1" x14ac:dyDescent="0.25">
      <c r="B3998" s="2913"/>
      <c r="C3998" s="3856" t="s">
        <v>5334</v>
      </c>
      <c r="D3998" s="3638">
        <v>200000000</v>
      </c>
      <c r="E3998" s="608">
        <v>199154000</v>
      </c>
      <c r="F3998" s="1717">
        <f t="shared" si="114"/>
        <v>99.576999999999998</v>
      </c>
      <c r="G3998" s="2338">
        <v>100</v>
      </c>
      <c r="H3998" s="535"/>
    </row>
    <row r="3999" spans="1:11" ht="15.75" hidden="1" customHeight="1" x14ac:dyDescent="0.25">
      <c r="B3999" s="2913"/>
      <c r="C3999" s="3856" t="s">
        <v>5335</v>
      </c>
      <c r="D3999" s="3630">
        <v>200000000</v>
      </c>
      <c r="E3999" s="894">
        <v>198940000</v>
      </c>
      <c r="F3999" s="1717">
        <f t="shared" si="114"/>
        <v>99.47</v>
      </c>
      <c r="G3999" s="2338">
        <v>100</v>
      </c>
      <c r="H3999" s="535"/>
    </row>
    <row r="4000" spans="1:11" s="4099" customFormat="1" ht="16.5" hidden="1" customHeight="1" x14ac:dyDescent="0.25">
      <c r="A4000" s="4101"/>
      <c r="B4000" s="2913"/>
      <c r="C4000" s="3856" t="s">
        <v>5336</v>
      </c>
      <c r="D4000" s="3630">
        <v>60000000</v>
      </c>
      <c r="E4000" s="666">
        <v>59500000</v>
      </c>
      <c r="F4000" s="1717">
        <f t="shared" si="114"/>
        <v>99.166666666666671</v>
      </c>
      <c r="G4000" s="2338">
        <v>100</v>
      </c>
      <c r="H4000" s="4109"/>
      <c r="J4000" s="522"/>
      <c r="K4000" s="522"/>
    </row>
    <row r="4001" spans="1:11" s="4099" customFormat="1" ht="16.5" hidden="1" customHeight="1" x14ac:dyDescent="0.25">
      <c r="A4001" s="4101"/>
      <c r="B4001" s="2913"/>
      <c r="C4001" s="3856" t="s">
        <v>5337</v>
      </c>
      <c r="D4001" s="3630">
        <v>2125000000</v>
      </c>
      <c r="E4001" s="666">
        <v>2092348399</v>
      </c>
      <c r="F4001" s="1717">
        <f t="shared" si="114"/>
        <v>98.463454070588227</v>
      </c>
      <c r="G4001" s="2338">
        <v>100</v>
      </c>
      <c r="H4001" s="4109"/>
      <c r="J4001" s="522"/>
      <c r="K4001" s="522"/>
    </row>
    <row r="4002" spans="1:11" s="4099" customFormat="1" ht="16.5" hidden="1" customHeight="1" x14ac:dyDescent="0.25">
      <c r="A4002" s="4101"/>
      <c r="B4002" s="2913"/>
      <c r="C4002" s="3856" t="s">
        <v>5341</v>
      </c>
      <c r="D4002" s="3630">
        <v>275000000</v>
      </c>
      <c r="E4002" s="666">
        <v>273400000</v>
      </c>
      <c r="F4002" s="1717">
        <f t="shared" si="114"/>
        <v>99.418181818181822</v>
      </c>
      <c r="G4002" s="2338">
        <v>100</v>
      </c>
      <c r="H4002" s="4109"/>
      <c r="J4002" s="522"/>
      <c r="K4002" s="522"/>
    </row>
    <row r="4003" spans="1:11" s="4099" customFormat="1" ht="14.25" hidden="1" customHeight="1" x14ac:dyDescent="0.25">
      <c r="A4003" s="4101"/>
      <c r="B4003" s="2913"/>
      <c r="C4003" s="3856" t="s">
        <v>5340</v>
      </c>
      <c r="D4003" s="3630">
        <v>1133820320</v>
      </c>
      <c r="E4003" s="666">
        <v>1065337000</v>
      </c>
      <c r="F4003" s="1717">
        <f t="shared" si="114"/>
        <v>93.959949491820709</v>
      </c>
      <c r="G4003" s="2338">
        <v>100</v>
      </c>
      <c r="H4003" s="4109"/>
      <c r="J4003" s="522"/>
      <c r="K4003" s="522"/>
    </row>
    <row r="4004" spans="1:11" s="4099" customFormat="1" ht="15" hidden="1" customHeight="1" x14ac:dyDescent="0.25">
      <c r="A4004" s="4101"/>
      <c r="B4004" s="2913"/>
      <c r="C4004" s="3856" t="s">
        <v>5332</v>
      </c>
      <c r="D4004" s="3630">
        <v>80000000</v>
      </c>
      <c r="E4004" s="666">
        <v>79700000</v>
      </c>
      <c r="F4004" s="1717">
        <f t="shared" si="114"/>
        <v>99.625</v>
      </c>
      <c r="G4004" s="2338">
        <v>100</v>
      </c>
      <c r="H4004" s="4109"/>
      <c r="J4004" s="522"/>
      <c r="K4004" s="522"/>
    </row>
    <row r="4005" spans="1:11" s="4099" customFormat="1" ht="14.25" hidden="1" customHeight="1" x14ac:dyDescent="0.25">
      <c r="A4005" s="4101"/>
      <c r="B4005" s="2913"/>
      <c r="C4005" s="3856" t="s">
        <v>5333</v>
      </c>
      <c r="D4005" s="3630">
        <v>300000000</v>
      </c>
      <c r="E4005" s="666">
        <v>298930000</v>
      </c>
      <c r="F4005" s="1717">
        <f t="shared" si="114"/>
        <v>99.643333333333331</v>
      </c>
      <c r="G4005" s="2338">
        <v>100</v>
      </c>
      <c r="H4005" s="4109"/>
      <c r="J4005" s="522"/>
      <c r="K4005" s="522"/>
    </row>
    <row r="4006" spans="1:11" s="4099" customFormat="1" ht="15" hidden="1" customHeight="1" x14ac:dyDescent="0.25">
      <c r="A4006" s="4101"/>
      <c r="B4006" s="2913"/>
      <c r="C4006" s="3856" t="s">
        <v>5339</v>
      </c>
      <c r="D4006" s="3630">
        <v>400000000</v>
      </c>
      <c r="E4006" s="666">
        <v>393360000</v>
      </c>
      <c r="F4006" s="1717">
        <f t="shared" si="114"/>
        <v>98.34</v>
      </c>
      <c r="G4006" s="2338">
        <v>100</v>
      </c>
      <c r="H4006" s="4109"/>
      <c r="J4006" s="522"/>
      <c r="K4006" s="522"/>
    </row>
    <row r="4007" spans="1:11" s="4099" customFormat="1" ht="15" hidden="1" customHeight="1" x14ac:dyDescent="0.25">
      <c r="A4007" s="4101"/>
      <c r="B4007" s="2913"/>
      <c r="C4007" s="3856" t="s">
        <v>5338</v>
      </c>
      <c r="D4007" s="3630">
        <v>622000000</v>
      </c>
      <c r="E4007" s="666">
        <v>620300000</v>
      </c>
      <c r="F4007" s="1717">
        <f t="shared" si="114"/>
        <v>99.726688102893888</v>
      </c>
      <c r="G4007" s="2338">
        <v>100</v>
      </c>
      <c r="H4007" s="4109"/>
      <c r="J4007" s="522"/>
      <c r="K4007" s="522"/>
    </row>
    <row r="4008" spans="1:11" s="4099" customFormat="1" ht="12" hidden="1" customHeight="1" x14ac:dyDescent="0.25">
      <c r="A4008" s="4101"/>
      <c r="B4008" s="2913"/>
      <c r="C4008" s="4172"/>
      <c r="D4008" s="827"/>
      <c r="E4008" s="969"/>
      <c r="F4008" s="2681"/>
      <c r="G4008" s="5529"/>
      <c r="H4008" s="4109"/>
      <c r="J4008" s="522"/>
      <c r="K4008" s="522"/>
    </row>
    <row r="4009" spans="1:11" ht="14.25" hidden="1" customHeight="1" x14ac:dyDescent="0.25">
      <c r="B4009" s="5397"/>
      <c r="C4009" s="3913" t="s">
        <v>5342</v>
      </c>
      <c r="D4009" s="3631">
        <f>SUM(D4010)</f>
        <v>252442740</v>
      </c>
      <c r="E4009" s="3631">
        <f>SUM(E4010)</f>
        <v>251890000</v>
      </c>
      <c r="F4009" s="2356">
        <f>E4009/D4009*100</f>
        <v>99.781043416023778</v>
      </c>
      <c r="G4009" s="2315">
        <v>100</v>
      </c>
      <c r="H4009" s="535"/>
    </row>
    <row r="4010" spans="1:11" ht="16.5" hidden="1" customHeight="1" x14ac:dyDescent="0.25">
      <c r="B4010" s="2913"/>
      <c r="C4010" s="4103" t="s">
        <v>5343</v>
      </c>
      <c r="D4010" s="3629">
        <f>SUM(D4011:D4011)</f>
        <v>252442740</v>
      </c>
      <c r="E4010" s="3629">
        <f>SUM(E4011:E4011)</f>
        <v>251890000</v>
      </c>
      <c r="F4010" s="2562">
        <f>E4010/D4010*100</f>
        <v>99.781043416023778</v>
      </c>
      <c r="G4010" s="3639">
        <v>100</v>
      </c>
      <c r="H4010" s="535"/>
    </row>
    <row r="4011" spans="1:11" ht="16.5" hidden="1" customHeight="1" x14ac:dyDescent="0.25">
      <c r="B4011" s="2913"/>
      <c r="C4011" s="3856" t="s">
        <v>5344</v>
      </c>
      <c r="D4011" s="3638">
        <v>252442740</v>
      </c>
      <c r="E4011" s="3638">
        <v>251890000</v>
      </c>
      <c r="F4011" s="1717">
        <f>E4011/D4011*100</f>
        <v>99.781043416023778</v>
      </c>
      <c r="G4011" s="3638">
        <v>100</v>
      </c>
      <c r="H4011" s="535"/>
    </row>
    <row r="4012" spans="1:11" ht="12" hidden="1" customHeight="1" x14ac:dyDescent="0.25">
      <c r="B4012" s="2913"/>
      <c r="D4012" s="798"/>
      <c r="F4012" s="2282"/>
      <c r="G4012" s="5529"/>
      <c r="H4012" s="535"/>
    </row>
    <row r="4013" spans="1:11" ht="15.75" hidden="1" customHeight="1" x14ac:dyDescent="0.25">
      <c r="B4013" s="5397"/>
      <c r="C4013" s="3913" t="s">
        <v>5345</v>
      </c>
      <c r="D4013" s="3631">
        <f>SUM(D4014)</f>
        <v>254000000</v>
      </c>
      <c r="E4013" s="3631">
        <f>SUM(E4014)</f>
        <v>252780000</v>
      </c>
      <c r="F4013" s="2356">
        <f>E4013/D4013*100</f>
        <v>99.519685039370074</v>
      </c>
      <c r="G4013" s="2315">
        <v>100</v>
      </c>
      <c r="H4013" s="535"/>
    </row>
    <row r="4014" spans="1:11" ht="19.5" hidden="1" customHeight="1" x14ac:dyDescent="0.25">
      <c r="B4014" s="5405"/>
      <c r="C4014" s="4103" t="s">
        <v>5346</v>
      </c>
      <c r="D4014" s="3629">
        <f>SUM(D4015:D4016)</f>
        <v>254000000</v>
      </c>
      <c r="E4014" s="3629">
        <f>SUM(E4015:E4016)</f>
        <v>252780000</v>
      </c>
      <c r="F4014" s="2562">
        <f>E4014/D4014*100</f>
        <v>99.519685039370074</v>
      </c>
      <c r="G4014" s="2484">
        <v>100</v>
      </c>
      <c r="H4014" s="535"/>
    </row>
    <row r="4015" spans="1:11" ht="16.5" hidden="1" customHeight="1" x14ac:dyDescent="0.25">
      <c r="B4015" s="5405"/>
      <c r="C4015" s="3856" t="s">
        <v>5347</v>
      </c>
      <c r="D4015" s="3638">
        <v>77000000</v>
      </c>
      <c r="E4015" s="3638">
        <v>77000000</v>
      </c>
      <c r="F4015" s="1717">
        <f>E4015/D4015*100</f>
        <v>100</v>
      </c>
      <c r="G4015" s="2338">
        <v>100</v>
      </c>
      <c r="H4015" s="535"/>
    </row>
    <row r="4016" spans="1:11" s="3387" customFormat="1" ht="15.75" hidden="1" customHeight="1" x14ac:dyDescent="0.25">
      <c r="A4016" s="3587"/>
      <c r="B4016" s="5420"/>
      <c r="C4016" s="3856" t="s">
        <v>5348</v>
      </c>
      <c r="D4016" s="3630">
        <v>177000000</v>
      </c>
      <c r="E4016" s="2001">
        <v>175780000</v>
      </c>
      <c r="F4016" s="1717">
        <f>E4016/D4016*100</f>
        <v>99.310734463276845</v>
      </c>
      <c r="G4016" s="2338">
        <v>100</v>
      </c>
      <c r="H4016" s="4152"/>
      <c r="J4016" s="3700"/>
      <c r="K4016" s="3700"/>
    </row>
    <row r="4017" spans="1:11" s="4099" customFormat="1" ht="12" hidden="1" customHeight="1" x14ac:dyDescent="0.25">
      <c r="A4017" s="4101"/>
      <c r="B4017" s="2913"/>
      <c r="C4017" s="4172"/>
      <c r="D4017" s="827"/>
      <c r="E4017" s="4140"/>
      <c r="F4017" s="2515"/>
      <c r="G4017" s="5561"/>
      <c r="H4017" s="577"/>
      <c r="J4017" s="522"/>
      <c r="K4017" s="522"/>
    </row>
    <row r="4018" spans="1:11" ht="16.5" hidden="1" customHeight="1" x14ac:dyDescent="0.25">
      <c r="B4018" s="5397"/>
      <c r="C4018" s="3913" t="s">
        <v>5349</v>
      </c>
      <c r="D4018" s="3631">
        <f>SUM(D4019)</f>
        <v>500150000</v>
      </c>
      <c r="E4018" s="3631">
        <f>SUM(E4019)</f>
        <v>498630000</v>
      </c>
      <c r="F4018" s="2356">
        <f>E4018/D4018*100</f>
        <v>99.69609117264821</v>
      </c>
      <c r="G4018" s="2315">
        <v>100</v>
      </c>
      <c r="H4018" s="578"/>
    </row>
    <row r="4019" spans="1:11" ht="17.25" hidden="1" customHeight="1" x14ac:dyDescent="0.25">
      <c r="B4019" s="2913"/>
      <c r="C4019" s="4103" t="s">
        <v>5350</v>
      </c>
      <c r="D4019" s="3629">
        <f>SUM(D4020:D4022)</f>
        <v>500150000</v>
      </c>
      <c r="E4019" s="3629">
        <f>SUM(E4020:E4022)</f>
        <v>498630000</v>
      </c>
      <c r="F4019" s="2562">
        <f>E4019/D4019*100</f>
        <v>99.69609117264821</v>
      </c>
      <c r="G4019" s="2484">
        <v>100</v>
      </c>
      <c r="H4019" s="535"/>
    </row>
    <row r="4020" spans="1:11" ht="16.5" hidden="1" customHeight="1" x14ac:dyDescent="0.25">
      <c r="B4020" s="2913"/>
      <c r="C4020" s="3856" t="s">
        <v>5351</v>
      </c>
      <c r="D4020" s="3630">
        <v>375000000</v>
      </c>
      <c r="E4020" s="2001">
        <v>373568000</v>
      </c>
      <c r="F4020" s="1717">
        <f>E4020/D4020*100</f>
        <v>99.618133333333333</v>
      </c>
      <c r="G4020" s="2338">
        <v>100</v>
      </c>
      <c r="H4020" s="535"/>
    </row>
    <row r="4021" spans="1:11" ht="27" hidden="1" customHeight="1" x14ac:dyDescent="0.25">
      <c r="B4021" s="2913"/>
      <c r="C4021" s="3856" t="s">
        <v>5352</v>
      </c>
      <c r="D4021" s="3630">
        <v>31150000</v>
      </c>
      <c r="E4021" s="666">
        <v>31150000</v>
      </c>
      <c r="F4021" s="1717">
        <f>E4021/D4021*100</f>
        <v>100</v>
      </c>
      <c r="G4021" s="2338">
        <v>100</v>
      </c>
      <c r="H4021" s="535"/>
    </row>
    <row r="4022" spans="1:11" s="3387" customFormat="1" ht="15" hidden="1" customHeight="1" x14ac:dyDescent="0.25">
      <c r="A4022" s="3587"/>
      <c r="B4022" s="5401"/>
      <c r="C4022" s="3856" t="s">
        <v>5353</v>
      </c>
      <c r="D4022" s="3630">
        <v>94000000</v>
      </c>
      <c r="E4022" s="3638">
        <v>93912000</v>
      </c>
      <c r="F4022" s="1717">
        <f>E4022/D4022*100</f>
        <v>99.9063829787234</v>
      </c>
      <c r="G4022" s="2338">
        <v>100</v>
      </c>
      <c r="H4022" s="3590"/>
      <c r="J4022" s="3700"/>
      <c r="K4022" s="3700"/>
    </row>
    <row r="4023" spans="1:11" ht="12" hidden="1" customHeight="1" x14ac:dyDescent="0.25">
      <c r="B4023" s="2913"/>
      <c r="D4023" s="798"/>
      <c r="E4023" s="969"/>
      <c r="F4023" s="2279"/>
      <c r="G4023" s="5529"/>
      <c r="H4023" s="535"/>
    </row>
    <row r="4024" spans="1:11" ht="14.25" hidden="1" customHeight="1" x14ac:dyDescent="0.25">
      <c r="B4024" s="5397"/>
      <c r="C4024" s="3913" t="s">
        <v>5354</v>
      </c>
      <c r="D4024" s="3631">
        <f>SUM(D4025)</f>
        <v>507800000</v>
      </c>
      <c r="E4024" s="3631">
        <f>SUM(E4025)</f>
        <v>499593000</v>
      </c>
      <c r="F4024" s="2356">
        <f>E4024/D4024*100</f>
        <v>98.38381252461599</v>
      </c>
      <c r="G4024" s="1726">
        <v>100</v>
      </c>
      <c r="H4024" s="535"/>
    </row>
    <row r="4025" spans="1:11" ht="17.25" hidden="1" customHeight="1" x14ac:dyDescent="0.25">
      <c r="B4025" s="5402"/>
      <c r="C4025" s="4103" t="s">
        <v>5355</v>
      </c>
      <c r="D4025" s="3629">
        <f>SUM(D4026:D4028)</f>
        <v>507800000</v>
      </c>
      <c r="E4025" s="3629">
        <f>SUM(E4026:E4028)</f>
        <v>499593000</v>
      </c>
      <c r="F4025" s="2562">
        <f>E4025/D4025*100</f>
        <v>98.38381252461599</v>
      </c>
      <c r="G4025" s="3600">
        <v>100</v>
      </c>
      <c r="H4025" s="535"/>
    </row>
    <row r="4026" spans="1:11" ht="17.25" hidden="1" customHeight="1" x14ac:dyDescent="0.25">
      <c r="B4026" s="2913"/>
      <c r="C4026" s="3856" t="s">
        <v>5356</v>
      </c>
      <c r="D4026" s="1492">
        <v>151300000</v>
      </c>
      <c r="E4026" s="2001">
        <v>147943000</v>
      </c>
      <c r="F4026" s="1717">
        <f>E4026/D4026*100</f>
        <v>97.781229345670852</v>
      </c>
      <c r="G4026" s="3648">
        <v>100</v>
      </c>
      <c r="H4026" s="535"/>
    </row>
    <row r="4027" spans="1:11" ht="16.5" hidden="1" customHeight="1" x14ac:dyDescent="0.25">
      <c r="B4027" s="2913"/>
      <c r="C4027" s="3856" t="s">
        <v>5468</v>
      </c>
      <c r="D4027" s="1492">
        <v>52500000</v>
      </c>
      <c r="E4027" s="3638">
        <v>52500000</v>
      </c>
      <c r="F4027" s="1717">
        <f>E4027/D4027*100</f>
        <v>100</v>
      </c>
      <c r="G4027" s="3648">
        <v>100</v>
      </c>
      <c r="H4027" s="535"/>
    </row>
    <row r="4028" spans="1:11" ht="16.5" hidden="1" customHeight="1" x14ac:dyDescent="0.25">
      <c r="B4028" s="2913"/>
      <c r="C4028" s="3856" t="s">
        <v>5357</v>
      </c>
      <c r="D4028" s="880">
        <v>304000000</v>
      </c>
      <c r="E4028" s="2001">
        <v>299150000</v>
      </c>
      <c r="F4028" s="1717">
        <f>E4028/D4028*100</f>
        <v>98.40460526315789</v>
      </c>
      <c r="G4028" s="2338">
        <v>100</v>
      </c>
      <c r="H4028" s="535"/>
    </row>
    <row r="4029" spans="1:11" ht="12" hidden="1" customHeight="1" x14ac:dyDescent="0.25">
      <c r="B4029" s="2913"/>
      <c r="D4029" s="798"/>
      <c r="E4029" s="973"/>
      <c r="F4029" s="2279"/>
      <c r="G4029" s="5529"/>
      <c r="H4029" s="535"/>
    </row>
    <row r="4030" spans="1:11" ht="15.75" hidden="1" customHeight="1" x14ac:dyDescent="0.25">
      <c r="B4030" s="5397"/>
      <c r="C4030" s="3913" t="s">
        <v>5358</v>
      </c>
      <c r="D4030" s="3631">
        <f>SUM(D4031+D4036+D4043)</f>
        <v>1852064400</v>
      </c>
      <c r="E4030" s="3631">
        <f>SUM(E4031+E4036+E4043)</f>
        <v>1841425000</v>
      </c>
      <c r="F4030" s="2356">
        <f>E4030/D4030*100</f>
        <v>99.425538334412138</v>
      </c>
      <c r="G4030" s="2315">
        <v>100</v>
      </c>
      <c r="H4030" s="535"/>
    </row>
    <row r="4031" spans="1:11" ht="18.75" hidden="1" customHeight="1" x14ac:dyDescent="0.25">
      <c r="B4031" s="2913"/>
      <c r="C4031" s="4103" t="s">
        <v>5359</v>
      </c>
      <c r="D4031" s="3629">
        <f>SUM(D4032:D4034)</f>
        <v>559700000</v>
      </c>
      <c r="E4031" s="3629">
        <f>SUM(E4032:E4034)</f>
        <v>557400000</v>
      </c>
      <c r="F4031" s="2562">
        <f>E4031/D4031*100</f>
        <v>99.589065570841512</v>
      </c>
      <c r="G4031" s="2484">
        <v>100</v>
      </c>
      <c r="H4031" s="535"/>
    </row>
    <row r="4032" spans="1:11" ht="16.5" hidden="1" customHeight="1" x14ac:dyDescent="0.25">
      <c r="B4032" s="2913"/>
      <c r="C4032" s="3856" t="s">
        <v>5360</v>
      </c>
      <c r="D4032" s="3638">
        <v>300000000</v>
      </c>
      <c r="E4032" s="2001">
        <v>298500000</v>
      </c>
      <c r="F4032" s="1717">
        <f>E4032/D4032*100</f>
        <v>99.5</v>
      </c>
      <c r="G4032" s="2338">
        <v>100</v>
      </c>
      <c r="H4032" s="535"/>
    </row>
    <row r="4033" spans="1:11" ht="15.75" hidden="1" customHeight="1" x14ac:dyDescent="0.25">
      <c r="B4033" s="2913"/>
      <c r="C4033" s="3856" t="s">
        <v>5361</v>
      </c>
      <c r="D4033" s="3638">
        <v>210000000</v>
      </c>
      <c r="E4033" s="2575">
        <v>209200000</v>
      </c>
      <c r="F4033" s="1717">
        <f>E4033/D4033*100</f>
        <v>99.61904761904762</v>
      </c>
      <c r="G4033" s="3648">
        <v>100</v>
      </c>
      <c r="H4033" s="535"/>
    </row>
    <row r="4034" spans="1:11" ht="16.5" hidden="1" customHeight="1" x14ac:dyDescent="0.25">
      <c r="B4034" s="2913"/>
      <c r="C4034" s="3856" t="s">
        <v>5362</v>
      </c>
      <c r="D4034" s="3638">
        <v>49700000</v>
      </c>
      <c r="E4034" s="2001">
        <v>49700000</v>
      </c>
      <c r="F4034" s="1717">
        <f>E4034/D4034*100</f>
        <v>100</v>
      </c>
      <c r="G4034" s="2338">
        <v>100</v>
      </c>
      <c r="H4034" s="535"/>
    </row>
    <row r="4035" spans="1:11" s="4099" customFormat="1" ht="3.75" hidden="1" customHeight="1" x14ac:dyDescent="0.25">
      <c r="A4035" s="4101"/>
      <c r="B4035" s="2913"/>
      <c r="C4035" s="5480"/>
      <c r="D4035" s="1999"/>
      <c r="E4035" s="2573"/>
      <c r="F4035" s="2632"/>
      <c r="G4035" s="2314"/>
      <c r="H4035" s="4109"/>
      <c r="J4035" s="522"/>
      <c r="K4035" s="522"/>
    </row>
    <row r="4036" spans="1:11" s="3598" customFormat="1" ht="16.5" hidden="1" customHeight="1" x14ac:dyDescent="0.25">
      <c r="A4036" s="3588"/>
      <c r="B4036" s="2913"/>
      <c r="C4036" s="4103" t="s">
        <v>5363</v>
      </c>
      <c r="D4036" s="3639">
        <f>SUM(D4037:D4041)</f>
        <v>1229364400</v>
      </c>
      <c r="E4036" s="3639">
        <f>SUM(E4037:E4041)</f>
        <v>1225525000</v>
      </c>
      <c r="F4036" s="2261">
        <f t="shared" ref="F4036:F4041" si="115">E4036/D4036*100</f>
        <v>99.687692274154031</v>
      </c>
      <c r="G4036" s="2484">
        <v>100</v>
      </c>
      <c r="H4036" s="3592"/>
      <c r="J4036" s="2002"/>
      <c r="K4036" s="2002"/>
    </row>
    <row r="4037" spans="1:11" s="4099" customFormat="1" ht="16.5" hidden="1" customHeight="1" x14ac:dyDescent="0.25">
      <c r="A4037" s="4101"/>
      <c r="B4037" s="2913"/>
      <c r="C4037" s="3856" t="s">
        <v>5364</v>
      </c>
      <c r="D4037" s="3638">
        <v>33739400</v>
      </c>
      <c r="E4037" s="2001">
        <v>33735000</v>
      </c>
      <c r="F4037" s="1717">
        <f t="shared" si="115"/>
        <v>99.986958867081228</v>
      </c>
      <c r="G4037" s="2338">
        <v>100</v>
      </c>
      <c r="H4037" s="4109"/>
      <c r="J4037" s="522"/>
      <c r="K4037" s="522"/>
    </row>
    <row r="4038" spans="1:11" s="4099" customFormat="1" ht="16.5" hidden="1" customHeight="1" x14ac:dyDescent="0.25">
      <c r="A4038" s="4101"/>
      <c r="B4038" s="2913"/>
      <c r="C4038" s="3856" t="s">
        <v>5365</v>
      </c>
      <c r="D4038" s="3638">
        <v>260625000</v>
      </c>
      <c r="E4038" s="2001">
        <v>258540000</v>
      </c>
      <c r="F4038" s="1717">
        <f t="shared" si="115"/>
        <v>99.2</v>
      </c>
      <c r="G4038" s="3648">
        <v>100</v>
      </c>
      <c r="H4038" s="4109"/>
      <c r="J4038" s="522"/>
      <c r="K4038" s="522"/>
    </row>
    <row r="4039" spans="1:11" s="4099" customFormat="1" ht="31.5" hidden="1" customHeight="1" x14ac:dyDescent="0.25">
      <c r="A4039" s="4101"/>
      <c r="B4039" s="2913"/>
      <c r="C4039" s="3856" t="s">
        <v>5368</v>
      </c>
      <c r="D4039" s="3638">
        <v>385000000</v>
      </c>
      <c r="E4039" s="2001">
        <v>383800000</v>
      </c>
      <c r="F4039" s="1717">
        <f t="shared" si="115"/>
        <v>99.6883116883117</v>
      </c>
      <c r="G4039" s="2338">
        <v>100</v>
      </c>
      <c r="H4039" s="4109"/>
      <c r="J4039" s="522"/>
      <c r="K4039" s="522"/>
    </row>
    <row r="4040" spans="1:11" s="4099" customFormat="1" ht="16.5" hidden="1" customHeight="1" x14ac:dyDescent="0.25">
      <c r="A4040" s="4101"/>
      <c r="B4040" s="2913"/>
      <c r="C4040" s="3856" t="s">
        <v>5366</v>
      </c>
      <c r="D4040" s="3638">
        <v>250000000</v>
      </c>
      <c r="E4040" s="2001">
        <v>249450000</v>
      </c>
      <c r="F4040" s="1717">
        <f t="shared" si="115"/>
        <v>99.78</v>
      </c>
      <c r="G4040" s="2338">
        <v>100</v>
      </c>
      <c r="H4040" s="4109"/>
      <c r="J4040" s="522"/>
      <c r="K4040" s="522"/>
    </row>
    <row r="4041" spans="1:11" s="4099" customFormat="1" ht="16.5" hidden="1" customHeight="1" x14ac:dyDescent="0.25">
      <c r="A4041" s="4101"/>
      <c r="B4041" s="2913"/>
      <c r="C4041" s="3856" t="s">
        <v>5367</v>
      </c>
      <c r="D4041" s="3638">
        <v>300000000</v>
      </c>
      <c r="E4041" s="2001">
        <v>300000000</v>
      </c>
      <c r="F4041" s="1717">
        <f t="shared" si="115"/>
        <v>100</v>
      </c>
      <c r="G4041" s="2338">
        <v>100</v>
      </c>
      <c r="H4041" s="4109"/>
      <c r="J4041" s="522"/>
      <c r="K4041" s="522"/>
    </row>
    <row r="4042" spans="1:11" s="4099" customFormat="1" ht="4.5" hidden="1" customHeight="1" x14ac:dyDescent="0.25">
      <c r="A4042" s="4101"/>
      <c r="B4042" s="2913"/>
      <c r="C4042" s="3856"/>
      <c r="D4042" s="3638"/>
      <c r="E4042" s="2001"/>
      <c r="F4042" s="2632"/>
      <c r="G4042" s="2314"/>
      <c r="H4042" s="4109"/>
      <c r="J4042" s="522"/>
      <c r="K4042" s="522"/>
    </row>
    <row r="4043" spans="1:11" s="3598" customFormat="1" ht="18.75" hidden="1" customHeight="1" x14ac:dyDescent="0.25">
      <c r="A4043" s="3588"/>
      <c r="B4043" s="2913"/>
      <c r="C4043" s="4103" t="s">
        <v>5369</v>
      </c>
      <c r="D4043" s="3639">
        <f>D4044</f>
        <v>63000000</v>
      </c>
      <c r="E4043" s="3639">
        <f>E4044</f>
        <v>58500000</v>
      </c>
      <c r="F4043" s="2261">
        <f>E4043/D4043*100</f>
        <v>92.857142857142861</v>
      </c>
      <c r="G4043" s="5487">
        <v>100</v>
      </c>
      <c r="H4043" s="3592"/>
      <c r="J4043" s="2002"/>
      <c r="K4043" s="2002"/>
    </row>
    <row r="4044" spans="1:11" s="4099" customFormat="1" ht="27" hidden="1" customHeight="1" x14ac:dyDescent="0.25">
      <c r="A4044" s="4101"/>
      <c r="B4044" s="2913"/>
      <c r="C4044" s="3856" t="s">
        <v>5370</v>
      </c>
      <c r="D4044" s="3638">
        <v>63000000</v>
      </c>
      <c r="E4044" s="2001">
        <v>58500000</v>
      </c>
      <c r="F4044" s="1717">
        <f>E4044/D4044*100</f>
        <v>92.857142857142861</v>
      </c>
      <c r="G4044" s="2338">
        <v>100</v>
      </c>
      <c r="H4044" s="4109"/>
      <c r="J4044" s="522"/>
      <c r="K4044" s="522"/>
    </row>
    <row r="4045" spans="1:11" s="4099" customFormat="1" ht="9" hidden="1" customHeight="1" x14ac:dyDescent="0.25">
      <c r="A4045" s="4101"/>
      <c r="B4045" s="2913"/>
      <c r="C4045" s="4172"/>
      <c r="D4045" s="827"/>
      <c r="E4045" s="969"/>
      <c r="F4045" s="2279"/>
      <c r="G4045" s="5529"/>
      <c r="H4045" s="4109"/>
      <c r="J4045" s="522"/>
      <c r="K4045" s="522"/>
    </row>
    <row r="4046" spans="1:11" ht="17.25" hidden="1" customHeight="1" x14ac:dyDescent="0.25">
      <c r="B4046" s="5397"/>
      <c r="C4046" s="3913" t="s">
        <v>5373</v>
      </c>
      <c r="D4046" s="3631">
        <f>SUM(D4047+D4050+D4056)</f>
        <v>1771980000</v>
      </c>
      <c r="E4046" s="3631">
        <f>SUM(E4047+E4050+E4056)</f>
        <v>1612760400</v>
      </c>
      <c r="F4046" s="2356">
        <f>E4046/D4046*100</f>
        <v>91.014593844174314</v>
      </c>
      <c r="G4046" s="2315">
        <f>SUM(G4047+G4050+G4056)/3</f>
        <v>98.333333333333329</v>
      </c>
      <c r="H4046" s="535"/>
    </row>
    <row r="4047" spans="1:11" ht="16.5" hidden="1" customHeight="1" x14ac:dyDescent="0.25">
      <c r="B4047" s="2913"/>
      <c r="C4047" s="4103" t="s">
        <v>5371</v>
      </c>
      <c r="D4047" s="3629">
        <f>SUM(D4048:D4048)</f>
        <v>150000000</v>
      </c>
      <c r="E4047" s="3629">
        <f>SUM(E4048:E4048)</f>
        <v>149532000</v>
      </c>
      <c r="F4047" s="2562">
        <f>E4047/D4047*100</f>
        <v>99.688000000000002</v>
      </c>
      <c r="G4047" s="2484">
        <v>100</v>
      </c>
      <c r="H4047" s="535"/>
    </row>
    <row r="4048" spans="1:11" ht="17.25" hidden="1" customHeight="1" x14ac:dyDescent="0.25">
      <c r="B4048" s="2913"/>
      <c r="C4048" s="3856" t="s">
        <v>5372</v>
      </c>
      <c r="D4048" s="3638">
        <v>150000000</v>
      </c>
      <c r="E4048" s="2001">
        <v>149532000</v>
      </c>
      <c r="F4048" s="1717">
        <f>E4048/D4048*100</f>
        <v>99.688000000000002</v>
      </c>
      <c r="G4048" s="3648">
        <v>100</v>
      </c>
      <c r="H4048" s="535"/>
    </row>
    <row r="4049" spans="1:11" ht="8.25" hidden="1" customHeight="1" x14ac:dyDescent="0.25">
      <c r="B4049" s="2913"/>
      <c r="C4049" s="3856"/>
      <c r="D4049" s="3638"/>
      <c r="E4049" s="2001"/>
      <c r="F4049" s="1507"/>
      <c r="G4049" s="2338"/>
      <c r="H4049" s="535"/>
    </row>
    <row r="4050" spans="1:11" ht="18" hidden="1" customHeight="1" x14ac:dyDescent="0.25">
      <c r="B4050" s="2913"/>
      <c r="C4050" s="4299" t="s">
        <v>5374</v>
      </c>
      <c r="D4050" s="3639">
        <f>SUM(D4051:D4054)</f>
        <v>1100000000</v>
      </c>
      <c r="E4050" s="3639">
        <f>SUM(E4051:E4054)</f>
        <v>944378400</v>
      </c>
      <c r="F4050" s="2261">
        <f>E4050/D4050*100</f>
        <v>85.852581818181818</v>
      </c>
      <c r="G4050" s="2484">
        <f>SUM(G4051:G4054)/4</f>
        <v>95</v>
      </c>
      <c r="H4050" s="535"/>
    </row>
    <row r="4051" spans="1:11" ht="13.5" hidden="1" customHeight="1" x14ac:dyDescent="0.25">
      <c r="B4051" s="2913"/>
      <c r="C4051" s="3856" t="s">
        <v>5375</v>
      </c>
      <c r="D4051" s="3638">
        <v>525000000</v>
      </c>
      <c r="E4051" s="3638">
        <v>401113400</v>
      </c>
      <c r="F4051" s="1717">
        <f>E4051/D4051*100</f>
        <v>76.402552380952386</v>
      </c>
      <c r="G4051" s="3648">
        <v>90</v>
      </c>
      <c r="H4051" s="535"/>
    </row>
    <row r="4052" spans="1:11" ht="16.5" hidden="1" customHeight="1" x14ac:dyDescent="0.25">
      <c r="B4052" s="2913"/>
      <c r="C4052" s="3856" t="s">
        <v>5376</v>
      </c>
      <c r="D4052" s="3638">
        <v>300000000</v>
      </c>
      <c r="E4052" s="2001">
        <v>293919000</v>
      </c>
      <c r="F4052" s="1717">
        <f>E4052/D4052*100</f>
        <v>97.972999999999999</v>
      </c>
      <c r="G4052" s="2338">
        <v>100</v>
      </c>
      <c r="H4052" s="535"/>
    </row>
    <row r="4053" spans="1:11" ht="15.75" hidden="1" customHeight="1" x14ac:dyDescent="0.25">
      <c r="B4053" s="2913"/>
      <c r="C4053" s="3856" t="s">
        <v>5377</v>
      </c>
      <c r="D4053" s="3638">
        <v>125000000</v>
      </c>
      <c r="E4053" s="2001">
        <v>99850000</v>
      </c>
      <c r="F4053" s="1717">
        <f>E4053/D4053*100</f>
        <v>79.88</v>
      </c>
      <c r="G4053" s="2338">
        <v>90</v>
      </c>
      <c r="H4053" s="535"/>
    </row>
    <row r="4054" spans="1:11" ht="15.75" hidden="1" customHeight="1" x14ac:dyDescent="0.25">
      <c r="B4054" s="2913"/>
      <c r="C4054" s="3856" t="s">
        <v>5378</v>
      </c>
      <c r="D4054" s="3638">
        <v>150000000</v>
      </c>
      <c r="E4054" s="2575">
        <v>149496000</v>
      </c>
      <c r="F4054" s="1717">
        <f>E4054/D4054*100</f>
        <v>99.664000000000001</v>
      </c>
      <c r="G4054" s="3648">
        <v>100</v>
      </c>
      <c r="H4054" s="535"/>
    </row>
    <row r="4055" spans="1:11" ht="9.75" hidden="1" customHeight="1" x14ac:dyDescent="0.25">
      <c r="B4055" s="2913"/>
      <c r="C4055" s="3991"/>
      <c r="D4055" s="3638"/>
      <c r="E4055" s="666"/>
      <c r="F4055" s="1507"/>
      <c r="G4055" s="2338"/>
      <c r="H4055" s="535"/>
    </row>
    <row r="4056" spans="1:11" ht="15.75" hidden="1" customHeight="1" x14ac:dyDescent="0.25">
      <c r="B4056" s="2913"/>
      <c r="C4056" s="4103" t="s">
        <v>5379</v>
      </c>
      <c r="D4056" s="3639">
        <f>SUM(D4057:D4060)</f>
        <v>521980000</v>
      </c>
      <c r="E4056" s="3639">
        <f>SUM(E4057:E4060)</f>
        <v>518850000</v>
      </c>
      <c r="F4056" s="2261">
        <f>E4056/D4056*100</f>
        <v>99.400360167056206</v>
      </c>
      <c r="G4056" s="2484">
        <v>100</v>
      </c>
      <c r="H4056" s="535"/>
    </row>
    <row r="4057" spans="1:11" ht="15" hidden="1" customHeight="1" x14ac:dyDescent="0.25">
      <c r="B4057" s="2913"/>
      <c r="C4057" s="3856" t="s">
        <v>5380</v>
      </c>
      <c r="D4057" s="3638">
        <v>296800000</v>
      </c>
      <c r="E4057" s="3638">
        <v>295350000</v>
      </c>
      <c r="F4057" s="1717">
        <f>E4057/D4057*100</f>
        <v>99.511455525606479</v>
      </c>
      <c r="G4057" s="3638">
        <v>100</v>
      </c>
      <c r="H4057" s="535"/>
    </row>
    <row r="4058" spans="1:11" ht="16.5" hidden="1" customHeight="1" x14ac:dyDescent="0.25">
      <c r="B4058" s="2913"/>
      <c r="C4058" s="3856" t="s">
        <v>5381</v>
      </c>
      <c r="D4058" s="3638">
        <v>58595000</v>
      </c>
      <c r="E4058" s="2575">
        <v>58595000</v>
      </c>
      <c r="F4058" s="1717">
        <f>E4058/D4058*100</f>
        <v>100</v>
      </c>
      <c r="G4058" s="3638">
        <v>100</v>
      </c>
      <c r="H4058" s="535"/>
    </row>
    <row r="4059" spans="1:11" s="269" customFormat="1" ht="16.5" hidden="1" customHeight="1" x14ac:dyDescent="0.25">
      <c r="A4059" s="350"/>
      <c r="B4059" s="2913"/>
      <c r="C4059" s="3856" t="s">
        <v>5382</v>
      </c>
      <c r="D4059" s="3638">
        <v>84585000</v>
      </c>
      <c r="E4059" s="3638">
        <v>82905000</v>
      </c>
      <c r="F4059" s="1717">
        <f>E4059/D4059*100</f>
        <v>98.013832239758827</v>
      </c>
      <c r="G4059" s="3638">
        <v>100</v>
      </c>
      <c r="H4059" s="553"/>
      <c r="J4059" s="2069"/>
      <c r="K4059" s="2069"/>
    </row>
    <row r="4060" spans="1:11" ht="15.75" hidden="1" customHeight="1" x14ac:dyDescent="0.25">
      <c r="B4060" s="2913"/>
      <c r="C4060" s="3856" t="s">
        <v>5383</v>
      </c>
      <c r="D4060" s="3638">
        <v>82000000</v>
      </c>
      <c r="E4060" s="2001">
        <v>82000000</v>
      </c>
      <c r="F4060" s="1717">
        <f>E4060/D4060*100</f>
        <v>100</v>
      </c>
      <c r="G4060" s="3638">
        <v>100</v>
      </c>
      <c r="H4060" s="535"/>
    </row>
    <row r="4061" spans="1:11" ht="10.5" hidden="1" customHeight="1" x14ac:dyDescent="0.25">
      <c r="B4061" s="2913"/>
      <c r="D4061" s="798"/>
      <c r="E4061" s="894"/>
      <c r="F4061" s="2285"/>
      <c r="G4061" s="2485"/>
      <c r="H4061" s="535"/>
    </row>
    <row r="4062" spans="1:11" ht="15" hidden="1" customHeight="1" x14ac:dyDescent="0.25">
      <c r="B4062" s="5397"/>
      <c r="C4062" s="3913" t="s">
        <v>5384</v>
      </c>
      <c r="D4062" s="3631">
        <f>SUM(D4063+D4067+D4077+D4082+D4090+D4093+D4096+D4100)</f>
        <v>3492400000</v>
      </c>
      <c r="E4062" s="3631">
        <f>SUM(E4063+E4067+E4077+E4082+E4090+E4093+E4096+E4100)</f>
        <v>3476686433</v>
      </c>
      <c r="F4062" s="2356">
        <f>E4062/D4062*100</f>
        <v>99.550063938838619</v>
      </c>
      <c r="G4062" s="2315">
        <v>100</v>
      </c>
      <c r="H4062" s="535"/>
    </row>
    <row r="4063" spans="1:11" ht="18" hidden="1" customHeight="1" x14ac:dyDescent="0.25">
      <c r="B4063" s="2913"/>
      <c r="C4063" s="4103" t="s">
        <v>5385</v>
      </c>
      <c r="D4063" s="3639">
        <f>SUM(D4064:D4065)</f>
        <v>245277000</v>
      </c>
      <c r="E4063" s="3639">
        <f>SUM(E4064:E4065)</f>
        <v>244339800</v>
      </c>
      <c r="F4063" s="2562">
        <f>E4063/D4063*100</f>
        <v>99.6179013931188</v>
      </c>
      <c r="G4063" s="2484">
        <v>100</v>
      </c>
      <c r="H4063" s="535"/>
    </row>
    <row r="4064" spans="1:11" ht="14.25" hidden="1" customHeight="1" x14ac:dyDescent="0.25">
      <c r="B4064" s="2913"/>
      <c r="C4064" s="3856" t="s">
        <v>5386</v>
      </c>
      <c r="D4064" s="3638">
        <v>189357000</v>
      </c>
      <c r="E4064" s="2001">
        <v>188419800</v>
      </c>
      <c r="F4064" s="1717">
        <f>E4064/D4064*100</f>
        <v>99.505061867266591</v>
      </c>
      <c r="G4064" s="2338">
        <v>100</v>
      </c>
      <c r="H4064" s="535"/>
    </row>
    <row r="4065" spans="1:11" ht="14.25" hidden="1" customHeight="1" x14ac:dyDescent="0.25">
      <c r="B4065" s="2913"/>
      <c r="C4065" s="3856" t="s">
        <v>5387</v>
      </c>
      <c r="D4065" s="3638">
        <v>55920000</v>
      </c>
      <c r="E4065" s="3638">
        <v>55920000</v>
      </c>
      <c r="F4065" s="1717">
        <f>E4065/D4065*100</f>
        <v>100</v>
      </c>
      <c r="G4065" s="3648">
        <v>100</v>
      </c>
      <c r="H4065" s="535"/>
    </row>
    <row r="4066" spans="1:11" ht="7.5" hidden="1" customHeight="1" x14ac:dyDescent="0.25">
      <c r="B4066" s="2913"/>
      <c r="C4066" s="3991"/>
      <c r="D4066" s="732"/>
      <c r="E4066" s="894"/>
      <c r="F4066" s="1315"/>
      <c r="G4066" s="2483"/>
      <c r="H4066" s="535"/>
    </row>
    <row r="4067" spans="1:11" ht="17.25" hidden="1" customHeight="1" x14ac:dyDescent="0.25">
      <c r="B4067" s="2913"/>
      <c r="C4067" s="4103" t="s">
        <v>5388</v>
      </c>
      <c r="D4067" s="3639">
        <f>SUM(D4068:D4075)</f>
        <v>870571000</v>
      </c>
      <c r="E4067" s="3639">
        <f>SUM(E4068:E4075)</f>
        <v>867806000</v>
      </c>
      <c r="F4067" s="2261">
        <f t="shared" ref="F4067:F4075" si="116">E4067/D4067*100</f>
        <v>99.682392360875795</v>
      </c>
      <c r="G4067" s="2484">
        <v>100</v>
      </c>
      <c r="H4067" s="535"/>
    </row>
    <row r="4068" spans="1:11" ht="15" hidden="1" customHeight="1" x14ac:dyDescent="0.25">
      <c r="B4068" s="2913"/>
      <c r="C4068" s="3856" t="s">
        <v>5389</v>
      </c>
      <c r="D4068" s="3638">
        <v>44481000</v>
      </c>
      <c r="E4068" s="2001">
        <v>44481000</v>
      </c>
      <c r="F4068" s="1717">
        <f t="shared" si="116"/>
        <v>100</v>
      </c>
      <c r="G4068" s="2338">
        <v>100</v>
      </c>
      <c r="H4068" s="535"/>
    </row>
    <row r="4069" spans="1:11" ht="15.75" hidden="1" customHeight="1" x14ac:dyDescent="0.25">
      <c r="B4069" s="2913"/>
      <c r="C4069" s="3985" t="s">
        <v>5390</v>
      </c>
      <c r="D4069" s="3638">
        <v>69170000</v>
      </c>
      <c r="E4069" s="2001">
        <v>69170000</v>
      </c>
      <c r="F4069" s="1717">
        <f t="shared" si="116"/>
        <v>100</v>
      </c>
      <c r="G4069" s="2338">
        <v>100</v>
      </c>
      <c r="H4069" s="535"/>
    </row>
    <row r="4070" spans="1:11" ht="13.5" hidden="1" customHeight="1" x14ac:dyDescent="0.25">
      <c r="B4070" s="2913"/>
      <c r="C4070" s="3856" t="s">
        <v>5391</v>
      </c>
      <c r="D4070" s="3638">
        <v>181046000</v>
      </c>
      <c r="E4070" s="2001">
        <v>180752000</v>
      </c>
      <c r="F4070" s="1717">
        <f t="shared" si="116"/>
        <v>99.837610331076078</v>
      </c>
      <c r="G4070" s="2338">
        <v>100</v>
      </c>
      <c r="H4070" s="535"/>
    </row>
    <row r="4071" spans="1:11" ht="18" hidden="1" customHeight="1" x14ac:dyDescent="0.25">
      <c r="B4071" s="2913"/>
      <c r="C4071" s="3856" t="s">
        <v>5392</v>
      </c>
      <c r="D4071" s="3638">
        <v>60200000</v>
      </c>
      <c r="E4071" s="2001">
        <v>60200000</v>
      </c>
      <c r="F4071" s="1717">
        <f t="shared" si="116"/>
        <v>100</v>
      </c>
      <c r="G4071" s="2338">
        <v>100</v>
      </c>
      <c r="H4071" s="535"/>
    </row>
    <row r="4072" spans="1:11" ht="13.5" hidden="1" customHeight="1" x14ac:dyDescent="0.25">
      <c r="B4072" s="2913"/>
      <c r="C4072" s="3856" t="s">
        <v>5393</v>
      </c>
      <c r="D4072" s="3638">
        <v>33050000</v>
      </c>
      <c r="E4072" s="2001">
        <v>33050000</v>
      </c>
      <c r="F4072" s="1717">
        <f t="shared" si="116"/>
        <v>100</v>
      </c>
      <c r="G4072" s="2338">
        <v>100</v>
      </c>
      <c r="H4072" s="535"/>
    </row>
    <row r="4073" spans="1:11" ht="16.5" hidden="1" customHeight="1" x14ac:dyDescent="0.25">
      <c r="B4073" s="2913"/>
      <c r="C4073" s="3856" t="s">
        <v>5394</v>
      </c>
      <c r="D4073" s="3638">
        <v>333616000</v>
      </c>
      <c r="E4073" s="2001">
        <v>332345000</v>
      </c>
      <c r="F4073" s="1717">
        <f t="shared" si="116"/>
        <v>99.619023068437969</v>
      </c>
      <c r="G4073" s="2338">
        <v>100</v>
      </c>
      <c r="H4073" s="535"/>
    </row>
    <row r="4074" spans="1:11" ht="17.25" hidden="1" customHeight="1" x14ac:dyDescent="0.25">
      <c r="B4074" s="2913"/>
      <c r="C4074" s="3856" t="s">
        <v>5395</v>
      </c>
      <c r="D4074" s="3638">
        <v>57375000</v>
      </c>
      <c r="E4074" s="2001">
        <v>57375000</v>
      </c>
      <c r="F4074" s="1717">
        <f t="shared" si="116"/>
        <v>100</v>
      </c>
      <c r="G4074" s="2338">
        <v>100</v>
      </c>
      <c r="H4074" s="535"/>
    </row>
    <row r="4075" spans="1:11" ht="14.25" hidden="1" customHeight="1" x14ac:dyDescent="0.25">
      <c r="B4075" s="2913"/>
      <c r="C4075" s="3856" t="s">
        <v>5396</v>
      </c>
      <c r="D4075" s="3638">
        <v>91633000</v>
      </c>
      <c r="E4075" s="3638">
        <v>90433000</v>
      </c>
      <c r="F4075" s="1717">
        <f t="shared" si="116"/>
        <v>98.690428120873491</v>
      </c>
      <c r="G4075" s="2338">
        <v>100</v>
      </c>
      <c r="H4075" s="535"/>
    </row>
    <row r="4076" spans="1:11" ht="7.5" hidden="1" customHeight="1" x14ac:dyDescent="0.25">
      <c r="B4076" s="2913"/>
      <c r="C4076" s="3991"/>
      <c r="D4076" s="4120"/>
      <c r="E4076" s="894"/>
      <c r="F4076" s="1315"/>
      <c r="G4076" s="2483"/>
      <c r="H4076" s="535"/>
    </row>
    <row r="4077" spans="1:11" ht="17.25" hidden="1" customHeight="1" x14ac:dyDescent="0.25">
      <c r="B4077" s="2913"/>
      <c r="C4077" s="4103" t="s">
        <v>5397</v>
      </c>
      <c r="D4077" s="3639">
        <f>SUM(D4078:D4080)</f>
        <v>476880000</v>
      </c>
      <c r="E4077" s="3639">
        <f>SUM(E4078:E4080)</f>
        <v>476636000</v>
      </c>
      <c r="F4077" s="2261">
        <f>E4077/D4077*100</f>
        <v>99.948834088240218</v>
      </c>
      <c r="G4077" s="3600">
        <v>100</v>
      </c>
      <c r="H4077" s="535"/>
    </row>
    <row r="4078" spans="1:11" ht="15.75" hidden="1" customHeight="1" x14ac:dyDescent="0.25">
      <c r="B4078" s="2913"/>
      <c r="C4078" s="3856" t="s">
        <v>5398</v>
      </c>
      <c r="D4078" s="3638">
        <v>50000000</v>
      </c>
      <c r="E4078" s="3638">
        <v>50000000</v>
      </c>
      <c r="F4078" s="1717">
        <f>E4078/D4078*100</f>
        <v>100</v>
      </c>
      <c r="G4078" s="3648">
        <v>100</v>
      </c>
      <c r="H4078" s="535"/>
    </row>
    <row r="4079" spans="1:11" s="4099" customFormat="1" ht="15.75" hidden="1" customHeight="1" x14ac:dyDescent="0.25">
      <c r="A4079" s="4101"/>
      <c r="B4079" s="2913"/>
      <c r="C4079" s="3856" t="s">
        <v>5399</v>
      </c>
      <c r="D4079" s="2576">
        <v>231780000</v>
      </c>
      <c r="E4079" s="3638">
        <v>231536000</v>
      </c>
      <c r="F4079" s="1717">
        <f>E4079/D4079*100</f>
        <v>99.894727759081889</v>
      </c>
      <c r="G4079" s="3648">
        <v>100</v>
      </c>
      <c r="H4079" s="4109"/>
      <c r="J4079" s="522"/>
      <c r="K4079" s="522"/>
    </row>
    <row r="4080" spans="1:11" s="4099" customFormat="1" ht="15.75" hidden="1" customHeight="1" x14ac:dyDescent="0.25">
      <c r="A4080" s="4101"/>
      <c r="B4080" s="2913"/>
      <c r="C4080" s="3856" t="s">
        <v>5400</v>
      </c>
      <c r="D4080" s="2576">
        <v>195100000</v>
      </c>
      <c r="E4080" s="3638">
        <v>195100000</v>
      </c>
      <c r="F4080" s="1717">
        <f>E4080/D4080*100</f>
        <v>100</v>
      </c>
      <c r="G4080" s="3648">
        <v>100</v>
      </c>
      <c r="H4080" s="4109"/>
      <c r="J4080" s="522"/>
      <c r="K4080" s="522"/>
    </row>
    <row r="4081" spans="1:11" ht="6.75" hidden="1" customHeight="1" x14ac:dyDescent="0.25">
      <c r="B4081" s="2913"/>
      <c r="C4081" s="3991"/>
      <c r="D4081" s="732"/>
      <c r="E4081" s="894"/>
      <c r="F4081" s="1315"/>
      <c r="G4081" s="2483"/>
      <c r="H4081" s="535"/>
    </row>
    <row r="4082" spans="1:11" ht="16.5" hidden="1" customHeight="1" x14ac:dyDescent="0.25">
      <c r="B4082" s="2913"/>
      <c r="C4082" s="4103" t="s">
        <v>5401</v>
      </c>
      <c r="D4082" s="3639">
        <f>SUM(D4083:D4088)</f>
        <v>830359000</v>
      </c>
      <c r="E4082" s="3639">
        <f>SUM(E4083:E4088)</f>
        <v>828613014</v>
      </c>
      <c r="F4082" s="2261">
        <f t="shared" ref="F4082:F4088" si="117">E4082/D4082*100</f>
        <v>99.789731188558207</v>
      </c>
      <c r="G4082" s="2484">
        <v>100</v>
      </c>
      <c r="H4082" s="535"/>
    </row>
    <row r="4083" spans="1:11" ht="15.75" hidden="1" customHeight="1" x14ac:dyDescent="0.25">
      <c r="B4083" s="2913"/>
      <c r="C4083" s="3856" t="s">
        <v>5402</v>
      </c>
      <c r="D4083" s="3638">
        <v>310375000</v>
      </c>
      <c r="E4083" s="2001">
        <v>309825000</v>
      </c>
      <c r="F4083" s="1717">
        <f t="shared" si="117"/>
        <v>99.822795006041076</v>
      </c>
      <c r="G4083" s="2338">
        <v>100</v>
      </c>
      <c r="H4083" s="535"/>
    </row>
    <row r="4084" spans="1:11" ht="15.75" hidden="1" customHeight="1" x14ac:dyDescent="0.25">
      <c r="B4084" s="2913"/>
      <c r="C4084" s="3856" t="s">
        <v>5403</v>
      </c>
      <c r="D4084" s="3638">
        <v>181106000</v>
      </c>
      <c r="E4084" s="3638">
        <v>180506000</v>
      </c>
      <c r="F4084" s="1717">
        <f t="shared" si="117"/>
        <v>99.668702306936268</v>
      </c>
      <c r="G4084" s="2338">
        <v>100</v>
      </c>
      <c r="H4084" s="535"/>
    </row>
    <row r="4085" spans="1:11" ht="14.25" hidden="1" customHeight="1" x14ac:dyDescent="0.25">
      <c r="B4085" s="2913"/>
      <c r="C4085" s="3856" t="s">
        <v>5404</v>
      </c>
      <c r="D4085" s="3638">
        <v>55818000</v>
      </c>
      <c r="E4085" s="2001">
        <v>55718000</v>
      </c>
      <c r="F4085" s="1717">
        <f t="shared" si="117"/>
        <v>99.820846321974983</v>
      </c>
      <c r="G4085" s="2338">
        <v>100</v>
      </c>
      <c r="H4085" s="535"/>
    </row>
    <row r="4086" spans="1:11" ht="15.75" hidden="1" customHeight="1" x14ac:dyDescent="0.25">
      <c r="B4086" s="2913"/>
      <c r="C4086" s="3856" t="s">
        <v>5405</v>
      </c>
      <c r="D4086" s="3638">
        <v>198390000</v>
      </c>
      <c r="E4086" s="2001">
        <v>197940000</v>
      </c>
      <c r="F4086" s="1717">
        <f t="shared" si="117"/>
        <v>99.77317405111144</v>
      </c>
      <c r="G4086" s="2338">
        <v>100</v>
      </c>
      <c r="H4086" s="535"/>
    </row>
    <row r="4087" spans="1:11" ht="14.25" hidden="1" customHeight="1" x14ac:dyDescent="0.25">
      <c r="B4087" s="2913"/>
      <c r="C4087" s="3856" t="s">
        <v>5406</v>
      </c>
      <c r="D4087" s="1492">
        <v>33335000</v>
      </c>
      <c r="E4087" s="666">
        <v>33335000</v>
      </c>
      <c r="F4087" s="1717">
        <f t="shared" si="117"/>
        <v>100</v>
      </c>
      <c r="G4087" s="2338">
        <v>100</v>
      </c>
      <c r="H4087" s="535"/>
    </row>
    <row r="4088" spans="1:11" s="4099" customFormat="1" hidden="1" x14ac:dyDescent="0.25">
      <c r="A4088" s="4101"/>
      <c r="B4088" s="2913"/>
      <c r="C4088" s="3856" t="s">
        <v>5407</v>
      </c>
      <c r="D4088" s="1492">
        <v>51335000</v>
      </c>
      <c r="E4088" s="666">
        <v>51289014</v>
      </c>
      <c r="F4088" s="1717">
        <f t="shared" si="117"/>
        <v>99.910419791565204</v>
      </c>
      <c r="G4088" s="2338">
        <v>100</v>
      </c>
      <c r="H4088" s="4109"/>
      <c r="J4088" s="522"/>
      <c r="K4088" s="522"/>
    </row>
    <row r="4089" spans="1:11" s="4099" customFormat="1" ht="6" hidden="1" customHeight="1" x14ac:dyDescent="0.25">
      <c r="A4089" s="4101"/>
      <c r="B4089" s="2913"/>
      <c r="C4089" s="3991"/>
      <c r="D4089" s="729"/>
      <c r="E4089" s="894"/>
      <c r="F4089" s="1507"/>
      <c r="G4089" s="2338"/>
      <c r="H4089" s="4109"/>
      <c r="J4089" s="522"/>
      <c r="K4089" s="522"/>
    </row>
    <row r="4090" spans="1:11" ht="14.25" hidden="1" customHeight="1" x14ac:dyDescent="0.25">
      <c r="B4090" s="2913"/>
      <c r="C4090" s="4103" t="s">
        <v>5408</v>
      </c>
      <c r="D4090" s="3639">
        <f>SUM(D4091:D4091)</f>
        <v>297000000</v>
      </c>
      <c r="E4090" s="3639">
        <f>SUM(E4091:E4091)</f>
        <v>296488000</v>
      </c>
      <c r="F4090" s="2261">
        <f>E4090/D4090*100</f>
        <v>99.827609427609431</v>
      </c>
      <c r="G4090" s="2484">
        <v>100</v>
      </c>
      <c r="H4090" s="535"/>
    </row>
    <row r="4091" spans="1:11" ht="15.75" hidden="1" customHeight="1" x14ac:dyDescent="0.25">
      <c r="B4091" s="2913"/>
      <c r="C4091" s="3856" t="s">
        <v>5409</v>
      </c>
      <c r="D4091" s="3638">
        <v>297000000</v>
      </c>
      <c r="E4091" s="2001">
        <v>296488000</v>
      </c>
      <c r="F4091" s="1717">
        <f>E4091/D4091*100</f>
        <v>99.827609427609431</v>
      </c>
      <c r="G4091" s="2338">
        <v>100</v>
      </c>
      <c r="H4091" s="535"/>
    </row>
    <row r="4092" spans="1:11" ht="7.5" hidden="1" customHeight="1" x14ac:dyDescent="0.25">
      <c r="B4092" s="2913"/>
      <c r="C4092" s="3991"/>
      <c r="D4092" s="4120"/>
      <c r="E4092" s="4057"/>
      <c r="F4092" s="1717"/>
      <c r="G4092" s="2484"/>
      <c r="H4092" s="535"/>
    </row>
    <row r="4093" spans="1:11" ht="15.75" hidden="1" customHeight="1" x14ac:dyDescent="0.25">
      <c r="B4093" s="2913"/>
      <c r="C4093" s="4103" t="s">
        <v>5410</v>
      </c>
      <c r="D4093" s="3639">
        <f>SUM(D4094:D4095)</f>
        <v>147743000</v>
      </c>
      <c r="E4093" s="3639">
        <f>SUM(E4094:E4095)</f>
        <v>139905000</v>
      </c>
      <c r="F4093" s="2261">
        <f>E4093/D4093*100</f>
        <v>94.69484171838937</v>
      </c>
      <c r="G4093" s="2484">
        <v>100</v>
      </c>
      <c r="H4093" s="535"/>
    </row>
    <row r="4094" spans="1:11" ht="18" hidden="1" customHeight="1" x14ac:dyDescent="0.25">
      <c r="B4094" s="2913"/>
      <c r="C4094" s="3856" t="s">
        <v>5411</v>
      </c>
      <c r="D4094" s="3638">
        <v>147743000</v>
      </c>
      <c r="E4094" s="2579">
        <v>139905000</v>
      </c>
      <c r="F4094" s="1717">
        <f>E4094/D4094*100</f>
        <v>94.69484171838937</v>
      </c>
      <c r="G4094" s="3648">
        <v>100</v>
      </c>
      <c r="H4094" s="535"/>
    </row>
    <row r="4095" spans="1:11" ht="9.75" hidden="1" customHeight="1" x14ac:dyDescent="0.25">
      <c r="B4095" s="2913"/>
      <c r="C4095" s="3991"/>
      <c r="D4095" s="731"/>
      <c r="E4095" s="894"/>
      <c r="F4095" s="1717"/>
      <c r="G4095" s="2483"/>
      <c r="H4095" s="535"/>
    </row>
    <row r="4096" spans="1:11" ht="16.5" hidden="1" customHeight="1" x14ac:dyDescent="0.25">
      <c r="B4096" s="2913"/>
      <c r="C4096" s="4103" t="s">
        <v>5412</v>
      </c>
      <c r="D4096" s="3639">
        <f>SUM(D4097:D4098)</f>
        <v>574570000</v>
      </c>
      <c r="E4096" s="3639">
        <f>SUM(E4097:E4098)</f>
        <v>572898619</v>
      </c>
      <c r="F4096" s="2261">
        <f>E4096/D4096*100</f>
        <v>99.709107506483107</v>
      </c>
      <c r="G4096" s="2484">
        <v>100</v>
      </c>
      <c r="H4096" s="535"/>
    </row>
    <row r="4097" spans="1:11" ht="16.5" hidden="1" customHeight="1" x14ac:dyDescent="0.25">
      <c r="B4097" s="2913"/>
      <c r="C4097" s="3856" t="s">
        <v>5413</v>
      </c>
      <c r="D4097" s="3638">
        <v>413970000</v>
      </c>
      <c r="E4097" s="2001">
        <v>413217000</v>
      </c>
      <c r="F4097" s="1717">
        <f>E4097/D4097*100</f>
        <v>99.818102761069639</v>
      </c>
      <c r="G4097" s="3648">
        <v>100</v>
      </c>
      <c r="H4097" s="535"/>
    </row>
    <row r="4098" spans="1:11" ht="15.75" hidden="1" customHeight="1" x14ac:dyDescent="0.25">
      <c r="B4098" s="2913"/>
      <c r="C4098" s="3856" t="s">
        <v>5414</v>
      </c>
      <c r="D4098" s="1492">
        <v>160600000</v>
      </c>
      <c r="E4098" s="666">
        <v>159681619</v>
      </c>
      <c r="F4098" s="1717">
        <f>E4098/D4098*100</f>
        <v>99.428156288916554</v>
      </c>
      <c r="G4098" s="2483">
        <v>100</v>
      </c>
      <c r="H4098" s="535"/>
    </row>
    <row r="4099" spans="1:11" s="4099" customFormat="1" ht="5.25" hidden="1" customHeight="1" x14ac:dyDescent="0.25">
      <c r="A4099" s="4101"/>
      <c r="B4099" s="2913"/>
      <c r="C4099" s="3856"/>
      <c r="D4099" s="731"/>
      <c r="E4099" s="894"/>
      <c r="F4099" s="1507"/>
      <c r="G4099" s="2483"/>
      <c r="H4099" s="4109"/>
      <c r="J4099" s="522"/>
      <c r="K4099" s="522"/>
    </row>
    <row r="4100" spans="1:11" ht="17.25" hidden="1" customHeight="1" x14ac:dyDescent="0.25">
      <c r="B4100" s="2913"/>
      <c r="C4100" s="4103" t="s">
        <v>5415</v>
      </c>
      <c r="D4100" s="3639">
        <f>SUM(D4101)</f>
        <v>50000000</v>
      </c>
      <c r="E4100" s="3639">
        <f>SUM(E4101)</f>
        <v>50000000</v>
      </c>
      <c r="F4100" s="2261">
        <f>E4100/D4100*100</f>
        <v>100</v>
      </c>
      <c r="G4100" s="3629">
        <v>100</v>
      </c>
      <c r="H4100" s="535"/>
    </row>
    <row r="4101" spans="1:11" ht="18" hidden="1" customHeight="1" x14ac:dyDescent="0.25">
      <c r="B4101" s="2913"/>
      <c r="C4101" s="3856" t="s">
        <v>5416</v>
      </c>
      <c r="D4101" s="3638">
        <v>50000000</v>
      </c>
      <c r="E4101" s="3638">
        <v>50000000</v>
      </c>
      <c r="F4101" s="1717">
        <f>E4101/D4101*100</f>
        <v>100</v>
      </c>
      <c r="G4101" s="3630">
        <v>100</v>
      </c>
      <c r="H4101" s="535"/>
    </row>
    <row r="4102" spans="1:11" ht="9" hidden="1" customHeight="1" x14ac:dyDescent="0.25">
      <c r="B4102" s="2913"/>
      <c r="D4102" s="827"/>
      <c r="E4102" s="894"/>
      <c r="F4102" s="1717"/>
      <c r="G4102" s="2485"/>
      <c r="H4102" s="535"/>
    </row>
    <row r="4103" spans="1:11" ht="17.25" hidden="1" customHeight="1" x14ac:dyDescent="0.25">
      <c r="B4103" s="5397"/>
      <c r="C4103" s="3913" t="s">
        <v>5417</v>
      </c>
      <c r="D4103" s="3631">
        <f>SUM(D4104+D4108+D4111+D4114+D4117+D4120)</f>
        <v>3312976750</v>
      </c>
      <c r="E4103" s="3631">
        <f>SUM(E4104+E4108+E4111+E4114+E4117+E4120)</f>
        <v>2941492500</v>
      </c>
      <c r="F4103" s="2356">
        <f>E4103/D4103*100</f>
        <v>88.786994958536908</v>
      </c>
      <c r="G4103" s="2315">
        <f>SUM(G4104+G4108+G4111+G4114+G4117+G4120)/6</f>
        <v>99.166666666666671</v>
      </c>
      <c r="H4103" s="535"/>
    </row>
    <row r="4104" spans="1:11" ht="16.5" hidden="1" customHeight="1" x14ac:dyDescent="0.25">
      <c r="B4104" s="2913"/>
      <c r="C4104" s="4103" t="s">
        <v>5418</v>
      </c>
      <c r="D4104" s="1416">
        <f>SUM(D4105:D4106)</f>
        <v>741500000</v>
      </c>
      <c r="E4104" s="1416">
        <f>SUM(E4105:E4106)</f>
        <v>714790000</v>
      </c>
      <c r="F4104" s="2562">
        <f>E4104/D4104*100</f>
        <v>96.397842211732979</v>
      </c>
      <c r="G4104" s="3600">
        <v>100</v>
      </c>
      <c r="H4104" s="535"/>
    </row>
    <row r="4105" spans="1:11" ht="13.5" hidden="1" customHeight="1" x14ac:dyDescent="0.25">
      <c r="B4105" s="2913"/>
      <c r="C4105" s="3856" t="s">
        <v>5419</v>
      </c>
      <c r="D4105" s="1492">
        <v>350000000</v>
      </c>
      <c r="E4105" s="2001">
        <v>328225000</v>
      </c>
      <c r="F4105" s="1717">
        <f>E4105/D4105*100</f>
        <v>93.778571428571439</v>
      </c>
      <c r="G4105" s="3648">
        <v>100</v>
      </c>
      <c r="H4105" s="535"/>
      <c r="J4105" s="2002"/>
    </row>
    <row r="4106" spans="1:11" ht="16.5" hidden="1" customHeight="1" x14ac:dyDescent="0.25">
      <c r="B4106" s="2913"/>
      <c r="C4106" s="3856" t="s">
        <v>5420</v>
      </c>
      <c r="D4106" s="1492">
        <v>391500000</v>
      </c>
      <c r="E4106" s="2001">
        <v>386565000</v>
      </c>
      <c r="F4106" s="1717">
        <f>E4106/D4106*100</f>
        <v>98.739463601532563</v>
      </c>
      <c r="G4106" s="2338">
        <v>100</v>
      </c>
      <c r="H4106" s="535"/>
    </row>
    <row r="4107" spans="1:11" ht="7.5" hidden="1" customHeight="1" x14ac:dyDescent="0.25">
      <c r="B4107" s="2913"/>
      <c r="C4107" s="3856"/>
      <c r="D4107" s="1492"/>
      <c r="E4107" s="4057"/>
      <c r="F4107" s="1503"/>
      <c r="G4107" s="2484"/>
      <c r="H4107" s="535"/>
    </row>
    <row r="4108" spans="1:11" ht="14.25" hidden="1" customHeight="1" x14ac:dyDescent="0.25">
      <c r="B4108" s="2913"/>
      <c r="C4108" s="4103" t="s">
        <v>5421</v>
      </c>
      <c r="D4108" s="1416">
        <f>SUM(D4109)</f>
        <v>378760000</v>
      </c>
      <c r="E4108" s="1416">
        <f>SUM(E4109)</f>
        <v>315760000</v>
      </c>
      <c r="F4108" s="2261">
        <f>E4108/D4108*100</f>
        <v>83.366775794698484</v>
      </c>
      <c r="G4108" s="2484">
        <v>100</v>
      </c>
      <c r="H4108" s="535"/>
    </row>
    <row r="4109" spans="1:11" ht="14.25" hidden="1" customHeight="1" x14ac:dyDescent="0.25">
      <c r="B4109" s="2913"/>
      <c r="C4109" s="3856" t="s">
        <v>5422</v>
      </c>
      <c r="D4109" s="1492">
        <v>378760000</v>
      </c>
      <c r="E4109" s="3630">
        <v>315760000</v>
      </c>
      <c r="F4109" s="1717">
        <f>E4109/D4109*100</f>
        <v>83.366775794698484</v>
      </c>
      <c r="G4109" s="3648">
        <v>100</v>
      </c>
      <c r="H4109" s="535"/>
    </row>
    <row r="4110" spans="1:11" ht="6" hidden="1" customHeight="1" x14ac:dyDescent="0.25">
      <c r="B4110" s="2913"/>
      <c r="C4110" s="3991"/>
      <c r="D4110" s="730"/>
      <c r="E4110" s="894"/>
      <c r="F4110" s="1315"/>
      <c r="G4110" s="2483"/>
      <c r="H4110" s="535"/>
    </row>
    <row r="4111" spans="1:11" ht="18" hidden="1" customHeight="1" x14ac:dyDescent="0.25">
      <c r="B4111" s="2913"/>
      <c r="C4111" s="4103" t="s">
        <v>5423</v>
      </c>
      <c r="D4111" s="1416">
        <f>SUM(D4112)</f>
        <v>240663000</v>
      </c>
      <c r="E4111" s="1416">
        <f>SUM(E4112)</f>
        <v>232179000</v>
      </c>
      <c r="F4111" s="2261">
        <f>E4111/D4111*100</f>
        <v>96.474738534797623</v>
      </c>
      <c r="G4111" s="3600">
        <v>100</v>
      </c>
      <c r="H4111" s="535"/>
      <c r="J4111" s="2002"/>
    </row>
    <row r="4112" spans="1:11" ht="14.25" hidden="1" customHeight="1" x14ac:dyDescent="0.25">
      <c r="B4112" s="2913"/>
      <c r="C4112" s="3856" t="s">
        <v>5424</v>
      </c>
      <c r="D4112" s="1492">
        <v>240663000</v>
      </c>
      <c r="E4112" s="3630">
        <v>232179000</v>
      </c>
      <c r="F4112" s="1717">
        <f>E4112/D4112*100</f>
        <v>96.474738534797623</v>
      </c>
      <c r="G4112" s="3648">
        <v>100</v>
      </c>
      <c r="H4112" s="535"/>
      <c r="J4112" s="2002"/>
    </row>
    <row r="4113" spans="2:10" ht="6.75" hidden="1" customHeight="1" x14ac:dyDescent="0.25">
      <c r="B4113" s="2913"/>
      <c r="C4113" s="3991"/>
      <c r="D4113" s="730"/>
      <c r="E4113" s="3879"/>
      <c r="F4113" s="3648"/>
      <c r="G4113" s="3648"/>
      <c r="H4113" s="535"/>
    </row>
    <row r="4114" spans="2:10" ht="20.25" hidden="1" customHeight="1" x14ac:dyDescent="0.25">
      <c r="B4114" s="2913"/>
      <c r="C4114" s="4103" t="s">
        <v>5425</v>
      </c>
      <c r="D4114" s="1416">
        <f>SUM(D4115:D4115)</f>
        <v>557300000</v>
      </c>
      <c r="E4114" s="1416">
        <f>SUM(E4115:E4115)</f>
        <v>557300000</v>
      </c>
      <c r="F4114" s="2261">
        <f>E4114/D4114*100</f>
        <v>100</v>
      </c>
      <c r="G4114" s="3600">
        <v>100</v>
      </c>
      <c r="H4114" s="535"/>
      <c r="J4114" s="2002"/>
    </row>
    <row r="4115" spans="2:10" ht="15" hidden="1" customHeight="1" x14ac:dyDescent="0.25">
      <c r="B4115" s="2913"/>
      <c r="C4115" s="3856" t="s">
        <v>5426</v>
      </c>
      <c r="D4115" s="1492">
        <v>557300000</v>
      </c>
      <c r="E4115" s="3630">
        <v>557300000</v>
      </c>
      <c r="F4115" s="1717">
        <f>E4115/D4115*100</f>
        <v>100</v>
      </c>
      <c r="G4115" s="2338">
        <v>100</v>
      </c>
      <c r="H4115" s="535"/>
    </row>
    <row r="4116" spans="2:10" ht="7.5" hidden="1" customHeight="1" x14ac:dyDescent="0.25">
      <c r="B4116" s="2913"/>
      <c r="C4116" s="3991"/>
      <c r="D4116" s="1126"/>
      <c r="E4116" s="788"/>
      <c r="F4116" s="2285"/>
      <c r="G4116" s="2485"/>
      <c r="H4116" s="535"/>
    </row>
    <row r="4117" spans="2:10" ht="17.25" hidden="1" customHeight="1" x14ac:dyDescent="0.25">
      <c r="B4117" s="2913"/>
      <c r="C4117" s="4103" t="s">
        <v>5427</v>
      </c>
      <c r="D4117" s="1416">
        <f>SUM(D4118:D4118)</f>
        <v>1132953750</v>
      </c>
      <c r="E4117" s="1416">
        <f>SUM(E4118:E4118)</f>
        <v>867463500</v>
      </c>
      <c r="F4117" s="2261">
        <f>E4117/D4117*100</f>
        <v>76.566541220239571</v>
      </c>
      <c r="G4117" s="2484">
        <v>95</v>
      </c>
      <c r="H4117" s="535"/>
    </row>
    <row r="4118" spans="2:10" ht="17.25" hidden="1" customHeight="1" x14ac:dyDescent="0.25">
      <c r="B4118" s="2913"/>
      <c r="C4118" s="3856" t="s">
        <v>5428</v>
      </c>
      <c r="D4118" s="1492">
        <v>1132953750</v>
      </c>
      <c r="E4118" s="3630">
        <v>867463500</v>
      </c>
      <c r="F4118" s="1717">
        <f>E4118/D4118*100</f>
        <v>76.566541220239571</v>
      </c>
      <c r="G4118" s="2483">
        <v>95</v>
      </c>
      <c r="H4118" s="535"/>
    </row>
    <row r="4119" spans="2:10" ht="6.75" hidden="1" customHeight="1" x14ac:dyDescent="0.25">
      <c r="B4119" s="2913"/>
      <c r="C4119" s="5480"/>
      <c r="D4119" s="1572"/>
      <c r="E4119" s="827"/>
      <c r="F4119" s="827"/>
      <c r="G4119" s="5529"/>
      <c r="H4119" s="535"/>
    </row>
    <row r="4120" spans="2:10" ht="18" hidden="1" customHeight="1" x14ac:dyDescent="0.25">
      <c r="B4120" s="2913"/>
      <c r="C4120" s="4116" t="s">
        <v>5429</v>
      </c>
      <c r="D4120" s="3629">
        <f>SUM(D4121:D4122)</f>
        <v>261800000</v>
      </c>
      <c r="E4120" s="3629">
        <f>SUM(E4121:E4122)</f>
        <v>254000000</v>
      </c>
      <c r="F4120" s="2261">
        <f>E4120/D4120*100</f>
        <v>97.02062643239114</v>
      </c>
      <c r="G4120" s="2484">
        <v>100</v>
      </c>
      <c r="H4120" s="535"/>
    </row>
    <row r="4121" spans="2:10" ht="16.5" hidden="1" customHeight="1" x14ac:dyDescent="0.25">
      <c r="B4121" s="2913"/>
      <c r="C4121" s="4104" t="s">
        <v>5430</v>
      </c>
      <c r="D4121" s="3630">
        <v>179500000</v>
      </c>
      <c r="E4121" s="2001">
        <v>179500000</v>
      </c>
      <c r="F4121" s="1717">
        <f>E4121/D4121*100</f>
        <v>100</v>
      </c>
      <c r="G4121" s="2338">
        <v>100</v>
      </c>
      <c r="H4121" s="535"/>
    </row>
    <row r="4122" spans="2:10" ht="15" hidden="1" customHeight="1" x14ac:dyDescent="0.25">
      <c r="B4122" s="2913"/>
      <c r="C4122" s="5480" t="s">
        <v>5431</v>
      </c>
      <c r="D4122" s="1572">
        <v>82300000</v>
      </c>
      <c r="E4122" s="3630">
        <v>74500000</v>
      </c>
      <c r="F4122" s="1717">
        <f>E4122/D4122*100</f>
        <v>90.522478736330498</v>
      </c>
      <c r="G4122" s="2338">
        <v>100</v>
      </c>
      <c r="H4122" s="535"/>
    </row>
    <row r="4123" spans="2:10" ht="12" hidden="1" customHeight="1" x14ac:dyDescent="0.25">
      <c r="B4123" s="2913"/>
      <c r="C4123" s="4048"/>
      <c r="D4123" s="798"/>
      <c r="E4123" s="969"/>
      <c r="F4123" s="2279"/>
      <c r="G4123" s="5529"/>
      <c r="H4123" s="535"/>
    </row>
    <row r="4124" spans="2:10" ht="16.5" hidden="1" customHeight="1" x14ac:dyDescent="0.25">
      <c r="B4124" s="5397"/>
      <c r="C4124" s="3913" t="s">
        <v>5432</v>
      </c>
      <c r="D4124" s="3631">
        <f>SUM(D4125+D4129)</f>
        <v>595324000</v>
      </c>
      <c r="E4124" s="3631">
        <f>SUM(E4125+E4129)</f>
        <v>586126000</v>
      </c>
      <c r="F4124" s="2356">
        <f>E4124/D4124*100</f>
        <v>98.454958980319958</v>
      </c>
      <c r="G4124" s="2315">
        <v>100</v>
      </c>
      <c r="H4124" s="535"/>
    </row>
    <row r="4125" spans="2:10" ht="17.25" hidden="1" customHeight="1" x14ac:dyDescent="0.25">
      <c r="B4125" s="2913"/>
      <c r="C4125" s="4103" t="s">
        <v>5434</v>
      </c>
      <c r="D4125" s="1416">
        <f>SUM(D4126:D4127)</f>
        <v>123467000</v>
      </c>
      <c r="E4125" s="1416">
        <f>SUM(E4126:E4127)</f>
        <v>115269000</v>
      </c>
      <c r="F4125" s="2562">
        <f>E4125/D4125*100</f>
        <v>93.360169114014269</v>
      </c>
      <c r="G4125" s="2484">
        <v>100</v>
      </c>
      <c r="H4125" s="535"/>
    </row>
    <row r="4126" spans="2:10" ht="15.75" hidden="1" customHeight="1" x14ac:dyDescent="0.25">
      <c r="B4126" s="2913"/>
      <c r="C4126" s="3856" t="s">
        <v>5435</v>
      </c>
      <c r="D4126" s="1492">
        <v>90567000</v>
      </c>
      <c r="E4126" s="3630">
        <v>82847000</v>
      </c>
      <c r="F4126" s="1717">
        <f>E4126/D4126*100</f>
        <v>91.475923901641877</v>
      </c>
      <c r="G4126" s="2586">
        <v>100</v>
      </c>
      <c r="H4126" s="535"/>
    </row>
    <row r="4127" spans="2:10" ht="18" hidden="1" customHeight="1" x14ac:dyDescent="0.25">
      <c r="B4127" s="2913"/>
      <c r="C4127" s="3856" t="s">
        <v>5436</v>
      </c>
      <c r="D4127" s="1492">
        <v>32900000</v>
      </c>
      <c r="E4127" s="2001">
        <v>32422000</v>
      </c>
      <c r="F4127" s="1717">
        <f>E4127/D4127*100</f>
        <v>98.547112462006083</v>
      </c>
      <c r="G4127" s="2338">
        <v>100</v>
      </c>
      <c r="H4127" s="535"/>
    </row>
    <row r="4128" spans="2:10" ht="5.25" hidden="1" customHeight="1" x14ac:dyDescent="0.25">
      <c r="B4128" s="2913"/>
      <c r="C4128" s="3991"/>
      <c r="D4128" s="730"/>
      <c r="E4128" s="4057"/>
      <c r="F4128" s="1503"/>
      <c r="G4128" s="2484"/>
      <c r="H4128" s="535"/>
    </row>
    <row r="4129" spans="1:11" ht="18.75" hidden="1" customHeight="1" x14ac:dyDescent="0.25">
      <c r="B4129" s="2913"/>
      <c r="C4129" s="4103" t="s">
        <v>5437</v>
      </c>
      <c r="D4129" s="1416">
        <f>SUM(D4130:D4133)</f>
        <v>471857000</v>
      </c>
      <c r="E4129" s="1416">
        <f>SUM(E4130:E4133)</f>
        <v>470857000</v>
      </c>
      <c r="F4129" s="2261">
        <f>E4129/D4129*100</f>
        <v>99.788071386034332</v>
      </c>
      <c r="G4129" s="2484">
        <v>100</v>
      </c>
      <c r="H4129" s="535"/>
    </row>
    <row r="4130" spans="1:11" ht="15.75" hidden="1" customHeight="1" x14ac:dyDescent="0.25">
      <c r="B4130" s="2913"/>
      <c r="C4130" s="3856" t="s">
        <v>5438</v>
      </c>
      <c r="D4130" s="1492">
        <v>250000000</v>
      </c>
      <c r="E4130" s="2001">
        <v>249000000</v>
      </c>
      <c r="F4130" s="1717">
        <f>E4130/D4130*100</f>
        <v>99.6</v>
      </c>
      <c r="G4130" s="2338">
        <v>100</v>
      </c>
      <c r="H4130" s="535"/>
    </row>
    <row r="4131" spans="1:11" ht="15" hidden="1" customHeight="1" x14ac:dyDescent="0.25">
      <c r="B4131" s="2913"/>
      <c r="C4131" s="3856" t="s">
        <v>5439</v>
      </c>
      <c r="D4131" s="1492">
        <v>60609000</v>
      </c>
      <c r="E4131" s="3630">
        <v>60609000</v>
      </c>
      <c r="F4131" s="1717">
        <f>E4131/D4131*100</f>
        <v>100</v>
      </c>
      <c r="G4131" s="2338">
        <v>100</v>
      </c>
      <c r="H4131" s="535"/>
    </row>
    <row r="4132" spans="1:11" ht="16.5" hidden="1" customHeight="1" x14ac:dyDescent="0.25">
      <c r="B4132" s="2913"/>
      <c r="C4132" s="3856" t="s">
        <v>5440</v>
      </c>
      <c r="D4132" s="1492">
        <v>38742000</v>
      </c>
      <c r="E4132" s="2001">
        <v>38742000</v>
      </c>
      <c r="F4132" s="1717">
        <f>E4132/D4132*100</f>
        <v>100</v>
      </c>
      <c r="G4132" s="2338">
        <v>100</v>
      </c>
      <c r="H4132" s="535"/>
    </row>
    <row r="4133" spans="1:11" ht="14.25" hidden="1" customHeight="1" x14ac:dyDescent="0.25">
      <c r="B4133" s="2913"/>
      <c r="C4133" s="3856" t="s">
        <v>5441</v>
      </c>
      <c r="D4133" s="1492">
        <v>122506000</v>
      </c>
      <c r="E4133" s="2001">
        <v>122506000</v>
      </c>
      <c r="F4133" s="1717">
        <f>E4133/D4133*100</f>
        <v>100</v>
      </c>
      <c r="G4133" s="2338">
        <v>100</v>
      </c>
      <c r="H4133" s="535"/>
    </row>
    <row r="4134" spans="1:11" ht="10.5" hidden="1" customHeight="1" x14ac:dyDescent="0.25">
      <c r="B4134" s="2913"/>
      <c r="D4134" s="4120"/>
      <c r="E4134" s="969"/>
      <c r="F4134" s="2279"/>
      <c r="G4134" s="5529"/>
      <c r="H4134" s="535"/>
    </row>
    <row r="4135" spans="1:11" ht="17.25" hidden="1" customHeight="1" x14ac:dyDescent="0.25">
      <c r="B4135" s="4050"/>
      <c r="C4135" s="3913" t="s">
        <v>5442</v>
      </c>
      <c r="D4135" s="3631">
        <f>SUM(D4136)</f>
        <v>545710000</v>
      </c>
      <c r="E4135" s="3631">
        <f>SUM(E4136)</f>
        <v>545000000</v>
      </c>
      <c r="F4135" s="2356">
        <f>E4135/D4135*100</f>
        <v>99.869894266185327</v>
      </c>
      <c r="G4135" s="2315">
        <v>100</v>
      </c>
      <c r="H4135" s="535"/>
    </row>
    <row r="4136" spans="1:11" ht="16.5" hidden="1" customHeight="1" x14ac:dyDescent="0.25">
      <c r="B4136" s="2912"/>
      <c r="C4136" s="4103" t="s">
        <v>5443</v>
      </c>
      <c r="D4136" s="3639">
        <f>SUM(D4137)</f>
        <v>545710000</v>
      </c>
      <c r="E4136" s="3639">
        <f>SUM(E4137)</f>
        <v>545000000</v>
      </c>
      <c r="F4136" s="2562">
        <f>E4136/D4136*100</f>
        <v>99.869894266185327</v>
      </c>
      <c r="G4136" s="2484">
        <v>100</v>
      </c>
      <c r="H4136" s="535"/>
    </row>
    <row r="4137" spans="1:11" ht="16.5" hidden="1" customHeight="1" x14ac:dyDescent="0.25">
      <c r="B4137" s="5405"/>
      <c r="C4137" s="3856" t="s">
        <v>5444</v>
      </c>
      <c r="D4137" s="3638">
        <v>545710000</v>
      </c>
      <c r="E4137" s="3630">
        <v>545000000</v>
      </c>
      <c r="F4137" s="1717">
        <f>E4137/D4137*100</f>
        <v>99.869894266185327</v>
      </c>
      <c r="G4137" s="2338">
        <v>100</v>
      </c>
      <c r="H4137" s="535"/>
    </row>
    <row r="4138" spans="1:11" ht="12" hidden="1" customHeight="1" x14ac:dyDescent="0.25">
      <c r="B4138" s="5402"/>
      <c r="C4138" s="3989"/>
      <c r="D4138" s="4120"/>
      <c r="E4138" s="973"/>
      <c r="F4138" s="2282"/>
      <c r="G4138" s="2584"/>
      <c r="H4138" s="535"/>
    </row>
    <row r="4139" spans="1:11" ht="17.25" hidden="1" customHeight="1" x14ac:dyDescent="0.25">
      <c r="B4139" s="4050"/>
      <c r="C4139" s="3994" t="s">
        <v>5445</v>
      </c>
      <c r="D4139" s="3631">
        <f>SUM(D4140+D4143)</f>
        <v>1183833260</v>
      </c>
      <c r="E4139" s="3631">
        <f>SUM(E4140+E4143)</f>
        <v>851920000</v>
      </c>
      <c r="F4139" s="2356">
        <f>E4139/D4139*100</f>
        <v>71.962837063726354</v>
      </c>
      <c r="G4139" s="5479">
        <f>SUM(G4140+G4143)/2</f>
        <v>93.75</v>
      </c>
      <c r="H4139" s="535"/>
    </row>
    <row r="4140" spans="1:11" ht="19.5" hidden="1" customHeight="1" x14ac:dyDescent="0.25">
      <c r="B4140" s="2912"/>
      <c r="C4140" s="4063" t="s">
        <v>5446</v>
      </c>
      <c r="D4140" s="3632">
        <f>D4141</f>
        <v>250600000</v>
      </c>
      <c r="E4140" s="3632">
        <f>E4141</f>
        <v>204340000</v>
      </c>
      <c r="F4140" s="2562">
        <f>E4140/D4140*100</f>
        <v>81.540303272146858</v>
      </c>
      <c r="G4140" s="2316">
        <v>100</v>
      </c>
      <c r="H4140" s="535"/>
    </row>
    <row r="4141" spans="1:11" ht="17.25" hidden="1" customHeight="1" x14ac:dyDescent="0.25">
      <c r="B4141" s="5405"/>
      <c r="C4141" s="3856" t="s">
        <v>5447</v>
      </c>
      <c r="D4141" s="3630">
        <v>250600000</v>
      </c>
      <c r="E4141" s="3630">
        <v>204340000</v>
      </c>
      <c r="F4141" s="1717">
        <f>E4141/D4141*100</f>
        <v>81.540303272146858</v>
      </c>
      <c r="G4141" s="2338">
        <v>100</v>
      </c>
      <c r="H4141" s="535"/>
    </row>
    <row r="4142" spans="1:11" ht="9.75" hidden="1" customHeight="1" x14ac:dyDescent="0.25">
      <c r="B4142" s="5405"/>
      <c r="D4142" s="731"/>
      <c r="E4142" s="798"/>
      <c r="F4142" s="1717"/>
      <c r="G4142" s="5529"/>
      <c r="H4142" s="535"/>
    </row>
    <row r="4143" spans="1:11" s="3598" customFormat="1" ht="16.5" hidden="1" customHeight="1" x14ac:dyDescent="0.25">
      <c r="A4143" s="3588"/>
      <c r="B4143" s="5405"/>
      <c r="C4143" s="4103" t="s">
        <v>5448</v>
      </c>
      <c r="D4143" s="4155">
        <f>SUM(D4144:D4145)</f>
        <v>933233260</v>
      </c>
      <c r="E4143" s="4155">
        <f>SUM(E4144:E4145)</f>
        <v>647580000</v>
      </c>
      <c r="F4143" s="2261">
        <f>E4143/D4143*100</f>
        <v>69.391011631968624</v>
      </c>
      <c r="G4143" s="2484">
        <f>SUM(G4144:G4145)/2</f>
        <v>87.5</v>
      </c>
      <c r="H4143" s="3592"/>
      <c r="J4143" s="2002"/>
      <c r="K4143" s="2002"/>
    </row>
    <row r="4144" spans="1:11" s="3387" customFormat="1" ht="16.5" hidden="1" customHeight="1" x14ac:dyDescent="0.25">
      <c r="A4144" s="3587"/>
      <c r="B4144" s="5421"/>
      <c r="C4144" s="3856" t="s">
        <v>5449</v>
      </c>
      <c r="D4144" s="1492">
        <v>122562260</v>
      </c>
      <c r="E4144" s="1126">
        <v>122515000</v>
      </c>
      <c r="F4144" s="1717">
        <f>E4144/D4144*100</f>
        <v>99.961440006083436</v>
      </c>
      <c r="G4144" s="2338">
        <v>100</v>
      </c>
      <c r="H4144" s="3590"/>
      <c r="J4144" s="3700"/>
      <c r="K4144" s="3700"/>
    </row>
    <row r="4145" spans="1:11" s="3387" customFormat="1" ht="16.5" hidden="1" customHeight="1" x14ac:dyDescent="0.25">
      <c r="A4145" s="3587"/>
      <c r="B4145" s="5421"/>
      <c r="C4145" s="3856" t="s">
        <v>5450</v>
      </c>
      <c r="D4145" s="1492">
        <v>810671000</v>
      </c>
      <c r="E4145" s="1126">
        <v>525065000</v>
      </c>
      <c r="F4145" s="1717">
        <f>E4145/D4145*100</f>
        <v>64.769185033139209</v>
      </c>
      <c r="G4145" s="2338">
        <v>75</v>
      </c>
      <c r="H4145" s="3590"/>
      <c r="J4145" s="3700"/>
      <c r="K4145" s="3700"/>
    </row>
    <row r="4146" spans="1:11" s="4099" customFormat="1" ht="8.25" hidden="1" customHeight="1" x14ac:dyDescent="0.25">
      <c r="A4146" s="4101"/>
      <c r="B4146" s="5405"/>
      <c r="C4146" s="4172"/>
      <c r="D4146" s="731"/>
      <c r="E4146" s="827"/>
      <c r="F4146" s="827"/>
      <c r="G4146" s="5561"/>
      <c r="H4146" s="4109"/>
      <c r="J4146" s="522"/>
      <c r="K4146" s="522"/>
    </row>
    <row r="4147" spans="1:11" ht="17.25" hidden="1" customHeight="1" x14ac:dyDescent="0.25">
      <c r="B4147" s="5405"/>
      <c r="C4147" s="3858" t="s">
        <v>5451</v>
      </c>
      <c r="D4147" s="3631">
        <f>D4148</f>
        <v>650000000</v>
      </c>
      <c r="E4147" s="3631">
        <f>E4148</f>
        <v>649000000</v>
      </c>
      <c r="F4147" s="2356">
        <f>E4147/D4147*100</f>
        <v>99.846153846153854</v>
      </c>
      <c r="G4147" s="5479">
        <v>100</v>
      </c>
      <c r="H4147" s="535"/>
    </row>
    <row r="4148" spans="1:11" ht="17.25" hidden="1" customHeight="1" x14ac:dyDescent="0.25">
      <c r="B4148" s="5405"/>
      <c r="C4148" s="3881" t="s">
        <v>5452</v>
      </c>
      <c r="D4148" s="3632">
        <f>D4149</f>
        <v>650000000</v>
      </c>
      <c r="E4148" s="3632">
        <f>E4149</f>
        <v>649000000</v>
      </c>
      <c r="F4148" s="2562">
        <f>E4148/D4148*100</f>
        <v>99.846153846153854</v>
      </c>
      <c r="G4148" s="2316">
        <v>100</v>
      </c>
      <c r="H4148" s="535"/>
    </row>
    <row r="4149" spans="1:11" ht="16.5" hidden="1" customHeight="1" x14ac:dyDescent="0.25">
      <c r="B4149" s="5405"/>
      <c r="C4149" s="4104" t="s">
        <v>5453</v>
      </c>
      <c r="D4149" s="3630">
        <v>650000000</v>
      </c>
      <c r="E4149" s="2001">
        <v>649000000</v>
      </c>
      <c r="F4149" s="1717">
        <f>E4149/D4149*100</f>
        <v>99.846153846153854</v>
      </c>
      <c r="G4149" s="2338">
        <v>100</v>
      </c>
      <c r="H4149" s="535"/>
    </row>
    <row r="4150" spans="1:11" ht="7.5" hidden="1" customHeight="1" x14ac:dyDescent="0.25">
      <c r="B4150" s="5402"/>
      <c r="C4150" s="3989"/>
      <c r="D4150" s="4120"/>
      <c r="E4150" s="788"/>
      <c r="F4150" s="2285"/>
      <c r="G4150" s="5529"/>
      <c r="H4150" s="535"/>
    </row>
    <row r="4151" spans="1:11" ht="16.5" hidden="1" customHeight="1" x14ac:dyDescent="0.25">
      <c r="B4151" s="4050"/>
      <c r="C4151" s="3858" t="s">
        <v>5454</v>
      </c>
      <c r="D4151" s="3631">
        <f>D4152</f>
        <v>450000000</v>
      </c>
      <c r="E4151" s="3631">
        <f>E4152</f>
        <v>450000000</v>
      </c>
      <c r="F4151" s="2356">
        <f>E4151/D4151*100</f>
        <v>100</v>
      </c>
      <c r="G4151" s="2315">
        <v>100</v>
      </c>
      <c r="H4151" s="535"/>
    </row>
    <row r="4152" spans="1:11" ht="19.5" hidden="1" customHeight="1" x14ac:dyDescent="0.25">
      <c r="B4152" s="2912"/>
      <c r="C4152" s="3881" t="s">
        <v>5433</v>
      </c>
      <c r="D4152" s="3632">
        <f>D4153</f>
        <v>450000000</v>
      </c>
      <c r="E4152" s="3632">
        <f>E4153</f>
        <v>450000000</v>
      </c>
      <c r="F4152" s="2562">
        <f>E4152/D4152*100</f>
        <v>100</v>
      </c>
      <c r="G4152" s="2316">
        <v>100</v>
      </c>
      <c r="H4152" s="535"/>
    </row>
    <row r="4153" spans="1:11" ht="14.25" hidden="1" customHeight="1" x14ac:dyDescent="0.25">
      <c r="B4153" s="5405"/>
      <c r="C4153" s="4104" t="s">
        <v>5455</v>
      </c>
      <c r="D4153" s="3630">
        <v>450000000</v>
      </c>
      <c r="E4153" s="2001">
        <v>450000000</v>
      </c>
      <c r="F4153" s="1717">
        <f>E4153/D4153*100</f>
        <v>100</v>
      </c>
      <c r="G4153" s="2338">
        <v>100</v>
      </c>
      <c r="H4153" s="535"/>
    </row>
    <row r="4154" spans="1:11" ht="8.25" hidden="1" customHeight="1" x14ac:dyDescent="0.25">
      <c r="B4154" s="5402"/>
      <c r="C4154" s="5562"/>
      <c r="D4154" s="731"/>
      <c r="E4154" s="1644"/>
      <c r="F4154" s="2515"/>
      <c r="G4154" s="5561"/>
      <c r="H4154" s="535"/>
    </row>
    <row r="4155" spans="1:11" s="4159" customFormat="1" ht="15.75" hidden="1" customHeight="1" x14ac:dyDescent="0.25">
      <c r="A4155" s="4156"/>
      <c r="B4155" s="5565"/>
      <c r="C4155" s="5563" t="s">
        <v>5456</v>
      </c>
      <c r="D4155" s="4157">
        <f>SUM(D4156)</f>
        <v>107250000</v>
      </c>
      <c r="E4155" s="4157">
        <f>SUM(E4156)</f>
        <v>97760000</v>
      </c>
      <c r="F4155" s="2356">
        <f>E4155/D4155*100</f>
        <v>91.151515151515156</v>
      </c>
      <c r="G4155" s="5564">
        <v>100</v>
      </c>
      <c r="H4155" s="4158"/>
      <c r="J4155" s="4160"/>
      <c r="K4155" s="4160"/>
    </row>
    <row r="4156" spans="1:11" ht="15.75" hidden="1" customHeight="1" x14ac:dyDescent="0.25">
      <c r="B4156" s="2912"/>
      <c r="C4156" s="4103" t="s">
        <v>5458</v>
      </c>
      <c r="D4156" s="3639">
        <f>SUM(D4157:D4158)</f>
        <v>107250000</v>
      </c>
      <c r="E4156" s="3639">
        <f>SUM(E4157:E4158)</f>
        <v>97760000</v>
      </c>
      <c r="F4156" s="2562">
        <f>E4156/D4156*100</f>
        <v>91.151515151515156</v>
      </c>
      <c r="G4156" s="2484">
        <v>100</v>
      </c>
      <c r="H4156" s="535"/>
    </row>
    <row r="4157" spans="1:11" ht="16.5" hidden="1" customHeight="1" x14ac:dyDescent="0.25">
      <c r="B4157" s="5405"/>
      <c r="C4157" s="3856" t="s">
        <v>5459</v>
      </c>
      <c r="D4157" s="3638">
        <v>57250000</v>
      </c>
      <c r="E4157" s="2001">
        <v>47960000</v>
      </c>
      <c r="F4157" s="1717">
        <f>E4157/D4157*100</f>
        <v>83.772925764192138</v>
      </c>
      <c r="G4157" s="2338">
        <v>100</v>
      </c>
      <c r="H4157" s="535"/>
    </row>
    <row r="4158" spans="1:11" ht="16.5" hidden="1" customHeight="1" x14ac:dyDescent="0.25">
      <c r="B4158" s="5405"/>
      <c r="C4158" s="5480" t="s">
        <v>5460</v>
      </c>
      <c r="D4158" s="1412">
        <v>50000000</v>
      </c>
      <c r="E4158" s="671">
        <v>49800000</v>
      </c>
      <c r="F4158" s="1717">
        <f>E4158/D4158*100</f>
        <v>99.6</v>
      </c>
      <c r="G4158" s="3290">
        <v>100</v>
      </c>
      <c r="H4158" s="535"/>
    </row>
    <row r="4159" spans="1:11" s="4099" customFormat="1" ht="9" hidden="1" customHeight="1" x14ac:dyDescent="0.25">
      <c r="A4159" s="4101"/>
      <c r="B4159" s="5402"/>
      <c r="C4159" s="4048"/>
      <c r="D4159" s="1490"/>
      <c r="E4159" s="973"/>
      <c r="F4159" s="2282"/>
      <c r="G4159" s="2584"/>
      <c r="H4159" s="4109"/>
      <c r="J4159" s="522"/>
      <c r="K4159" s="522"/>
    </row>
    <row r="4160" spans="1:11" ht="18" hidden="1" customHeight="1" x14ac:dyDescent="0.25">
      <c r="B4160" s="4050"/>
      <c r="C4160" s="3913" t="s">
        <v>5461</v>
      </c>
      <c r="D4160" s="3631">
        <f>SUM(D4161+D4164+D4167)</f>
        <v>533500000</v>
      </c>
      <c r="E4160" s="3631">
        <f>SUM(E4161+E4164+E4167)</f>
        <v>531496000</v>
      </c>
      <c r="F4160" s="2356">
        <f>E4160/D4160*100</f>
        <v>99.62436738519213</v>
      </c>
      <c r="G4160" s="2315">
        <v>100</v>
      </c>
      <c r="H4160" s="535"/>
    </row>
    <row r="4161" spans="1:11" ht="15.75" hidden="1" customHeight="1" x14ac:dyDescent="0.25">
      <c r="B4161" s="2912"/>
      <c r="C4161" s="4103" t="s">
        <v>5457</v>
      </c>
      <c r="D4161" s="3639">
        <f>SUM(D4162)</f>
        <v>200000000</v>
      </c>
      <c r="E4161" s="3639">
        <f>SUM(E4162)</f>
        <v>199088000</v>
      </c>
      <c r="F4161" s="2562">
        <f>E4161/D4161*100</f>
        <v>99.543999999999997</v>
      </c>
      <c r="G4161" s="2316">
        <v>100</v>
      </c>
      <c r="H4161" s="535"/>
    </row>
    <row r="4162" spans="1:11" ht="16.5" hidden="1" customHeight="1" x14ac:dyDescent="0.25">
      <c r="B4162" s="5405"/>
      <c r="C4162" s="3856" t="s">
        <v>5462</v>
      </c>
      <c r="D4162" s="3638">
        <v>200000000</v>
      </c>
      <c r="E4162" s="2001">
        <v>199088000</v>
      </c>
      <c r="F4162" s="1717">
        <f>E4162/D4162*100</f>
        <v>99.543999999999997</v>
      </c>
      <c r="G4162" s="2338">
        <v>100</v>
      </c>
      <c r="H4162" s="535"/>
    </row>
    <row r="4163" spans="1:11" s="4099" customFormat="1" ht="9" hidden="1" customHeight="1" x14ac:dyDescent="0.25">
      <c r="A4163" s="4101"/>
      <c r="B4163" s="5405"/>
      <c r="C4163" s="5480"/>
      <c r="D4163" s="1995"/>
      <c r="E4163" s="4140"/>
      <c r="F4163" s="2279"/>
      <c r="G4163" s="5529"/>
      <c r="H4163" s="536"/>
      <c r="J4163" s="522"/>
      <c r="K4163" s="522"/>
    </row>
    <row r="4164" spans="1:11" s="3598" customFormat="1" ht="16.5" hidden="1" customHeight="1" x14ac:dyDescent="0.25">
      <c r="A4164" s="3588"/>
      <c r="B4164" s="5405"/>
      <c r="C4164" s="4103" t="s">
        <v>5463</v>
      </c>
      <c r="D4164" s="3639">
        <f>D4165</f>
        <v>234500000</v>
      </c>
      <c r="E4164" s="3639">
        <f>E4165</f>
        <v>233715000</v>
      </c>
      <c r="F4164" s="2261">
        <f>E4164/D4164*100</f>
        <v>99.665245202558637</v>
      </c>
      <c r="G4164" s="2484">
        <v>100</v>
      </c>
      <c r="H4164" s="574"/>
      <c r="J4164" s="2002"/>
      <c r="K4164" s="2002"/>
    </row>
    <row r="4165" spans="1:11" s="4099" customFormat="1" ht="16.5" hidden="1" customHeight="1" x14ac:dyDescent="0.25">
      <c r="A4165" s="4101"/>
      <c r="B4165" s="5405"/>
      <c r="C4165" s="3856" t="s">
        <v>5464</v>
      </c>
      <c r="D4165" s="3638">
        <v>234500000</v>
      </c>
      <c r="E4165" s="2001">
        <v>233715000</v>
      </c>
      <c r="F4165" s="1717">
        <f>E4165/D4165*100</f>
        <v>99.665245202558637</v>
      </c>
      <c r="G4165" s="2338">
        <v>100</v>
      </c>
      <c r="H4165" s="536"/>
      <c r="J4165" s="522"/>
      <c r="K4165" s="522"/>
    </row>
    <row r="4166" spans="1:11" s="4099" customFormat="1" ht="8.25" hidden="1" customHeight="1" x14ac:dyDescent="0.25">
      <c r="A4166" s="4101"/>
      <c r="B4166" s="5405"/>
      <c r="C4166" s="3669"/>
      <c r="D4166" s="1995"/>
      <c r="E4166" s="2573"/>
      <c r="F4166" s="1315"/>
      <c r="G4166" s="2483"/>
      <c r="H4166" s="536"/>
      <c r="J4166" s="522"/>
      <c r="K4166" s="522"/>
    </row>
    <row r="4167" spans="1:11" s="3598" customFormat="1" ht="16.5" hidden="1" customHeight="1" x14ac:dyDescent="0.25">
      <c r="A4167" s="3588"/>
      <c r="B4167" s="5405"/>
      <c r="C4167" s="4161" t="s">
        <v>5465</v>
      </c>
      <c r="D4167" s="1124">
        <f>D4168</f>
        <v>99000000</v>
      </c>
      <c r="E4167" s="1124">
        <f>E4168</f>
        <v>98693000</v>
      </c>
      <c r="F4167" s="2261">
        <f>E4167/D4167*100</f>
        <v>99.689898989898992</v>
      </c>
      <c r="G4167" s="2484">
        <v>100</v>
      </c>
      <c r="H4167" s="574"/>
      <c r="J4167" s="2002"/>
      <c r="K4167" s="2002"/>
    </row>
    <row r="4168" spans="1:11" s="4099" customFormat="1" ht="16.5" hidden="1" customHeight="1" x14ac:dyDescent="0.25">
      <c r="A4168" s="4101"/>
      <c r="B4168" s="5405"/>
      <c r="C4168" s="3856" t="s">
        <v>5466</v>
      </c>
      <c r="D4168" s="1995">
        <v>99000000</v>
      </c>
      <c r="E4168" s="2573">
        <v>98693000</v>
      </c>
      <c r="F4168" s="1717">
        <f>E4168/D4168*100</f>
        <v>99.689898989898992</v>
      </c>
      <c r="G4168" s="2338">
        <v>100</v>
      </c>
      <c r="H4168" s="536"/>
      <c r="J4168" s="522"/>
      <c r="K4168" s="522"/>
    </row>
    <row r="4169" spans="1:11" ht="6" hidden="1" customHeight="1" x14ac:dyDescent="0.25">
      <c r="B4169" s="2913"/>
      <c r="D4169" s="798"/>
      <c r="E4169" s="3630"/>
      <c r="F4169" s="3557"/>
      <c r="G4169" s="5529"/>
      <c r="H4169" s="535"/>
    </row>
    <row r="4170" spans="1:11" ht="17.25" hidden="1" customHeight="1" x14ac:dyDescent="0.25">
      <c r="B4170" s="5397"/>
      <c r="C4170" s="3913" t="s">
        <v>5467</v>
      </c>
      <c r="D4170" s="3631">
        <f>SUM(D4171:D4172)</f>
        <v>11351506000</v>
      </c>
      <c r="E4170" s="3631">
        <f>SUM(E4171:E4172)</f>
        <v>11253306000</v>
      </c>
      <c r="F4170" s="2356">
        <f>E4170/D4170*100</f>
        <v>99.134916547636948</v>
      </c>
      <c r="G4170" s="2315">
        <v>100</v>
      </c>
      <c r="H4170" s="535"/>
    </row>
    <row r="4171" spans="1:11" ht="15.75" hidden="1" customHeight="1" x14ac:dyDescent="0.25">
      <c r="B4171" s="2913"/>
      <c r="C4171" s="3856" t="s">
        <v>5469</v>
      </c>
      <c r="D4171" s="3630">
        <v>4782506000</v>
      </c>
      <c r="E4171" s="3630">
        <v>4782506000</v>
      </c>
      <c r="F4171" s="1717">
        <f>E4171/D4171*100</f>
        <v>100</v>
      </c>
      <c r="G4171" s="2338">
        <v>100</v>
      </c>
      <c r="H4171" s="535"/>
    </row>
    <row r="4172" spans="1:11" ht="15" hidden="1" customHeight="1" x14ac:dyDescent="0.25">
      <c r="B4172" s="2913"/>
      <c r="C4172" s="4118" t="s">
        <v>5470</v>
      </c>
      <c r="D4172" s="3630">
        <v>6569000000</v>
      </c>
      <c r="E4172" s="2001">
        <v>6470800000</v>
      </c>
      <c r="F4172" s="1717">
        <f>E4172/D4172*100</f>
        <v>98.505099710762678</v>
      </c>
      <c r="G4172" s="2586">
        <v>100</v>
      </c>
      <c r="H4172" s="535"/>
    </row>
    <row r="4173" spans="1:11" ht="14.1" hidden="1" customHeight="1" x14ac:dyDescent="0.25">
      <c r="B4173" s="5398"/>
      <c r="C4173" s="3965"/>
      <c r="D4173" s="1550"/>
      <c r="E4173" s="1850"/>
      <c r="F4173" s="537"/>
      <c r="G4173" s="2005"/>
      <c r="H4173" s="5428"/>
    </row>
    <row r="4174" spans="1:11" s="4099" customFormat="1" ht="20.25" customHeight="1" x14ac:dyDescent="0.25">
      <c r="A4174" s="4101"/>
      <c r="B4174" s="5422" t="s">
        <v>7114</v>
      </c>
      <c r="C4174" s="5098" t="s">
        <v>433</v>
      </c>
      <c r="D4174" s="5095">
        <v>240893747800</v>
      </c>
      <c r="E4174" s="5096">
        <f>209172770340+13888977460</f>
        <v>223061747800</v>
      </c>
      <c r="F4174" s="5097">
        <f>E4174/D4174*100</f>
        <v>92.597566286857358</v>
      </c>
      <c r="G4174" s="5099">
        <v>100</v>
      </c>
      <c r="H4174" s="5429"/>
      <c r="J4174" s="522"/>
      <c r="K4174" s="522"/>
    </row>
    <row r="4175" spans="1:11" s="4099" customFormat="1" ht="14.1" hidden="1" customHeight="1" x14ac:dyDescent="0.25">
      <c r="A4175" s="4101"/>
      <c r="B4175" s="5398"/>
      <c r="C4175" s="3859"/>
      <c r="D4175" s="1548"/>
      <c r="E4175" s="5100"/>
      <c r="F4175" s="5101"/>
      <c r="G4175" s="5102"/>
      <c r="H4175" s="5429"/>
      <c r="J4175" s="522"/>
      <c r="K4175" s="522"/>
    </row>
    <row r="4176" spans="1:11" s="4099" customFormat="1" ht="15.75" customHeight="1" x14ac:dyDescent="0.25">
      <c r="A4176" s="4101"/>
      <c r="B4176" s="5423" t="s">
        <v>7111</v>
      </c>
      <c r="C4176" s="5098" t="s">
        <v>7115</v>
      </c>
      <c r="D4176" s="5103">
        <v>24818166660</v>
      </c>
      <c r="E4176" s="5103">
        <v>24818166660</v>
      </c>
      <c r="F4176" s="5097">
        <f>E4176/D4176*100</f>
        <v>100</v>
      </c>
      <c r="G4176" s="5104">
        <v>100</v>
      </c>
      <c r="H4176" s="5429"/>
      <c r="J4176" s="522"/>
      <c r="K4176" s="522"/>
    </row>
    <row r="4177" spans="1:11" s="4099" customFormat="1" ht="14.1" customHeight="1" thickBot="1" x14ac:dyDescent="0.3">
      <c r="A4177" s="4101"/>
      <c r="B4177" s="5398"/>
      <c r="C4177" s="3965"/>
      <c r="D4177" s="1550"/>
      <c r="E4177" s="1854"/>
      <c r="F4177" s="5093"/>
      <c r="G4177" s="5094"/>
      <c r="H4177" s="5429"/>
      <c r="J4177" s="522"/>
      <c r="K4177" s="522"/>
    </row>
    <row r="4178" spans="1:11" s="221" customFormat="1" ht="21.75" customHeight="1" thickTop="1" thickBot="1" x14ac:dyDescent="0.3">
      <c r="A4178" s="3005"/>
      <c r="B4178" s="5424"/>
      <c r="C4178" s="2867" t="s">
        <v>18</v>
      </c>
      <c r="D4178" s="1992">
        <f>D12+D126+D4174+D4176</f>
        <v>2408937478000</v>
      </c>
      <c r="E4178" s="1992">
        <f>E12+E126+E4174+E4176</f>
        <v>2179156926323</v>
      </c>
      <c r="F4178" s="2873">
        <f>E4178/D4178*100</f>
        <v>90.461331862055076</v>
      </c>
      <c r="G4178" s="1993">
        <f>SUM(G12+G126+G4174+G4176)/4</f>
        <v>95.272657969852162</v>
      </c>
      <c r="H4178" s="5430"/>
      <c r="J4178" s="2067"/>
      <c r="K4178" s="2067"/>
    </row>
    <row r="4179" spans="1:11" ht="14.1" customHeight="1" thickTop="1" x14ac:dyDescent="0.25">
      <c r="B4179" s="571"/>
      <c r="C4179" s="3847"/>
      <c r="D4179" s="1615"/>
      <c r="E4179" s="3502"/>
      <c r="F4179" s="2592"/>
      <c r="G4179" s="2592"/>
      <c r="H4179" s="571"/>
      <c r="I4179" s="168"/>
    </row>
    <row r="4180" spans="1:11" ht="14.1" customHeight="1" x14ac:dyDescent="0.25">
      <c r="B4180" s="571"/>
      <c r="C4180" s="3847"/>
      <c r="D4180" s="5723"/>
      <c r="E4180" s="5723"/>
      <c r="F4180" s="5723"/>
      <c r="G4180" s="5723"/>
      <c r="H4180" s="5566"/>
      <c r="I4180" s="168"/>
    </row>
    <row r="4181" spans="1:11" ht="20.100000000000001" customHeight="1" x14ac:dyDescent="0.25">
      <c r="B4181" s="5724"/>
      <c r="C4181" s="5724"/>
      <c r="D4181" s="5723" t="s">
        <v>7118</v>
      </c>
      <c r="E4181" s="5723"/>
      <c r="F4181" s="5723"/>
      <c r="G4181" s="5723"/>
      <c r="H4181" s="5723"/>
      <c r="I4181" s="168"/>
    </row>
    <row r="4182" spans="1:11" ht="15" customHeight="1" x14ac:dyDescent="0.25">
      <c r="B4182" s="571"/>
      <c r="C4182" s="3847"/>
      <c r="D4182" s="5726" t="s">
        <v>2276</v>
      </c>
      <c r="E4182" s="5726"/>
      <c r="F4182" s="5726"/>
      <c r="G4182" s="5726"/>
      <c r="H4182" s="5726"/>
      <c r="I4182" s="168"/>
    </row>
    <row r="4183" spans="1:11" ht="15.75" x14ac:dyDescent="0.25">
      <c r="B4183" s="5724"/>
      <c r="C4183" s="5724"/>
      <c r="D4183" s="5730" t="s">
        <v>2067</v>
      </c>
      <c r="E4183" s="5730"/>
      <c r="F4183" s="5730"/>
      <c r="G4183" s="5730"/>
      <c r="H4183" s="5730"/>
      <c r="I4183" s="5730"/>
    </row>
    <row r="4184" spans="1:11" x14ac:dyDescent="0.25">
      <c r="B4184" s="5724"/>
      <c r="C4184" s="5724"/>
      <c r="D4184" s="1893"/>
      <c r="E4184" s="5567"/>
      <c r="F4184" s="1893"/>
      <c r="G4184" s="5568"/>
      <c r="H4184" s="5569"/>
      <c r="I4184" s="168"/>
    </row>
    <row r="4185" spans="1:11" x14ac:dyDescent="0.25">
      <c r="B4185" s="571"/>
      <c r="C4185" s="3847"/>
      <c r="D4185" s="4343"/>
      <c r="E4185" s="5567"/>
      <c r="F4185" s="1893"/>
      <c r="G4185" s="5570"/>
      <c r="H4185" s="5569"/>
      <c r="I4185" s="168"/>
    </row>
    <row r="4186" spans="1:11" x14ac:dyDescent="0.25">
      <c r="B4186" s="571"/>
      <c r="C4186" s="3847"/>
      <c r="D4186" s="4343"/>
      <c r="E4186" s="3203"/>
      <c r="F4186" s="1893"/>
      <c r="G4186" s="5568"/>
      <c r="H4186" s="5569"/>
      <c r="I4186" s="168"/>
    </row>
    <row r="4187" spans="1:11" ht="15.75" x14ac:dyDescent="0.25">
      <c r="B4187" s="571"/>
      <c r="C4187" s="3847"/>
      <c r="D4187" s="5727" t="s">
        <v>2070</v>
      </c>
      <c r="E4187" s="5727"/>
      <c r="F4187" s="5727"/>
      <c r="G4187" s="5727"/>
      <c r="H4187" s="5727"/>
      <c r="I4187" s="5571"/>
      <c r="J4187" s="3352"/>
    </row>
    <row r="4188" spans="1:11" ht="15" customHeight="1" x14ac:dyDescent="0.25">
      <c r="B4188" s="571"/>
      <c r="C4188" s="3847"/>
      <c r="D4188" s="5728" t="s">
        <v>2071</v>
      </c>
      <c r="E4188" s="5728"/>
      <c r="F4188" s="5728"/>
      <c r="G4188" s="5728"/>
      <c r="H4188" s="5728"/>
      <c r="I4188" s="168"/>
    </row>
    <row r="4189" spans="1:11" ht="16.5" customHeight="1" x14ac:dyDescent="0.25">
      <c r="B4189" s="571"/>
      <c r="C4189" s="3847"/>
      <c r="D4189" s="5729" t="s">
        <v>2072</v>
      </c>
      <c r="E4189" s="5729"/>
      <c r="F4189" s="5729"/>
      <c r="G4189" s="5729"/>
      <c r="H4189" s="5729"/>
      <c r="I4189" s="168"/>
    </row>
    <row r="4190" spans="1:11" x14ac:dyDescent="0.25">
      <c r="B4190" s="571"/>
      <c r="C4190" s="3847"/>
      <c r="D4190" s="4343"/>
      <c r="E4190" s="3502"/>
      <c r="F4190" s="2592"/>
      <c r="G4190" s="2592"/>
      <c r="H4190" s="571"/>
      <c r="I4190" s="168"/>
    </row>
    <row r="4191" spans="1:11" x14ac:dyDescent="0.25">
      <c r="B4191" s="571"/>
      <c r="C4191" s="3847"/>
      <c r="D4191" s="4343"/>
      <c r="E4191" s="3502"/>
      <c r="F4191" s="2592"/>
      <c r="G4191" s="5725"/>
      <c r="H4191" s="5725"/>
      <c r="I4191" s="168"/>
    </row>
    <row r="4192" spans="1:11" x14ac:dyDescent="0.25">
      <c r="B4192" s="571"/>
      <c r="C4192" s="3847"/>
      <c r="D4192" s="4343"/>
      <c r="E4192" s="3502"/>
      <c r="F4192" s="2592"/>
      <c r="G4192" s="5725"/>
      <c r="H4192" s="5725"/>
      <c r="I4192" s="168"/>
    </row>
    <row r="4193" spans="2:9" x14ac:dyDescent="0.25">
      <c r="B4193" s="571"/>
      <c r="C4193" s="3847"/>
      <c r="D4193" s="4343"/>
      <c r="E4193" s="3502"/>
      <c r="F4193" s="2592"/>
      <c r="G4193" s="5725"/>
      <c r="H4193" s="5725"/>
      <c r="I4193" s="168"/>
    </row>
    <row r="4194" spans="2:9" x14ac:dyDescent="0.25">
      <c r="B4194" s="571"/>
      <c r="C4194" s="3847"/>
      <c r="D4194" s="4343"/>
      <c r="E4194" s="3502"/>
      <c r="F4194" s="2592"/>
      <c r="G4194" s="5725"/>
      <c r="H4194" s="5725"/>
      <c r="I4194" s="168"/>
    </row>
    <row r="4195" spans="2:9" x14ac:dyDescent="0.25">
      <c r="B4195" s="571"/>
      <c r="C4195" s="3847"/>
      <c r="D4195" s="4343"/>
      <c r="E4195" s="3502"/>
      <c r="F4195" s="2592"/>
      <c r="G4195" s="5568"/>
      <c r="H4195" s="5569"/>
      <c r="I4195" s="168"/>
    </row>
    <row r="4196" spans="2:9" x14ac:dyDescent="0.25">
      <c r="B4196" s="571"/>
      <c r="C4196" s="3847"/>
      <c r="D4196" s="4343"/>
      <c r="E4196" s="3502"/>
      <c r="F4196" s="2592"/>
      <c r="G4196" s="5570"/>
      <c r="H4196" s="5569"/>
      <c r="I4196" s="168"/>
    </row>
    <row r="4197" spans="2:9" x14ac:dyDescent="0.25">
      <c r="B4197" s="571"/>
      <c r="C4197" s="3847"/>
      <c r="D4197" s="4343"/>
      <c r="E4197" s="3502"/>
      <c r="F4197" s="2592"/>
      <c r="G4197" s="5568"/>
      <c r="H4197" s="5569"/>
      <c r="I4197" s="168"/>
    </row>
    <row r="4198" spans="2:9" x14ac:dyDescent="0.25">
      <c r="B4198" s="571"/>
      <c r="C4198" s="3847"/>
      <c r="D4198" s="4343"/>
      <c r="E4198" s="3502"/>
      <c r="F4198" s="2592"/>
      <c r="G4198" s="5725"/>
      <c r="H4198" s="5725"/>
      <c r="I4198" s="168"/>
    </row>
    <row r="4199" spans="2:9" x14ac:dyDescent="0.25">
      <c r="B4199" s="571"/>
      <c r="C4199" s="3847"/>
      <c r="D4199" s="4343"/>
      <c r="E4199" s="3502"/>
      <c r="F4199" s="2592"/>
      <c r="G4199" s="5720"/>
      <c r="H4199" s="5720"/>
      <c r="I4199" s="168"/>
    </row>
    <row r="4200" spans="2:9" x14ac:dyDescent="0.25">
      <c r="B4200" s="571"/>
      <c r="C4200" s="3847"/>
      <c r="D4200" s="5572"/>
      <c r="E4200" s="3502"/>
      <c r="F4200" s="2592"/>
      <c r="G4200" s="2592"/>
      <c r="H4200" s="571"/>
      <c r="I4200" s="168"/>
    </row>
    <row r="4201" spans="2:9" x14ac:dyDescent="0.25">
      <c r="B4201" s="571"/>
      <c r="C4201" s="3847"/>
      <c r="D4201" s="5572"/>
      <c r="E4201" s="3502"/>
      <c r="F4201" s="2592"/>
      <c r="G4201" s="2592"/>
      <c r="H4201" s="571"/>
      <c r="I4201" s="168"/>
    </row>
    <row r="4202" spans="2:9" x14ac:dyDescent="0.25">
      <c r="B4202" s="571"/>
      <c r="C4202" s="3847"/>
      <c r="D4202" s="5572"/>
      <c r="E4202" s="3502"/>
      <c r="F4202" s="2592"/>
      <c r="G4202" s="5585"/>
    </row>
    <row r="4203" spans="2:9" x14ac:dyDescent="0.25">
      <c r="B4203" s="571"/>
      <c r="C4203" s="3847"/>
      <c r="D4203" s="5572"/>
      <c r="E4203" s="3502"/>
      <c r="F4203" s="2592"/>
      <c r="G4203" s="5585"/>
    </row>
    <row r="4204" spans="2:9" x14ac:dyDescent="0.25">
      <c r="B4204" s="571"/>
      <c r="C4204" s="3847"/>
      <c r="D4204" s="5572"/>
      <c r="E4204" s="3502"/>
      <c r="F4204" s="2592"/>
      <c r="G4204" s="5585"/>
    </row>
    <row r="4205" spans="2:9" x14ac:dyDescent="0.25">
      <c r="B4205" s="571"/>
      <c r="C4205" s="3847"/>
      <c r="D4205" s="5572"/>
      <c r="E4205" s="3502"/>
      <c r="F4205" s="2592"/>
      <c r="G4205" s="5585"/>
    </row>
    <row r="4206" spans="2:9" x14ac:dyDescent="0.25">
      <c r="B4206" s="571"/>
      <c r="C4206" s="3847"/>
      <c r="D4206" s="5572"/>
      <c r="E4206" s="3502"/>
      <c r="F4206" s="2592"/>
      <c r="G4206" s="5585"/>
    </row>
    <row r="4207" spans="2:9" x14ac:dyDescent="0.25">
      <c r="B4207" s="571"/>
      <c r="C4207" s="3847"/>
      <c r="D4207" s="5572"/>
      <c r="E4207" s="3502"/>
      <c r="F4207" s="2592"/>
      <c r="G4207" s="5585"/>
    </row>
    <row r="4208" spans="2:9" x14ac:dyDescent="0.25">
      <c r="B4208" s="571"/>
      <c r="C4208" s="3847"/>
      <c r="D4208" s="5572"/>
      <c r="E4208" s="3502"/>
      <c r="F4208" s="2592"/>
      <c r="G4208" s="5585"/>
    </row>
    <row r="4209" spans="2:7" x14ac:dyDescent="0.25">
      <c r="B4209" s="571"/>
      <c r="C4209" s="3847"/>
      <c r="D4209" s="5572"/>
      <c r="E4209" s="3502"/>
      <c r="F4209" s="2592"/>
      <c r="G4209" s="5585"/>
    </row>
    <row r="4210" spans="2:7" x14ac:dyDescent="0.25">
      <c r="B4210" s="571"/>
      <c r="C4210" s="3847"/>
      <c r="D4210" s="5572"/>
      <c r="E4210" s="3502"/>
      <c r="F4210" s="2592"/>
      <c r="G4210" s="5585"/>
    </row>
    <row r="4211" spans="2:7" x14ac:dyDescent="0.25">
      <c r="B4211" s="571"/>
      <c r="C4211" s="3847"/>
      <c r="D4211" s="5572"/>
      <c r="E4211" s="3502"/>
      <c r="F4211" s="2592"/>
      <c r="G4211" s="5585"/>
    </row>
    <row r="4212" spans="2:7" x14ac:dyDescent="0.25">
      <c r="B4212" s="571"/>
      <c r="C4212" s="3847"/>
      <c r="D4212" s="5572"/>
      <c r="E4212" s="3502"/>
      <c r="F4212" s="2592"/>
      <c r="G4212" s="5585"/>
    </row>
    <row r="4213" spans="2:7" x14ac:dyDescent="0.25">
      <c r="B4213" s="571"/>
      <c r="C4213" s="3847"/>
      <c r="D4213" s="5572"/>
      <c r="E4213" s="3502"/>
      <c r="F4213" s="2592"/>
      <c r="G4213" s="5585"/>
    </row>
    <row r="4214" spans="2:7" x14ac:dyDescent="0.25">
      <c r="B4214" s="571"/>
      <c r="C4214" s="3847"/>
      <c r="D4214" s="5572"/>
      <c r="E4214" s="3502"/>
      <c r="F4214" s="2592"/>
      <c r="G4214" s="5585"/>
    </row>
    <row r="4215" spans="2:7" x14ac:dyDescent="0.25">
      <c r="B4215" s="571"/>
      <c r="C4215" s="3847"/>
      <c r="D4215" s="5572"/>
      <c r="E4215" s="3502"/>
      <c r="F4215" s="2592"/>
      <c r="G4215" s="5585"/>
    </row>
    <row r="4216" spans="2:7" x14ac:dyDescent="0.25">
      <c r="B4216" s="571"/>
      <c r="C4216" s="3847"/>
      <c r="D4216" s="5572"/>
      <c r="E4216" s="3502"/>
      <c r="F4216" s="2592"/>
      <c r="G4216" s="5585"/>
    </row>
    <row r="4217" spans="2:7" x14ac:dyDescent="0.25">
      <c r="B4217" s="571"/>
      <c r="C4217" s="3847"/>
      <c r="D4217" s="5572"/>
      <c r="E4217" s="3502"/>
      <c r="F4217" s="2592"/>
      <c r="G4217" s="5585"/>
    </row>
    <row r="4218" spans="2:7" x14ac:dyDescent="0.25">
      <c r="B4218" s="571"/>
      <c r="C4218" s="3847"/>
      <c r="D4218" s="5572"/>
      <c r="E4218" s="3502"/>
      <c r="F4218" s="2592"/>
      <c r="G4218" s="5585"/>
    </row>
    <row r="4219" spans="2:7" x14ac:dyDescent="0.25">
      <c r="B4219" s="571"/>
      <c r="C4219" s="3847"/>
      <c r="D4219" s="5572"/>
      <c r="E4219" s="3502"/>
      <c r="F4219" s="2592"/>
      <c r="G4219" s="5585"/>
    </row>
    <row r="4220" spans="2:7" x14ac:dyDescent="0.25">
      <c r="B4220" s="571"/>
      <c r="C4220" s="3847"/>
      <c r="D4220" s="5572"/>
      <c r="E4220" s="3502"/>
      <c r="F4220" s="2592"/>
      <c r="G4220" s="5585"/>
    </row>
    <row r="4221" spans="2:7" x14ac:dyDescent="0.25">
      <c r="B4221" s="571"/>
      <c r="C4221" s="3847"/>
      <c r="D4221" s="5572"/>
      <c r="E4221" s="3502"/>
      <c r="F4221" s="2592"/>
      <c r="G4221" s="5585"/>
    </row>
    <row r="4222" spans="2:7" x14ac:dyDescent="0.25">
      <c r="B4222" s="571"/>
      <c r="C4222" s="3847"/>
      <c r="D4222" s="5572"/>
      <c r="E4222" s="3502"/>
      <c r="F4222" s="2592"/>
      <c r="G4222" s="5585"/>
    </row>
    <row r="4223" spans="2:7" x14ac:dyDescent="0.25">
      <c r="B4223" s="571"/>
      <c r="C4223" s="3847"/>
      <c r="D4223" s="5572"/>
      <c r="E4223" s="3502"/>
      <c r="F4223" s="2592"/>
      <c r="G4223" s="5585"/>
    </row>
    <row r="4224" spans="2:7" x14ac:dyDescent="0.25">
      <c r="B4224" s="571"/>
      <c r="C4224" s="3847"/>
      <c r="D4224" s="5572"/>
      <c r="E4224" s="3502"/>
      <c r="F4224" s="2592"/>
      <c r="G4224" s="5585"/>
    </row>
    <row r="4225" spans="2:7" x14ac:dyDescent="0.25">
      <c r="B4225" s="571"/>
      <c r="C4225" s="3847"/>
      <c r="D4225" s="5572"/>
      <c r="E4225" s="3502"/>
      <c r="F4225" s="2592"/>
      <c r="G4225" s="5585"/>
    </row>
    <row r="4226" spans="2:7" x14ac:dyDescent="0.25">
      <c r="B4226" s="571"/>
      <c r="C4226" s="3847"/>
      <c r="D4226" s="5572"/>
      <c r="E4226" s="3502"/>
      <c r="F4226" s="2592"/>
      <c r="G4226" s="5585"/>
    </row>
    <row r="4227" spans="2:7" x14ac:dyDescent="0.25">
      <c r="B4227" s="571"/>
      <c r="C4227" s="3847"/>
      <c r="D4227" s="5572"/>
      <c r="E4227" s="3502"/>
      <c r="F4227" s="2592"/>
      <c r="G4227" s="5585"/>
    </row>
    <row r="4228" spans="2:7" x14ac:dyDescent="0.25">
      <c r="B4228" s="571"/>
      <c r="C4228" s="3847"/>
      <c r="D4228" s="5572"/>
      <c r="E4228" s="3502"/>
      <c r="F4228" s="2592"/>
      <c r="G4228" s="5585"/>
    </row>
    <row r="4229" spans="2:7" x14ac:dyDescent="0.25">
      <c r="B4229" s="571"/>
      <c r="C4229" s="3847"/>
      <c r="D4229" s="5572"/>
      <c r="E4229" s="3502"/>
      <c r="F4229" s="2592"/>
      <c r="G4229" s="5585"/>
    </row>
    <row r="4230" spans="2:7" x14ac:dyDescent="0.25">
      <c r="B4230" s="571"/>
      <c r="C4230" s="3847"/>
      <c r="D4230" s="5572"/>
      <c r="E4230" s="3502"/>
      <c r="F4230" s="2592"/>
      <c r="G4230" s="5585"/>
    </row>
    <row r="4231" spans="2:7" x14ac:dyDescent="0.25">
      <c r="B4231" s="571"/>
      <c r="C4231" s="3847"/>
      <c r="D4231" s="5572"/>
      <c r="E4231" s="3502"/>
      <c r="F4231" s="2592"/>
      <c r="G4231" s="5585"/>
    </row>
    <row r="4232" spans="2:7" x14ac:dyDescent="0.25">
      <c r="B4232" s="571"/>
      <c r="C4232" s="3847"/>
      <c r="D4232" s="5572"/>
      <c r="E4232" s="3502"/>
      <c r="F4232" s="2592"/>
      <c r="G4232" s="5585"/>
    </row>
    <row r="4233" spans="2:7" x14ac:dyDescent="0.25">
      <c r="B4233" s="571"/>
      <c r="C4233" s="3847"/>
      <c r="D4233" s="5572"/>
      <c r="E4233" s="3502"/>
      <c r="F4233" s="2592"/>
      <c r="G4233" s="5585"/>
    </row>
    <row r="4234" spans="2:7" x14ac:dyDescent="0.25">
      <c r="B4234" s="571"/>
      <c r="C4234" s="3847"/>
      <c r="D4234" s="5572"/>
      <c r="E4234" s="3502"/>
      <c r="F4234" s="2592"/>
      <c r="G4234" s="5585"/>
    </row>
    <row r="4235" spans="2:7" x14ac:dyDescent="0.25">
      <c r="B4235" s="571"/>
      <c r="C4235" s="3847"/>
      <c r="D4235" s="5572"/>
      <c r="E4235" s="3502"/>
      <c r="F4235" s="2592"/>
      <c r="G4235" s="5585"/>
    </row>
    <row r="4236" spans="2:7" x14ac:dyDescent="0.25">
      <c r="B4236" s="571"/>
      <c r="C4236" s="3847"/>
      <c r="D4236" s="5572"/>
      <c r="E4236" s="3502"/>
      <c r="F4236" s="2592"/>
      <c r="G4236" s="5585"/>
    </row>
    <row r="4237" spans="2:7" x14ac:dyDescent="0.25">
      <c r="B4237" s="571"/>
      <c r="C4237" s="3847"/>
      <c r="D4237" s="5572"/>
      <c r="E4237" s="3502"/>
      <c r="F4237" s="2592"/>
      <c r="G4237" s="5585"/>
    </row>
    <row r="4238" spans="2:7" x14ac:dyDescent="0.25">
      <c r="B4238" s="571"/>
      <c r="C4238" s="3847"/>
      <c r="D4238" s="5572"/>
      <c r="E4238" s="3502"/>
      <c r="F4238" s="2592"/>
      <c r="G4238" s="5585"/>
    </row>
    <row r="4239" spans="2:7" x14ac:dyDescent="0.25">
      <c r="B4239" s="571"/>
      <c r="C4239" s="3847"/>
      <c r="D4239" s="5572"/>
      <c r="E4239" s="3502"/>
      <c r="F4239" s="2592"/>
      <c r="G4239" s="5585"/>
    </row>
    <row r="4240" spans="2:7" x14ac:dyDescent="0.25">
      <c r="B4240" s="571"/>
      <c r="C4240" s="3847"/>
      <c r="D4240" s="5572"/>
      <c r="E4240" s="3502"/>
      <c r="F4240" s="2592"/>
      <c r="G4240" s="5585"/>
    </row>
    <row r="4241" spans="2:7" x14ac:dyDescent="0.25">
      <c r="B4241" s="571"/>
      <c r="C4241" s="3847"/>
      <c r="D4241" s="5572"/>
      <c r="E4241" s="3502"/>
      <c r="F4241" s="2592"/>
      <c r="G4241" s="5585"/>
    </row>
    <row r="4242" spans="2:7" x14ac:dyDescent="0.25">
      <c r="B4242" s="571"/>
      <c r="C4242" s="3847"/>
      <c r="D4242" s="5572"/>
      <c r="E4242" s="3502"/>
      <c r="F4242" s="2592"/>
      <c r="G4242" s="5585"/>
    </row>
    <row r="4243" spans="2:7" x14ac:dyDescent="0.25">
      <c r="B4243" s="571"/>
      <c r="C4243" s="3847"/>
      <c r="D4243" s="5572"/>
      <c r="E4243" s="3502"/>
      <c r="F4243" s="2592"/>
      <c r="G4243" s="5585"/>
    </row>
    <row r="4244" spans="2:7" x14ac:dyDescent="0.25">
      <c r="B4244" s="571"/>
      <c r="C4244" s="3847"/>
      <c r="D4244" s="5572"/>
      <c r="E4244" s="3502"/>
      <c r="F4244" s="2592"/>
      <c r="G4244" s="5585"/>
    </row>
    <row r="4245" spans="2:7" x14ac:dyDescent="0.25">
      <c r="B4245" s="571"/>
      <c r="C4245" s="3847"/>
      <c r="D4245" s="5572"/>
      <c r="E4245" s="3502"/>
      <c r="F4245" s="2592"/>
      <c r="G4245" s="5585"/>
    </row>
    <row r="4246" spans="2:7" x14ac:dyDescent="0.25">
      <c r="B4246" s="571"/>
      <c r="C4246" s="3847"/>
      <c r="D4246" s="5572"/>
      <c r="E4246" s="3502"/>
      <c r="F4246" s="2592"/>
      <c r="G4246" s="5585"/>
    </row>
    <row r="4247" spans="2:7" x14ac:dyDescent="0.25">
      <c r="B4247" s="571"/>
      <c r="C4247" s="3847"/>
      <c r="D4247" s="5572"/>
      <c r="E4247" s="3502"/>
      <c r="F4247" s="2592"/>
      <c r="G4247" s="5585"/>
    </row>
    <row r="4248" spans="2:7" x14ac:dyDescent="0.25">
      <c r="B4248" s="571"/>
      <c r="C4248" s="3847"/>
      <c r="D4248" s="5572"/>
      <c r="E4248" s="3502"/>
      <c r="F4248" s="2592"/>
      <c r="G4248" s="5585"/>
    </row>
    <row r="4249" spans="2:7" x14ac:dyDescent="0.25">
      <c r="B4249" s="571"/>
      <c r="C4249" s="3847"/>
      <c r="D4249" s="5572"/>
      <c r="E4249" s="3502"/>
      <c r="F4249" s="2592"/>
      <c r="G4249" s="5585"/>
    </row>
    <row r="4250" spans="2:7" x14ac:dyDescent="0.25">
      <c r="B4250" s="571"/>
      <c r="C4250" s="3847"/>
      <c r="D4250" s="5572"/>
      <c r="E4250" s="3502"/>
      <c r="F4250" s="2592"/>
      <c r="G4250" s="5585"/>
    </row>
    <row r="4251" spans="2:7" x14ac:dyDescent="0.25">
      <c r="B4251" s="571"/>
      <c r="C4251" s="3847"/>
      <c r="D4251" s="5572"/>
      <c r="E4251" s="3502"/>
      <c r="F4251" s="2592"/>
      <c r="G4251" s="5585"/>
    </row>
    <row r="4252" spans="2:7" x14ac:dyDescent="0.25">
      <c r="B4252" s="571"/>
      <c r="C4252" s="3847"/>
      <c r="D4252" s="5572"/>
      <c r="E4252" s="3502"/>
      <c r="F4252" s="2592"/>
      <c r="G4252" s="5585"/>
    </row>
    <row r="4253" spans="2:7" x14ac:dyDescent="0.25">
      <c r="B4253" s="571"/>
      <c r="C4253" s="3847"/>
      <c r="D4253" s="5572"/>
      <c r="E4253" s="3502"/>
      <c r="F4253" s="2592"/>
      <c r="G4253" s="5585"/>
    </row>
    <row r="4254" spans="2:7" x14ac:dyDescent="0.25">
      <c r="B4254" s="571"/>
      <c r="C4254" s="3847"/>
      <c r="D4254" s="5572"/>
      <c r="E4254" s="3502"/>
      <c r="F4254" s="2592"/>
      <c r="G4254" s="5585"/>
    </row>
    <row r="4255" spans="2:7" x14ac:dyDescent="0.25">
      <c r="B4255" s="571"/>
      <c r="C4255" s="3847"/>
      <c r="D4255" s="5572"/>
      <c r="E4255" s="3502"/>
      <c r="F4255" s="2592"/>
      <c r="G4255" s="5585"/>
    </row>
    <row r="4256" spans="2:7" x14ac:dyDescent="0.25">
      <c r="B4256" s="571"/>
      <c r="C4256" s="3847"/>
      <c r="D4256" s="5572"/>
      <c r="E4256" s="3502"/>
      <c r="F4256" s="2592"/>
      <c r="G4256" s="5585"/>
    </row>
    <row r="4257" spans="2:7" x14ac:dyDescent="0.25">
      <c r="B4257" s="571"/>
      <c r="C4257" s="3847"/>
      <c r="D4257" s="5572"/>
      <c r="E4257" s="3502"/>
      <c r="F4257" s="2592"/>
      <c r="G4257" s="5585"/>
    </row>
    <row r="4258" spans="2:7" x14ac:dyDescent="0.25">
      <c r="B4258" s="571"/>
      <c r="C4258" s="3847"/>
      <c r="D4258" s="5572"/>
      <c r="E4258" s="3502"/>
      <c r="F4258" s="2592"/>
      <c r="G4258" s="5585"/>
    </row>
    <row r="4259" spans="2:7" x14ac:dyDescent="0.25">
      <c r="B4259" s="571"/>
      <c r="C4259" s="3847"/>
      <c r="D4259" s="5572"/>
      <c r="E4259" s="3502"/>
      <c r="F4259" s="2592"/>
      <c r="G4259" s="5585"/>
    </row>
    <row r="4260" spans="2:7" x14ac:dyDescent="0.25">
      <c r="B4260" s="571"/>
      <c r="C4260" s="3847"/>
      <c r="D4260" s="5572"/>
      <c r="E4260" s="3502"/>
      <c r="F4260" s="2592"/>
      <c r="G4260" s="5585"/>
    </row>
    <row r="4261" spans="2:7" x14ac:dyDescent="0.25">
      <c r="B4261" s="571"/>
      <c r="C4261" s="3847"/>
      <c r="D4261" s="5572"/>
      <c r="E4261" s="3502"/>
      <c r="F4261" s="2592"/>
      <c r="G4261" s="5585"/>
    </row>
    <row r="4262" spans="2:7" x14ac:dyDescent="0.25">
      <c r="B4262" s="571"/>
      <c r="C4262" s="3847"/>
      <c r="D4262" s="5572"/>
      <c r="E4262" s="3502"/>
      <c r="F4262" s="2592"/>
      <c r="G4262" s="5585"/>
    </row>
    <row r="4263" spans="2:7" x14ac:dyDescent="0.25">
      <c r="B4263" s="571"/>
      <c r="C4263" s="3847"/>
      <c r="D4263" s="5572"/>
      <c r="E4263" s="3502"/>
      <c r="F4263" s="2592"/>
      <c r="G4263" s="5585"/>
    </row>
    <row r="4264" spans="2:7" x14ac:dyDescent="0.25">
      <c r="B4264" s="571"/>
      <c r="C4264" s="3847"/>
      <c r="D4264" s="5572"/>
      <c r="E4264" s="3502"/>
      <c r="F4264" s="2592"/>
      <c r="G4264" s="5585"/>
    </row>
    <row r="4265" spans="2:7" x14ac:dyDescent="0.25">
      <c r="B4265" s="571"/>
      <c r="C4265" s="3847"/>
      <c r="D4265" s="5572"/>
      <c r="E4265" s="3502"/>
      <c r="F4265" s="2592"/>
      <c r="G4265" s="5585"/>
    </row>
    <row r="4266" spans="2:7" x14ac:dyDescent="0.25">
      <c r="B4266" s="571"/>
      <c r="C4266" s="3847"/>
      <c r="D4266" s="5572"/>
      <c r="E4266" s="3502"/>
      <c r="F4266" s="2592"/>
      <c r="G4266" s="5585"/>
    </row>
    <row r="4267" spans="2:7" x14ac:dyDescent="0.25">
      <c r="B4267" s="571"/>
      <c r="C4267" s="3847"/>
      <c r="D4267" s="5572"/>
      <c r="E4267" s="3502"/>
      <c r="F4267" s="2592"/>
      <c r="G4267" s="5585"/>
    </row>
    <row r="4268" spans="2:7" x14ac:dyDescent="0.25">
      <c r="B4268" s="571"/>
      <c r="C4268" s="3847"/>
      <c r="D4268" s="5572"/>
      <c r="E4268" s="3502"/>
      <c r="F4268" s="2592"/>
      <c r="G4268" s="5585"/>
    </row>
    <row r="4269" spans="2:7" x14ac:dyDescent="0.25">
      <c r="B4269" s="571"/>
      <c r="C4269" s="3847"/>
      <c r="D4269" s="5572"/>
      <c r="E4269" s="3502"/>
      <c r="F4269" s="2592"/>
      <c r="G4269" s="5585"/>
    </row>
    <row r="4270" spans="2:7" x14ac:dyDescent="0.25">
      <c r="B4270" s="571"/>
      <c r="C4270" s="3847"/>
      <c r="D4270" s="5572"/>
      <c r="E4270" s="3502"/>
      <c r="F4270" s="2592"/>
      <c r="G4270" s="5585"/>
    </row>
    <row r="4271" spans="2:7" x14ac:dyDescent="0.25">
      <c r="B4271" s="571"/>
      <c r="C4271" s="3847"/>
      <c r="D4271" s="5572"/>
      <c r="E4271" s="3502"/>
      <c r="F4271" s="2592"/>
      <c r="G4271" s="5585"/>
    </row>
    <row r="4272" spans="2:7" x14ac:dyDescent="0.25">
      <c r="B4272" s="571"/>
      <c r="C4272" s="3847"/>
      <c r="D4272" s="5572"/>
      <c r="E4272" s="3502"/>
      <c r="F4272" s="2592"/>
      <c r="G4272" s="5585"/>
    </row>
    <row r="4273" spans="2:7" x14ac:dyDescent="0.25">
      <c r="B4273" s="571"/>
      <c r="C4273" s="3847"/>
      <c r="D4273" s="5572"/>
      <c r="E4273" s="3502"/>
      <c r="F4273" s="2592"/>
      <c r="G4273" s="5585"/>
    </row>
    <row r="4274" spans="2:7" x14ac:dyDescent="0.25">
      <c r="B4274" s="571"/>
      <c r="C4274" s="3847"/>
      <c r="D4274" s="5572"/>
      <c r="E4274" s="3502"/>
      <c r="F4274" s="2592"/>
      <c r="G4274" s="5585"/>
    </row>
    <row r="4275" spans="2:7" x14ac:dyDescent="0.25">
      <c r="B4275" s="571"/>
      <c r="C4275" s="3847"/>
      <c r="D4275" s="5572"/>
      <c r="E4275" s="3502"/>
      <c r="F4275" s="2592"/>
      <c r="G4275" s="5585"/>
    </row>
    <row r="4276" spans="2:7" x14ac:dyDescent="0.25">
      <c r="B4276" s="571"/>
      <c r="C4276" s="3847"/>
      <c r="D4276" s="5572"/>
      <c r="E4276" s="3502"/>
      <c r="F4276" s="2592"/>
      <c r="G4276" s="5585"/>
    </row>
    <row r="4277" spans="2:7" x14ac:dyDescent="0.25">
      <c r="B4277" s="571"/>
      <c r="C4277" s="3847"/>
      <c r="D4277" s="5572"/>
      <c r="E4277" s="3502"/>
      <c r="F4277" s="2592"/>
      <c r="G4277" s="5585"/>
    </row>
    <row r="4278" spans="2:7" x14ac:dyDescent="0.25">
      <c r="B4278" s="571"/>
      <c r="C4278" s="3847"/>
      <c r="D4278" s="5572"/>
      <c r="E4278" s="3502"/>
      <c r="F4278" s="2592"/>
      <c r="G4278" s="5585"/>
    </row>
    <row r="4279" spans="2:7" x14ac:dyDescent="0.25">
      <c r="B4279" s="571"/>
      <c r="C4279" s="3847"/>
      <c r="D4279" s="5572"/>
      <c r="E4279" s="3502"/>
      <c r="F4279" s="2592"/>
      <c r="G4279" s="5585"/>
    </row>
    <row r="4280" spans="2:7" x14ac:dyDescent="0.25">
      <c r="B4280" s="571"/>
      <c r="C4280" s="3847"/>
      <c r="D4280" s="5572"/>
      <c r="E4280" s="3502"/>
      <c r="F4280" s="2592"/>
      <c r="G4280" s="5585"/>
    </row>
    <row r="4281" spans="2:7" x14ac:dyDescent="0.25">
      <c r="B4281" s="571"/>
      <c r="C4281" s="3847"/>
      <c r="D4281" s="5572"/>
      <c r="E4281" s="3502"/>
      <c r="F4281" s="2592"/>
      <c r="G4281" s="5585"/>
    </row>
    <row r="4282" spans="2:7" x14ac:dyDescent="0.25">
      <c r="B4282" s="571"/>
      <c r="C4282" s="3847"/>
      <c r="D4282" s="5572"/>
      <c r="E4282" s="3502"/>
      <c r="F4282" s="2592"/>
      <c r="G4282" s="5585"/>
    </row>
    <row r="4283" spans="2:7" x14ac:dyDescent="0.25">
      <c r="B4283" s="571"/>
      <c r="C4283" s="3847"/>
      <c r="D4283" s="5572"/>
      <c r="E4283" s="3502"/>
      <c r="F4283" s="2592"/>
      <c r="G4283" s="5585"/>
    </row>
    <row r="4284" spans="2:7" x14ac:dyDescent="0.25">
      <c r="B4284" s="571"/>
      <c r="C4284" s="3847"/>
      <c r="D4284" s="5572"/>
      <c r="E4284" s="3502"/>
      <c r="F4284" s="2592"/>
      <c r="G4284" s="5585"/>
    </row>
    <row r="4285" spans="2:7" x14ac:dyDescent="0.25">
      <c r="B4285" s="571"/>
      <c r="C4285" s="3847"/>
      <c r="D4285" s="5572"/>
      <c r="E4285" s="3502"/>
      <c r="F4285" s="2592"/>
      <c r="G4285" s="5585"/>
    </row>
    <row r="4286" spans="2:7" x14ac:dyDescent="0.25">
      <c r="B4286" s="571"/>
      <c r="C4286" s="3847"/>
      <c r="D4286" s="5572"/>
      <c r="E4286" s="3502"/>
      <c r="F4286" s="2592"/>
      <c r="G4286" s="5585"/>
    </row>
    <row r="4287" spans="2:7" x14ac:dyDescent="0.25">
      <c r="B4287" s="571"/>
      <c r="C4287" s="3847"/>
      <c r="D4287" s="5572"/>
      <c r="E4287" s="3502"/>
      <c r="F4287" s="2592"/>
      <c r="G4287" s="5585"/>
    </row>
    <row r="4288" spans="2:7" x14ac:dyDescent="0.25">
      <c r="B4288" s="571"/>
      <c r="C4288" s="3847"/>
      <c r="D4288" s="5572"/>
      <c r="E4288" s="3502"/>
      <c r="F4288" s="2592"/>
      <c r="G4288" s="5585"/>
    </row>
    <row r="4289" spans="2:7" x14ac:dyDescent="0.25">
      <c r="B4289" s="571"/>
      <c r="C4289" s="3847"/>
      <c r="D4289" s="5572"/>
      <c r="E4289" s="3502"/>
      <c r="F4289" s="2592"/>
      <c r="G4289" s="5585"/>
    </row>
    <row r="4290" spans="2:7" x14ac:dyDescent="0.25">
      <c r="B4290" s="571"/>
      <c r="C4290" s="3847"/>
      <c r="D4290" s="5572"/>
      <c r="E4290" s="3502"/>
      <c r="F4290" s="2592"/>
      <c r="G4290" s="5585"/>
    </row>
    <row r="4291" spans="2:7" x14ac:dyDescent="0.25">
      <c r="B4291" s="571"/>
      <c r="C4291" s="3847"/>
      <c r="D4291" s="5572"/>
      <c r="E4291" s="3502"/>
      <c r="F4291" s="2592"/>
      <c r="G4291" s="5585"/>
    </row>
    <row r="4292" spans="2:7" x14ac:dyDescent="0.25">
      <c r="B4292" s="571"/>
      <c r="C4292" s="3847"/>
      <c r="D4292" s="5572"/>
      <c r="E4292" s="3502"/>
      <c r="F4292" s="2592"/>
      <c r="G4292" s="5585"/>
    </row>
    <row r="4293" spans="2:7" x14ac:dyDescent="0.25">
      <c r="B4293" s="571"/>
      <c r="C4293" s="3847"/>
      <c r="D4293" s="5572"/>
      <c r="E4293" s="3502"/>
      <c r="F4293" s="2592"/>
      <c r="G4293" s="5585"/>
    </row>
    <row r="4294" spans="2:7" x14ac:dyDescent="0.25">
      <c r="B4294" s="571"/>
      <c r="C4294" s="3847"/>
      <c r="D4294" s="5572"/>
      <c r="E4294" s="3502"/>
      <c r="F4294" s="2592"/>
      <c r="G4294" s="5585"/>
    </row>
    <row r="4295" spans="2:7" x14ac:dyDescent="0.25">
      <c r="B4295" s="571"/>
      <c r="C4295" s="3847"/>
      <c r="D4295" s="5572"/>
      <c r="E4295" s="3502"/>
      <c r="F4295" s="2592"/>
      <c r="G4295" s="5585"/>
    </row>
    <row r="4296" spans="2:7" x14ac:dyDescent="0.25">
      <c r="B4296" s="571"/>
      <c r="C4296" s="3847"/>
      <c r="D4296" s="5572"/>
      <c r="E4296" s="3502"/>
      <c r="F4296" s="2592"/>
      <c r="G4296" s="5585"/>
    </row>
    <row r="4297" spans="2:7" x14ac:dyDescent="0.25">
      <c r="B4297" s="571"/>
      <c r="C4297" s="3847"/>
      <c r="D4297" s="5572"/>
      <c r="E4297" s="3502"/>
      <c r="F4297" s="2592"/>
      <c r="G4297" s="5585"/>
    </row>
    <row r="4298" spans="2:7" x14ac:dyDescent="0.25">
      <c r="B4298" s="571"/>
      <c r="C4298" s="3847"/>
      <c r="D4298" s="5572"/>
      <c r="E4298" s="3502"/>
      <c r="F4298" s="2592"/>
      <c r="G4298" s="5585"/>
    </row>
    <row r="4299" spans="2:7" x14ac:dyDescent="0.25">
      <c r="B4299" s="571"/>
      <c r="C4299" s="3847"/>
      <c r="D4299" s="5572"/>
      <c r="E4299" s="3502"/>
      <c r="F4299" s="2592"/>
      <c r="G4299" s="5585"/>
    </row>
    <row r="4300" spans="2:7" x14ac:dyDescent="0.25">
      <c r="B4300" s="571"/>
      <c r="C4300" s="3847"/>
      <c r="D4300" s="5572"/>
      <c r="E4300" s="3502"/>
      <c r="F4300" s="2592"/>
      <c r="G4300" s="5585"/>
    </row>
    <row r="4301" spans="2:7" x14ac:dyDescent="0.25">
      <c r="B4301" s="571"/>
      <c r="C4301" s="3847"/>
      <c r="D4301" s="5572"/>
      <c r="E4301" s="3502"/>
      <c r="F4301" s="2592"/>
      <c r="G4301" s="5585"/>
    </row>
    <row r="4302" spans="2:7" x14ac:dyDescent="0.25">
      <c r="B4302" s="571"/>
      <c r="C4302" s="3847"/>
      <c r="D4302" s="5572"/>
      <c r="E4302" s="3502"/>
      <c r="F4302" s="2592"/>
      <c r="G4302" s="5585"/>
    </row>
    <row r="4303" spans="2:7" x14ac:dyDescent="0.25">
      <c r="B4303" s="571"/>
      <c r="C4303" s="3847"/>
      <c r="D4303" s="5572"/>
      <c r="E4303" s="3502"/>
      <c r="F4303" s="2592"/>
      <c r="G4303" s="5585"/>
    </row>
    <row r="4304" spans="2:7" x14ac:dyDescent="0.25">
      <c r="B4304" s="571"/>
      <c r="C4304" s="3847"/>
      <c r="D4304" s="5572"/>
      <c r="E4304" s="3502"/>
      <c r="F4304" s="2592"/>
      <c r="G4304" s="5585"/>
    </row>
    <row r="4305" spans="2:7" x14ac:dyDescent="0.25">
      <c r="B4305" s="571"/>
      <c r="C4305" s="3847"/>
      <c r="D4305" s="5572"/>
      <c r="E4305" s="3502"/>
      <c r="F4305" s="2592"/>
      <c r="G4305" s="5585"/>
    </row>
    <row r="4306" spans="2:7" x14ac:dyDescent="0.25">
      <c r="B4306" s="571"/>
      <c r="C4306" s="3847"/>
      <c r="D4306" s="5572"/>
      <c r="E4306" s="3502"/>
      <c r="F4306" s="2592"/>
      <c r="G4306" s="5585"/>
    </row>
    <row r="4307" spans="2:7" x14ac:dyDescent="0.25">
      <c r="B4307" s="571"/>
      <c r="C4307" s="3847"/>
      <c r="D4307" s="5572"/>
      <c r="E4307" s="3502"/>
      <c r="F4307" s="2592"/>
      <c r="G4307" s="5585"/>
    </row>
    <row r="4308" spans="2:7" x14ac:dyDescent="0.25">
      <c r="B4308" s="571"/>
      <c r="C4308" s="3847"/>
      <c r="D4308" s="5572"/>
      <c r="E4308" s="3502"/>
      <c r="F4308" s="2592"/>
      <c r="G4308" s="5585"/>
    </row>
    <row r="4309" spans="2:7" x14ac:dyDescent="0.25">
      <c r="B4309" s="571"/>
      <c r="C4309" s="3847"/>
      <c r="D4309" s="5572"/>
      <c r="E4309" s="3502"/>
      <c r="F4309" s="2592"/>
      <c r="G4309" s="5585"/>
    </row>
    <row r="4310" spans="2:7" x14ac:dyDescent="0.25">
      <c r="B4310" s="571"/>
      <c r="C4310" s="3847"/>
      <c r="D4310" s="5572"/>
      <c r="E4310" s="3502"/>
      <c r="F4310" s="2592"/>
      <c r="G4310" s="5585"/>
    </row>
    <row r="4311" spans="2:7" x14ac:dyDescent="0.25">
      <c r="B4311" s="571"/>
      <c r="C4311" s="3847"/>
      <c r="D4311" s="5572"/>
      <c r="E4311" s="3502"/>
      <c r="F4311" s="2592"/>
      <c r="G4311" s="5585"/>
    </row>
    <row r="4312" spans="2:7" x14ac:dyDescent="0.25">
      <c r="B4312" s="571"/>
      <c r="C4312" s="3847"/>
      <c r="D4312" s="5572"/>
      <c r="E4312" s="3502"/>
      <c r="F4312" s="2592"/>
      <c r="G4312" s="5585"/>
    </row>
    <row r="4313" spans="2:7" x14ac:dyDescent="0.25">
      <c r="B4313" s="571"/>
      <c r="C4313" s="3847"/>
      <c r="D4313" s="5572"/>
      <c r="E4313" s="3502"/>
      <c r="F4313" s="2592"/>
      <c r="G4313" s="5585"/>
    </row>
    <row r="4314" spans="2:7" x14ac:dyDescent="0.25">
      <c r="B4314" s="571"/>
      <c r="C4314" s="3847"/>
      <c r="D4314" s="5572"/>
      <c r="E4314" s="3502"/>
      <c r="F4314" s="2592"/>
      <c r="G4314" s="5585"/>
    </row>
    <row r="4315" spans="2:7" x14ac:dyDescent="0.25">
      <c r="B4315" s="571"/>
      <c r="C4315" s="3847"/>
      <c r="D4315" s="5572"/>
      <c r="E4315" s="3502"/>
      <c r="F4315" s="2592"/>
      <c r="G4315" s="5585"/>
    </row>
    <row r="4316" spans="2:7" x14ac:dyDescent="0.25">
      <c r="B4316" s="571"/>
      <c r="C4316" s="3847"/>
      <c r="D4316" s="5572"/>
      <c r="E4316" s="3502"/>
      <c r="F4316" s="2592"/>
      <c r="G4316" s="5585"/>
    </row>
    <row r="4317" spans="2:7" x14ac:dyDescent="0.25">
      <c r="B4317" s="571"/>
      <c r="C4317" s="3847"/>
      <c r="D4317" s="5572"/>
      <c r="E4317" s="3502"/>
      <c r="F4317" s="2592"/>
      <c r="G4317" s="5585"/>
    </row>
    <row r="4318" spans="2:7" x14ac:dyDescent="0.25">
      <c r="B4318" s="571"/>
      <c r="C4318" s="3847"/>
      <c r="D4318" s="5572"/>
      <c r="E4318" s="3502"/>
      <c r="F4318" s="2592"/>
      <c r="G4318" s="5585"/>
    </row>
    <row r="4319" spans="2:7" x14ac:dyDescent="0.25">
      <c r="B4319" s="571"/>
      <c r="C4319" s="3847"/>
      <c r="D4319" s="5572"/>
      <c r="E4319" s="3502"/>
      <c r="F4319" s="2592"/>
      <c r="G4319" s="5585"/>
    </row>
    <row r="4320" spans="2:7" x14ac:dyDescent="0.25">
      <c r="B4320" s="571"/>
      <c r="C4320" s="3847"/>
      <c r="D4320" s="5572"/>
      <c r="E4320" s="3502"/>
      <c r="F4320" s="2592"/>
      <c r="G4320" s="5585"/>
    </row>
    <row r="4321" spans="2:7" x14ac:dyDescent="0.25">
      <c r="B4321" s="571"/>
      <c r="C4321" s="3847"/>
      <c r="D4321" s="5572"/>
      <c r="E4321" s="3502"/>
      <c r="F4321" s="2592"/>
      <c r="G4321" s="5585"/>
    </row>
    <row r="4322" spans="2:7" x14ac:dyDescent="0.25">
      <c r="B4322" s="571"/>
      <c r="C4322" s="3847"/>
      <c r="D4322" s="5572"/>
      <c r="E4322" s="3502"/>
      <c r="F4322" s="2592"/>
      <c r="G4322" s="5585"/>
    </row>
    <row r="4323" spans="2:7" x14ac:dyDescent="0.25">
      <c r="B4323" s="571"/>
      <c r="C4323" s="3847"/>
      <c r="D4323" s="5572"/>
      <c r="E4323" s="3502"/>
      <c r="F4323" s="2592"/>
      <c r="G4323" s="5585"/>
    </row>
    <row r="4324" spans="2:7" x14ac:dyDescent="0.25">
      <c r="B4324" s="571"/>
      <c r="C4324" s="3847"/>
      <c r="D4324" s="5572"/>
      <c r="E4324" s="3502"/>
      <c r="F4324" s="2592"/>
      <c r="G4324" s="5585"/>
    </row>
    <row r="4325" spans="2:7" x14ac:dyDescent="0.25">
      <c r="B4325" s="571"/>
      <c r="C4325" s="3847"/>
      <c r="D4325" s="5572"/>
      <c r="E4325" s="3502"/>
      <c r="F4325" s="2592"/>
      <c r="G4325" s="5585"/>
    </row>
    <row r="4326" spans="2:7" x14ac:dyDescent="0.25">
      <c r="B4326" s="571"/>
      <c r="C4326" s="3847"/>
      <c r="D4326" s="5572"/>
      <c r="E4326" s="3502"/>
      <c r="F4326" s="2592"/>
      <c r="G4326" s="5585"/>
    </row>
    <row r="4327" spans="2:7" x14ac:dyDescent="0.25">
      <c r="B4327" s="571"/>
      <c r="C4327" s="3847"/>
      <c r="D4327" s="5572"/>
      <c r="E4327" s="3502"/>
      <c r="F4327" s="2592"/>
      <c r="G4327" s="5585"/>
    </row>
    <row r="4328" spans="2:7" x14ac:dyDescent="0.25">
      <c r="B4328" s="571"/>
      <c r="C4328" s="3847"/>
      <c r="D4328" s="5572"/>
      <c r="E4328" s="3502"/>
      <c r="F4328" s="2592"/>
      <c r="G4328" s="5585"/>
    </row>
    <row r="4329" spans="2:7" x14ac:dyDescent="0.25">
      <c r="B4329" s="571"/>
      <c r="C4329" s="3847"/>
      <c r="D4329" s="5572"/>
      <c r="E4329" s="3502"/>
      <c r="F4329" s="2592"/>
      <c r="G4329" s="5585"/>
    </row>
    <row r="4330" spans="2:7" x14ac:dyDescent="0.25">
      <c r="B4330" s="571"/>
      <c r="C4330" s="3847"/>
      <c r="D4330" s="5572"/>
      <c r="E4330" s="3502"/>
      <c r="F4330" s="2592"/>
      <c r="G4330" s="5585"/>
    </row>
    <row r="4331" spans="2:7" x14ac:dyDescent="0.25">
      <c r="B4331" s="571"/>
      <c r="C4331" s="3847"/>
      <c r="D4331" s="5572"/>
      <c r="E4331" s="3502"/>
      <c r="F4331" s="2592"/>
      <c r="G4331" s="5585"/>
    </row>
    <row r="4332" spans="2:7" x14ac:dyDescent="0.25">
      <c r="B4332" s="571"/>
      <c r="C4332" s="3847"/>
      <c r="D4332" s="5572"/>
      <c r="E4332" s="3502"/>
      <c r="F4332" s="2592"/>
      <c r="G4332" s="5585"/>
    </row>
    <row r="4333" spans="2:7" x14ac:dyDescent="0.25">
      <c r="B4333" s="571"/>
      <c r="C4333" s="3847"/>
      <c r="D4333" s="5572"/>
      <c r="E4333" s="3502"/>
      <c r="F4333" s="2592"/>
      <c r="G4333" s="5585"/>
    </row>
    <row r="4334" spans="2:7" x14ac:dyDescent="0.25">
      <c r="B4334" s="571"/>
      <c r="C4334" s="3847"/>
      <c r="D4334" s="5572"/>
      <c r="E4334" s="3502"/>
      <c r="F4334" s="2592"/>
      <c r="G4334" s="5585"/>
    </row>
    <row r="4335" spans="2:7" x14ac:dyDescent="0.25">
      <c r="B4335" s="571"/>
      <c r="C4335" s="3847"/>
      <c r="D4335" s="5572"/>
      <c r="E4335" s="3502"/>
      <c r="F4335" s="2592"/>
      <c r="G4335" s="5585"/>
    </row>
    <row r="4336" spans="2:7" x14ac:dyDescent="0.25">
      <c r="B4336" s="571"/>
      <c r="C4336" s="3847"/>
      <c r="D4336" s="5572"/>
      <c r="E4336" s="3502"/>
      <c r="F4336" s="2592"/>
      <c r="G4336" s="5585"/>
    </row>
    <row r="4337" spans="2:7" x14ac:dyDescent="0.25">
      <c r="B4337" s="571"/>
      <c r="C4337" s="3847"/>
      <c r="D4337" s="5572"/>
      <c r="E4337" s="3502"/>
      <c r="F4337" s="2592"/>
      <c r="G4337" s="5585"/>
    </row>
    <row r="4338" spans="2:7" x14ac:dyDescent="0.25">
      <c r="B4338" s="571"/>
      <c r="C4338" s="3847"/>
      <c r="D4338" s="5572"/>
      <c r="E4338" s="3502"/>
      <c r="F4338" s="2592"/>
      <c r="G4338" s="5585"/>
    </row>
    <row r="4339" spans="2:7" x14ac:dyDescent="0.25">
      <c r="B4339" s="571"/>
      <c r="C4339" s="3847"/>
      <c r="D4339" s="5572"/>
      <c r="E4339" s="3502"/>
      <c r="F4339" s="2592"/>
      <c r="G4339" s="5585"/>
    </row>
    <row r="4340" spans="2:7" x14ac:dyDescent="0.25">
      <c r="B4340" s="571"/>
      <c r="C4340" s="3847"/>
      <c r="D4340" s="5572"/>
      <c r="E4340" s="3502"/>
      <c r="F4340" s="2592"/>
      <c r="G4340" s="5585"/>
    </row>
    <row r="4341" spans="2:7" x14ac:dyDescent="0.25">
      <c r="B4341" s="571"/>
      <c r="C4341" s="3847"/>
      <c r="D4341" s="5572"/>
      <c r="E4341" s="3502"/>
      <c r="F4341" s="2592"/>
      <c r="G4341" s="5585"/>
    </row>
    <row r="4342" spans="2:7" x14ac:dyDescent="0.25">
      <c r="B4342" s="571"/>
      <c r="C4342" s="3847"/>
      <c r="D4342" s="5572"/>
      <c r="E4342" s="3502"/>
      <c r="F4342" s="2592"/>
      <c r="G4342" s="5585"/>
    </row>
    <row r="4343" spans="2:7" x14ac:dyDescent="0.25">
      <c r="B4343" s="571"/>
      <c r="C4343" s="3847"/>
      <c r="D4343" s="5572"/>
      <c r="E4343" s="3502"/>
      <c r="F4343" s="2592"/>
      <c r="G4343" s="5585"/>
    </row>
    <row r="4344" spans="2:7" x14ac:dyDescent="0.25">
      <c r="B4344" s="571"/>
      <c r="C4344" s="3847"/>
      <c r="D4344" s="5572"/>
      <c r="E4344" s="3502"/>
      <c r="F4344" s="2592"/>
      <c r="G4344" s="5585"/>
    </row>
    <row r="4345" spans="2:7" x14ac:dyDescent="0.25">
      <c r="B4345" s="571"/>
      <c r="C4345" s="3847"/>
      <c r="D4345" s="5572"/>
      <c r="E4345" s="3502"/>
      <c r="F4345" s="2592"/>
      <c r="G4345" s="5585"/>
    </row>
    <row r="4346" spans="2:7" x14ac:dyDescent="0.25">
      <c r="B4346" s="571"/>
      <c r="C4346" s="3847"/>
      <c r="D4346" s="5572"/>
      <c r="E4346" s="3502"/>
      <c r="F4346" s="2592"/>
      <c r="G4346" s="5585"/>
    </row>
    <row r="4347" spans="2:7" x14ac:dyDescent="0.25">
      <c r="B4347" s="571"/>
      <c r="C4347" s="3847"/>
      <c r="D4347" s="5572"/>
      <c r="E4347" s="3502"/>
      <c r="F4347" s="2592"/>
      <c r="G4347" s="5585"/>
    </row>
    <row r="4348" spans="2:7" x14ac:dyDescent="0.25">
      <c r="B4348" s="571"/>
      <c r="C4348" s="3847"/>
      <c r="D4348" s="5572"/>
      <c r="E4348" s="3502"/>
      <c r="F4348" s="2592"/>
      <c r="G4348" s="5585"/>
    </row>
    <row r="4349" spans="2:7" x14ac:dyDescent="0.25">
      <c r="B4349" s="571"/>
      <c r="C4349" s="3847"/>
      <c r="D4349" s="5572"/>
      <c r="E4349" s="3502"/>
      <c r="F4349" s="2592"/>
      <c r="G4349" s="5585"/>
    </row>
    <row r="4350" spans="2:7" x14ac:dyDescent="0.25">
      <c r="B4350" s="571"/>
      <c r="C4350" s="3847"/>
      <c r="D4350" s="5572"/>
      <c r="E4350" s="3502"/>
      <c r="F4350" s="2592"/>
      <c r="G4350" s="5585"/>
    </row>
    <row r="4351" spans="2:7" x14ac:dyDescent="0.25">
      <c r="B4351" s="571"/>
      <c r="C4351" s="3847"/>
      <c r="D4351" s="5572"/>
      <c r="E4351" s="3502"/>
      <c r="F4351" s="2592"/>
      <c r="G4351" s="5585"/>
    </row>
    <row r="4352" spans="2:7" x14ac:dyDescent="0.25">
      <c r="B4352" s="571"/>
      <c r="C4352" s="3847"/>
      <c r="D4352" s="5572"/>
      <c r="E4352" s="3502"/>
      <c r="F4352" s="2592"/>
      <c r="G4352" s="5585"/>
    </row>
    <row r="4353" spans="2:7" x14ac:dyDescent="0.25">
      <c r="B4353" s="571"/>
      <c r="C4353" s="3847"/>
      <c r="D4353" s="5572"/>
      <c r="E4353" s="3502"/>
      <c r="F4353" s="2592"/>
      <c r="G4353" s="5585"/>
    </row>
    <row r="4354" spans="2:7" x14ac:dyDescent="0.25">
      <c r="B4354" s="571"/>
      <c r="C4354" s="3847"/>
      <c r="D4354" s="5572"/>
      <c r="E4354" s="3502"/>
      <c r="F4354" s="2592"/>
      <c r="G4354" s="5585"/>
    </row>
    <row r="4355" spans="2:7" x14ac:dyDescent="0.25">
      <c r="B4355" s="571"/>
      <c r="C4355" s="3847"/>
      <c r="D4355" s="5572"/>
      <c r="E4355" s="3502"/>
      <c r="F4355" s="2592"/>
      <c r="G4355" s="5585"/>
    </row>
    <row r="4356" spans="2:7" x14ac:dyDescent="0.25">
      <c r="B4356" s="571"/>
      <c r="C4356" s="3847"/>
      <c r="D4356" s="5572"/>
      <c r="E4356" s="3502"/>
      <c r="F4356" s="2592"/>
      <c r="G4356" s="5585"/>
    </row>
    <row r="4357" spans="2:7" x14ac:dyDescent="0.25">
      <c r="B4357" s="571"/>
      <c r="C4357" s="3847"/>
      <c r="D4357" s="5572"/>
      <c r="E4357" s="3502"/>
      <c r="F4357" s="2592"/>
      <c r="G4357" s="5585"/>
    </row>
    <row r="4358" spans="2:7" x14ac:dyDescent="0.25">
      <c r="B4358" s="571"/>
      <c r="C4358" s="3847"/>
      <c r="D4358" s="5572"/>
      <c r="E4358" s="3502"/>
      <c r="F4358" s="2592"/>
      <c r="G4358" s="5585"/>
    </row>
    <row r="4359" spans="2:7" x14ac:dyDescent="0.25">
      <c r="B4359" s="571"/>
      <c r="C4359" s="3847"/>
      <c r="D4359" s="5572"/>
      <c r="E4359" s="3502"/>
      <c r="F4359" s="2592"/>
      <c r="G4359" s="5585"/>
    </row>
    <row r="4360" spans="2:7" x14ac:dyDescent="0.25">
      <c r="B4360" s="571"/>
      <c r="C4360" s="3847"/>
      <c r="D4360" s="5572"/>
      <c r="E4360" s="3502"/>
      <c r="F4360" s="2592"/>
      <c r="G4360" s="5585"/>
    </row>
    <row r="4361" spans="2:7" x14ac:dyDescent="0.25">
      <c r="B4361" s="571"/>
      <c r="C4361" s="3847"/>
      <c r="D4361" s="5572"/>
      <c r="E4361" s="3502"/>
      <c r="F4361" s="2592"/>
      <c r="G4361" s="5585"/>
    </row>
    <row r="4362" spans="2:7" x14ac:dyDescent="0.25">
      <c r="B4362" s="571"/>
      <c r="C4362" s="3847"/>
      <c r="D4362" s="5572"/>
      <c r="E4362" s="3502"/>
      <c r="F4362" s="2592"/>
      <c r="G4362" s="5585"/>
    </row>
    <row r="4363" spans="2:7" x14ac:dyDescent="0.25">
      <c r="B4363" s="571"/>
      <c r="C4363" s="3847"/>
      <c r="D4363" s="5572"/>
      <c r="E4363" s="3502"/>
      <c r="F4363" s="2592"/>
      <c r="G4363" s="5585"/>
    </row>
    <row r="4364" spans="2:7" x14ac:dyDescent="0.25">
      <c r="B4364" s="571"/>
      <c r="C4364" s="3847"/>
      <c r="D4364" s="5572"/>
      <c r="E4364" s="3502"/>
      <c r="F4364" s="2592"/>
      <c r="G4364" s="5585"/>
    </row>
    <row r="4365" spans="2:7" x14ac:dyDescent="0.25">
      <c r="B4365" s="571"/>
      <c r="C4365" s="3847"/>
      <c r="D4365" s="5572"/>
      <c r="E4365" s="3502"/>
      <c r="F4365" s="2592"/>
      <c r="G4365" s="5585"/>
    </row>
    <row r="4366" spans="2:7" x14ac:dyDescent="0.25">
      <c r="B4366" s="571"/>
      <c r="C4366" s="3847"/>
      <c r="D4366" s="5572"/>
      <c r="E4366" s="3502"/>
      <c r="F4366" s="2592"/>
      <c r="G4366" s="5585"/>
    </row>
    <row r="4367" spans="2:7" x14ac:dyDescent="0.25">
      <c r="B4367" s="571"/>
      <c r="C4367" s="3847"/>
      <c r="D4367" s="5572"/>
      <c r="E4367" s="3502"/>
      <c r="F4367" s="2592"/>
      <c r="G4367" s="5585"/>
    </row>
    <row r="4368" spans="2:7" x14ac:dyDescent="0.25">
      <c r="B4368" s="571"/>
      <c r="C4368" s="3847"/>
      <c r="D4368" s="5572"/>
      <c r="E4368" s="3502"/>
      <c r="F4368" s="2592"/>
      <c r="G4368" s="5585"/>
    </row>
    <row r="4369" spans="2:7" x14ac:dyDescent="0.25">
      <c r="B4369" s="571"/>
      <c r="C4369" s="3847"/>
      <c r="D4369" s="5572"/>
      <c r="E4369" s="3502"/>
      <c r="F4369" s="2592"/>
      <c r="G4369" s="5585"/>
    </row>
    <row r="4370" spans="2:7" x14ac:dyDescent="0.25">
      <c r="B4370" s="571"/>
      <c r="C4370" s="3847"/>
      <c r="D4370" s="5572"/>
      <c r="E4370" s="3502"/>
      <c r="F4370" s="2592"/>
      <c r="G4370" s="5585"/>
    </row>
    <row r="4371" spans="2:7" x14ac:dyDescent="0.25">
      <c r="B4371" s="571"/>
      <c r="C4371" s="3847"/>
      <c r="D4371" s="5572"/>
      <c r="E4371" s="3502"/>
      <c r="F4371" s="2592"/>
      <c r="G4371" s="5585"/>
    </row>
    <row r="4372" spans="2:7" x14ac:dyDescent="0.25">
      <c r="B4372" s="571"/>
      <c r="C4372" s="3847"/>
      <c r="D4372" s="5572"/>
      <c r="E4372" s="3502"/>
      <c r="F4372" s="2592"/>
      <c r="G4372" s="5585"/>
    </row>
    <row r="4373" spans="2:7" x14ac:dyDescent="0.25">
      <c r="B4373" s="571"/>
      <c r="C4373" s="3847"/>
      <c r="D4373" s="5572"/>
      <c r="E4373" s="3502"/>
      <c r="F4373" s="2592"/>
      <c r="G4373" s="5585"/>
    </row>
    <row r="4374" spans="2:7" x14ac:dyDescent="0.25">
      <c r="B4374" s="571"/>
      <c r="C4374" s="3847"/>
      <c r="D4374" s="5572"/>
      <c r="E4374" s="3502"/>
      <c r="F4374" s="2592"/>
      <c r="G4374" s="5585"/>
    </row>
    <row r="4375" spans="2:7" x14ac:dyDescent="0.25">
      <c r="B4375" s="571"/>
      <c r="C4375" s="3847"/>
      <c r="D4375" s="5572"/>
      <c r="E4375" s="3502"/>
      <c r="F4375" s="2592"/>
      <c r="G4375" s="5585"/>
    </row>
    <row r="4376" spans="2:7" x14ac:dyDescent="0.25">
      <c r="B4376" s="571"/>
      <c r="C4376" s="3847"/>
      <c r="D4376" s="5572"/>
      <c r="E4376" s="3502"/>
      <c r="F4376" s="2592"/>
      <c r="G4376" s="5585"/>
    </row>
    <row r="4377" spans="2:7" x14ac:dyDescent="0.25">
      <c r="B4377" s="571"/>
      <c r="C4377" s="3847"/>
      <c r="D4377" s="5572"/>
      <c r="E4377" s="3502"/>
      <c r="F4377" s="2592"/>
      <c r="G4377" s="5585"/>
    </row>
    <row r="4378" spans="2:7" x14ac:dyDescent="0.25">
      <c r="B4378" s="571"/>
      <c r="C4378" s="3847"/>
      <c r="D4378" s="5572"/>
      <c r="E4378" s="3502"/>
      <c r="F4378" s="2592"/>
      <c r="G4378" s="5585"/>
    </row>
    <row r="4379" spans="2:7" x14ac:dyDescent="0.25">
      <c r="B4379" s="571"/>
      <c r="C4379" s="3847"/>
      <c r="D4379" s="5572"/>
      <c r="E4379" s="3502"/>
      <c r="F4379" s="2592"/>
      <c r="G4379" s="5585"/>
    </row>
    <row r="4380" spans="2:7" x14ac:dyDescent="0.25">
      <c r="B4380" s="571"/>
      <c r="C4380" s="3847"/>
      <c r="D4380" s="5572"/>
      <c r="E4380" s="3502"/>
      <c r="F4380" s="2592"/>
      <c r="G4380" s="5585"/>
    </row>
    <row r="4381" spans="2:7" x14ac:dyDescent="0.25">
      <c r="B4381" s="571"/>
      <c r="C4381" s="3847"/>
      <c r="D4381" s="5572"/>
      <c r="E4381" s="3502"/>
      <c r="F4381" s="2592"/>
      <c r="G4381" s="5585"/>
    </row>
    <row r="4382" spans="2:7" x14ac:dyDescent="0.25">
      <c r="B4382" s="571"/>
      <c r="C4382" s="3847"/>
      <c r="D4382" s="5572"/>
      <c r="E4382" s="3502"/>
      <c r="F4382" s="2592"/>
      <c r="G4382" s="5585"/>
    </row>
    <row r="4383" spans="2:7" x14ac:dyDescent="0.25">
      <c r="B4383" s="571"/>
      <c r="C4383" s="3847"/>
      <c r="D4383" s="5572"/>
      <c r="E4383" s="3502"/>
      <c r="F4383" s="2592"/>
      <c r="G4383" s="5585"/>
    </row>
    <row r="4384" spans="2:7" x14ac:dyDescent="0.25">
      <c r="B4384" s="571"/>
      <c r="C4384" s="3847"/>
      <c r="D4384" s="5572"/>
      <c r="E4384" s="3502"/>
      <c r="F4384" s="2592"/>
      <c r="G4384" s="5585"/>
    </row>
    <row r="4385" spans="2:7" x14ac:dyDescent="0.25">
      <c r="B4385" s="571"/>
      <c r="C4385" s="3847"/>
      <c r="D4385" s="5572"/>
      <c r="E4385" s="3502"/>
      <c r="F4385" s="2592"/>
      <c r="G4385" s="5585"/>
    </row>
    <row r="4386" spans="2:7" x14ac:dyDescent="0.25">
      <c r="B4386" s="571"/>
      <c r="C4386" s="3847"/>
      <c r="D4386" s="5572"/>
      <c r="E4386" s="3502"/>
      <c r="F4386" s="2592"/>
      <c r="G4386" s="5585"/>
    </row>
    <row r="4387" spans="2:7" x14ac:dyDescent="0.25">
      <c r="B4387" s="571"/>
      <c r="C4387" s="3847"/>
      <c r="D4387" s="5572"/>
      <c r="E4387" s="3502"/>
      <c r="F4387" s="2592"/>
      <c r="G4387" s="5585"/>
    </row>
    <row r="4388" spans="2:7" x14ac:dyDescent="0.25">
      <c r="B4388" s="571"/>
      <c r="C4388" s="3847"/>
      <c r="D4388" s="5572"/>
      <c r="E4388" s="3502"/>
      <c r="F4388" s="2592"/>
      <c r="G4388" s="5585"/>
    </row>
    <row r="4389" spans="2:7" x14ac:dyDescent="0.25">
      <c r="B4389" s="571"/>
      <c r="C4389" s="3847"/>
      <c r="D4389" s="5572"/>
      <c r="E4389" s="3502"/>
      <c r="F4389" s="2592"/>
      <c r="G4389" s="5585"/>
    </row>
    <row r="4390" spans="2:7" x14ac:dyDescent="0.25">
      <c r="B4390" s="571"/>
      <c r="C4390" s="3847"/>
      <c r="D4390" s="5572"/>
      <c r="E4390" s="3502"/>
      <c r="F4390" s="2592"/>
      <c r="G4390" s="5585"/>
    </row>
    <row r="4391" spans="2:7" x14ac:dyDescent="0.25">
      <c r="B4391" s="571"/>
      <c r="C4391" s="3847"/>
      <c r="D4391" s="5572"/>
      <c r="E4391" s="3502"/>
      <c r="F4391" s="2592"/>
      <c r="G4391" s="5585"/>
    </row>
    <row r="4392" spans="2:7" x14ac:dyDescent="0.25">
      <c r="B4392" s="571"/>
      <c r="C4392" s="3847"/>
      <c r="D4392" s="5572"/>
      <c r="E4392" s="3502"/>
      <c r="F4392" s="2592"/>
      <c r="G4392" s="5585"/>
    </row>
    <row r="4393" spans="2:7" x14ac:dyDescent="0.25">
      <c r="B4393" s="571"/>
      <c r="C4393" s="3847"/>
      <c r="D4393" s="5572"/>
      <c r="E4393" s="3502"/>
      <c r="F4393" s="2592"/>
      <c r="G4393" s="5585"/>
    </row>
    <row r="4394" spans="2:7" x14ac:dyDescent="0.25">
      <c r="B4394" s="571"/>
      <c r="C4394" s="3847"/>
      <c r="D4394" s="5572"/>
      <c r="E4394" s="3502"/>
      <c r="F4394" s="2592"/>
      <c r="G4394" s="5585"/>
    </row>
    <row r="4395" spans="2:7" x14ac:dyDescent="0.25">
      <c r="B4395" s="571"/>
      <c r="C4395" s="3847"/>
      <c r="D4395" s="5572"/>
      <c r="E4395" s="3502"/>
      <c r="F4395" s="2592"/>
      <c r="G4395" s="5585"/>
    </row>
    <row r="4396" spans="2:7" x14ac:dyDescent="0.25">
      <c r="B4396" s="571"/>
      <c r="C4396" s="3847"/>
      <c r="D4396" s="5572"/>
      <c r="E4396" s="3502"/>
      <c r="F4396" s="2592"/>
      <c r="G4396" s="5585"/>
    </row>
    <row r="4397" spans="2:7" x14ac:dyDescent="0.25">
      <c r="B4397" s="571"/>
      <c r="C4397" s="3847"/>
      <c r="D4397" s="5572"/>
      <c r="E4397" s="3502"/>
      <c r="F4397" s="2592"/>
      <c r="G4397" s="5585"/>
    </row>
    <row r="4398" spans="2:7" x14ac:dyDescent="0.25">
      <c r="B4398" s="571"/>
      <c r="C4398" s="3847"/>
      <c r="D4398" s="5572"/>
      <c r="E4398" s="3502"/>
      <c r="F4398" s="2592"/>
      <c r="G4398" s="5585"/>
    </row>
    <row r="4399" spans="2:7" x14ac:dyDescent="0.25">
      <c r="B4399" s="571"/>
      <c r="C4399" s="3847"/>
      <c r="D4399" s="5572"/>
      <c r="E4399" s="3502"/>
      <c r="F4399" s="2592"/>
      <c r="G4399" s="5585"/>
    </row>
    <row r="4400" spans="2:7" x14ac:dyDescent="0.25">
      <c r="B4400" s="571"/>
      <c r="C4400" s="3847"/>
      <c r="D4400" s="5572"/>
      <c r="E4400" s="3502"/>
      <c r="F4400" s="2592"/>
      <c r="G4400" s="5585"/>
    </row>
    <row r="4401" spans="2:7" x14ac:dyDescent="0.25">
      <c r="B4401" s="571"/>
      <c r="C4401" s="3847"/>
      <c r="D4401" s="5572"/>
      <c r="E4401" s="3502"/>
      <c r="F4401" s="2592"/>
      <c r="G4401" s="5585"/>
    </row>
    <row r="4402" spans="2:7" x14ac:dyDescent="0.25">
      <c r="B4402" s="571"/>
      <c r="C4402" s="3847"/>
      <c r="D4402" s="5572"/>
      <c r="E4402" s="3502"/>
      <c r="F4402" s="2592"/>
      <c r="G4402" s="5585"/>
    </row>
    <row r="4403" spans="2:7" x14ac:dyDescent="0.25">
      <c r="B4403" s="571"/>
      <c r="C4403" s="3847"/>
      <c r="D4403" s="5572"/>
      <c r="E4403" s="3502"/>
      <c r="F4403" s="2592"/>
      <c r="G4403" s="5585"/>
    </row>
    <row r="4404" spans="2:7" x14ac:dyDescent="0.25">
      <c r="B4404" s="571"/>
      <c r="C4404" s="3847"/>
      <c r="D4404" s="5572"/>
      <c r="E4404" s="3502"/>
      <c r="F4404" s="2592"/>
      <c r="G4404" s="5585"/>
    </row>
    <row r="4405" spans="2:7" x14ac:dyDescent="0.25">
      <c r="B4405" s="571"/>
      <c r="C4405" s="3847"/>
      <c r="D4405" s="5572"/>
      <c r="E4405" s="3502"/>
      <c r="F4405" s="2592"/>
      <c r="G4405" s="5585"/>
    </row>
    <row r="4406" spans="2:7" x14ac:dyDescent="0.25">
      <c r="B4406" s="571"/>
      <c r="C4406" s="3847"/>
      <c r="D4406" s="5572"/>
      <c r="E4406" s="3502"/>
      <c r="F4406" s="2592"/>
      <c r="G4406" s="5585"/>
    </row>
    <row r="4407" spans="2:7" x14ac:dyDescent="0.25">
      <c r="B4407" s="571"/>
      <c r="C4407" s="3847"/>
      <c r="D4407" s="5572"/>
      <c r="E4407" s="3502"/>
      <c r="F4407" s="2592"/>
      <c r="G4407" s="5585"/>
    </row>
    <row r="4408" spans="2:7" x14ac:dyDescent="0.25">
      <c r="B4408" s="571"/>
      <c r="C4408" s="3847"/>
      <c r="D4408" s="5572"/>
      <c r="E4408" s="3502"/>
      <c r="F4408" s="2592"/>
      <c r="G4408" s="5585"/>
    </row>
    <row r="4409" spans="2:7" x14ac:dyDescent="0.25">
      <c r="B4409" s="571"/>
      <c r="C4409" s="3847"/>
      <c r="D4409" s="5572"/>
      <c r="E4409" s="3502"/>
      <c r="F4409" s="2592"/>
      <c r="G4409" s="5585"/>
    </row>
    <row r="4410" spans="2:7" x14ac:dyDescent="0.25">
      <c r="B4410" s="571"/>
      <c r="C4410" s="3847"/>
      <c r="D4410" s="5572"/>
      <c r="E4410" s="3502"/>
      <c r="F4410" s="2592"/>
      <c r="G4410" s="5585"/>
    </row>
    <row r="4411" spans="2:7" x14ac:dyDescent="0.25">
      <c r="B4411" s="571"/>
      <c r="C4411" s="3847"/>
      <c r="D4411" s="5572"/>
      <c r="E4411" s="3502"/>
      <c r="F4411" s="2592"/>
      <c r="G4411" s="5585"/>
    </row>
    <row r="4412" spans="2:7" x14ac:dyDescent="0.25">
      <c r="B4412" s="571"/>
      <c r="C4412" s="3847"/>
      <c r="D4412" s="5572"/>
      <c r="E4412" s="3502"/>
      <c r="F4412" s="2592"/>
      <c r="G4412" s="5585"/>
    </row>
    <row r="4413" spans="2:7" x14ac:dyDescent="0.25">
      <c r="B4413" s="571"/>
      <c r="C4413" s="3847"/>
      <c r="D4413" s="5572"/>
      <c r="E4413" s="3502"/>
      <c r="F4413" s="2592"/>
      <c r="G4413" s="5585"/>
    </row>
    <row r="4414" spans="2:7" x14ac:dyDescent="0.25">
      <c r="B4414" s="571"/>
      <c r="C4414" s="3847"/>
      <c r="D4414" s="5572"/>
      <c r="E4414" s="3502"/>
      <c r="F4414" s="2592"/>
      <c r="G4414" s="5585"/>
    </row>
    <row r="4415" spans="2:7" x14ac:dyDescent="0.25">
      <c r="B4415" s="571"/>
      <c r="C4415" s="3847"/>
      <c r="D4415" s="5572"/>
      <c r="E4415" s="3502"/>
      <c r="F4415" s="2592"/>
      <c r="G4415" s="5585"/>
    </row>
    <row r="4416" spans="2:7" x14ac:dyDescent="0.25">
      <c r="B4416" s="571"/>
      <c r="C4416" s="3847"/>
      <c r="D4416" s="5572"/>
      <c r="E4416" s="3502"/>
      <c r="F4416" s="2592"/>
      <c r="G4416" s="5585"/>
    </row>
    <row r="4417" spans="2:7" x14ac:dyDescent="0.25">
      <c r="B4417" s="571"/>
      <c r="C4417" s="3847"/>
      <c r="D4417" s="5572"/>
      <c r="E4417" s="3502"/>
      <c r="F4417" s="2592"/>
      <c r="G4417" s="5585"/>
    </row>
    <row r="4418" spans="2:7" x14ac:dyDescent="0.25">
      <c r="B4418" s="571"/>
      <c r="C4418" s="3847"/>
      <c r="D4418" s="5572"/>
      <c r="E4418" s="3502"/>
      <c r="F4418" s="2592"/>
      <c r="G4418" s="5585"/>
    </row>
    <row r="4419" spans="2:7" x14ac:dyDescent="0.25">
      <c r="B4419" s="571"/>
      <c r="C4419" s="3847"/>
      <c r="D4419" s="5572"/>
      <c r="E4419" s="3502"/>
      <c r="F4419" s="2592"/>
      <c r="G4419" s="5585"/>
    </row>
    <row r="4420" spans="2:7" x14ac:dyDescent="0.25">
      <c r="B4420" s="571"/>
      <c r="C4420" s="3847"/>
      <c r="D4420" s="5572"/>
      <c r="E4420" s="3502"/>
      <c r="F4420" s="2592"/>
      <c r="G4420" s="5585"/>
    </row>
    <row r="4421" spans="2:7" x14ac:dyDescent="0.25">
      <c r="B4421" s="571"/>
      <c r="C4421" s="3847"/>
      <c r="D4421" s="5572"/>
      <c r="E4421" s="3502"/>
      <c r="F4421" s="2592"/>
      <c r="G4421" s="5585"/>
    </row>
    <row r="4422" spans="2:7" x14ac:dyDescent="0.25">
      <c r="B4422" s="571"/>
      <c r="C4422" s="3847"/>
      <c r="D4422" s="5572"/>
      <c r="E4422" s="3502"/>
      <c r="F4422" s="2592"/>
      <c r="G4422" s="5585"/>
    </row>
    <row r="4423" spans="2:7" x14ac:dyDescent="0.25">
      <c r="B4423" s="571"/>
      <c r="C4423" s="3847"/>
      <c r="D4423" s="5572"/>
      <c r="E4423" s="3502"/>
      <c r="F4423" s="2592"/>
      <c r="G4423" s="5585"/>
    </row>
    <row r="4424" spans="2:7" x14ac:dyDescent="0.25">
      <c r="B4424" s="571"/>
      <c r="C4424" s="3847"/>
      <c r="D4424" s="5572"/>
      <c r="E4424" s="3502"/>
      <c r="F4424" s="2592"/>
      <c r="G4424" s="5585"/>
    </row>
    <row r="4425" spans="2:7" x14ac:dyDescent="0.25">
      <c r="B4425" s="571"/>
      <c r="C4425" s="3847"/>
      <c r="D4425" s="5572"/>
      <c r="E4425" s="3502"/>
      <c r="F4425" s="2592"/>
      <c r="G4425" s="5585"/>
    </row>
    <row r="4426" spans="2:7" x14ac:dyDescent="0.25">
      <c r="B4426" s="571"/>
      <c r="C4426" s="3847"/>
      <c r="D4426" s="5572"/>
      <c r="E4426" s="3502"/>
      <c r="F4426" s="2592"/>
      <c r="G4426" s="5585"/>
    </row>
    <row r="4427" spans="2:7" x14ac:dyDescent="0.25">
      <c r="B4427" s="571"/>
      <c r="C4427" s="3847"/>
      <c r="D4427" s="5572"/>
      <c r="E4427" s="3502"/>
      <c r="F4427" s="2592"/>
      <c r="G4427" s="5585"/>
    </row>
    <row r="4428" spans="2:7" x14ac:dyDescent="0.25">
      <c r="B4428" s="571"/>
      <c r="C4428" s="3847"/>
      <c r="D4428" s="5572"/>
      <c r="E4428" s="3502"/>
      <c r="F4428" s="2592"/>
      <c r="G4428" s="5585"/>
    </row>
    <row r="4429" spans="2:7" x14ac:dyDescent="0.25">
      <c r="B4429" s="571"/>
      <c r="C4429" s="3847"/>
      <c r="D4429" s="5572"/>
      <c r="E4429" s="3502"/>
      <c r="F4429" s="2592"/>
      <c r="G4429" s="5585"/>
    </row>
    <row r="4430" spans="2:7" x14ac:dyDescent="0.25">
      <c r="B4430" s="571"/>
      <c r="C4430" s="3847"/>
      <c r="D4430" s="5572"/>
      <c r="E4430" s="3502"/>
      <c r="F4430" s="2592"/>
      <c r="G4430" s="5585"/>
    </row>
    <row r="4431" spans="2:7" x14ac:dyDescent="0.25">
      <c r="B4431" s="571"/>
      <c r="C4431" s="3847"/>
      <c r="D4431" s="5572"/>
      <c r="E4431" s="3502"/>
      <c r="F4431" s="2592"/>
      <c r="G4431" s="5585"/>
    </row>
    <row r="4432" spans="2:7" x14ac:dyDescent="0.25">
      <c r="B4432" s="571"/>
      <c r="C4432" s="3847"/>
      <c r="D4432" s="5572"/>
      <c r="E4432" s="3502"/>
      <c r="F4432" s="2592"/>
      <c r="G4432" s="5585"/>
    </row>
    <row r="4433" spans="2:7" x14ac:dyDescent="0.25">
      <c r="B4433" s="571"/>
      <c r="C4433" s="3847"/>
      <c r="D4433" s="5572"/>
      <c r="E4433" s="3502"/>
      <c r="F4433" s="2592"/>
      <c r="G4433" s="5585"/>
    </row>
    <row r="4434" spans="2:7" x14ac:dyDescent="0.25">
      <c r="B4434" s="571"/>
      <c r="C4434" s="3847"/>
      <c r="D4434" s="5572"/>
      <c r="E4434" s="3502"/>
      <c r="F4434" s="2592"/>
      <c r="G4434" s="5585"/>
    </row>
    <row r="4435" spans="2:7" x14ac:dyDescent="0.25">
      <c r="B4435" s="571"/>
      <c r="C4435" s="3847"/>
      <c r="D4435" s="5572"/>
      <c r="E4435" s="3502"/>
      <c r="F4435" s="2592"/>
      <c r="G4435" s="5585"/>
    </row>
    <row r="4436" spans="2:7" x14ac:dyDescent="0.25">
      <c r="B4436" s="571"/>
      <c r="C4436" s="3847"/>
      <c r="D4436" s="5572"/>
      <c r="E4436" s="3502"/>
      <c r="F4436" s="2592"/>
      <c r="G4436" s="5585"/>
    </row>
    <row r="4437" spans="2:7" x14ac:dyDescent="0.25">
      <c r="B4437" s="571"/>
      <c r="C4437" s="3847"/>
      <c r="D4437" s="5572"/>
      <c r="E4437" s="3502"/>
      <c r="F4437" s="2592"/>
      <c r="G4437" s="5585"/>
    </row>
    <row r="4438" spans="2:7" x14ac:dyDescent="0.25">
      <c r="B4438" s="571"/>
      <c r="C4438" s="3847"/>
      <c r="D4438" s="5572"/>
      <c r="E4438" s="3502"/>
      <c r="F4438" s="2592"/>
      <c r="G4438" s="5585"/>
    </row>
    <row r="4439" spans="2:7" x14ac:dyDescent="0.25">
      <c r="B4439" s="571"/>
      <c r="C4439" s="3847"/>
      <c r="D4439" s="5572"/>
      <c r="E4439" s="3502"/>
      <c r="F4439" s="2592"/>
      <c r="G4439" s="5585"/>
    </row>
    <row r="4440" spans="2:7" x14ac:dyDescent="0.25">
      <c r="B4440" s="571"/>
      <c r="C4440" s="3847"/>
      <c r="D4440" s="5572"/>
      <c r="E4440" s="3502"/>
      <c r="F4440" s="2592"/>
      <c r="G4440" s="5585"/>
    </row>
    <row r="4441" spans="2:7" x14ac:dyDescent="0.25">
      <c r="B4441" s="571"/>
      <c r="C4441" s="3847"/>
      <c r="D4441" s="5572"/>
      <c r="E4441" s="3502"/>
      <c r="F4441" s="2592"/>
      <c r="G4441" s="5585"/>
    </row>
    <row r="4442" spans="2:7" x14ac:dyDescent="0.25">
      <c r="B4442" s="571"/>
      <c r="C4442" s="3847"/>
      <c r="D4442" s="5572"/>
      <c r="E4442" s="3502"/>
      <c r="F4442" s="2592"/>
      <c r="G4442" s="5585"/>
    </row>
    <row r="4443" spans="2:7" x14ac:dyDescent="0.25">
      <c r="B4443" s="571"/>
      <c r="C4443" s="3847"/>
      <c r="D4443" s="5572"/>
      <c r="E4443" s="3502"/>
      <c r="F4443" s="2592"/>
      <c r="G4443" s="5585"/>
    </row>
    <row r="4444" spans="2:7" x14ac:dyDescent="0.25">
      <c r="B4444" s="571"/>
      <c r="C4444" s="3847"/>
      <c r="D4444" s="5572"/>
      <c r="E4444" s="3502"/>
      <c r="F4444" s="2592"/>
      <c r="G4444" s="5585"/>
    </row>
    <row r="4445" spans="2:7" x14ac:dyDescent="0.25">
      <c r="B4445" s="571"/>
      <c r="C4445" s="3847"/>
      <c r="D4445" s="5572"/>
      <c r="E4445" s="3502"/>
      <c r="F4445" s="2592"/>
      <c r="G4445" s="5585"/>
    </row>
    <row r="4446" spans="2:7" x14ac:dyDescent="0.25">
      <c r="B4446" s="571"/>
      <c r="C4446" s="3847"/>
      <c r="D4446" s="5572"/>
      <c r="E4446" s="3502"/>
      <c r="F4446" s="2592"/>
      <c r="G4446" s="5585"/>
    </row>
    <row r="4447" spans="2:7" x14ac:dyDescent="0.25">
      <c r="B4447" s="571"/>
      <c r="C4447" s="3847"/>
      <c r="D4447" s="5572"/>
      <c r="E4447" s="3502"/>
      <c r="F4447" s="2592"/>
      <c r="G4447" s="5585"/>
    </row>
    <row r="4448" spans="2:7" x14ac:dyDescent="0.25">
      <c r="B4448" s="571"/>
      <c r="C4448" s="3847"/>
      <c r="D4448" s="5572"/>
      <c r="E4448" s="3502"/>
      <c r="F4448" s="2592"/>
      <c r="G4448" s="5585"/>
    </row>
    <row r="4449" spans="2:7" x14ac:dyDescent="0.25">
      <c r="B4449" s="571"/>
      <c r="C4449" s="3847"/>
      <c r="D4449" s="5572"/>
      <c r="E4449" s="3502"/>
      <c r="F4449" s="2592"/>
      <c r="G4449" s="5585"/>
    </row>
    <row r="4450" spans="2:7" x14ac:dyDescent="0.25">
      <c r="B4450" s="571"/>
      <c r="C4450" s="3847"/>
      <c r="D4450" s="5572"/>
      <c r="E4450" s="3502"/>
      <c r="F4450" s="2592"/>
      <c r="G4450" s="5585"/>
    </row>
    <row r="4451" spans="2:7" x14ac:dyDescent="0.25">
      <c r="B4451" s="571"/>
      <c r="C4451" s="3847"/>
      <c r="D4451" s="5572"/>
      <c r="E4451" s="3502"/>
      <c r="F4451" s="2592"/>
      <c r="G4451" s="5585"/>
    </row>
    <row r="4452" spans="2:7" x14ac:dyDescent="0.25">
      <c r="B4452" s="571"/>
      <c r="C4452" s="3847"/>
      <c r="D4452" s="5572"/>
      <c r="E4452" s="3502"/>
      <c r="F4452" s="2592"/>
      <c r="G4452" s="5585"/>
    </row>
    <row r="4453" spans="2:7" x14ac:dyDescent="0.25">
      <c r="B4453" s="571"/>
      <c r="C4453" s="3847"/>
      <c r="D4453" s="5572"/>
      <c r="E4453" s="3502"/>
      <c r="F4453" s="2592"/>
      <c r="G4453" s="5585"/>
    </row>
    <row r="4454" spans="2:7" x14ac:dyDescent="0.25">
      <c r="B4454" s="571"/>
      <c r="C4454" s="3847"/>
      <c r="D4454" s="5572"/>
      <c r="E4454" s="3502"/>
      <c r="F4454" s="2592"/>
      <c r="G4454" s="5585"/>
    </row>
    <row r="4455" spans="2:7" x14ac:dyDescent="0.25">
      <c r="B4455" s="571"/>
      <c r="C4455" s="3847"/>
      <c r="D4455" s="5572"/>
      <c r="E4455" s="3502"/>
      <c r="F4455" s="2592"/>
      <c r="G4455" s="5585"/>
    </row>
    <row r="4456" spans="2:7" x14ac:dyDescent="0.25">
      <c r="B4456" s="571"/>
      <c r="C4456" s="3847"/>
      <c r="D4456" s="5572"/>
      <c r="E4456" s="3502"/>
      <c r="F4456" s="2592"/>
      <c r="G4456" s="5585"/>
    </row>
    <row r="4457" spans="2:7" x14ac:dyDescent="0.25">
      <c r="B4457" s="571"/>
      <c r="C4457" s="3847"/>
      <c r="D4457" s="5572"/>
      <c r="E4457" s="3502"/>
      <c r="F4457" s="2592"/>
      <c r="G4457" s="5585"/>
    </row>
    <row r="4458" spans="2:7" x14ac:dyDescent="0.25">
      <c r="B4458" s="571"/>
      <c r="C4458" s="3847"/>
      <c r="D4458" s="5572"/>
      <c r="E4458" s="3502"/>
      <c r="F4458" s="2592"/>
      <c r="G4458" s="5585"/>
    </row>
    <row r="4459" spans="2:7" x14ac:dyDescent="0.25">
      <c r="B4459" s="571"/>
      <c r="C4459" s="3847"/>
      <c r="D4459" s="5572"/>
      <c r="E4459" s="3502"/>
      <c r="F4459" s="2592"/>
      <c r="G4459" s="5585"/>
    </row>
    <row r="4460" spans="2:7" x14ac:dyDescent="0.25">
      <c r="B4460" s="571"/>
      <c r="C4460" s="3847"/>
      <c r="D4460" s="5572"/>
      <c r="E4460" s="3502"/>
      <c r="F4460" s="2592"/>
      <c r="G4460" s="5585"/>
    </row>
    <row r="4461" spans="2:7" x14ac:dyDescent="0.25">
      <c r="B4461" s="571"/>
      <c r="C4461" s="3847"/>
      <c r="D4461" s="5572"/>
      <c r="E4461" s="3502"/>
      <c r="F4461" s="2592"/>
      <c r="G4461" s="5585"/>
    </row>
    <row r="4462" spans="2:7" x14ac:dyDescent="0.25">
      <c r="B4462" s="571"/>
      <c r="C4462" s="3847"/>
      <c r="D4462" s="5572"/>
      <c r="E4462" s="3502"/>
      <c r="F4462" s="2592"/>
      <c r="G4462" s="5585"/>
    </row>
    <row r="4463" spans="2:7" x14ac:dyDescent="0.25">
      <c r="B4463" s="571"/>
      <c r="C4463" s="3847"/>
      <c r="D4463" s="5572"/>
      <c r="E4463" s="3502"/>
      <c r="F4463" s="2592"/>
      <c r="G4463" s="5585"/>
    </row>
    <row r="4464" spans="2:7" x14ac:dyDescent="0.25">
      <c r="B4464" s="571"/>
      <c r="C4464" s="3847"/>
      <c r="D4464" s="5572"/>
      <c r="E4464" s="3502"/>
      <c r="F4464" s="2592"/>
      <c r="G4464" s="5585"/>
    </row>
    <row r="4465" spans="2:7" x14ac:dyDescent="0.25">
      <c r="B4465" s="571"/>
      <c r="C4465" s="3847"/>
      <c r="D4465" s="5572"/>
      <c r="E4465" s="3502"/>
      <c r="F4465" s="2592"/>
      <c r="G4465" s="5585"/>
    </row>
    <row r="4466" spans="2:7" x14ac:dyDescent="0.25">
      <c r="B4466" s="571"/>
      <c r="C4466" s="3847"/>
      <c r="D4466" s="5572"/>
      <c r="E4466" s="3502"/>
      <c r="F4466" s="2592"/>
      <c r="G4466" s="5585"/>
    </row>
    <row r="4467" spans="2:7" x14ac:dyDescent="0.25">
      <c r="B4467" s="571"/>
      <c r="C4467" s="3847"/>
      <c r="D4467" s="5572"/>
      <c r="E4467" s="3502"/>
      <c r="F4467" s="2592"/>
      <c r="G4467" s="5585"/>
    </row>
    <row r="4468" spans="2:7" x14ac:dyDescent="0.25">
      <c r="B4468" s="571"/>
      <c r="C4468" s="3847"/>
      <c r="D4468" s="5572"/>
      <c r="E4468" s="3502"/>
      <c r="F4468" s="2592"/>
      <c r="G4468" s="5585"/>
    </row>
    <row r="4469" spans="2:7" x14ac:dyDescent="0.25">
      <c r="B4469" s="571"/>
      <c r="C4469" s="3847"/>
      <c r="D4469" s="5572"/>
      <c r="E4469" s="3502"/>
      <c r="F4469" s="2592"/>
      <c r="G4469" s="5585"/>
    </row>
    <row r="4470" spans="2:7" x14ac:dyDescent="0.25">
      <c r="B4470" s="571"/>
      <c r="C4470" s="3847"/>
      <c r="D4470" s="5572"/>
      <c r="E4470" s="3502"/>
      <c r="F4470" s="2592"/>
      <c r="G4470" s="5585"/>
    </row>
    <row r="4471" spans="2:7" x14ac:dyDescent="0.25">
      <c r="B4471" s="571"/>
      <c r="C4471" s="3847"/>
      <c r="D4471" s="5572"/>
      <c r="E4471" s="3502"/>
      <c r="F4471" s="2592"/>
      <c r="G4471" s="5585"/>
    </row>
    <row r="4472" spans="2:7" x14ac:dyDescent="0.25">
      <c r="B4472" s="571"/>
      <c r="C4472" s="3847"/>
      <c r="D4472" s="5572"/>
      <c r="E4472" s="3502"/>
      <c r="F4472" s="2592"/>
      <c r="G4472" s="5585"/>
    </row>
    <row r="4473" spans="2:7" x14ac:dyDescent="0.25">
      <c r="B4473" s="571"/>
      <c r="C4473" s="3847"/>
      <c r="D4473" s="5572"/>
      <c r="E4473" s="3502"/>
      <c r="F4473" s="2592"/>
      <c r="G4473" s="5585"/>
    </row>
    <row r="4474" spans="2:7" x14ac:dyDescent="0.25">
      <c r="B4474" s="571"/>
      <c r="C4474" s="3847"/>
      <c r="D4474" s="5572"/>
      <c r="E4474" s="3502"/>
      <c r="F4474" s="2592"/>
      <c r="G4474" s="5585"/>
    </row>
    <row r="4475" spans="2:7" x14ac:dyDescent="0.25">
      <c r="B4475" s="571"/>
      <c r="C4475" s="3847"/>
      <c r="D4475" s="5572"/>
      <c r="E4475" s="3502"/>
      <c r="F4475" s="2592"/>
      <c r="G4475" s="5585"/>
    </row>
    <row r="4476" spans="2:7" x14ac:dyDescent="0.25">
      <c r="B4476" s="571"/>
      <c r="C4476" s="3847"/>
      <c r="D4476" s="5572"/>
      <c r="E4476" s="3502"/>
      <c r="F4476" s="2592"/>
      <c r="G4476" s="5585"/>
    </row>
    <row r="4477" spans="2:7" x14ac:dyDescent="0.25">
      <c r="B4477" s="571"/>
      <c r="C4477" s="3847"/>
      <c r="D4477" s="5572"/>
      <c r="E4477" s="3502"/>
      <c r="F4477" s="2592"/>
      <c r="G4477" s="5585"/>
    </row>
    <row r="4478" spans="2:7" x14ac:dyDescent="0.25">
      <c r="B4478" s="571"/>
      <c r="C4478" s="3847"/>
      <c r="D4478" s="5572"/>
      <c r="E4478" s="3502"/>
      <c r="F4478" s="2592"/>
      <c r="G4478" s="5585"/>
    </row>
    <row r="4479" spans="2:7" x14ac:dyDescent="0.25">
      <c r="B4479" s="571"/>
      <c r="C4479" s="3847"/>
      <c r="D4479" s="5572"/>
      <c r="E4479" s="3502"/>
      <c r="F4479" s="2592"/>
      <c r="G4479" s="5585"/>
    </row>
  </sheetData>
  <mergeCells count="25">
    <mergeCell ref="D4180:G4180"/>
    <mergeCell ref="G4199:H4199"/>
    <mergeCell ref="B4183:C4183"/>
    <mergeCell ref="B4184:C4184"/>
    <mergeCell ref="G4191:H4191"/>
    <mergeCell ref="G4192:H4192"/>
    <mergeCell ref="G4193:H4193"/>
    <mergeCell ref="G4194:H4194"/>
    <mergeCell ref="G4198:H4198"/>
    <mergeCell ref="B4181:C4181"/>
    <mergeCell ref="D4181:H4181"/>
    <mergeCell ref="D4182:H4182"/>
    <mergeCell ref="D4187:H4187"/>
    <mergeCell ref="D4188:H4188"/>
    <mergeCell ref="D4189:H4189"/>
    <mergeCell ref="D4183:I4183"/>
    <mergeCell ref="B9:B10"/>
    <mergeCell ref="C9:C10"/>
    <mergeCell ref="D9:G9"/>
    <mergeCell ref="H9:H10"/>
    <mergeCell ref="B1:H1"/>
    <mergeCell ref="B2:H2"/>
    <mergeCell ref="A3:H3"/>
    <mergeCell ref="B5:H5"/>
    <mergeCell ref="B6:D6"/>
  </mergeCells>
  <printOptions horizontalCentered="1"/>
  <pageMargins left="0.7" right="0.7" top="0.7" bottom="0.33" header="0.13" footer="0.16"/>
  <pageSetup paperSize="258" scale="83" fitToHeight="0" orientation="landscape" r:id="rId1"/>
  <headerFooter differentFirst="1">
    <oddFooter>&amp;RHal &amp;P</oddFooter>
  </headerFooter>
  <rowBreaks count="35" manualBreakCount="35">
    <brk id="38" min="1" max="8" man="1"/>
    <brk id="273" min="1" max="8" man="1"/>
    <brk id="311" min="1" max="8" man="1"/>
    <brk id="430" min="1" max="8" man="1"/>
    <brk id="537" min="1" max="8" man="1"/>
    <brk id="798" min="1" max="8" man="1"/>
    <brk id="954" min="1" max="8" man="1"/>
    <brk id="987" min="1" max="8" man="1"/>
    <brk id="1019" min="1" max="8" man="1"/>
    <brk id="1125" min="1" max="8" man="1"/>
    <brk id="1161" min="1" max="8" man="1"/>
    <brk id="1237" min="1" max="8" man="1"/>
    <brk id="1272" min="1" max="8" man="1"/>
    <brk id="1309" min="1" max="8" man="1"/>
    <brk id="1680" min="1" max="8" man="1"/>
    <brk id="1715" min="1" max="8" man="1"/>
    <brk id="1754" min="1" max="8" man="1"/>
    <brk id="1791" min="1" max="8" man="1"/>
    <brk id="2596" max="16383" man="1"/>
    <brk id="2675" max="16383" man="1"/>
    <brk id="2736" min="1" max="8" man="1"/>
    <brk id="2768" min="1" max="8" man="1"/>
    <brk id="2888" max="16383" man="1"/>
    <brk id="2919" min="1" max="8" man="1"/>
    <brk id="2945" min="1" max="8" man="1"/>
    <brk id="2977" min="1" max="8" man="1"/>
    <brk id="3010" min="1" max="8" man="1"/>
    <brk id="3040" min="1" max="8" man="1"/>
    <brk id="3072" min="1" max="8" man="1"/>
    <brk id="3106" min="1" max="8" man="1"/>
    <brk id="3135" min="1" max="8" man="1"/>
    <brk id="3169" min="1" max="8" man="1"/>
    <brk id="3202" min="1" max="8" man="1"/>
    <brk id="4050" max="16383" man="1"/>
    <brk id="4173" min="1" max="8" man="1"/>
  </rowBreaks>
  <colBreaks count="1" manualBreakCount="1">
    <brk id="8" max="4198" man="1"/>
  </col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FF0000"/>
    <pageSetUpPr fitToPage="1"/>
  </sheetPr>
  <dimension ref="A1:S4363"/>
  <sheetViews>
    <sheetView view="pageBreakPreview" topLeftCell="B3" zoomScaleNormal="90" zoomScaleSheetLayoutView="100" workbookViewId="0">
      <selection activeCell="F13" sqref="F13"/>
    </sheetView>
  </sheetViews>
  <sheetFormatPr defaultColWidth="8.85546875" defaultRowHeight="15" x14ac:dyDescent="0.25"/>
  <cols>
    <col min="1" max="1" width="2.140625" style="352" hidden="1" customWidth="1"/>
    <col min="2" max="2" width="5" style="2068" customWidth="1"/>
    <col min="3" max="3" width="76.85546875" style="3852" customWidth="1"/>
    <col min="4" max="4" width="23.28515625" style="1806" customWidth="1"/>
    <col min="5" max="5" width="12.42578125" style="1129" customWidth="1"/>
    <col min="6" max="6" width="22" style="740" customWidth="1"/>
    <col min="7" max="7" width="23" style="905" customWidth="1"/>
    <col min="8" max="8" width="13.28515625" style="1494" customWidth="1"/>
    <col min="9" max="9" width="9.140625" style="2188" customWidth="1"/>
    <col min="10" max="10" width="16.140625" style="2189" customWidth="1"/>
    <col min="11" max="11" width="17.85546875" style="2189" customWidth="1"/>
    <col min="12" max="12" width="12.140625" style="2190" customWidth="1"/>
    <col min="13" max="13" width="10.140625" style="2190" customWidth="1"/>
    <col min="14" max="14" width="7.85546875" style="545" customWidth="1"/>
    <col min="15" max="15" width="13" hidden="1" customWidth="1"/>
    <col min="16" max="16" width="23.42578125" style="500" customWidth="1"/>
    <col min="17" max="17" width="20.5703125" customWidth="1"/>
    <col min="18" max="18" width="20.42578125" customWidth="1"/>
    <col min="19" max="19" width="19.85546875" customWidth="1"/>
  </cols>
  <sheetData>
    <row r="1" spans="1:16" s="221" customFormat="1" ht="18.75" customHeight="1" x14ac:dyDescent="0.25">
      <c r="A1" s="350"/>
      <c r="B1" s="5751" t="s">
        <v>218</v>
      </c>
      <c r="C1" s="5751"/>
      <c r="D1" s="5751"/>
      <c r="E1" s="5751"/>
      <c r="F1" s="5751"/>
      <c r="G1" s="5751"/>
      <c r="H1" s="5751"/>
      <c r="I1" s="5751"/>
      <c r="J1" s="5751"/>
      <c r="K1" s="5751"/>
      <c r="L1" s="5751"/>
      <c r="M1" s="5751"/>
      <c r="N1" s="5751"/>
      <c r="P1" s="4585"/>
    </row>
    <row r="2" spans="1:16" ht="16.5" customHeight="1" x14ac:dyDescent="0.25">
      <c r="A2" s="350"/>
      <c r="B2" s="5740" t="s">
        <v>219</v>
      </c>
      <c r="C2" s="5740"/>
      <c r="D2" s="5740"/>
      <c r="E2" s="5740"/>
      <c r="F2" s="5740"/>
      <c r="G2" s="5740"/>
      <c r="H2" s="5740"/>
      <c r="I2" s="5740"/>
      <c r="J2" s="5740"/>
      <c r="K2" s="5740"/>
      <c r="L2" s="5740"/>
      <c r="M2" s="5740"/>
      <c r="N2" s="5740"/>
    </row>
    <row r="3" spans="1:16" ht="16.5" customHeight="1" x14ac:dyDescent="0.25">
      <c r="A3" s="5740" t="s">
        <v>2418</v>
      </c>
      <c r="B3" s="5740"/>
      <c r="C3" s="5740"/>
      <c r="D3" s="5740"/>
      <c r="E3" s="5740"/>
      <c r="F3" s="5740"/>
      <c r="G3" s="5740"/>
      <c r="H3" s="5740"/>
      <c r="I3" s="5740"/>
      <c r="J3" s="5740"/>
      <c r="K3" s="5740"/>
      <c r="L3" s="5740"/>
      <c r="M3" s="5740"/>
      <c r="N3" s="5740"/>
    </row>
    <row r="4" spans="1:16" ht="14.1" customHeight="1" x14ac:dyDescent="0.25">
      <c r="B4" s="393"/>
      <c r="C4" s="3849"/>
      <c r="E4" s="324"/>
      <c r="F4" s="325"/>
      <c r="G4" s="326"/>
      <c r="H4" s="724"/>
      <c r="I4" s="2183"/>
      <c r="J4" s="2184"/>
      <c r="K4" s="2184"/>
      <c r="L4" s="393"/>
      <c r="M4" s="393"/>
      <c r="N4" s="534"/>
    </row>
    <row r="5" spans="1:16" ht="14.1" customHeight="1" x14ac:dyDescent="0.25">
      <c r="B5" s="393"/>
      <c r="C5" s="3849"/>
      <c r="E5" s="324"/>
      <c r="F5" s="325"/>
      <c r="G5" s="326"/>
      <c r="H5" s="724"/>
      <c r="I5" s="2183"/>
      <c r="J5" s="2184"/>
      <c r="K5" s="2184"/>
      <c r="L5" s="393"/>
      <c r="M5" s="393"/>
      <c r="N5" s="534"/>
    </row>
    <row r="6" spans="1:16" ht="12.75" customHeight="1" x14ac:dyDescent="0.25">
      <c r="B6" s="5752" t="s">
        <v>396</v>
      </c>
      <c r="C6" s="5752"/>
      <c r="D6" s="5752"/>
      <c r="E6" s="5752"/>
      <c r="F6" s="5752"/>
      <c r="G6" s="5752"/>
      <c r="H6" s="5752"/>
      <c r="I6" s="5752"/>
      <c r="J6" s="5752"/>
      <c r="K6" s="5752"/>
      <c r="L6" s="5752"/>
      <c r="M6" s="5752"/>
      <c r="N6" s="5752"/>
    </row>
    <row r="7" spans="1:16" ht="13.5" hidden="1" customHeight="1" x14ac:dyDescent="0.25">
      <c r="B7" s="5753" t="s">
        <v>221</v>
      </c>
      <c r="C7" s="5753"/>
      <c r="D7" s="5753"/>
      <c r="E7" s="5753"/>
      <c r="F7" s="5753"/>
      <c r="G7" s="5753"/>
      <c r="H7" s="5753"/>
      <c r="I7" s="5753"/>
      <c r="J7" s="5753"/>
      <c r="K7" s="2184"/>
      <c r="L7" s="2185"/>
      <c r="M7" s="2185"/>
      <c r="N7" s="572"/>
    </row>
    <row r="8" spans="1:16" ht="23.25" customHeight="1" x14ac:dyDescent="0.25">
      <c r="B8" s="2895" t="s">
        <v>2456</v>
      </c>
      <c r="C8" s="3853"/>
      <c r="D8" s="4173"/>
      <c r="E8" s="345"/>
      <c r="F8" s="346"/>
      <c r="G8" s="2598"/>
      <c r="H8" s="725"/>
      <c r="I8" s="2186"/>
      <c r="J8" s="2187"/>
      <c r="K8" s="2184"/>
      <c r="L8" s="2185"/>
      <c r="M8" s="2185"/>
      <c r="N8" s="573" t="s">
        <v>98</v>
      </c>
    </row>
    <row r="9" spans="1:16" ht="14.1" customHeight="1" thickBot="1" x14ac:dyDescent="0.3">
      <c r="B9" s="2896"/>
      <c r="C9" s="3850"/>
      <c r="G9" s="4433"/>
      <c r="N9" s="548"/>
    </row>
    <row r="10" spans="1:16" ht="18.75" customHeight="1" x14ac:dyDescent="0.25">
      <c r="B10" s="5763" t="s">
        <v>1</v>
      </c>
      <c r="C10" s="5766" t="s">
        <v>2</v>
      </c>
      <c r="D10" s="5762" t="s">
        <v>3</v>
      </c>
      <c r="E10" s="5762"/>
      <c r="F10" s="5748" t="s">
        <v>30</v>
      </c>
      <c r="G10" s="5749"/>
      <c r="H10" s="5749"/>
      <c r="I10" s="5750"/>
      <c r="J10" s="5756" t="s">
        <v>31</v>
      </c>
      <c r="K10" s="5757"/>
      <c r="L10" s="5757"/>
      <c r="M10" s="5758"/>
      <c r="N10" s="5754" t="s">
        <v>423</v>
      </c>
    </row>
    <row r="11" spans="1:16" ht="7.5" customHeight="1" thickBot="1" x14ac:dyDescent="0.3">
      <c r="B11" s="5764"/>
      <c r="C11" s="5767"/>
      <c r="D11" s="5744"/>
      <c r="E11" s="5746"/>
      <c r="F11" s="5744"/>
      <c r="G11" s="5745"/>
      <c r="H11" s="5745"/>
      <c r="I11" s="5746"/>
      <c r="J11" s="5759"/>
      <c r="K11" s="5760"/>
      <c r="L11" s="5760"/>
      <c r="M11" s="5761"/>
      <c r="N11" s="5755"/>
    </row>
    <row r="12" spans="1:16" s="1" customFormat="1" ht="82.5" customHeight="1" thickBot="1" x14ac:dyDescent="0.3">
      <c r="A12" s="352"/>
      <c r="B12" s="5765"/>
      <c r="C12" s="5768"/>
      <c r="D12" s="2014" t="s">
        <v>33</v>
      </c>
      <c r="E12" s="2013" t="s">
        <v>100</v>
      </c>
      <c r="F12" s="744" t="s">
        <v>101</v>
      </c>
      <c r="G12" s="745" t="s">
        <v>134</v>
      </c>
      <c r="H12" s="2191" t="s">
        <v>54</v>
      </c>
      <c r="I12" s="2192" t="s">
        <v>104</v>
      </c>
      <c r="J12" s="2193" t="s">
        <v>33</v>
      </c>
      <c r="K12" s="2193" t="s">
        <v>397</v>
      </c>
      <c r="L12" s="2193" t="s">
        <v>54</v>
      </c>
      <c r="M12" s="2193" t="s">
        <v>106</v>
      </c>
      <c r="N12" s="5718"/>
      <c r="P12" s="205"/>
    </row>
    <row r="13" spans="1:16" ht="20.100000000000001" customHeight="1" thickTop="1" thickBot="1" x14ac:dyDescent="0.3">
      <c r="B13" s="2897" t="s">
        <v>8</v>
      </c>
      <c r="C13" s="3851" t="s">
        <v>9</v>
      </c>
      <c r="D13" s="4516" t="s">
        <v>10</v>
      </c>
      <c r="E13" s="2616" t="s">
        <v>11</v>
      </c>
      <c r="F13" s="746" t="s">
        <v>12</v>
      </c>
      <c r="G13" s="747" t="s">
        <v>13</v>
      </c>
      <c r="H13" s="2615" t="s">
        <v>35</v>
      </c>
      <c r="I13" s="2194" t="s">
        <v>36</v>
      </c>
      <c r="J13" s="2195" t="s">
        <v>37</v>
      </c>
      <c r="K13" s="549" t="s">
        <v>38</v>
      </c>
      <c r="L13" s="2195" t="s">
        <v>39</v>
      </c>
      <c r="M13" s="549" t="s">
        <v>107</v>
      </c>
      <c r="N13" s="549" t="s">
        <v>108</v>
      </c>
    </row>
    <row r="14" spans="1:16" s="269" customFormat="1" ht="17.25" customHeight="1" thickTop="1" x14ac:dyDescent="0.25">
      <c r="A14" s="350"/>
      <c r="B14" s="2898" t="s">
        <v>59</v>
      </c>
      <c r="C14" s="3880" t="s">
        <v>109</v>
      </c>
      <c r="D14" s="748">
        <f>SUM(D15,D76,D92,D97,D102,D112,D116,D120,D124,D128,D139,D147,D151,D164,D177,D187,D202,D214,D218,D246)</f>
        <v>250724149600</v>
      </c>
      <c r="E14" s="1431">
        <f>D14/2507241496000*100</f>
        <v>10</v>
      </c>
      <c r="F14" s="748">
        <f>SUM(F15,F76,F92,F97,F102,F112,F116,F120,F124,F128,F139,F218,F246)</f>
        <v>0</v>
      </c>
      <c r="G14" s="749">
        <f>SUM(G15,G76,G92,G97,G102,G112,G116,G120,G124,G128,G139,G218,G246)</f>
        <v>0</v>
      </c>
      <c r="H14" s="2196"/>
      <c r="I14" s="748"/>
      <c r="J14" s="1737"/>
      <c r="K14" s="1737"/>
      <c r="L14" s="2197"/>
      <c r="M14" s="1737">
        <f>SUM(M15,M76,M92,M97,M102,M112,M116,M120,M124,M128,M139,M218,M246)/13</f>
        <v>0</v>
      </c>
      <c r="N14" s="574"/>
      <c r="P14" s="300"/>
    </row>
    <row r="15" spans="1:16" s="2070" customFormat="1" ht="20.25" customHeight="1" x14ac:dyDescent="0.25">
      <c r="B15" s="1305" t="s">
        <v>110</v>
      </c>
      <c r="C15" s="3858" t="s">
        <v>2357</v>
      </c>
      <c r="D15" s="2652">
        <f>SUM(D16+D19+D55+D59+D62+D73)</f>
        <v>100094905037</v>
      </c>
      <c r="E15" s="1432">
        <f>D15/D14*100</f>
        <v>39.922323077648997</v>
      </c>
      <c r="F15" s="750"/>
      <c r="G15" s="751"/>
      <c r="H15" s="2198"/>
      <c r="I15" s="2199"/>
      <c r="J15" s="1750"/>
      <c r="K15" s="1750"/>
      <c r="L15" s="2200"/>
      <c r="M15" s="2201"/>
      <c r="N15" s="2071"/>
      <c r="P15" s="4586"/>
    </row>
    <row r="16" spans="1:16" s="2070" customFormat="1" ht="15.75" customHeight="1" x14ac:dyDescent="0.25">
      <c r="B16" s="1242"/>
      <c r="C16" s="3881" t="s">
        <v>236</v>
      </c>
      <c r="D16" s="2769">
        <f>D17</f>
        <v>150000000</v>
      </c>
      <c r="E16" s="1433">
        <f>D16/D14*100</f>
        <v>5.9826706058952371E-2</v>
      </c>
      <c r="G16" s="753"/>
      <c r="H16" s="753"/>
      <c r="I16" s="753"/>
      <c r="J16" s="1746"/>
      <c r="K16" s="1746"/>
      <c r="L16" s="753"/>
      <c r="M16" s="753"/>
      <c r="N16" s="2073"/>
      <c r="P16" s="4586"/>
    </row>
    <row r="17" spans="1:19" s="2074" customFormat="1" ht="18" customHeight="1" x14ac:dyDescent="0.25">
      <c r="B17" s="2899"/>
      <c r="C17" s="3860" t="s">
        <v>2582</v>
      </c>
      <c r="D17" s="4174">
        <v>150000000</v>
      </c>
      <c r="E17" s="3296">
        <f>D17/D14*100</f>
        <v>5.9826706058952371E-2</v>
      </c>
      <c r="F17" s="758"/>
      <c r="G17" s="755"/>
      <c r="H17" s="755"/>
      <c r="I17" s="755"/>
      <c r="J17" s="1751"/>
      <c r="K17" s="2164"/>
      <c r="L17" s="755"/>
      <c r="M17" s="755"/>
      <c r="N17" s="2076"/>
      <c r="P17" s="4587"/>
    </row>
    <row r="18" spans="1:19" s="2074" customFormat="1" ht="10.5" customHeight="1" x14ac:dyDescent="0.25">
      <c r="B18" s="2899"/>
      <c r="C18" s="3860"/>
      <c r="D18" s="4175"/>
      <c r="E18" s="1434"/>
      <c r="F18" s="756"/>
      <c r="G18" s="757"/>
      <c r="H18" s="2202"/>
      <c r="I18" s="2164"/>
      <c r="J18" s="1752"/>
      <c r="K18" s="2203"/>
      <c r="L18" s="2204"/>
      <c r="M18" s="2164"/>
      <c r="N18" s="2076"/>
      <c r="P18" s="4587"/>
    </row>
    <row r="19" spans="1:19" s="2070" customFormat="1" x14ac:dyDescent="0.25">
      <c r="B19" s="1242"/>
      <c r="C19" s="3882" t="s">
        <v>313</v>
      </c>
      <c r="D19" s="767">
        <f>SUM(D20:D53)</f>
        <v>40396716337</v>
      </c>
      <c r="E19" s="1435">
        <f>D19/D14*100</f>
        <v>16.112016493603853</v>
      </c>
      <c r="F19" s="758"/>
      <c r="G19" s="753"/>
      <c r="H19" s="753"/>
      <c r="I19" s="753"/>
      <c r="J19" s="1747"/>
      <c r="K19" s="1747"/>
      <c r="L19" s="2205"/>
      <c r="M19" s="2206"/>
      <c r="N19" s="2077"/>
      <c r="P19" s="4586"/>
    </row>
    <row r="20" spans="1:19" s="1639" customFormat="1" ht="15.75" customHeight="1" x14ac:dyDescent="0.25">
      <c r="A20" s="1637"/>
      <c r="B20" s="2900"/>
      <c r="C20" s="3860" t="s">
        <v>2583</v>
      </c>
      <c r="D20" s="771">
        <v>900000000</v>
      </c>
      <c r="E20" s="1434">
        <f>D20/D14*100</f>
        <v>0.35896023635371421</v>
      </c>
      <c r="F20" s="759"/>
      <c r="G20" s="755"/>
      <c r="H20" s="755"/>
      <c r="I20" s="755"/>
      <c r="J20" s="1753"/>
      <c r="K20" s="2164"/>
      <c r="L20" s="2207"/>
      <c r="M20" s="755"/>
      <c r="N20" s="1638"/>
      <c r="P20" s="3257">
        <v>83000000</v>
      </c>
      <c r="Q20" s="3257"/>
      <c r="R20" s="3257">
        <v>817000000</v>
      </c>
      <c r="S20" s="3257">
        <f>SUM(P20+R20)</f>
        <v>900000000</v>
      </c>
    </row>
    <row r="21" spans="1:19" s="1639" customFormat="1" ht="14.25" customHeight="1" x14ac:dyDescent="0.25">
      <c r="A21" s="1637"/>
      <c r="B21" s="2900"/>
      <c r="C21" s="3860" t="s">
        <v>2584</v>
      </c>
      <c r="D21" s="771">
        <v>350000000</v>
      </c>
      <c r="E21" s="1434">
        <f>D21/D14*100</f>
        <v>0.13959564747088885</v>
      </c>
      <c r="F21" s="759"/>
      <c r="G21" s="755"/>
      <c r="H21" s="755"/>
      <c r="I21" s="755"/>
      <c r="J21" s="1753"/>
      <c r="K21" s="2203"/>
      <c r="L21" s="2204"/>
      <c r="M21" s="755"/>
      <c r="N21" s="1638"/>
      <c r="P21" s="3257">
        <v>40500000</v>
      </c>
      <c r="Q21" s="3257"/>
      <c r="R21" s="3257">
        <v>309500000</v>
      </c>
      <c r="S21" s="3257">
        <f t="shared" ref="S21:S27" si="0">SUM(P21+R21)</f>
        <v>350000000</v>
      </c>
    </row>
    <row r="22" spans="1:19" s="1639" customFormat="1" ht="16.5" customHeight="1" x14ac:dyDescent="0.25">
      <c r="A22" s="1637"/>
      <c r="B22" s="2900"/>
      <c r="C22" s="3883" t="s">
        <v>2585</v>
      </c>
      <c r="D22" s="771">
        <v>1700000000</v>
      </c>
      <c r="E22" s="1434">
        <f>D22/D14*100</f>
        <v>0.67803600200146019</v>
      </c>
      <c r="F22" s="759"/>
      <c r="G22" s="755"/>
      <c r="H22" s="755"/>
      <c r="I22" s="755"/>
      <c r="J22" s="1753"/>
      <c r="K22" s="2164"/>
      <c r="L22" s="2204"/>
      <c r="M22" s="755"/>
      <c r="N22" s="1638"/>
      <c r="P22" s="3257">
        <v>431450000</v>
      </c>
      <c r="Q22" s="3257"/>
      <c r="R22" s="3257">
        <v>1268550000</v>
      </c>
      <c r="S22" s="3257">
        <f t="shared" si="0"/>
        <v>1700000000</v>
      </c>
    </row>
    <row r="23" spans="1:19" s="1639" customFormat="1" ht="18" customHeight="1" x14ac:dyDescent="0.25">
      <c r="A23" s="1637"/>
      <c r="B23" s="2900"/>
      <c r="C23" s="3860" t="s">
        <v>2586</v>
      </c>
      <c r="D23" s="771">
        <v>750000000</v>
      </c>
      <c r="E23" s="1434">
        <f>D23/D14*100</f>
        <v>0.29913353029476181</v>
      </c>
      <c r="F23" s="759"/>
      <c r="G23" s="755"/>
      <c r="H23" s="755"/>
      <c r="I23" s="755"/>
      <c r="J23" s="1753"/>
      <c r="K23" s="2164"/>
      <c r="L23" s="2207"/>
      <c r="M23" s="755"/>
      <c r="N23" s="1638"/>
      <c r="P23" s="3257">
        <v>90950000</v>
      </c>
      <c r="Q23" s="3257"/>
      <c r="R23" s="3257">
        <v>659050000</v>
      </c>
      <c r="S23" s="3257">
        <f t="shared" si="0"/>
        <v>750000000</v>
      </c>
    </row>
    <row r="24" spans="1:19" s="1639" customFormat="1" ht="15.75" customHeight="1" x14ac:dyDescent="0.25">
      <c r="A24" s="1637"/>
      <c r="B24" s="2900"/>
      <c r="C24" s="3860" t="s">
        <v>2587</v>
      </c>
      <c r="D24" s="771">
        <v>6000000000</v>
      </c>
      <c r="E24" s="1434">
        <f>D24/D14*100</f>
        <v>2.3930682423580945</v>
      </c>
      <c r="F24" s="759"/>
      <c r="G24" s="755"/>
      <c r="H24" s="755"/>
      <c r="I24" s="755"/>
      <c r="J24" s="1753"/>
      <c r="K24" s="2164"/>
      <c r="L24" s="2204"/>
      <c r="M24" s="755"/>
      <c r="N24" s="1638"/>
      <c r="P24" s="3257">
        <v>41150000</v>
      </c>
      <c r="Q24" s="3257"/>
      <c r="R24" s="3257">
        <v>5958850000</v>
      </c>
      <c r="S24" s="3257">
        <f t="shared" si="0"/>
        <v>6000000000</v>
      </c>
    </row>
    <row r="25" spans="1:19" s="1639" customFormat="1" ht="17.25" customHeight="1" x14ac:dyDescent="0.25">
      <c r="A25" s="1637"/>
      <c r="B25" s="2900"/>
      <c r="C25" s="3860" t="s">
        <v>2588</v>
      </c>
      <c r="D25" s="771">
        <v>500000000</v>
      </c>
      <c r="E25" s="1434">
        <f>D25/D14*100</f>
        <v>0.19942235352984122</v>
      </c>
      <c r="F25" s="759"/>
      <c r="G25" s="760"/>
      <c r="H25" s="2202"/>
      <c r="I25" s="2164"/>
      <c r="J25" s="1753"/>
      <c r="K25" s="2164"/>
      <c r="L25" s="2204"/>
      <c r="M25" s="2164"/>
      <c r="N25" s="1638"/>
      <c r="P25" s="3257">
        <v>54000000</v>
      </c>
      <c r="Q25" s="3257"/>
      <c r="R25" s="3257">
        <v>446000000</v>
      </c>
      <c r="S25" s="3257">
        <f t="shared" si="0"/>
        <v>500000000</v>
      </c>
    </row>
    <row r="26" spans="1:19" s="1639" customFormat="1" ht="17.25" customHeight="1" x14ac:dyDescent="0.25">
      <c r="A26" s="1637"/>
      <c r="B26" s="2900"/>
      <c r="C26" s="3860" t="s">
        <v>2589</v>
      </c>
      <c r="D26" s="771">
        <v>935626337</v>
      </c>
      <c r="E26" s="1434">
        <f>D26/D14*100</f>
        <v>0.3731696122980887</v>
      </c>
      <c r="F26" s="759"/>
      <c r="G26" s="760"/>
      <c r="H26" s="2202"/>
      <c r="I26" s="2164"/>
      <c r="J26" s="1753"/>
      <c r="K26" s="2164"/>
      <c r="L26" s="2204"/>
      <c r="M26" s="2164"/>
      <c r="N26" s="1638"/>
      <c r="P26" s="3257">
        <v>198950000</v>
      </c>
      <c r="Q26" s="3257"/>
      <c r="R26" s="3257">
        <v>736676337</v>
      </c>
      <c r="S26" s="3257">
        <f t="shared" si="0"/>
        <v>935626337</v>
      </c>
    </row>
    <row r="27" spans="1:19" s="1639" customFormat="1" ht="17.25" customHeight="1" x14ac:dyDescent="0.25">
      <c r="A27" s="1637"/>
      <c r="B27" s="2900"/>
      <c r="C27" s="3860" t="s">
        <v>2590</v>
      </c>
      <c r="D27" s="771">
        <v>1100000000</v>
      </c>
      <c r="E27" s="1434">
        <f>D27/D14*100</f>
        <v>0.43872917776565068</v>
      </c>
      <c r="F27" s="759"/>
      <c r="G27" s="760"/>
      <c r="H27" s="2202"/>
      <c r="I27" s="2164"/>
      <c r="J27" s="1753"/>
      <c r="K27" s="2164"/>
      <c r="L27" s="2204"/>
      <c r="M27" s="2164"/>
      <c r="N27" s="1638"/>
      <c r="P27" s="3257">
        <v>93600000</v>
      </c>
      <c r="Q27" s="3257"/>
      <c r="R27" s="3257">
        <v>1006400000</v>
      </c>
      <c r="S27" s="3257">
        <f t="shared" si="0"/>
        <v>1100000000</v>
      </c>
    </row>
    <row r="28" spans="1:19" s="1639" customFormat="1" ht="17.25" customHeight="1" x14ac:dyDescent="0.25">
      <c r="A28" s="1637"/>
      <c r="B28" s="2900"/>
      <c r="C28" s="3860" t="s">
        <v>2591</v>
      </c>
      <c r="D28" s="771">
        <v>1296000000</v>
      </c>
      <c r="E28" s="1434">
        <f>D28/D14*100</f>
        <v>0.51690274034934847</v>
      </c>
      <c r="F28" s="759"/>
      <c r="G28" s="760"/>
      <c r="H28" s="2202"/>
      <c r="I28" s="2164"/>
      <c r="J28" s="1753"/>
      <c r="K28" s="2164"/>
      <c r="L28" s="2204"/>
      <c r="M28" s="2164"/>
      <c r="N28" s="1638"/>
      <c r="P28" s="4588">
        <f>SUM(P20:P27)</f>
        <v>1033600000</v>
      </c>
      <c r="R28" s="3258">
        <f>SUM(R20:R27)</f>
        <v>11202026337</v>
      </c>
      <c r="S28" s="3258">
        <f>SUM(S20:S27)</f>
        <v>12235626337</v>
      </c>
    </row>
    <row r="29" spans="1:19" s="1639" customFormat="1" ht="17.25" customHeight="1" x14ac:dyDescent="0.25">
      <c r="A29" s="1637"/>
      <c r="B29" s="2900"/>
      <c r="C29" s="3860" t="s">
        <v>2592</v>
      </c>
      <c r="D29" s="771">
        <v>1100000000</v>
      </c>
      <c r="E29" s="1434">
        <f>D29/D14*100</f>
        <v>0.43872917776565068</v>
      </c>
      <c r="F29" s="759"/>
      <c r="G29" s="760"/>
      <c r="H29" s="2202"/>
      <c r="I29" s="2164"/>
      <c r="J29" s="1753"/>
      <c r="K29" s="2164"/>
      <c r="L29" s="2204"/>
      <c r="M29" s="2164"/>
      <c r="N29" s="1638"/>
      <c r="P29" s="4588"/>
    </row>
    <row r="30" spans="1:19" s="1639" customFormat="1" ht="17.25" customHeight="1" x14ac:dyDescent="0.25">
      <c r="A30" s="1637"/>
      <c r="B30" s="2900"/>
      <c r="C30" s="3860" t="s">
        <v>2593</v>
      </c>
      <c r="D30" s="771">
        <v>800000000</v>
      </c>
      <c r="E30" s="1434">
        <f>D30/D14*100</f>
        <v>0.31907576564774592</v>
      </c>
      <c r="F30" s="759"/>
      <c r="G30" s="760"/>
      <c r="H30" s="2202"/>
      <c r="I30" s="2164"/>
      <c r="J30" s="1753"/>
      <c r="K30" s="2164"/>
      <c r="L30" s="2204"/>
      <c r="M30" s="2164"/>
      <c r="N30" s="1638"/>
      <c r="P30" s="4588"/>
    </row>
    <row r="31" spans="1:19" s="1639" customFormat="1" ht="17.25" customHeight="1" x14ac:dyDescent="0.25">
      <c r="A31" s="1637"/>
      <c r="B31" s="2900"/>
      <c r="C31" s="3860" t="s">
        <v>2594</v>
      </c>
      <c r="D31" s="771">
        <v>900000000</v>
      </c>
      <c r="E31" s="1434">
        <f>D31/D14*100</f>
        <v>0.35896023635371421</v>
      </c>
      <c r="F31" s="759"/>
      <c r="G31" s="760"/>
      <c r="H31" s="2202"/>
      <c r="I31" s="2164"/>
      <c r="J31" s="1753"/>
      <c r="K31" s="2164"/>
      <c r="L31" s="2204"/>
      <c r="M31" s="2164"/>
      <c r="N31" s="1638"/>
      <c r="P31" s="4588"/>
    </row>
    <row r="32" spans="1:19" s="1639" customFormat="1" ht="17.25" customHeight="1" x14ac:dyDescent="0.25">
      <c r="A32" s="1637"/>
      <c r="B32" s="2900"/>
      <c r="C32" s="3860" t="s">
        <v>2595</v>
      </c>
      <c r="D32" s="771">
        <v>750000000</v>
      </c>
      <c r="E32" s="1434">
        <f>D32/D14*100</f>
        <v>0.29913353029476181</v>
      </c>
      <c r="F32" s="759"/>
      <c r="G32" s="760"/>
      <c r="H32" s="2202"/>
      <c r="I32" s="2164"/>
      <c r="J32" s="1753"/>
      <c r="K32" s="2164"/>
      <c r="L32" s="2204"/>
      <c r="M32" s="2164"/>
      <c r="N32" s="1638"/>
      <c r="P32" s="4588"/>
    </row>
    <row r="33" spans="1:16" s="1639" customFormat="1" ht="17.25" customHeight="1" x14ac:dyDescent="0.25">
      <c r="A33" s="1637"/>
      <c r="B33" s="2900"/>
      <c r="C33" s="3860" t="s">
        <v>2596</v>
      </c>
      <c r="D33" s="771">
        <v>500000000</v>
      </c>
      <c r="E33" s="1434">
        <f>D33/D14*100</f>
        <v>0.19942235352984122</v>
      </c>
      <c r="F33" s="759"/>
      <c r="G33" s="760"/>
      <c r="H33" s="2202"/>
      <c r="I33" s="2164"/>
      <c r="J33" s="1753"/>
      <c r="K33" s="2164"/>
      <c r="L33" s="2204"/>
      <c r="M33" s="2164"/>
      <c r="N33" s="1638"/>
      <c r="P33" s="4588"/>
    </row>
    <row r="34" spans="1:16" s="1639" customFormat="1" ht="17.25" customHeight="1" x14ac:dyDescent="0.25">
      <c r="A34" s="1637"/>
      <c r="B34" s="2900"/>
      <c r="C34" s="3860" t="s">
        <v>2597</v>
      </c>
      <c r="D34" s="771">
        <v>500000000</v>
      </c>
      <c r="E34" s="1434">
        <f>D34/D14*100</f>
        <v>0.19942235352984122</v>
      </c>
      <c r="F34" s="759"/>
      <c r="G34" s="760"/>
      <c r="H34" s="2202"/>
      <c r="I34" s="2164"/>
      <c r="J34" s="1753"/>
      <c r="K34" s="2164"/>
      <c r="L34" s="2204"/>
      <c r="M34" s="2164"/>
      <c r="N34" s="1638"/>
      <c r="P34" s="4588"/>
    </row>
    <row r="35" spans="1:16" s="1639" customFormat="1" ht="17.25" customHeight="1" x14ac:dyDescent="0.25">
      <c r="A35" s="1637"/>
      <c r="B35" s="2900"/>
      <c r="C35" s="3860" t="s">
        <v>2598</v>
      </c>
      <c r="D35" s="771">
        <v>500000000</v>
      </c>
      <c r="E35" s="1434">
        <f>D35/D14*100</f>
        <v>0.19942235352984122</v>
      </c>
      <c r="F35" s="759"/>
      <c r="G35" s="760"/>
      <c r="H35" s="2202"/>
      <c r="I35" s="2164"/>
      <c r="J35" s="1753"/>
      <c r="K35" s="2164"/>
      <c r="L35" s="2204"/>
      <c r="M35" s="2164"/>
      <c r="N35" s="1638"/>
      <c r="P35" s="4588"/>
    </row>
    <row r="36" spans="1:16" s="1639" customFormat="1" ht="17.25" customHeight="1" x14ac:dyDescent="0.25">
      <c r="A36" s="1637"/>
      <c r="B36" s="2900"/>
      <c r="C36" s="3860" t="s">
        <v>2599</v>
      </c>
      <c r="D36" s="771">
        <v>500000000</v>
      </c>
      <c r="E36" s="1434">
        <f>D36/D14*100</f>
        <v>0.19942235352984122</v>
      </c>
      <c r="F36" s="759"/>
      <c r="G36" s="760"/>
      <c r="H36" s="2202"/>
      <c r="I36" s="2164"/>
      <c r="J36" s="1753"/>
      <c r="K36" s="2164"/>
      <c r="L36" s="2204"/>
      <c r="M36" s="2164"/>
      <c r="N36" s="1638"/>
      <c r="P36" s="4588"/>
    </row>
    <row r="37" spans="1:16" s="1639" customFormat="1" ht="17.25" customHeight="1" x14ac:dyDescent="0.25">
      <c r="A37" s="1637"/>
      <c r="B37" s="2900"/>
      <c r="C37" s="3860" t="s">
        <v>2600</v>
      </c>
      <c r="D37" s="771">
        <v>500000000</v>
      </c>
      <c r="E37" s="1434">
        <f>D37/D14*100</f>
        <v>0.19942235352984122</v>
      </c>
      <c r="F37" s="759"/>
      <c r="G37" s="760"/>
      <c r="H37" s="2202"/>
      <c r="I37" s="2164"/>
      <c r="J37" s="1753"/>
      <c r="K37" s="2164"/>
      <c r="L37" s="2204"/>
      <c r="M37" s="2164"/>
      <c r="N37" s="1638"/>
      <c r="P37" s="4588"/>
    </row>
    <row r="38" spans="1:16" s="1639" customFormat="1" ht="17.25" customHeight="1" x14ac:dyDescent="0.25">
      <c r="A38" s="1637"/>
      <c r="B38" s="2900"/>
      <c r="C38" s="3860" t="s">
        <v>2601</v>
      </c>
      <c r="D38" s="771">
        <v>400000000</v>
      </c>
      <c r="E38" s="1434">
        <f>D38/D14*100</f>
        <v>0.15953788282387296</v>
      </c>
      <c r="F38" s="759"/>
      <c r="G38" s="760"/>
      <c r="H38" s="2202"/>
      <c r="I38" s="2164"/>
      <c r="J38" s="1753"/>
      <c r="K38" s="2164"/>
      <c r="L38" s="2204"/>
      <c r="M38" s="2164"/>
      <c r="N38" s="1638"/>
      <c r="P38" s="4588"/>
    </row>
    <row r="39" spans="1:16" s="1639" customFormat="1" ht="17.25" customHeight="1" x14ac:dyDescent="0.25">
      <c r="A39" s="1637"/>
      <c r="B39" s="2900"/>
      <c r="C39" s="3860" t="s">
        <v>2602</v>
      </c>
      <c r="D39" s="771">
        <v>632772000</v>
      </c>
      <c r="E39" s="1434">
        <f>D39/D14*100</f>
        <v>0.25237776297556941</v>
      </c>
      <c r="F39" s="759"/>
      <c r="G39" s="760"/>
      <c r="H39" s="2202"/>
      <c r="I39" s="2164"/>
      <c r="J39" s="1753"/>
      <c r="K39" s="2164"/>
      <c r="L39" s="2204"/>
      <c r="M39" s="2164"/>
      <c r="N39" s="1638"/>
      <c r="P39" s="4588"/>
    </row>
    <row r="40" spans="1:16" s="1639" customFormat="1" ht="17.25" customHeight="1" x14ac:dyDescent="0.25">
      <c r="A40" s="1637"/>
      <c r="B40" s="2900"/>
      <c r="C40" s="3860" t="s">
        <v>2603</v>
      </c>
      <c r="D40" s="771">
        <v>420000000</v>
      </c>
      <c r="E40" s="1434">
        <f>D40/D14*100</f>
        <v>0.16751477696506661</v>
      </c>
      <c r="F40" s="759"/>
      <c r="G40" s="760"/>
      <c r="H40" s="2202"/>
      <c r="I40" s="2164"/>
      <c r="J40" s="1753"/>
      <c r="K40" s="2164"/>
      <c r="L40" s="2204"/>
      <c r="M40" s="2164"/>
      <c r="N40" s="1638"/>
      <c r="P40" s="4588"/>
    </row>
    <row r="41" spans="1:16" s="1639" customFormat="1" ht="17.25" customHeight="1" x14ac:dyDescent="0.25">
      <c r="A41" s="1637"/>
      <c r="B41" s="2900"/>
      <c r="C41" s="3860" t="s">
        <v>2604</v>
      </c>
      <c r="D41" s="771">
        <v>633894000</v>
      </c>
      <c r="E41" s="1434">
        <f>D41/D14*100</f>
        <v>0.25282526673689037</v>
      </c>
      <c r="F41" s="759"/>
      <c r="G41" s="760"/>
      <c r="H41" s="2202"/>
      <c r="I41" s="2164"/>
      <c r="J41" s="1753"/>
      <c r="K41" s="2164"/>
      <c r="L41" s="2204"/>
      <c r="M41" s="2164"/>
      <c r="N41" s="1638"/>
      <c r="P41" s="4588"/>
    </row>
    <row r="42" spans="1:16" s="1639" customFormat="1" ht="17.25" customHeight="1" x14ac:dyDescent="0.25">
      <c r="A42" s="1637"/>
      <c r="B42" s="2900"/>
      <c r="C42" s="3860" t="s">
        <v>2605</v>
      </c>
      <c r="D42" s="771">
        <v>536384000</v>
      </c>
      <c r="E42" s="1434">
        <f>D42/D14*100</f>
        <v>0.21393391935150072</v>
      </c>
      <c r="F42" s="759"/>
      <c r="G42" s="760"/>
      <c r="H42" s="2202"/>
      <c r="I42" s="2164"/>
      <c r="J42" s="1753"/>
      <c r="K42" s="2164"/>
      <c r="L42" s="2204"/>
      <c r="M42" s="2164"/>
      <c r="N42" s="1638"/>
      <c r="P42" s="4588"/>
    </row>
    <row r="43" spans="1:16" s="1639" customFormat="1" ht="17.25" customHeight="1" x14ac:dyDescent="0.25">
      <c r="A43" s="1637"/>
      <c r="B43" s="2900"/>
      <c r="C43" s="3860" t="s">
        <v>6145</v>
      </c>
      <c r="D43" s="771">
        <v>9809040000</v>
      </c>
      <c r="E43" s="1434">
        <f>D43/D14*100</f>
        <v>3.9122836853367073</v>
      </c>
      <c r="F43" s="759"/>
      <c r="G43" s="760"/>
      <c r="H43" s="2202"/>
      <c r="I43" s="2164"/>
      <c r="J43" s="1753"/>
      <c r="K43" s="2164"/>
      <c r="L43" s="2204"/>
      <c r="M43" s="2164"/>
      <c r="N43" s="1638"/>
      <c r="P43" s="4588"/>
    </row>
    <row r="44" spans="1:16" s="1639" customFormat="1" ht="20.25" customHeight="1" x14ac:dyDescent="0.25">
      <c r="A44" s="1637"/>
      <c r="B44" s="2900"/>
      <c r="C44" s="3860" t="s">
        <v>2607</v>
      </c>
      <c r="D44" s="771">
        <v>900000000</v>
      </c>
      <c r="E44" s="1434">
        <f>D44/D14*100</f>
        <v>0.35896023635371421</v>
      </c>
      <c r="F44" s="759"/>
      <c r="G44" s="760"/>
      <c r="H44" s="2202"/>
      <c r="I44" s="2164"/>
      <c r="J44" s="1753"/>
      <c r="K44" s="2164"/>
      <c r="L44" s="2204"/>
      <c r="M44" s="2164"/>
      <c r="N44" s="1638"/>
      <c r="P44" s="4588"/>
    </row>
    <row r="45" spans="1:16" s="1639" customFormat="1" ht="25.5" customHeight="1" x14ac:dyDescent="0.25">
      <c r="A45" s="1637"/>
      <c r="B45" s="2900"/>
      <c r="C45" s="3860" t="s">
        <v>6146</v>
      </c>
      <c r="D45" s="771">
        <v>900000000</v>
      </c>
      <c r="E45" s="1434">
        <f>D45/D14*100</f>
        <v>0.35896023635371421</v>
      </c>
      <c r="F45" s="759"/>
      <c r="G45" s="760"/>
      <c r="H45" s="2202"/>
      <c r="I45" s="2164"/>
      <c r="J45" s="1753"/>
      <c r="K45" s="2164"/>
      <c r="L45" s="2204"/>
      <c r="M45" s="2164"/>
      <c r="N45" s="1638"/>
      <c r="P45" s="4588"/>
    </row>
    <row r="46" spans="1:16" s="1639" customFormat="1" ht="17.25" customHeight="1" x14ac:dyDescent="0.25">
      <c r="A46" s="1637"/>
      <c r="B46" s="2900"/>
      <c r="C46" s="3860" t="s">
        <v>6147</v>
      </c>
      <c r="D46" s="771">
        <v>1000000000</v>
      </c>
      <c r="E46" s="1434">
        <f>D46/D14*100</f>
        <v>0.39884470705968245</v>
      </c>
      <c r="F46" s="759"/>
      <c r="G46" s="760"/>
      <c r="H46" s="2202"/>
      <c r="I46" s="2164"/>
      <c r="J46" s="1753"/>
      <c r="K46" s="2164"/>
      <c r="L46" s="2204"/>
      <c r="M46" s="2164"/>
      <c r="N46" s="1638"/>
      <c r="P46" s="4588"/>
    </row>
    <row r="47" spans="1:16" s="1639" customFormat="1" ht="18" customHeight="1" x14ac:dyDescent="0.25">
      <c r="A47" s="1637"/>
      <c r="B47" s="2900"/>
      <c r="C47" s="3860" t="s">
        <v>6148</v>
      </c>
      <c r="D47" s="771">
        <v>900000000</v>
      </c>
      <c r="E47" s="1434">
        <f>D47/D14*100</f>
        <v>0.35896023635371421</v>
      </c>
      <c r="F47" s="759"/>
      <c r="G47" s="760"/>
      <c r="H47" s="2202"/>
      <c r="I47" s="2164"/>
      <c r="J47" s="1753"/>
      <c r="K47" s="2164"/>
      <c r="L47" s="2204"/>
      <c r="M47" s="2164"/>
      <c r="N47" s="1638"/>
      <c r="P47" s="4588"/>
    </row>
    <row r="48" spans="1:16" s="1639" customFormat="1" ht="17.25" customHeight="1" x14ac:dyDescent="0.25">
      <c r="A48" s="1637"/>
      <c r="B48" s="2900"/>
      <c r="C48" s="3860" t="s">
        <v>6149</v>
      </c>
      <c r="D48" s="771">
        <v>1000000000</v>
      </c>
      <c r="E48" s="1434">
        <f>D48/D14*100</f>
        <v>0.39884470705968245</v>
      </c>
      <c r="F48" s="759"/>
      <c r="G48" s="760"/>
      <c r="H48" s="2202"/>
      <c r="I48" s="2164"/>
      <c r="J48" s="1753"/>
      <c r="K48" s="2164"/>
      <c r="L48" s="2204"/>
      <c r="M48" s="2164"/>
      <c r="N48" s="1638"/>
      <c r="P48" s="4588"/>
    </row>
    <row r="49" spans="1:16" s="1639" customFormat="1" ht="17.25" customHeight="1" x14ac:dyDescent="0.25">
      <c r="A49" s="1637"/>
      <c r="B49" s="2900"/>
      <c r="C49" s="3860" t="s">
        <v>6150</v>
      </c>
      <c r="D49" s="771">
        <v>900000000</v>
      </c>
      <c r="E49" s="1434">
        <f>D49/D14*100</f>
        <v>0.35896023635371421</v>
      </c>
      <c r="F49" s="759"/>
      <c r="G49" s="760"/>
      <c r="H49" s="2202"/>
      <c r="I49" s="2164"/>
      <c r="J49" s="1753"/>
      <c r="K49" s="2164"/>
      <c r="L49" s="2204"/>
      <c r="M49" s="2164"/>
      <c r="N49" s="1638"/>
      <c r="P49" s="4588"/>
    </row>
    <row r="50" spans="1:16" s="1639" customFormat="1" ht="17.25" customHeight="1" x14ac:dyDescent="0.25">
      <c r="A50" s="1637"/>
      <c r="B50" s="2900"/>
      <c r="C50" s="3860" t="s">
        <v>6151</v>
      </c>
      <c r="D50" s="771">
        <v>583000000</v>
      </c>
      <c r="E50" s="1434">
        <f>D50/D14*100</f>
        <v>0.23252646421579487</v>
      </c>
      <c r="F50" s="759"/>
      <c r="G50" s="760"/>
      <c r="H50" s="2202"/>
      <c r="I50" s="2164"/>
      <c r="J50" s="1753"/>
      <c r="K50" s="2164"/>
      <c r="L50" s="2204"/>
      <c r="M50" s="2164"/>
      <c r="N50" s="1638"/>
      <c r="P50" s="4588"/>
    </row>
    <row r="51" spans="1:16" s="1639" customFormat="1" ht="17.25" customHeight="1" x14ac:dyDescent="0.25">
      <c r="A51" s="1637"/>
      <c r="B51" s="2900"/>
      <c r="C51" s="3860" t="s">
        <v>6152</v>
      </c>
      <c r="D51" s="771">
        <v>300000000</v>
      </c>
      <c r="E51" s="1434">
        <f>D51/D14*100</f>
        <v>0.11965341211790474</v>
      </c>
      <c r="F51" s="759"/>
      <c r="G51" s="760"/>
      <c r="H51" s="2202"/>
      <c r="I51" s="2164"/>
      <c r="J51" s="1753"/>
      <c r="K51" s="2164"/>
      <c r="L51" s="2204"/>
      <c r="M51" s="2164"/>
      <c r="N51" s="1638"/>
      <c r="P51" s="4588"/>
    </row>
    <row r="52" spans="1:16" s="1639" customFormat="1" ht="17.25" customHeight="1" x14ac:dyDescent="0.25">
      <c r="A52" s="1637"/>
      <c r="B52" s="2900"/>
      <c r="C52" s="3860" t="s">
        <v>6153</v>
      </c>
      <c r="D52" s="771">
        <v>900000000</v>
      </c>
      <c r="E52" s="1434">
        <f>D52/D14*100</f>
        <v>0.35896023635371421</v>
      </c>
      <c r="F52" s="759"/>
      <c r="G52" s="760"/>
      <c r="H52" s="2202"/>
      <c r="I52" s="2164"/>
      <c r="J52" s="1753"/>
      <c r="K52" s="2164"/>
      <c r="L52" s="2204"/>
      <c r="M52" s="2164"/>
      <c r="N52" s="1638"/>
      <c r="P52" s="4588"/>
    </row>
    <row r="53" spans="1:16" s="1639" customFormat="1" ht="18" customHeight="1" x14ac:dyDescent="0.25">
      <c r="A53" s="1637"/>
      <c r="B53" s="2900"/>
      <c r="C53" s="3860" t="s">
        <v>6154</v>
      </c>
      <c r="D53" s="771">
        <v>1000000000</v>
      </c>
      <c r="E53" s="1434">
        <f>D53/D14*100</f>
        <v>0.39884470705968245</v>
      </c>
      <c r="F53" s="759"/>
      <c r="G53" s="760"/>
      <c r="H53" s="2202"/>
      <c r="I53" s="2164"/>
      <c r="J53" s="1753"/>
      <c r="K53" s="2164"/>
      <c r="L53" s="2204"/>
      <c r="M53" s="2164"/>
      <c r="N53" s="1638"/>
      <c r="P53" s="4588"/>
    </row>
    <row r="54" spans="1:16" s="1639" customFormat="1" ht="12" customHeight="1" x14ac:dyDescent="0.25">
      <c r="A54" s="1637"/>
      <c r="B54" s="2900"/>
      <c r="C54" s="3860"/>
      <c r="D54" s="771"/>
      <c r="E54" s="1434"/>
      <c r="F54" s="759"/>
      <c r="G54" s="760"/>
      <c r="H54" s="2202"/>
      <c r="I54" s="2164"/>
      <c r="J54" s="1753"/>
      <c r="K54" s="2164"/>
      <c r="L54" s="2204"/>
      <c r="M54" s="2164"/>
      <c r="N54" s="1638"/>
      <c r="P54" s="4588"/>
    </row>
    <row r="55" spans="1:16" s="1639" customFormat="1" ht="18.75" customHeight="1" x14ac:dyDescent="0.25">
      <c r="A55" s="1637"/>
      <c r="B55" s="2900"/>
      <c r="C55" s="3882" t="s">
        <v>2617</v>
      </c>
      <c r="D55" s="767">
        <f>SUM(D56:D57)</f>
        <v>1963437000</v>
      </c>
      <c r="E55" s="1435">
        <f>D55/D14*100</f>
        <v>0.78310645509514165</v>
      </c>
      <c r="F55" s="758"/>
      <c r="G55" s="761"/>
      <c r="H55" s="2208"/>
      <c r="I55" s="2206"/>
      <c r="J55" s="1747"/>
      <c r="K55" s="1747"/>
      <c r="L55" s="2209"/>
      <c r="M55" s="2206"/>
      <c r="N55" s="1638"/>
      <c r="P55" s="4588"/>
    </row>
    <row r="56" spans="1:16" s="1639" customFormat="1" ht="25.5" customHeight="1" x14ac:dyDescent="0.25">
      <c r="A56" s="1637"/>
      <c r="B56" s="2900"/>
      <c r="C56" s="3883" t="s">
        <v>2618</v>
      </c>
      <c r="D56" s="771">
        <v>1406672000</v>
      </c>
      <c r="E56" s="1434">
        <f>D56/D14*100</f>
        <v>0.56104368176905761</v>
      </c>
      <c r="F56" s="759"/>
      <c r="G56" s="755"/>
      <c r="H56" s="755"/>
      <c r="I56" s="755"/>
      <c r="J56" s="1754"/>
      <c r="K56" s="1753"/>
      <c r="L56" s="755"/>
      <c r="M56" s="755"/>
      <c r="N56" s="1638"/>
      <c r="P56" s="4588"/>
    </row>
    <row r="57" spans="1:16" s="1639" customFormat="1" ht="20.25" customHeight="1" x14ac:dyDescent="0.25">
      <c r="A57" s="1637"/>
      <c r="B57" s="2900"/>
      <c r="C57" s="3860" t="s">
        <v>2619</v>
      </c>
      <c r="D57" s="771">
        <v>556765000</v>
      </c>
      <c r="E57" s="1434">
        <f>D57/D14*100</f>
        <v>0.22206277332608412</v>
      </c>
      <c r="F57" s="759"/>
      <c r="G57" s="755"/>
      <c r="H57" s="755"/>
      <c r="I57" s="755"/>
      <c r="J57" s="1753"/>
      <c r="K57" s="1753"/>
      <c r="L57" s="755"/>
      <c r="M57" s="755"/>
      <c r="N57" s="1638"/>
      <c r="P57" s="4588"/>
    </row>
    <row r="58" spans="1:16" s="1639" customFormat="1" ht="10.5" customHeight="1" x14ac:dyDescent="0.25">
      <c r="A58" s="1637"/>
      <c r="B58" s="2900"/>
      <c r="C58" s="3860"/>
      <c r="D58" s="4081"/>
      <c r="E58" s="1434"/>
      <c r="F58" s="554"/>
      <c r="G58" s="313"/>
      <c r="H58" s="2202"/>
      <c r="I58" s="2164"/>
      <c r="J58" s="1755"/>
      <c r="K58" s="2210"/>
      <c r="L58" s="2204"/>
      <c r="M58" s="2164"/>
      <c r="N58" s="1638"/>
      <c r="P58" s="4588"/>
    </row>
    <row r="59" spans="1:16" s="2070" customFormat="1" ht="16.5" customHeight="1" x14ac:dyDescent="0.25">
      <c r="B59" s="1242"/>
      <c r="C59" s="3882" t="s">
        <v>2620</v>
      </c>
      <c r="D59" s="767">
        <f>SUM(D60:D60)</f>
        <v>1300000000</v>
      </c>
      <c r="E59" s="1435">
        <f>D59/D14*100</f>
        <v>0.51849811917758726</v>
      </c>
      <c r="F59" s="758"/>
      <c r="G59" s="761"/>
      <c r="H59" s="2208"/>
      <c r="I59" s="2206"/>
      <c r="J59" s="1747"/>
      <c r="K59" s="1747"/>
      <c r="L59" s="2209"/>
      <c r="M59" s="2206"/>
      <c r="N59" s="2077"/>
      <c r="P59" s="4586"/>
    </row>
    <row r="60" spans="1:16" s="1639" customFormat="1" ht="31.5" customHeight="1" x14ac:dyDescent="0.25">
      <c r="A60" s="1637"/>
      <c r="B60" s="2900"/>
      <c r="C60" s="3860" t="s">
        <v>2621</v>
      </c>
      <c r="D60" s="771">
        <v>1300000000</v>
      </c>
      <c r="E60" s="1434">
        <f>D60/D14*100</f>
        <v>0.51849811917758726</v>
      </c>
      <c r="F60" s="759"/>
      <c r="G60" s="760"/>
      <c r="H60" s="2202"/>
      <c r="I60" s="2164"/>
      <c r="J60" s="1753"/>
      <c r="K60" s="2203"/>
      <c r="L60" s="2204"/>
      <c r="M60" s="2164"/>
      <c r="N60" s="1638"/>
      <c r="P60" s="4588"/>
    </row>
    <row r="61" spans="1:16" s="1639" customFormat="1" ht="11.25" customHeight="1" x14ac:dyDescent="0.25">
      <c r="A61" s="1637"/>
      <c r="B61" s="2900"/>
      <c r="C61" s="3860"/>
      <c r="D61" s="771"/>
      <c r="E61" s="1434"/>
      <c r="F61" s="759"/>
      <c r="G61" s="760"/>
      <c r="H61" s="2202"/>
      <c r="I61" s="2164"/>
      <c r="J61" s="1753"/>
      <c r="K61" s="2210"/>
      <c r="L61" s="2204"/>
      <c r="M61" s="2164"/>
      <c r="N61" s="1638"/>
      <c r="P61" s="4588"/>
    </row>
    <row r="62" spans="1:16" s="2070" customFormat="1" ht="15.75" customHeight="1" x14ac:dyDescent="0.25">
      <c r="B62" s="1242"/>
      <c r="C62" s="3882" t="s">
        <v>1338</v>
      </c>
      <c r="D62" s="767">
        <f>SUM(D63:D71)</f>
        <v>45761516700</v>
      </c>
      <c r="E62" s="1435">
        <f>D62/D14*100</f>
        <v>18.251738722818267</v>
      </c>
      <c r="F62" s="758"/>
      <c r="G62" s="761"/>
      <c r="H62" s="2208"/>
      <c r="I62" s="2206"/>
      <c r="J62" s="1747"/>
      <c r="K62" s="1747"/>
      <c r="L62" s="2209"/>
      <c r="M62" s="2206"/>
      <c r="N62" s="2077"/>
      <c r="P62" s="4586"/>
    </row>
    <row r="63" spans="1:16" s="1639" customFormat="1" ht="14.25" customHeight="1" x14ac:dyDescent="0.25">
      <c r="A63" s="1637"/>
      <c r="B63" s="2900"/>
      <c r="C63" s="3860" t="s">
        <v>2622</v>
      </c>
      <c r="D63" s="771">
        <v>1000000000</v>
      </c>
      <c r="E63" s="1434">
        <f>D63/D14*100</f>
        <v>0.39884470705968245</v>
      </c>
      <c r="F63" s="759"/>
      <c r="G63" s="755"/>
      <c r="H63" s="755"/>
      <c r="I63" s="755"/>
      <c r="J63" s="1753"/>
      <c r="K63" s="2203"/>
      <c r="L63" s="2204"/>
      <c r="M63" s="755"/>
      <c r="N63" s="1638"/>
      <c r="P63" s="4588"/>
    </row>
    <row r="64" spans="1:16" s="1639" customFormat="1" ht="16.5" customHeight="1" x14ac:dyDescent="0.25">
      <c r="A64" s="1637"/>
      <c r="B64" s="2900"/>
      <c r="C64" s="3860" t="s">
        <v>2623</v>
      </c>
      <c r="D64" s="771">
        <v>40954751700</v>
      </c>
      <c r="E64" s="1434">
        <f>D64/D14*100</f>
        <v>16.334585944488534</v>
      </c>
      <c r="F64" s="759"/>
      <c r="G64" s="755"/>
      <c r="H64" s="755"/>
      <c r="I64" s="755"/>
      <c r="J64" s="1753"/>
      <c r="K64" s="2164"/>
      <c r="L64" s="2207"/>
      <c r="M64" s="755"/>
      <c r="N64" s="1638"/>
      <c r="P64" s="4588"/>
    </row>
    <row r="65" spans="1:16" s="1639" customFormat="1" ht="18" customHeight="1" x14ac:dyDescent="0.25">
      <c r="A65" s="1637"/>
      <c r="B65" s="2900"/>
      <c r="C65" s="3860" t="s">
        <v>2624</v>
      </c>
      <c r="D65" s="771">
        <v>500000000</v>
      </c>
      <c r="E65" s="1434">
        <f>D65/D14*100</f>
        <v>0.19942235352984122</v>
      </c>
      <c r="F65" s="759"/>
      <c r="G65" s="755"/>
      <c r="H65" s="755"/>
      <c r="I65" s="755"/>
      <c r="J65" s="1753"/>
      <c r="K65" s="1753"/>
      <c r="L65" s="2207"/>
      <c r="M65" s="755"/>
      <c r="N65" s="1638"/>
      <c r="P65" s="4588"/>
    </row>
    <row r="66" spans="1:16" s="1639" customFormat="1" ht="14.25" customHeight="1" x14ac:dyDescent="0.25">
      <c r="A66" s="1637"/>
      <c r="B66" s="2900"/>
      <c r="C66" s="3860" t="s">
        <v>2625</v>
      </c>
      <c r="D66" s="771">
        <v>556765000</v>
      </c>
      <c r="E66" s="1434">
        <f>D66/D14*100</f>
        <v>0.22206277332608412</v>
      </c>
      <c r="F66" s="759"/>
      <c r="G66" s="755"/>
      <c r="H66" s="755"/>
      <c r="I66" s="755"/>
      <c r="J66" s="1753"/>
      <c r="K66" s="2164"/>
      <c r="L66" s="2207"/>
      <c r="M66" s="755"/>
      <c r="N66" s="1638"/>
      <c r="P66" s="4588"/>
    </row>
    <row r="67" spans="1:16" s="1639" customFormat="1" ht="15" customHeight="1" x14ac:dyDescent="0.25">
      <c r="A67" s="1637"/>
      <c r="B67" s="2900"/>
      <c r="C67" s="3860" t="s">
        <v>2626</v>
      </c>
      <c r="D67" s="771">
        <v>500000000</v>
      </c>
      <c r="E67" s="1434">
        <f>D67/D14*100</f>
        <v>0.19942235352984122</v>
      </c>
      <c r="F67" s="759"/>
      <c r="G67" s="755"/>
      <c r="H67" s="755"/>
      <c r="I67" s="755"/>
      <c r="J67" s="1754"/>
      <c r="K67" s="2164"/>
      <c r="L67" s="2204"/>
      <c r="M67" s="755"/>
      <c r="N67" s="1638"/>
      <c r="P67" s="4588"/>
    </row>
    <row r="68" spans="1:16" s="1639" customFormat="1" ht="14.25" customHeight="1" x14ac:dyDescent="0.25">
      <c r="A68" s="1637"/>
      <c r="B68" s="2900"/>
      <c r="C68" s="3860" t="s">
        <v>2627</v>
      </c>
      <c r="D68" s="771">
        <v>500000000</v>
      </c>
      <c r="E68" s="1434">
        <f>D68/D14*100</f>
        <v>0.19942235352984122</v>
      </c>
      <c r="F68" s="759"/>
      <c r="G68" s="755"/>
      <c r="H68" s="755"/>
      <c r="I68" s="755"/>
      <c r="J68" s="1753"/>
      <c r="K68" s="1753"/>
      <c r="L68" s="2204"/>
      <c r="M68" s="755"/>
      <c r="N68" s="1638"/>
      <c r="P68" s="4588"/>
    </row>
    <row r="69" spans="1:16" s="1639" customFormat="1" ht="16.5" customHeight="1" x14ac:dyDescent="0.25">
      <c r="A69" s="1637"/>
      <c r="B69" s="2900"/>
      <c r="C69" s="3860" t="s">
        <v>2628</v>
      </c>
      <c r="D69" s="771">
        <v>1000000000</v>
      </c>
      <c r="E69" s="1434">
        <f>D69/D14*100</f>
        <v>0.39884470705968245</v>
      </c>
      <c r="F69" s="759"/>
      <c r="G69" s="755"/>
      <c r="H69" s="755"/>
      <c r="I69" s="755"/>
      <c r="J69" s="1753"/>
      <c r="K69" s="2203"/>
      <c r="L69" s="2204"/>
      <c r="M69" s="755"/>
      <c r="N69" s="1638"/>
      <c r="P69" s="4588"/>
    </row>
    <row r="70" spans="1:16" s="1639" customFormat="1" ht="18" customHeight="1" x14ac:dyDescent="0.25">
      <c r="A70" s="1637"/>
      <c r="B70" s="2900"/>
      <c r="C70" s="3860" t="s">
        <v>2629</v>
      </c>
      <c r="D70" s="771">
        <v>500000000</v>
      </c>
      <c r="E70" s="1434">
        <f>D70/D14*100</f>
        <v>0.19942235352984122</v>
      </c>
      <c r="F70" s="759"/>
      <c r="G70" s="755"/>
      <c r="H70" s="755"/>
      <c r="I70" s="755"/>
      <c r="J70" s="1754"/>
      <c r="K70" s="1753"/>
      <c r="L70" s="2204"/>
      <c r="M70" s="755"/>
      <c r="N70" s="1638"/>
      <c r="P70" s="4588"/>
    </row>
    <row r="71" spans="1:16" s="1639" customFormat="1" ht="18" customHeight="1" x14ac:dyDescent="0.25">
      <c r="A71" s="1637"/>
      <c r="B71" s="2900"/>
      <c r="C71" s="3860" t="s">
        <v>2630</v>
      </c>
      <c r="D71" s="771">
        <v>250000000</v>
      </c>
      <c r="E71" s="1434">
        <f>D71/D14*100</f>
        <v>9.9711176764920612E-2</v>
      </c>
      <c r="F71" s="759"/>
      <c r="G71" s="755"/>
      <c r="H71" s="755"/>
      <c r="I71" s="755"/>
      <c r="J71" s="1754"/>
      <c r="K71" s="2203"/>
      <c r="L71" s="2204"/>
      <c r="M71" s="755"/>
      <c r="N71" s="1638"/>
      <c r="P71" s="4588"/>
    </row>
    <row r="72" spans="1:16" s="1639" customFormat="1" ht="12" customHeight="1" x14ac:dyDescent="0.25">
      <c r="A72" s="1637"/>
      <c r="B72" s="2900"/>
      <c r="C72" s="3861"/>
      <c r="D72" s="783"/>
      <c r="E72" s="1436"/>
      <c r="F72" s="2675"/>
      <c r="G72" s="798"/>
      <c r="H72" s="805"/>
      <c r="I72" s="805"/>
      <c r="J72" s="3260"/>
      <c r="K72" s="2217"/>
      <c r="L72" s="2213"/>
      <c r="M72" s="805"/>
      <c r="N72" s="2086"/>
      <c r="P72" s="4588"/>
    </row>
    <row r="73" spans="1:16" s="1639" customFormat="1" ht="18" customHeight="1" x14ac:dyDescent="0.25">
      <c r="A73" s="1637"/>
      <c r="B73" s="2900"/>
      <c r="C73" s="3873" t="s">
        <v>2631</v>
      </c>
      <c r="D73" s="785">
        <f>D74</f>
        <v>10523235000</v>
      </c>
      <c r="E73" s="1435">
        <f>D73/D14*100</f>
        <v>4.1971365808951981</v>
      </c>
      <c r="F73" s="2675"/>
      <c r="G73" s="798"/>
      <c r="H73" s="805"/>
      <c r="I73" s="805"/>
      <c r="J73" s="3260"/>
      <c r="K73" s="2217"/>
      <c r="L73" s="2213"/>
      <c r="M73" s="805"/>
      <c r="N73" s="2086"/>
      <c r="P73" s="4588"/>
    </row>
    <row r="74" spans="1:16" s="1639" customFormat="1" ht="18" customHeight="1" x14ac:dyDescent="0.25">
      <c r="A74" s="1637"/>
      <c r="B74" s="2900"/>
      <c r="C74" s="3861" t="s">
        <v>2632</v>
      </c>
      <c r="D74" s="783">
        <v>10523235000</v>
      </c>
      <c r="E74" s="1434">
        <f>D74/D14*100</f>
        <v>4.1971365808951981</v>
      </c>
      <c r="F74" s="2675"/>
      <c r="G74" s="798"/>
      <c r="H74" s="805"/>
      <c r="I74" s="805"/>
      <c r="J74" s="3260"/>
      <c r="K74" s="2217"/>
      <c r="L74" s="2213"/>
      <c r="M74" s="805"/>
      <c r="N74" s="2086"/>
      <c r="P74" s="4588"/>
    </row>
    <row r="75" spans="1:16" ht="12" customHeight="1" x14ac:dyDescent="0.25">
      <c r="B75" s="2900"/>
      <c r="C75" s="3861"/>
      <c r="D75" s="4082"/>
      <c r="E75" s="1436"/>
      <c r="F75" s="762"/>
      <c r="G75" s="763"/>
      <c r="H75" s="1510"/>
      <c r="I75" s="2211"/>
      <c r="J75" s="1749"/>
      <c r="K75" s="2212"/>
      <c r="L75" s="2213"/>
      <c r="M75" s="2211"/>
      <c r="N75" s="539"/>
    </row>
    <row r="76" spans="1:16" s="2070" customFormat="1" ht="16.5" customHeight="1" x14ac:dyDescent="0.25">
      <c r="B76" s="1305" t="s">
        <v>111</v>
      </c>
      <c r="C76" s="3858" t="s">
        <v>2356</v>
      </c>
      <c r="D76" s="2652">
        <f>D77+D80+D83+D86+D89</f>
        <v>26910660000</v>
      </c>
      <c r="E76" s="1437">
        <f>D76/D14*100</f>
        <v>10.733174304482715</v>
      </c>
      <c r="F76" s="764"/>
      <c r="G76" s="765"/>
      <c r="H76" s="765"/>
      <c r="I76" s="765"/>
      <c r="J76" s="1745"/>
      <c r="K76" s="1745"/>
      <c r="L76" s="765"/>
      <c r="M76" s="765"/>
      <c r="N76" s="2071"/>
      <c r="P76" s="4586"/>
    </row>
    <row r="77" spans="1:16" s="2070" customFormat="1" ht="18.75" customHeight="1" x14ac:dyDescent="0.25">
      <c r="B77" s="1242"/>
      <c r="C77" s="3893" t="s">
        <v>242</v>
      </c>
      <c r="D77" s="3278">
        <f>D78</f>
        <v>3050000000</v>
      </c>
      <c r="E77" s="1435">
        <f>D77/D14*100</f>
        <v>1.2164763565320316</v>
      </c>
      <c r="F77" s="3262"/>
      <c r="G77" s="795"/>
      <c r="H77" s="795"/>
      <c r="I77" s="795"/>
      <c r="J77" s="2542"/>
      <c r="K77" s="2542"/>
      <c r="L77" s="795"/>
      <c r="M77" s="795"/>
      <c r="N77" s="3263"/>
      <c r="P77" s="4586"/>
    </row>
    <row r="78" spans="1:16" s="2070" customFormat="1" ht="17.25" customHeight="1" x14ac:dyDescent="0.25">
      <c r="B78" s="1242"/>
      <c r="C78" s="3860" t="s">
        <v>2633</v>
      </c>
      <c r="D78" s="771">
        <v>3050000000</v>
      </c>
      <c r="E78" s="1434">
        <f>D78/D14*100</f>
        <v>1.2164763565320316</v>
      </c>
      <c r="F78" s="758"/>
      <c r="G78" s="753"/>
      <c r="H78" s="753"/>
      <c r="I78" s="753"/>
      <c r="J78" s="1747"/>
      <c r="K78" s="1747"/>
      <c r="L78" s="753"/>
      <c r="M78" s="753"/>
      <c r="N78" s="2077"/>
      <c r="P78" s="4586"/>
    </row>
    <row r="79" spans="1:16" s="2070" customFormat="1" ht="9.75" customHeight="1" x14ac:dyDescent="0.25">
      <c r="B79" s="1242"/>
      <c r="C79" s="3882"/>
      <c r="D79" s="767"/>
      <c r="E79" s="1435"/>
      <c r="F79" s="758"/>
      <c r="G79" s="753"/>
      <c r="H79" s="753"/>
      <c r="I79" s="753"/>
      <c r="J79" s="1747"/>
      <c r="K79" s="1747"/>
      <c r="L79" s="753"/>
      <c r="M79" s="753"/>
      <c r="N79" s="2077"/>
      <c r="P79" s="4586"/>
    </row>
    <row r="80" spans="1:16" s="2070" customFormat="1" ht="17.25" customHeight="1" x14ac:dyDescent="0.25">
      <c r="B80" s="1242"/>
      <c r="C80" s="3882" t="s">
        <v>283</v>
      </c>
      <c r="D80" s="767">
        <f>D81</f>
        <v>585000000</v>
      </c>
      <c r="E80" s="1435">
        <f>D80/D14*100</f>
        <v>0.23332415362991424</v>
      </c>
      <c r="F80" s="758"/>
      <c r="G80" s="753"/>
      <c r="H80" s="753"/>
      <c r="I80" s="753"/>
      <c r="J80" s="1747"/>
      <c r="K80" s="1747"/>
      <c r="L80" s="753"/>
      <c r="M80" s="753"/>
      <c r="N80" s="2077"/>
      <c r="P80" s="4586"/>
    </row>
    <row r="81" spans="1:16" s="2070" customFormat="1" ht="17.25" customHeight="1" x14ac:dyDescent="0.25">
      <c r="B81" s="1242"/>
      <c r="C81" s="3892" t="s">
        <v>2634</v>
      </c>
      <c r="D81" s="2300">
        <v>585000000</v>
      </c>
      <c r="E81" s="1434">
        <f>D81/D14*100</f>
        <v>0.23332415362991424</v>
      </c>
      <c r="F81" s="3262"/>
      <c r="G81" s="795"/>
      <c r="H81" s="795"/>
      <c r="I81" s="795"/>
      <c r="J81" s="2542"/>
      <c r="K81" s="2542"/>
      <c r="L81" s="795"/>
      <c r="M81" s="795"/>
      <c r="N81" s="3263"/>
      <c r="P81" s="4586"/>
    </row>
    <row r="82" spans="1:16" s="2070" customFormat="1" ht="11.25" customHeight="1" x14ac:dyDescent="0.25">
      <c r="B82" s="1242"/>
      <c r="C82" s="3882"/>
      <c r="D82" s="767"/>
      <c r="E82" s="1435"/>
      <c r="F82" s="758"/>
      <c r="G82" s="753"/>
      <c r="H82" s="753"/>
      <c r="I82" s="753"/>
      <c r="J82" s="1747"/>
      <c r="K82" s="1747"/>
      <c r="L82" s="753"/>
      <c r="M82" s="753"/>
      <c r="N82" s="2077"/>
      <c r="P82" s="4586"/>
    </row>
    <row r="83" spans="1:16" s="2070" customFormat="1" ht="27.75" customHeight="1" x14ac:dyDescent="0.25">
      <c r="B83" s="1242"/>
      <c r="C83" s="3882" t="s">
        <v>2635</v>
      </c>
      <c r="D83" s="767">
        <f>D84</f>
        <v>2500000000</v>
      </c>
      <c r="E83" s="1435">
        <f>D83/D14*100</f>
        <v>0.99711176764920617</v>
      </c>
      <c r="F83" s="758"/>
      <c r="G83" s="753"/>
      <c r="H83" s="753"/>
      <c r="I83" s="753"/>
      <c r="J83" s="1747"/>
      <c r="K83" s="1747"/>
      <c r="L83" s="753"/>
      <c r="M83" s="753"/>
      <c r="N83" s="2077"/>
      <c r="P83" s="4586"/>
    </row>
    <row r="84" spans="1:16" s="2070" customFormat="1" ht="18" customHeight="1" x14ac:dyDescent="0.25">
      <c r="B84" s="1242"/>
      <c r="C84" s="3860" t="s">
        <v>2636</v>
      </c>
      <c r="D84" s="771">
        <v>2500000000</v>
      </c>
      <c r="E84" s="1434">
        <f>D84/D14*100</f>
        <v>0.99711176764920617</v>
      </c>
      <c r="F84" s="758"/>
      <c r="G84" s="753"/>
      <c r="H84" s="753"/>
      <c r="I84" s="753"/>
      <c r="J84" s="1747"/>
      <c r="K84" s="1747"/>
      <c r="L84" s="753"/>
      <c r="M84" s="753"/>
      <c r="N84" s="2077"/>
      <c r="P84" s="4586"/>
    </row>
    <row r="85" spans="1:16" s="2070" customFormat="1" ht="10.5" customHeight="1" x14ac:dyDescent="0.25">
      <c r="B85" s="1242"/>
      <c r="C85" s="3882"/>
      <c r="D85" s="767"/>
      <c r="E85" s="1435"/>
      <c r="F85" s="758"/>
      <c r="G85" s="753"/>
      <c r="H85" s="753"/>
      <c r="I85" s="753"/>
      <c r="J85" s="1747"/>
      <c r="K85" s="1747"/>
      <c r="L85" s="753"/>
      <c r="M85" s="753"/>
      <c r="N85" s="2077"/>
      <c r="P85" s="4586"/>
    </row>
    <row r="86" spans="1:16" s="2070" customFormat="1" ht="16.5" customHeight="1" x14ac:dyDescent="0.25">
      <c r="B86" s="1242"/>
      <c r="C86" s="3859" t="s">
        <v>2637</v>
      </c>
      <c r="D86" s="767">
        <f>D87</f>
        <v>14996460000</v>
      </c>
      <c r="E86" s="1435">
        <f>D86/D14*100</f>
        <v>5.9812586956322455</v>
      </c>
      <c r="F86" s="758"/>
      <c r="G86" s="753"/>
      <c r="H86" s="753"/>
      <c r="I86" s="753"/>
      <c r="J86" s="1747"/>
      <c r="K86" s="1747"/>
      <c r="L86" s="753"/>
      <c r="M86" s="753"/>
      <c r="N86" s="2077"/>
      <c r="P86" s="4586"/>
    </row>
    <row r="87" spans="1:16" s="1639" customFormat="1" ht="30" customHeight="1" x14ac:dyDescent="0.25">
      <c r="A87" s="1637"/>
      <c r="B87" s="1242"/>
      <c r="C87" s="3860" t="s">
        <v>2638</v>
      </c>
      <c r="D87" s="771">
        <v>14996460000</v>
      </c>
      <c r="E87" s="1434">
        <f>D87/D14*100</f>
        <v>5.9812586956322455</v>
      </c>
      <c r="F87" s="769"/>
      <c r="G87" s="755"/>
      <c r="H87" s="755"/>
      <c r="I87" s="755"/>
      <c r="J87" s="1756"/>
      <c r="K87" s="2164"/>
      <c r="L87" s="755"/>
      <c r="M87" s="755"/>
      <c r="N87" s="1638"/>
      <c r="P87" s="4588"/>
    </row>
    <row r="88" spans="1:16" s="1639" customFormat="1" ht="11.25" customHeight="1" x14ac:dyDescent="0.25">
      <c r="A88" s="1637"/>
      <c r="B88" s="1242"/>
      <c r="C88" s="3860"/>
      <c r="D88" s="4081"/>
      <c r="E88" s="1434"/>
      <c r="F88" s="554"/>
      <c r="G88" s="313"/>
      <c r="H88" s="2202"/>
      <c r="I88" s="2164"/>
      <c r="J88" s="1755"/>
      <c r="K88" s="2210"/>
      <c r="L88" s="2204"/>
      <c r="M88" s="2164"/>
      <c r="N88" s="1638"/>
      <c r="P88" s="4588"/>
    </row>
    <row r="89" spans="1:16" s="2070" customFormat="1" ht="27.75" customHeight="1" x14ac:dyDescent="0.25">
      <c r="B89" s="1242"/>
      <c r="C89" s="3859" t="s">
        <v>2639</v>
      </c>
      <c r="D89" s="767">
        <f>D90</f>
        <v>5779200000</v>
      </c>
      <c r="E89" s="1435">
        <f>D89/D14*100</f>
        <v>2.3050033310393165</v>
      </c>
      <c r="F89" s="770"/>
      <c r="G89" s="766"/>
      <c r="H89" s="766"/>
      <c r="I89" s="766"/>
      <c r="J89" s="1757"/>
      <c r="K89" s="1757"/>
      <c r="L89" s="766"/>
      <c r="M89" s="766"/>
      <c r="N89" s="2077"/>
      <c r="P89" s="4586"/>
    </row>
    <row r="90" spans="1:16" s="2070" customFormat="1" ht="18" customHeight="1" x14ac:dyDescent="0.25">
      <c r="B90" s="1242"/>
      <c r="C90" s="3860" t="s">
        <v>2640</v>
      </c>
      <c r="D90" s="771">
        <v>5779200000</v>
      </c>
      <c r="E90" s="1434">
        <f>D90/D14*100</f>
        <v>2.3050033310393165</v>
      </c>
      <c r="F90" s="771"/>
      <c r="G90" s="755"/>
      <c r="H90" s="755"/>
      <c r="I90" s="755"/>
      <c r="J90" s="1748"/>
      <c r="K90" s="2203"/>
      <c r="L90" s="2204"/>
      <c r="M90" s="755"/>
      <c r="N90" s="2077"/>
      <c r="P90" s="4586"/>
    </row>
    <row r="91" spans="1:16" ht="12" customHeight="1" x14ac:dyDescent="0.25">
      <c r="B91" s="1242"/>
      <c r="C91" s="3873"/>
      <c r="D91" s="4082"/>
      <c r="E91" s="1436"/>
      <c r="F91" s="539"/>
      <c r="G91" s="315"/>
      <c r="H91" s="1510"/>
      <c r="I91" s="2211"/>
      <c r="J91" s="1758"/>
      <c r="K91" s="2212"/>
      <c r="L91" s="2213"/>
      <c r="M91" s="2211"/>
      <c r="N91" s="539"/>
    </row>
    <row r="92" spans="1:16" s="2070" customFormat="1" ht="18.75" customHeight="1" x14ac:dyDescent="0.25">
      <c r="B92" s="1305" t="s">
        <v>115</v>
      </c>
      <c r="C92" s="3858" t="s">
        <v>2641</v>
      </c>
      <c r="D92" s="2652">
        <f>D93</f>
        <v>102000000</v>
      </c>
      <c r="E92" s="1437">
        <f>D92/D14*100</f>
        <v>4.0682160120087608E-2</v>
      </c>
      <c r="F92" s="772"/>
      <c r="G92" s="773"/>
      <c r="H92" s="2214"/>
      <c r="I92" s="2215"/>
      <c r="J92" s="1759"/>
      <c r="K92" s="1759"/>
      <c r="L92" s="2216"/>
      <c r="M92" s="2215"/>
      <c r="N92" s="2071"/>
      <c r="P92" s="4586"/>
    </row>
    <row r="93" spans="1:16" s="2070" customFormat="1" ht="16.5" customHeight="1" x14ac:dyDescent="0.25">
      <c r="B93" s="1242"/>
      <c r="C93" s="3871" t="s">
        <v>347</v>
      </c>
      <c r="D93" s="2769">
        <f>D94+D95</f>
        <v>102000000</v>
      </c>
      <c r="E93" s="1435">
        <f>D93/D14*100</f>
        <v>4.0682160120087608E-2</v>
      </c>
      <c r="F93" s="774"/>
      <c r="G93" s="766"/>
      <c r="H93" s="766"/>
      <c r="I93" s="766"/>
      <c r="J93" s="1760"/>
      <c r="K93" s="1760"/>
      <c r="L93" s="766"/>
      <c r="M93" s="766"/>
      <c r="N93" s="2073"/>
      <c r="P93" s="4586"/>
    </row>
    <row r="94" spans="1:16" s="1639" customFormat="1" ht="16.5" customHeight="1" x14ac:dyDescent="0.25">
      <c r="A94" s="1637"/>
      <c r="B94" s="2900"/>
      <c r="C94" s="3860" t="s">
        <v>2642</v>
      </c>
      <c r="D94" s="771">
        <v>48000000</v>
      </c>
      <c r="E94" s="1434">
        <f>D94/D14*100</f>
        <v>1.9144545938864759E-2</v>
      </c>
      <c r="F94" s="769"/>
      <c r="G94" s="755"/>
      <c r="H94" s="755"/>
      <c r="I94" s="755"/>
      <c r="J94" s="1756"/>
      <c r="K94" s="2203"/>
      <c r="L94" s="2204"/>
      <c r="M94" s="755"/>
      <c r="N94" s="1638"/>
      <c r="P94" s="4588"/>
    </row>
    <row r="95" spans="1:16" s="1639" customFormat="1" ht="15.75" customHeight="1" x14ac:dyDescent="0.25">
      <c r="A95" s="1637"/>
      <c r="B95" s="2900"/>
      <c r="C95" s="3860" t="s">
        <v>2643</v>
      </c>
      <c r="D95" s="4081">
        <v>54000000</v>
      </c>
      <c r="E95" s="1434">
        <f>D95/D14*100</f>
        <v>2.1537614181222853E-2</v>
      </c>
      <c r="F95" s="554"/>
      <c r="G95" s="313"/>
      <c r="H95" s="2202"/>
      <c r="I95" s="2164"/>
      <c r="J95" s="1755"/>
      <c r="K95" s="2210"/>
      <c r="L95" s="2204"/>
      <c r="M95" s="2164"/>
      <c r="N95" s="1638"/>
      <c r="P95" s="4588"/>
    </row>
    <row r="96" spans="1:16" s="1639" customFormat="1" ht="10.5" customHeight="1" x14ac:dyDescent="0.25">
      <c r="A96" s="1637"/>
      <c r="B96" s="2900"/>
      <c r="C96" s="3861"/>
      <c r="D96" s="4082"/>
      <c r="E96" s="1436"/>
      <c r="F96" s="776"/>
      <c r="G96" s="777"/>
      <c r="H96" s="1510"/>
      <c r="I96" s="2211"/>
      <c r="J96" s="1749"/>
      <c r="K96" s="2212"/>
      <c r="L96" s="2213"/>
      <c r="M96" s="2211"/>
      <c r="N96" s="2086"/>
      <c r="P96" s="4588"/>
    </row>
    <row r="97" spans="1:16" s="2070" customFormat="1" ht="20.25" customHeight="1" x14ac:dyDescent="0.25">
      <c r="A97" s="2087"/>
      <c r="B97" s="1305" t="s">
        <v>116</v>
      </c>
      <c r="C97" s="3858" t="s">
        <v>2644</v>
      </c>
      <c r="D97" s="2652">
        <f>D98</f>
        <v>500000000</v>
      </c>
      <c r="E97" s="1437">
        <f>D97/D14*100</f>
        <v>0.19942235352984122</v>
      </c>
      <c r="F97" s="764"/>
      <c r="G97" s="765"/>
      <c r="H97" s="765"/>
      <c r="I97" s="765"/>
      <c r="J97" s="1745"/>
      <c r="K97" s="1745"/>
      <c r="L97" s="765"/>
      <c r="M97" s="765"/>
      <c r="N97" s="2071"/>
      <c r="P97" s="4586"/>
    </row>
    <row r="98" spans="1:16" s="2070" customFormat="1" ht="18" customHeight="1" x14ac:dyDescent="0.25">
      <c r="B98" s="1242"/>
      <c r="C98" s="3871" t="s">
        <v>2645</v>
      </c>
      <c r="D98" s="2769">
        <f>SUM(D99:D100)</f>
        <v>500000000</v>
      </c>
      <c r="E98" s="1435">
        <f>D98/D14*100</f>
        <v>0.19942235352984122</v>
      </c>
      <c r="F98" s="752"/>
      <c r="G98" s="766"/>
      <c r="H98" s="766"/>
      <c r="I98" s="766"/>
      <c r="J98" s="1746"/>
      <c r="K98" s="1746"/>
      <c r="L98" s="766"/>
      <c r="M98" s="766"/>
      <c r="N98" s="2073"/>
      <c r="P98" s="4586"/>
    </row>
    <row r="99" spans="1:16" s="2070" customFormat="1" ht="16.5" customHeight="1" x14ac:dyDescent="0.25">
      <c r="B99" s="1242"/>
      <c r="C99" s="3884" t="s">
        <v>2646</v>
      </c>
      <c r="D99" s="2771">
        <v>200000000</v>
      </c>
      <c r="E99" s="1434">
        <f>D99/D14*100</f>
        <v>7.9768941411936481E-2</v>
      </c>
      <c r="F99" s="778"/>
      <c r="G99" s="755"/>
      <c r="H99" s="755"/>
      <c r="I99" s="755"/>
      <c r="J99" s="1762"/>
      <c r="K99" s="2164"/>
      <c r="L99" s="755"/>
      <c r="M99" s="755"/>
      <c r="N99" s="2073"/>
      <c r="P99" s="4586"/>
    </row>
    <row r="100" spans="1:16" s="2070" customFormat="1" ht="27.75" customHeight="1" x14ac:dyDescent="0.25">
      <c r="B100" s="1242"/>
      <c r="C100" s="3884" t="s">
        <v>2647</v>
      </c>
      <c r="D100" s="2771">
        <v>300000000</v>
      </c>
      <c r="E100" s="1434">
        <f>D100/D14*100</f>
        <v>0.11965341211790474</v>
      </c>
      <c r="F100" s="752"/>
      <c r="G100" s="779"/>
      <c r="H100" s="2202"/>
      <c r="I100" s="2218"/>
      <c r="J100" s="1746"/>
      <c r="K100" s="2219"/>
      <c r="L100" s="2204"/>
      <c r="M100" s="2218"/>
      <c r="N100" s="2073"/>
      <c r="P100" s="4586"/>
    </row>
    <row r="101" spans="1:16" ht="12" customHeight="1" x14ac:dyDescent="0.25">
      <c r="B101" s="1242"/>
      <c r="C101" s="3873"/>
      <c r="D101" s="4082"/>
      <c r="E101" s="1436"/>
      <c r="F101" s="776"/>
      <c r="G101" s="777"/>
      <c r="H101" s="1510"/>
      <c r="I101" s="2211"/>
      <c r="J101" s="1749"/>
      <c r="K101" s="2212"/>
      <c r="L101" s="2213"/>
      <c r="M101" s="2211"/>
      <c r="N101" s="539"/>
    </row>
    <row r="102" spans="1:16" s="2070" customFormat="1" ht="17.25" customHeight="1" x14ac:dyDescent="0.25">
      <c r="B102" s="1305" t="s">
        <v>225</v>
      </c>
      <c r="C102" s="3858" t="s">
        <v>2355</v>
      </c>
      <c r="D102" s="2652">
        <f>SUM(D103+D109)</f>
        <v>15125350000</v>
      </c>
      <c r="E102" s="1437">
        <f>D102/D14*100</f>
        <v>6.0326657899251677</v>
      </c>
      <c r="F102" s="764"/>
      <c r="G102" s="743"/>
      <c r="H102" s="2198"/>
      <c r="I102" s="2220"/>
      <c r="J102" s="1745"/>
      <c r="K102" s="1745"/>
      <c r="L102" s="2200"/>
      <c r="M102" s="2220"/>
      <c r="N102" s="2071"/>
      <c r="P102" s="4586"/>
    </row>
    <row r="103" spans="1:16" s="2070" customFormat="1" ht="16.5" customHeight="1" x14ac:dyDescent="0.25">
      <c r="B103" s="2901"/>
      <c r="C103" s="3871" t="s">
        <v>2648</v>
      </c>
      <c r="D103" s="2769">
        <f>SUM(D104:D107)</f>
        <v>14848450000</v>
      </c>
      <c r="E103" s="1435">
        <f>D103/D14*100</f>
        <v>5.9222256905403423</v>
      </c>
      <c r="F103" s="752"/>
      <c r="G103" s="779"/>
      <c r="H103" s="2221"/>
      <c r="I103" s="2222"/>
      <c r="J103" s="1746"/>
      <c r="K103" s="1746"/>
      <c r="L103" s="2223"/>
      <c r="M103" s="2222"/>
      <c r="N103" s="2073"/>
      <c r="P103" s="4586"/>
    </row>
    <row r="104" spans="1:16" s="2070" customFormat="1" ht="29.25" customHeight="1" x14ac:dyDescent="0.25">
      <c r="B104" s="2901"/>
      <c r="C104" s="3884" t="s">
        <v>2649</v>
      </c>
      <c r="D104" s="2771">
        <v>2152500000</v>
      </c>
      <c r="E104" s="1434">
        <f>D104/D14*100</f>
        <v>0.8585132319459664</v>
      </c>
      <c r="F104" s="778"/>
      <c r="G104" s="755"/>
      <c r="H104" s="755"/>
      <c r="I104" s="755"/>
      <c r="J104" s="1762"/>
      <c r="K104" s="2224"/>
      <c r="L104" s="2204"/>
      <c r="M104" s="755"/>
      <c r="N104" s="2073"/>
      <c r="P104" s="4586"/>
    </row>
    <row r="105" spans="1:16" s="1639" customFormat="1" ht="18.75" customHeight="1" x14ac:dyDescent="0.25">
      <c r="A105" s="1637"/>
      <c r="B105" s="2902"/>
      <c r="C105" s="3860" t="s">
        <v>2650</v>
      </c>
      <c r="D105" s="771">
        <v>4258500000</v>
      </c>
      <c r="E105" s="1434">
        <f>D105/D14*100</f>
        <v>1.6984801850136577</v>
      </c>
      <c r="F105" s="771"/>
      <c r="G105" s="780"/>
      <c r="H105" s="2202"/>
      <c r="I105" s="2164"/>
      <c r="J105" s="1748"/>
      <c r="K105" s="2203"/>
      <c r="L105" s="2204"/>
      <c r="M105" s="2164"/>
      <c r="N105" s="1638"/>
      <c r="P105" s="4588"/>
    </row>
    <row r="106" spans="1:16" s="1639" customFormat="1" ht="30" x14ac:dyDescent="0.25">
      <c r="A106" s="1637"/>
      <c r="B106" s="2903"/>
      <c r="C106" s="3861" t="s">
        <v>2651</v>
      </c>
      <c r="D106" s="783">
        <v>6200000000</v>
      </c>
      <c r="E106" s="1434">
        <f>D106/D14*100</f>
        <v>2.4728371837700309</v>
      </c>
      <c r="F106" s="781"/>
      <c r="G106" s="660"/>
      <c r="H106" s="1510"/>
      <c r="I106" s="2211"/>
      <c r="J106" s="1763"/>
      <c r="K106" s="2217"/>
      <c r="L106" s="2213"/>
      <c r="M106" s="2211"/>
      <c r="N106" s="2086"/>
      <c r="P106" s="4588"/>
    </row>
    <row r="107" spans="1:16" s="1639" customFormat="1" ht="29.25" customHeight="1" x14ac:dyDescent="0.25">
      <c r="A107" s="1637"/>
      <c r="B107" s="2903"/>
      <c r="C107" s="3861" t="s">
        <v>2652</v>
      </c>
      <c r="D107" s="783">
        <v>2237450000</v>
      </c>
      <c r="E107" s="1434">
        <f>D107/D14*100</f>
        <v>0.89239508981068649</v>
      </c>
      <c r="F107" s="781"/>
      <c r="G107" s="660"/>
      <c r="H107" s="1510"/>
      <c r="I107" s="2211"/>
      <c r="J107" s="1763"/>
      <c r="K107" s="2217"/>
      <c r="L107" s="2213"/>
      <c r="M107" s="2211"/>
      <c r="N107" s="2086"/>
      <c r="P107" s="4588"/>
    </row>
    <row r="108" spans="1:16" s="1639" customFormat="1" ht="13.5" customHeight="1" x14ac:dyDescent="0.25">
      <c r="A108" s="1637"/>
      <c r="B108" s="2903"/>
      <c r="C108" s="3861"/>
      <c r="D108" s="783"/>
      <c r="E108" s="1436"/>
      <c r="F108" s="781"/>
      <c r="G108" s="660"/>
      <c r="H108" s="1510"/>
      <c r="I108" s="2211"/>
      <c r="J108" s="1763"/>
      <c r="K108" s="2217"/>
      <c r="L108" s="2213"/>
      <c r="M108" s="2211"/>
      <c r="N108" s="2086"/>
      <c r="P108" s="4588"/>
    </row>
    <row r="109" spans="1:16" s="1639" customFormat="1" ht="17.25" customHeight="1" x14ac:dyDescent="0.25">
      <c r="A109" s="1637"/>
      <c r="B109" s="2903"/>
      <c r="C109" s="3873" t="s">
        <v>2653</v>
      </c>
      <c r="D109" s="785">
        <f>D110</f>
        <v>276900000</v>
      </c>
      <c r="E109" s="1435">
        <f>D109/D14*100</f>
        <v>0.11044009938482607</v>
      </c>
      <c r="F109" s="3265"/>
      <c r="G109" s="660"/>
      <c r="H109" s="1510"/>
      <c r="I109" s="2211"/>
      <c r="J109" s="1763"/>
      <c r="K109" s="2217"/>
      <c r="L109" s="2213"/>
      <c r="M109" s="2211"/>
      <c r="N109" s="2086"/>
      <c r="P109" s="4588"/>
    </row>
    <row r="110" spans="1:16" s="1639" customFormat="1" x14ac:dyDescent="0.25">
      <c r="A110" s="1637"/>
      <c r="B110" s="2903"/>
      <c r="C110" s="3861" t="s">
        <v>2654</v>
      </c>
      <c r="D110" s="783">
        <v>276900000</v>
      </c>
      <c r="E110" s="1434">
        <f>D110/D14*100</f>
        <v>0.11044009938482607</v>
      </c>
      <c r="F110" s="781"/>
      <c r="G110" s="660"/>
      <c r="H110" s="1510"/>
      <c r="I110" s="2211"/>
      <c r="J110" s="1763"/>
      <c r="K110" s="2217"/>
      <c r="L110" s="2213"/>
      <c r="M110" s="2211"/>
      <c r="N110" s="2086"/>
      <c r="P110" s="4588"/>
    </row>
    <row r="111" spans="1:16" ht="12" customHeight="1" x14ac:dyDescent="0.25">
      <c r="B111" s="2903"/>
      <c r="C111" s="3861"/>
      <c r="D111" s="4082"/>
      <c r="E111" s="1436"/>
      <c r="F111" s="781"/>
      <c r="G111" s="660"/>
      <c r="H111" s="1510"/>
      <c r="I111" s="2211"/>
      <c r="J111" s="1763"/>
      <c r="K111" s="2212"/>
      <c r="L111" s="2213"/>
      <c r="M111" s="2211"/>
      <c r="N111" s="539"/>
    </row>
    <row r="112" spans="1:16" s="2070" customFormat="1" ht="18" customHeight="1" x14ac:dyDescent="0.25">
      <c r="B112" s="1305" t="s">
        <v>226</v>
      </c>
      <c r="C112" s="3858" t="s">
        <v>2655</v>
      </c>
      <c r="D112" s="2652">
        <f>D113</f>
        <v>10000000000</v>
      </c>
      <c r="E112" s="1437">
        <f>D112/D14*100</f>
        <v>3.9884470705968247</v>
      </c>
      <c r="F112" s="764"/>
      <c r="G112" s="743"/>
      <c r="H112" s="2198"/>
      <c r="I112" s="2220"/>
      <c r="J112" s="1745"/>
      <c r="K112" s="1745"/>
      <c r="L112" s="2200"/>
      <c r="M112" s="2220"/>
      <c r="N112" s="2071"/>
      <c r="P112" s="4586"/>
    </row>
    <row r="113" spans="1:16" s="2070" customFormat="1" ht="19.5" customHeight="1" x14ac:dyDescent="0.25">
      <c r="B113" s="1242"/>
      <c r="C113" s="3871" t="s">
        <v>2656</v>
      </c>
      <c r="D113" s="2769">
        <f>D114</f>
        <v>10000000000</v>
      </c>
      <c r="E113" s="1435">
        <f>D113/D14*100</f>
        <v>3.9884470705968247</v>
      </c>
      <c r="F113" s="752"/>
      <c r="G113" s="779"/>
      <c r="H113" s="2221"/>
      <c r="I113" s="2222"/>
      <c r="J113" s="1746"/>
      <c r="K113" s="1746"/>
      <c r="L113" s="2223"/>
      <c r="M113" s="2222"/>
      <c r="N113" s="2073"/>
      <c r="P113" s="4586"/>
    </row>
    <row r="114" spans="1:16" s="1639" customFormat="1" ht="27.75" customHeight="1" x14ac:dyDescent="0.25">
      <c r="A114" s="1637"/>
      <c r="B114" s="1242"/>
      <c r="C114" s="3860" t="s">
        <v>2657</v>
      </c>
      <c r="D114" s="771">
        <v>10000000000</v>
      </c>
      <c r="E114" s="1434">
        <f>D114/D14*100</f>
        <v>3.9884470705968247</v>
      </c>
      <c r="F114" s="771"/>
      <c r="G114" s="755"/>
      <c r="H114" s="755"/>
      <c r="I114" s="755"/>
      <c r="J114" s="1748"/>
      <c r="K114" s="2164"/>
      <c r="L114" s="755"/>
      <c r="M114" s="755"/>
      <c r="N114" s="1638"/>
      <c r="P114" s="4588"/>
    </row>
    <row r="115" spans="1:16" ht="12" customHeight="1" x14ac:dyDescent="0.25">
      <c r="B115" s="1242"/>
      <c r="C115" s="3885"/>
      <c r="D115" s="4082"/>
      <c r="E115" s="1436"/>
      <c r="F115" s="776"/>
      <c r="G115" s="777"/>
      <c r="H115" s="1510"/>
      <c r="I115" s="2211"/>
      <c r="J115" s="1749"/>
      <c r="K115" s="2212"/>
      <c r="L115" s="2213"/>
      <c r="M115" s="2211"/>
      <c r="N115" s="539"/>
    </row>
    <row r="116" spans="1:16" s="2070" customFormat="1" ht="17.25" customHeight="1" x14ac:dyDescent="0.25">
      <c r="B116" s="1305" t="s">
        <v>227</v>
      </c>
      <c r="C116" s="3858" t="s">
        <v>2354</v>
      </c>
      <c r="D116" s="2652">
        <f>D117</f>
        <v>381550000</v>
      </c>
      <c r="E116" s="1437">
        <f>D116/D14*100</f>
        <v>0.15217919797862184</v>
      </c>
      <c r="F116" s="764"/>
      <c r="G116" s="765"/>
      <c r="H116" s="765"/>
      <c r="I116" s="765"/>
      <c r="J116" s="1745"/>
      <c r="K116" s="1745"/>
      <c r="L116" s="765"/>
      <c r="M116" s="2220"/>
      <c r="N116" s="2071"/>
      <c r="P116" s="4586"/>
    </row>
    <row r="117" spans="1:16" s="2070" customFormat="1" ht="18" customHeight="1" x14ac:dyDescent="0.25">
      <c r="B117" s="1242"/>
      <c r="C117" s="3871" t="s">
        <v>2658</v>
      </c>
      <c r="D117" s="2769">
        <f>D118</f>
        <v>381550000</v>
      </c>
      <c r="E117" s="1435">
        <f>D117/D14*100</f>
        <v>0.15217919797862184</v>
      </c>
      <c r="F117" s="752"/>
      <c r="G117" s="766"/>
      <c r="H117" s="766"/>
      <c r="I117" s="766"/>
      <c r="J117" s="1746"/>
      <c r="K117" s="1746"/>
      <c r="L117" s="1179"/>
      <c r="M117" s="1179"/>
      <c r="N117" s="2073"/>
      <c r="P117" s="4586"/>
    </row>
    <row r="118" spans="1:16" s="1639" customFormat="1" ht="16.5" customHeight="1" x14ac:dyDescent="0.25">
      <c r="A118" s="1637"/>
      <c r="B118" s="1242"/>
      <c r="C118" s="3860" t="s">
        <v>2659</v>
      </c>
      <c r="D118" s="771">
        <v>381550000</v>
      </c>
      <c r="E118" s="1434">
        <f>D118/D14*100</f>
        <v>0.15217919797862184</v>
      </c>
      <c r="F118" s="771"/>
      <c r="G118" s="755"/>
      <c r="H118" s="755"/>
      <c r="I118" s="755"/>
      <c r="J118" s="1748"/>
      <c r="K118" s="2203"/>
      <c r="L118" s="755"/>
      <c r="M118" s="755"/>
      <c r="N118" s="1638"/>
      <c r="P118" s="4588"/>
    </row>
    <row r="119" spans="1:16" ht="12" customHeight="1" x14ac:dyDescent="0.25">
      <c r="B119" s="1242"/>
      <c r="C119" s="3861"/>
      <c r="D119" s="776"/>
      <c r="E119" s="1436"/>
      <c r="F119" s="776"/>
      <c r="G119" s="777"/>
      <c r="H119" s="1510"/>
      <c r="I119" s="2211"/>
      <c r="J119" s="1749"/>
      <c r="K119" s="2212"/>
      <c r="L119" s="2213"/>
      <c r="M119" s="2211"/>
      <c r="N119" s="539"/>
    </row>
    <row r="120" spans="1:16" s="2070" customFormat="1" ht="17.25" customHeight="1" x14ac:dyDescent="0.25">
      <c r="B120" s="1305" t="s">
        <v>228</v>
      </c>
      <c r="C120" s="3858" t="s">
        <v>2660</v>
      </c>
      <c r="D120" s="2652">
        <f>D121</f>
        <v>2539893000</v>
      </c>
      <c r="E120" s="1437">
        <f>D120/D14*100</f>
        <v>1.0130228795479379</v>
      </c>
      <c r="F120" s="764"/>
      <c r="G120" s="743"/>
      <c r="H120" s="2198"/>
      <c r="I120" s="2220"/>
      <c r="J120" s="1745"/>
      <c r="K120" s="1745"/>
      <c r="L120" s="2200"/>
      <c r="M120" s="2220"/>
      <c r="N120" s="2071"/>
      <c r="P120" s="4586"/>
    </row>
    <row r="121" spans="1:16" s="2070" customFormat="1" ht="18" customHeight="1" x14ac:dyDescent="0.25">
      <c r="B121" s="1242"/>
      <c r="C121" s="3871" t="s">
        <v>2661</v>
      </c>
      <c r="D121" s="2769">
        <f>D122</f>
        <v>2539893000</v>
      </c>
      <c r="E121" s="1435">
        <f>D121/D14*100</f>
        <v>1.0130228795479379</v>
      </c>
      <c r="F121" s="752"/>
      <c r="G121" s="779"/>
      <c r="H121" s="2221"/>
      <c r="I121" s="2222"/>
      <c r="J121" s="1746"/>
      <c r="K121" s="1746"/>
      <c r="L121" s="2223"/>
      <c r="M121" s="2222"/>
      <c r="N121" s="2073"/>
      <c r="P121" s="4586"/>
    </row>
    <row r="122" spans="1:16" s="1639" customFormat="1" ht="18" customHeight="1" x14ac:dyDescent="0.25">
      <c r="A122" s="1637"/>
      <c r="B122" s="1242"/>
      <c r="C122" s="3860" t="s">
        <v>2662</v>
      </c>
      <c r="D122" s="771">
        <v>2539893000</v>
      </c>
      <c r="E122" s="1434">
        <f>D122/D14*100</f>
        <v>1.0130228795479379</v>
      </c>
      <c r="F122" s="771"/>
      <c r="G122" s="780"/>
      <c r="H122" s="2202"/>
      <c r="I122" s="1312"/>
      <c r="J122" s="1748"/>
      <c r="K122" s="2203"/>
      <c r="L122" s="2204"/>
      <c r="M122" s="2203"/>
      <c r="N122" s="1638"/>
      <c r="P122" s="4588"/>
    </row>
    <row r="123" spans="1:16" s="1639" customFormat="1" ht="7.5" customHeight="1" x14ac:dyDescent="0.25">
      <c r="A123" s="1637"/>
      <c r="B123" s="1242"/>
      <c r="C123" s="3861"/>
      <c r="D123" s="4082"/>
      <c r="E123" s="1436"/>
      <c r="F123" s="776"/>
      <c r="G123" s="777"/>
      <c r="H123" s="1510"/>
      <c r="I123" s="2211"/>
      <c r="J123" s="1749"/>
      <c r="K123" s="2212"/>
      <c r="L123" s="2213"/>
      <c r="M123" s="2211"/>
      <c r="N123" s="2086"/>
      <c r="P123" s="4588"/>
    </row>
    <row r="124" spans="1:16" s="2070" customFormat="1" ht="16.5" customHeight="1" x14ac:dyDescent="0.25">
      <c r="B124" s="1305" t="s">
        <v>229</v>
      </c>
      <c r="C124" s="3858" t="s">
        <v>2663</v>
      </c>
      <c r="D124" s="2652">
        <f>D125</f>
        <v>1000000000</v>
      </c>
      <c r="E124" s="1437">
        <f>D124/D14*100</f>
        <v>0.39884470705968245</v>
      </c>
      <c r="F124" s="764"/>
      <c r="G124" s="743"/>
      <c r="H124" s="2198"/>
      <c r="I124" s="2220"/>
      <c r="J124" s="1745"/>
      <c r="K124" s="1745"/>
      <c r="L124" s="2200"/>
      <c r="M124" s="2220"/>
      <c r="N124" s="2071"/>
      <c r="P124" s="4586"/>
    </row>
    <row r="125" spans="1:16" s="2070" customFormat="1" ht="16.5" customHeight="1" x14ac:dyDescent="0.25">
      <c r="B125" s="1242"/>
      <c r="C125" s="3871" t="s">
        <v>2664</v>
      </c>
      <c r="D125" s="2769">
        <f>D126</f>
        <v>1000000000</v>
      </c>
      <c r="E125" s="1435">
        <f>D125/D14*100</f>
        <v>0.39884470705968245</v>
      </c>
      <c r="F125" s="752"/>
      <c r="G125" s="766"/>
      <c r="H125" s="766"/>
      <c r="I125" s="766"/>
      <c r="J125" s="1746"/>
      <c r="K125" s="1746"/>
      <c r="L125" s="766"/>
      <c r="M125" s="766"/>
      <c r="N125" s="2073"/>
      <c r="P125" s="4586"/>
    </row>
    <row r="126" spans="1:16" s="1639" customFormat="1" ht="15.75" customHeight="1" x14ac:dyDescent="0.25">
      <c r="A126" s="1637"/>
      <c r="B126" s="1242"/>
      <c r="C126" s="3860" t="s">
        <v>2665</v>
      </c>
      <c r="D126" s="771">
        <v>1000000000</v>
      </c>
      <c r="E126" s="1434">
        <f>D126/D14*100</f>
        <v>0.39884470705968245</v>
      </c>
      <c r="F126" s="771"/>
      <c r="G126" s="755"/>
      <c r="H126" s="755"/>
      <c r="I126" s="755"/>
      <c r="J126" s="1748"/>
      <c r="K126" s="2164"/>
      <c r="L126" s="755"/>
      <c r="M126" s="755"/>
      <c r="N126" s="1638"/>
      <c r="P126" s="4588"/>
    </row>
    <row r="127" spans="1:16" ht="9" customHeight="1" x14ac:dyDescent="0.25">
      <c r="B127" s="2904"/>
      <c r="C127" s="3873"/>
      <c r="D127" s="4082"/>
      <c r="E127" s="1436"/>
      <c r="F127" s="776"/>
      <c r="G127" s="777"/>
      <c r="H127" s="1510"/>
      <c r="I127" s="2211"/>
      <c r="J127" s="1749"/>
      <c r="K127" s="2212"/>
      <c r="L127" s="2213"/>
      <c r="M127" s="2211"/>
      <c r="N127" s="539"/>
    </row>
    <row r="128" spans="1:16" s="2070" customFormat="1" ht="16.5" customHeight="1" x14ac:dyDescent="0.25">
      <c r="B128" s="1305" t="s">
        <v>230</v>
      </c>
      <c r="C128" s="3858" t="s">
        <v>2353</v>
      </c>
      <c r="D128" s="2652">
        <f>D129+D136</f>
        <v>5634752163</v>
      </c>
      <c r="E128" s="1437">
        <f>D128/D14*100</f>
        <v>2.247391075805647</v>
      </c>
      <c r="F128" s="764"/>
      <c r="G128" s="765"/>
      <c r="H128" s="765"/>
      <c r="I128" s="2226"/>
      <c r="J128" s="1745"/>
      <c r="K128" s="1745"/>
      <c r="L128" s="765"/>
      <c r="M128" s="2226"/>
      <c r="N128" s="2071"/>
      <c r="P128" s="4586"/>
    </row>
    <row r="129" spans="1:16" s="2070" customFormat="1" ht="20.25" customHeight="1" x14ac:dyDescent="0.25">
      <c r="B129" s="1242"/>
      <c r="C129" s="3871" t="s">
        <v>2666</v>
      </c>
      <c r="D129" s="2769">
        <f>SUM(D130:D134)</f>
        <v>4469206163</v>
      </c>
      <c r="E129" s="1435">
        <f>D129/D14*100</f>
        <v>1.7825192228710622</v>
      </c>
      <c r="F129" s="752"/>
      <c r="G129" s="766"/>
      <c r="H129" s="766"/>
      <c r="I129" s="766"/>
      <c r="J129" s="1746"/>
      <c r="K129" s="1746"/>
      <c r="L129" s="766"/>
      <c r="M129" s="766"/>
      <c r="N129" s="2073"/>
      <c r="P129" s="4586"/>
    </row>
    <row r="130" spans="1:16" s="1639" customFormat="1" ht="27.75" customHeight="1" x14ac:dyDescent="0.25">
      <c r="A130" s="1637"/>
      <c r="B130" s="1242"/>
      <c r="C130" s="3860" t="s">
        <v>2667</v>
      </c>
      <c r="D130" s="771">
        <v>480080000</v>
      </c>
      <c r="E130" s="1434">
        <f>D130/D14*100</f>
        <v>0.19147736696521234</v>
      </c>
      <c r="F130" s="771"/>
      <c r="G130" s="755"/>
      <c r="H130" s="755"/>
      <c r="I130" s="755"/>
      <c r="J130" s="1748"/>
      <c r="K130" s="2164"/>
      <c r="L130" s="755"/>
      <c r="M130" s="755"/>
      <c r="N130" s="1638"/>
      <c r="P130" s="4588"/>
    </row>
    <row r="131" spans="1:16" s="1639" customFormat="1" ht="16.5" customHeight="1" x14ac:dyDescent="0.25">
      <c r="A131" s="1637"/>
      <c r="B131" s="1242"/>
      <c r="C131" s="3860" t="s">
        <v>2668</v>
      </c>
      <c r="D131" s="771">
        <v>1284196163</v>
      </c>
      <c r="E131" s="1434">
        <f>D131/D14*100</f>
        <v>0.51219484243890323</v>
      </c>
      <c r="F131" s="771"/>
      <c r="G131" s="768"/>
      <c r="H131" s="1704"/>
      <c r="I131" s="2164"/>
      <c r="J131" s="1748"/>
      <c r="K131" s="2210"/>
      <c r="L131" s="2205"/>
      <c r="M131" s="2164"/>
      <c r="N131" s="1638"/>
      <c r="P131" s="4588"/>
    </row>
    <row r="132" spans="1:16" s="1639" customFormat="1" ht="16.5" customHeight="1" x14ac:dyDescent="0.25">
      <c r="A132" s="1637"/>
      <c r="B132" s="1242"/>
      <c r="C132" s="3860" t="s">
        <v>2669</v>
      </c>
      <c r="D132" s="771">
        <v>1391995500</v>
      </c>
      <c r="E132" s="1434">
        <f>D132/D14*100</f>
        <v>0.55519003742589612</v>
      </c>
      <c r="F132" s="771"/>
      <c r="G132" s="768"/>
      <c r="H132" s="1704"/>
      <c r="I132" s="2164"/>
      <c r="J132" s="1748"/>
      <c r="K132" s="2210"/>
      <c r="L132" s="2205"/>
      <c r="M132" s="2164"/>
      <c r="N132" s="1638"/>
      <c r="P132" s="4588"/>
    </row>
    <row r="133" spans="1:16" s="1639" customFormat="1" ht="18" customHeight="1" x14ac:dyDescent="0.25">
      <c r="A133" s="1637"/>
      <c r="B133" s="1242"/>
      <c r="C133" s="3860" t="s">
        <v>2670</v>
      </c>
      <c r="D133" s="771">
        <v>661665000</v>
      </c>
      <c r="E133" s="1434">
        <f>D133/D14*100</f>
        <v>0.2639015830966448</v>
      </c>
      <c r="F133" s="771"/>
      <c r="G133" s="768"/>
      <c r="H133" s="1704"/>
      <c r="I133" s="2164"/>
      <c r="J133" s="1748"/>
      <c r="K133" s="2210"/>
      <c r="L133" s="2205"/>
      <c r="M133" s="2164"/>
      <c r="N133" s="1638"/>
      <c r="P133" s="4588"/>
    </row>
    <row r="134" spans="1:16" s="1639" customFormat="1" ht="32.25" customHeight="1" x14ac:dyDescent="0.25">
      <c r="A134" s="1637"/>
      <c r="B134" s="1242"/>
      <c r="C134" s="3860" t="s">
        <v>2671</v>
      </c>
      <c r="D134" s="771">
        <v>651269500</v>
      </c>
      <c r="E134" s="1434">
        <f>D134/D14*100</f>
        <v>0.25975539294440586</v>
      </c>
      <c r="F134" s="771"/>
      <c r="G134" s="768"/>
      <c r="H134" s="1704"/>
      <c r="I134" s="2164"/>
      <c r="J134" s="1748"/>
      <c r="K134" s="2210"/>
      <c r="L134" s="2205"/>
      <c r="M134" s="2164"/>
      <c r="N134" s="1638"/>
      <c r="P134" s="4588"/>
    </row>
    <row r="135" spans="1:16" s="1639" customFormat="1" ht="10.5" customHeight="1" x14ac:dyDescent="0.25">
      <c r="A135" s="1637"/>
      <c r="B135" s="1242"/>
      <c r="C135" s="3860"/>
      <c r="D135" s="771"/>
      <c r="E135" s="1434"/>
      <c r="F135" s="771"/>
      <c r="G135" s="768"/>
      <c r="H135" s="1704"/>
      <c r="I135" s="2164"/>
      <c r="J135" s="1748"/>
      <c r="K135" s="2210"/>
      <c r="L135" s="2205"/>
      <c r="M135" s="2164"/>
      <c r="N135" s="1638"/>
      <c r="P135" s="4588"/>
    </row>
    <row r="136" spans="1:16" s="2070" customFormat="1" ht="15.75" customHeight="1" x14ac:dyDescent="0.25">
      <c r="B136" s="1242"/>
      <c r="C136" s="3859" t="s">
        <v>2672</v>
      </c>
      <c r="D136" s="767">
        <f>D137</f>
        <v>1165546000</v>
      </c>
      <c r="E136" s="1435">
        <f>D136/D14*100</f>
        <v>0.46487185293458461</v>
      </c>
      <c r="F136" s="758"/>
      <c r="G136" s="753"/>
      <c r="H136" s="753"/>
      <c r="I136" s="755"/>
      <c r="J136" s="1747"/>
      <c r="K136" s="1747"/>
      <c r="L136" s="753"/>
      <c r="M136" s="755"/>
      <c r="N136" s="2077"/>
      <c r="P136" s="4586"/>
    </row>
    <row r="137" spans="1:16" s="1639" customFormat="1" ht="16.5" customHeight="1" x14ac:dyDescent="0.25">
      <c r="A137" s="1637"/>
      <c r="B137" s="1242"/>
      <c r="C137" s="3860" t="s">
        <v>2673</v>
      </c>
      <c r="D137" s="771">
        <v>1165546000</v>
      </c>
      <c r="E137" s="1434">
        <f>D137/D14*100</f>
        <v>0.46487185293458461</v>
      </c>
      <c r="F137" s="771"/>
      <c r="G137" s="755"/>
      <c r="H137" s="755"/>
      <c r="I137" s="755"/>
      <c r="J137" s="1748"/>
      <c r="K137" s="2164"/>
      <c r="L137" s="755"/>
      <c r="M137" s="755"/>
      <c r="N137" s="1638"/>
      <c r="P137" s="4588"/>
    </row>
    <row r="138" spans="1:16" ht="12" customHeight="1" x14ac:dyDescent="0.25">
      <c r="B138" s="1242"/>
      <c r="C138" s="3861"/>
      <c r="D138" s="4082"/>
      <c r="E138" s="1436"/>
      <c r="F138" s="776"/>
      <c r="G138" s="777"/>
      <c r="H138" s="1510"/>
      <c r="I138" s="2211"/>
      <c r="J138" s="1749"/>
      <c r="K138" s="2212"/>
      <c r="L138" s="2213"/>
      <c r="M138" s="2211"/>
      <c r="N138" s="539"/>
    </row>
    <row r="139" spans="1:16" s="2070" customFormat="1" ht="18" customHeight="1" x14ac:dyDescent="0.25">
      <c r="B139" s="1305" t="s">
        <v>231</v>
      </c>
      <c r="C139" s="3858" t="s">
        <v>2352</v>
      </c>
      <c r="D139" s="2652">
        <f>D140</f>
        <v>1716170000</v>
      </c>
      <c r="E139" s="1437">
        <f>D139/D14*100</f>
        <v>0.68448532091461523</v>
      </c>
      <c r="F139" s="764"/>
      <c r="G139" s="765"/>
      <c r="H139" s="765"/>
      <c r="I139" s="765"/>
      <c r="J139" s="1745"/>
      <c r="K139" s="1745"/>
      <c r="L139" s="765"/>
      <c r="M139" s="765"/>
      <c r="N139" s="2071"/>
      <c r="P139" s="4586"/>
    </row>
    <row r="140" spans="1:16" s="2070" customFormat="1" ht="17.25" customHeight="1" x14ac:dyDescent="0.25">
      <c r="B140" s="1242"/>
      <c r="C140" s="3871" t="s">
        <v>2674</v>
      </c>
      <c r="D140" s="2769">
        <f>SUM(D141:D145)</f>
        <v>1716170000</v>
      </c>
      <c r="E140" s="1435">
        <f>D140/D14*100</f>
        <v>0.68448532091461523</v>
      </c>
      <c r="F140" s="752"/>
      <c r="G140" s="766"/>
      <c r="H140" s="766"/>
      <c r="I140" s="766"/>
      <c r="J140" s="1746"/>
      <c r="K140" s="766"/>
      <c r="L140" s="766"/>
      <c r="M140" s="766"/>
      <c r="N140" s="2073"/>
      <c r="P140" s="4586"/>
    </row>
    <row r="141" spans="1:16" s="1639" customFormat="1" ht="26.25" customHeight="1" x14ac:dyDescent="0.25">
      <c r="A141" s="1637"/>
      <c r="B141" s="1242"/>
      <c r="C141" s="3860" t="s">
        <v>2675</v>
      </c>
      <c r="D141" s="771">
        <v>207628000</v>
      </c>
      <c r="E141" s="1434">
        <f>D141/D14*100</f>
        <v>8.2811328837387746E-2</v>
      </c>
      <c r="F141" s="771"/>
      <c r="G141" s="755"/>
      <c r="H141" s="755"/>
      <c r="I141" s="755"/>
      <c r="J141" s="1748"/>
      <c r="K141" s="2164"/>
      <c r="L141" s="755"/>
      <c r="M141" s="755"/>
      <c r="N141" s="1638"/>
      <c r="P141" s="4588"/>
    </row>
    <row r="142" spans="1:16" s="1639" customFormat="1" ht="17.25" customHeight="1" x14ac:dyDescent="0.25">
      <c r="A142" s="1637"/>
      <c r="B142" s="1242"/>
      <c r="C142" s="3860" t="s">
        <v>2676</v>
      </c>
      <c r="D142" s="771">
        <v>285798000</v>
      </c>
      <c r="E142" s="1434">
        <f>D142/D14*100</f>
        <v>0.11398901958824313</v>
      </c>
      <c r="F142" s="771"/>
      <c r="G142" s="755"/>
      <c r="H142" s="802"/>
      <c r="I142" s="802"/>
      <c r="J142" s="1748"/>
      <c r="K142" s="2164"/>
      <c r="L142" s="802"/>
      <c r="M142" s="802"/>
      <c r="N142" s="1638"/>
      <c r="P142" s="4588"/>
    </row>
    <row r="143" spans="1:16" s="1639" customFormat="1" ht="30.75" customHeight="1" x14ac:dyDescent="0.25">
      <c r="A143" s="1637"/>
      <c r="B143" s="1242"/>
      <c r="C143" s="3860" t="s">
        <v>2677</v>
      </c>
      <c r="D143" s="771">
        <v>508542000</v>
      </c>
      <c r="E143" s="1434">
        <f>D143/D14*100</f>
        <v>0.20282928501754505</v>
      </c>
      <c r="F143" s="771"/>
      <c r="G143" s="755"/>
      <c r="H143" s="802"/>
      <c r="I143" s="802"/>
      <c r="J143" s="1748"/>
      <c r="K143" s="2164"/>
      <c r="L143" s="802"/>
      <c r="M143" s="802"/>
      <c r="N143" s="1638"/>
      <c r="P143" s="4588"/>
    </row>
    <row r="144" spans="1:16" s="1639" customFormat="1" ht="42.75" customHeight="1" x14ac:dyDescent="0.25">
      <c r="A144" s="1637"/>
      <c r="B144" s="1242"/>
      <c r="C144" s="3860" t="s">
        <v>2678</v>
      </c>
      <c r="D144" s="771">
        <v>267262000</v>
      </c>
      <c r="E144" s="1434">
        <f>D144/D14*100</f>
        <v>0.10659603409818486</v>
      </c>
      <c r="F144" s="771"/>
      <c r="G144" s="755"/>
      <c r="H144" s="802"/>
      <c r="I144" s="802"/>
      <c r="J144" s="1748"/>
      <c r="K144" s="2164"/>
      <c r="L144" s="802"/>
      <c r="M144" s="802"/>
      <c r="N144" s="1638"/>
      <c r="P144" s="4588"/>
    </row>
    <row r="145" spans="1:16" s="1639" customFormat="1" ht="29.25" customHeight="1" x14ac:dyDescent="0.25">
      <c r="A145" s="1637"/>
      <c r="B145" s="1242"/>
      <c r="C145" s="3860" t="s">
        <v>2679</v>
      </c>
      <c r="D145" s="771">
        <v>446940000</v>
      </c>
      <c r="E145" s="1434">
        <f>D145/D14*100</f>
        <v>0.17825965337325447</v>
      </c>
      <c r="F145" s="771"/>
      <c r="G145" s="755"/>
      <c r="H145" s="802"/>
      <c r="I145" s="802"/>
      <c r="J145" s="1748"/>
      <c r="K145" s="2164"/>
      <c r="L145" s="802"/>
      <c r="M145" s="802"/>
      <c r="N145" s="1638"/>
      <c r="P145" s="4588"/>
    </row>
    <row r="146" spans="1:16" ht="12" customHeight="1" x14ac:dyDescent="0.25">
      <c r="B146" s="1242"/>
      <c r="C146" s="3861"/>
      <c r="D146" s="2175"/>
      <c r="E146" s="1436"/>
      <c r="F146" s="781"/>
      <c r="G146" s="660"/>
      <c r="H146" s="1510"/>
      <c r="I146" s="2227"/>
      <c r="J146" s="1763"/>
      <c r="K146" s="2212"/>
      <c r="L146" s="2213"/>
      <c r="M146" s="1761"/>
      <c r="N146" s="536"/>
    </row>
    <row r="147" spans="1:16" s="3024" customFormat="1" ht="16.5" customHeight="1" x14ac:dyDescent="0.25">
      <c r="A147" s="352"/>
      <c r="B147" s="1305" t="s">
        <v>232</v>
      </c>
      <c r="C147" s="3858" t="s">
        <v>2351</v>
      </c>
      <c r="D147" s="2356">
        <f>D148</f>
        <v>39076720000</v>
      </c>
      <c r="E147" s="1437">
        <f>D147/D14*100</f>
        <v>15.585542941253236</v>
      </c>
      <c r="F147" s="3270"/>
      <c r="G147" s="3271"/>
      <c r="H147" s="3272"/>
      <c r="I147" s="3273"/>
      <c r="J147" s="3274"/>
      <c r="K147" s="3275"/>
      <c r="L147" s="3276"/>
      <c r="M147" s="3277"/>
      <c r="N147" s="584"/>
      <c r="P147" s="500"/>
    </row>
    <row r="148" spans="1:16" s="3024" customFormat="1" ht="14.25" customHeight="1" x14ac:dyDescent="0.25">
      <c r="A148" s="352"/>
      <c r="B148" s="1242"/>
      <c r="C148" s="3893" t="s">
        <v>2680</v>
      </c>
      <c r="D148" s="1671">
        <f>D149</f>
        <v>39076720000</v>
      </c>
      <c r="E148" s="1435">
        <f>D148/D14*100</f>
        <v>15.585542941253236</v>
      </c>
      <c r="F148" s="3278"/>
      <c r="G148" s="799"/>
      <c r="H148" s="2424"/>
      <c r="I148" s="2302"/>
      <c r="J148" s="3266"/>
      <c r="K148" s="3267"/>
      <c r="L148" s="3268"/>
      <c r="M148" s="3269"/>
      <c r="N148" s="577"/>
      <c r="P148" s="500"/>
    </row>
    <row r="149" spans="1:16" s="3024" customFormat="1" ht="16.5" customHeight="1" x14ac:dyDescent="0.25">
      <c r="A149" s="352"/>
      <c r="B149" s="1242"/>
      <c r="C149" s="3860" t="s">
        <v>2681</v>
      </c>
      <c r="D149" s="1717">
        <v>39076720000</v>
      </c>
      <c r="E149" s="1434">
        <f>D149/D14*100</f>
        <v>15.585542941253236</v>
      </c>
      <c r="F149" s="771"/>
      <c r="G149" s="780"/>
      <c r="H149" s="2429"/>
      <c r="I149" s="2338"/>
      <c r="J149" s="1748"/>
      <c r="K149" s="3279"/>
      <c r="L149" s="3280"/>
      <c r="M149" s="3281"/>
      <c r="N149" s="577"/>
      <c r="P149" s="500"/>
    </row>
    <row r="150" spans="1:16" s="3024" customFormat="1" ht="12" customHeight="1" x14ac:dyDescent="0.25">
      <c r="A150" s="352"/>
      <c r="B150" s="1242"/>
      <c r="C150" s="3892"/>
      <c r="D150" s="2182"/>
      <c r="E150" s="3264"/>
      <c r="F150" s="2300"/>
      <c r="G150" s="799"/>
      <c r="H150" s="2424"/>
      <c r="I150" s="2302"/>
      <c r="J150" s="3266"/>
      <c r="K150" s="3267"/>
      <c r="L150" s="3268"/>
      <c r="M150" s="3269"/>
      <c r="N150" s="577"/>
      <c r="P150" s="500"/>
    </row>
    <row r="151" spans="1:16" s="3024" customFormat="1" ht="15.75" customHeight="1" x14ac:dyDescent="0.25">
      <c r="A151" s="352"/>
      <c r="B151" s="1305" t="s">
        <v>233</v>
      </c>
      <c r="C151" s="3858" t="s">
        <v>2350</v>
      </c>
      <c r="D151" s="2356">
        <f>SUM(D152+D155+D159)</f>
        <v>2317010000</v>
      </c>
      <c r="E151" s="1437">
        <f>D151/D14*100</f>
        <v>0.9241271747043549</v>
      </c>
      <c r="F151" s="2652"/>
      <c r="G151" s="2659"/>
      <c r="H151" s="3272"/>
      <c r="I151" s="3273"/>
      <c r="J151" s="3274"/>
      <c r="K151" s="3275"/>
      <c r="L151" s="3276"/>
      <c r="M151" s="3277"/>
      <c r="N151" s="577"/>
      <c r="P151" s="500"/>
    </row>
    <row r="152" spans="1:16" s="3024" customFormat="1" ht="16.5" customHeight="1" x14ac:dyDescent="0.25">
      <c r="A152" s="352"/>
      <c r="B152" s="1242"/>
      <c r="C152" s="3893" t="s">
        <v>2682</v>
      </c>
      <c r="D152" s="1671">
        <f>D153</f>
        <v>400000000</v>
      </c>
      <c r="E152" s="1435">
        <f>D152/D14*100</f>
        <v>0.15953788282387296</v>
      </c>
      <c r="F152" s="3278"/>
      <c r="G152" s="799"/>
      <c r="H152" s="2424"/>
      <c r="I152" s="2302"/>
      <c r="J152" s="3266"/>
      <c r="K152" s="3267"/>
      <c r="L152" s="3268"/>
      <c r="M152" s="3269"/>
      <c r="N152" s="577"/>
      <c r="P152" s="500"/>
    </row>
    <row r="153" spans="1:16" s="3024" customFormat="1" ht="16.5" customHeight="1" x14ac:dyDescent="0.25">
      <c r="A153" s="352"/>
      <c r="B153" s="1242"/>
      <c r="C153" s="3860" t="s">
        <v>2683</v>
      </c>
      <c r="D153" s="1717">
        <v>400000000</v>
      </c>
      <c r="E153" s="1434">
        <f>D153/D14*100</f>
        <v>0.15953788282387296</v>
      </c>
      <c r="F153" s="771"/>
      <c r="G153" s="780"/>
      <c r="H153" s="2429"/>
      <c r="I153" s="2338"/>
      <c r="J153" s="1748"/>
      <c r="K153" s="3279"/>
      <c r="L153" s="3280"/>
      <c r="M153" s="3281"/>
      <c r="N153" s="577"/>
      <c r="P153" s="500"/>
    </row>
    <row r="154" spans="1:16" s="3024" customFormat="1" ht="8.25" customHeight="1" x14ac:dyDescent="0.25">
      <c r="A154" s="352"/>
      <c r="B154" s="1242"/>
      <c r="C154" s="3860"/>
      <c r="D154" s="1315"/>
      <c r="E154" s="1434"/>
      <c r="F154" s="771"/>
      <c r="G154" s="780"/>
      <c r="H154" s="2429"/>
      <c r="I154" s="2338"/>
      <c r="J154" s="1748"/>
      <c r="K154" s="3279"/>
      <c r="L154" s="3280"/>
      <c r="M154" s="3281"/>
      <c r="N154" s="577"/>
      <c r="P154" s="500"/>
    </row>
    <row r="155" spans="1:16" s="3024" customFormat="1" ht="22.5" customHeight="1" x14ac:dyDescent="0.25">
      <c r="A155" s="352"/>
      <c r="B155" s="1242"/>
      <c r="C155" s="3882" t="s">
        <v>2684</v>
      </c>
      <c r="D155" s="2261">
        <f>SUM(D156:D157)</f>
        <v>1317010000</v>
      </c>
      <c r="E155" s="1435">
        <f>D155/D14*100</f>
        <v>0.52528246764467235</v>
      </c>
      <c r="F155" s="771"/>
      <c r="G155" s="780"/>
      <c r="H155" s="2429"/>
      <c r="I155" s="2338"/>
      <c r="J155" s="1748"/>
      <c r="K155" s="3279"/>
      <c r="L155" s="3280"/>
      <c r="M155" s="3281"/>
      <c r="N155" s="577"/>
      <c r="P155" s="500"/>
    </row>
    <row r="156" spans="1:16" s="3024" customFormat="1" ht="15.75" customHeight="1" x14ac:dyDescent="0.25">
      <c r="A156" s="352"/>
      <c r="B156" s="1242"/>
      <c r="C156" s="3860" t="s">
        <v>2685</v>
      </c>
      <c r="D156" s="1717">
        <v>1200000000</v>
      </c>
      <c r="E156" s="1434">
        <f>D156/D14*100</f>
        <v>0.47861364847161897</v>
      </c>
      <c r="F156" s="771"/>
      <c r="G156" s="780"/>
      <c r="H156" s="2429"/>
      <c r="I156" s="2338"/>
      <c r="J156" s="1748"/>
      <c r="K156" s="3279"/>
      <c r="L156" s="3280"/>
      <c r="M156" s="3281"/>
      <c r="N156" s="577"/>
      <c r="P156" s="500"/>
    </row>
    <row r="157" spans="1:16" s="3024" customFormat="1" ht="13.5" customHeight="1" x14ac:dyDescent="0.25">
      <c r="A157" s="352"/>
      <c r="B157" s="1242"/>
      <c r="C157" s="3860" t="s">
        <v>2686</v>
      </c>
      <c r="D157" s="1717">
        <v>117010000</v>
      </c>
      <c r="E157" s="1434">
        <f>D157/D14*100</f>
        <v>4.666881917305344E-2</v>
      </c>
      <c r="F157" s="771"/>
      <c r="G157" s="780"/>
      <c r="H157" s="2429"/>
      <c r="I157" s="2338"/>
      <c r="J157" s="1748"/>
      <c r="K157" s="3279"/>
      <c r="L157" s="3280"/>
      <c r="M157" s="3281"/>
      <c r="N157" s="577"/>
      <c r="P157" s="500"/>
    </row>
    <row r="158" spans="1:16" s="3024" customFormat="1" ht="9.75" customHeight="1" x14ac:dyDescent="0.25">
      <c r="A158" s="352"/>
      <c r="B158" s="1242"/>
      <c r="C158" s="3860"/>
      <c r="D158" s="1717"/>
      <c r="E158" s="1434"/>
      <c r="F158" s="771"/>
      <c r="G158" s="780"/>
      <c r="H158" s="2429"/>
      <c r="I158" s="2338"/>
      <c r="J158" s="1748"/>
      <c r="K158" s="3279"/>
      <c r="L158" s="3280"/>
      <c r="M158" s="3281"/>
      <c r="N158" s="577"/>
      <c r="P158" s="500"/>
    </row>
    <row r="159" spans="1:16" s="3024" customFormat="1" ht="18" customHeight="1" x14ac:dyDescent="0.25">
      <c r="A159" s="352"/>
      <c r="B159" s="1242"/>
      <c r="C159" s="3882" t="s">
        <v>2687</v>
      </c>
      <c r="D159" s="2261">
        <f>SUM(D160:D162)</f>
        <v>600000000</v>
      </c>
      <c r="E159" s="1435">
        <f>D159/D14*100</f>
        <v>0.23930682423580948</v>
      </c>
      <c r="F159" s="767"/>
      <c r="G159" s="780"/>
      <c r="H159" s="2429"/>
      <c r="I159" s="2338"/>
      <c r="J159" s="1748"/>
      <c r="K159" s="3279"/>
      <c r="L159" s="3280"/>
      <c r="M159" s="3281"/>
      <c r="N159" s="577"/>
      <c r="P159" s="500"/>
    </row>
    <row r="160" spans="1:16" s="3024" customFormat="1" ht="15" customHeight="1" x14ac:dyDescent="0.25">
      <c r="A160" s="352"/>
      <c r="B160" s="1242"/>
      <c r="C160" s="3860" t="s">
        <v>2688</v>
      </c>
      <c r="D160" s="1717">
        <v>200000000</v>
      </c>
      <c r="E160" s="1434">
        <f>D160/D14*100</f>
        <v>7.9768941411936481E-2</v>
      </c>
      <c r="F160" s="767"/>
      <c r="G160" s="780"/>
      <c r="H160" s="2429"/>
      <c r="I160" s="2338"/>
      <c r="J160" s="1748"/>
      <c r="K160" s="3279"/>
      <c r="L160" s="3280"/>
      <c r="M160" s="3281"/>
      <c r="N160" s="577"/>
      <c r="P160" s="500"/>
    </row>
    <row r="161" spans="1:16" s="3024" customFormat="1" ht="18" customHeight="1" x14ac:dyDescent="0.25">
      <c r="A161" s="352"/>
      <c r="B161" s="1242"/>
      <c r="C161" s="3860" t="s">
        <v>2689</v>
      </c>
      <c r="D161" s="1717">
        <v>300000000</v>
      </c>
      <c r="E161" s="1434">
        <f>D161/D14*100</f>
        <v>0.11965341211790474</v>
      </c>
      <c r="F161" s="767"/>
      <c r="G161" s="780"/>
      <c r="H161" s="2429"/>
      <c r="I161" s="2338"/>
      <c r="J161" s="1748"/>
      <c r="K161" s="3279"/>
      <c r="L161" s="3280"/>
      <c r="M161" s="3281"/>
      <c r="N161" s="577"/>
      <c r="P161" s="500"/>
    </row>
    <row r="162" spans="1:16" s="3024" customFormat="1" ht="18.75" customHeight="1" x14ac:dyDescent="0.25">
      <c r="A162" s="352"/>
      <c r="B162" s="1242"/>
      <c r="C162" s="3860" t="s">
        <v>2690</v>
      </c>
      <c r="D162" s="1717">
        <v>100000000</v>
      </c>
      <c r="E162" s="1434">
        <f>D162/D14*100</f>
        <v>3.988447070596824E-2</v>
      </c>
      <c r="F162" s="767"/>
      <c r="G162" s="780"/>
      <c r="H162" s="2429"/>
      <c r="I162" s="2338"/>
      <c r="J162" s="1748"/>
      <c r="K162" s="3279"/>
      <c r="L162" s="3280"/>
      <c r="M162" s="3281"/>
      <c r="N162" s="577"/>
      <c r="P162" s="500"/>
    </row>
    <row r="163" spans="1:16" s="3024" customFormat="1" ht="12" customHeight="1" x14ac:dyDescent="0.25">
      <c r="A163" s="352"/>
      <c r="B163" s="1242"/>
      <c r="C163" s="3861"/>
      <c r="D163" s="2285"/>
      <c r="E163" s="1436"/>
      <c r="F163" s="781"/>
      <c r="G163" s="660"/>
      <c r="H163" s="2696"/>
      <c r="I163" s="2314"/>
      <c r="J163" s="1763"/>
      <c r="K163" s="3282"/>
      <c r="L163" s="3283"/>
      <c r="M163" s="3284"/>
      <c r="N163" s="577"/>
      <c r="P163" s="500"/>
    </row>
    <row r="164" spans="1:16" s="3024" customFormat="1" x14ac:dyDescent="0.25">
      <c r="A164" s="352"/>
      <c r="B164" s="1305" t="s">
        <v>2691</v>
      </c>
      <c r="C164" s="3858" t="s">
        <v>2349</v>
      </c>
      <c r="D164" s="2356">
        <f>SUM(D165+D168+D171+D174)</f>
        <v>4000000000</v>
      </c>
      <c r="E164" s="1437">
        <f>D164/D14*100</f>
        <v>1.5953788282387298</v>
      </c>
      <c r="F164" s="2652"/>
      <c r="G164" s="2659"/>
      <c r="H164" s="3272"/>
      <c r="I164" s="3273"/>
      <c r="J164" s="3274"/>
      <c r="K164" s="3275"/>
      <c r="L164" s="3276"/>
      <c r="M164" s="3277"/>
      <c r="N164" s="577"/>
      <c r="P164" s="500"/>
    </row>
    <row r="165" spans="1:16" s="3024" customFormat="1" ht="16.5" customHeight="1" x14ac:dyDescent="0.25">
      <c r="A165" s="352"/>
      <c r="B165" s="1242"/>
      <c r="C165" s="3881" t="s">
        <v>2692</v>
      </c>
      <c r="D165" s="2562">
        <f>D166</f>
        <v>250000000</v>
      </c>
      <c r="E165" s="1435">
        <f>D165/D14*100</f>
        <v>9.9711176764920612E-2</v>
      </c>
      <c r="F165" s="2769"/>
      <c r="G165" s="2674"/>
      <c r="H165" s="2855"/>
      <c r="I165" s="3285"/>
      <c r="J165" s="3286"/>
      <c r="K165" s="3287"/>
      <c r="L165" s="3288"/>
      <c r="M165" s="3289"/>
      <c r="N165" s="577"/>
      <c r="P165" s="500"/>
    </row>
    <row r="166" spans="1:16" s="3024" customFormat="1" ht="16.5" customHeight="1" x14ac:dyDescent="0.25">
      <c r="A166" s="352"/>
      <c r="B166" s="1242"/>
      <c r="C166" s="3860" t="s">
        <v>2693</v>
      </c>
      <c r="D166" s="1717">
        <v>250000000</v>
      </c>
      <c r="E166" s="1434">
        <f>D166/D14*100</f>
        <v>9.9711176764920612E-2</v>
      </c>
      <c r="F166" s="771"/>
      <c r="G166" s="780"/>
      <c r="H166" s="2429"/>
      <c r="I166" s="2338"/>
      <c r="J166" s="1748"/>
      <c r="K166" s="3279"/>
      <c r="L166" s="3280"/>
      <c r="M166" s="3281"/>
      <c r="N166" s="577"/>
      <c r="P166" s="500"/>
    </row>
    <row r="167" spans="1:16" s="3024" customFormat="1" ht="8.25" customHeight="1" x14ac:dyDescent="0.25">
      <c r="A167" s="352"/>
      <c r="B167" s="1242"/>
      <c r="C167" s="3860"/>
      <c r="D167" s="1315"/>
      <c r="E167" s="1434"/>
      <c r="F167" s="771"/>
      <c r="G167" s="780"/>
      <c r="H167" s="2429"/>
      <c r="I167" s="2338"/>
      <c r="J167" s="1748"/>
      <c r="K167" s="3279"/>
      <c r="L167" s="3280"/>
      <c r="M167" s="3281"/>
      <c r="N167" s="577"/>
      <c r="P167" s="500"/>
    </row>
    <row r="168" spans="1:16" s="3024" customFormat="1" ht="16.5" customHeight="1" x14ac:dyDescent="0.25">
      <c r="A168" s="352"/>
      <c r="B168" s="1242"/>
      <c r="C168" s="3882" t="s">
        <v>2694</v>
      </c>
      <c r="D168" s="2261">
        <f>D169</f>
        <v>250000000</v>
      </c>
      <c r="E168" s="1435">
        <f>D168/D14*100</f>
        <v>9.9711176764920612E-2</v>
      </c>
      <c r="F168" s="767"/>
      <c r="G168" s="780"/>
      <c r="H168" s="2429"/>
      <c r="I168" s="2338"/>
      <c r="J168" s="1748"/>
      <c r="K168" s="3279"/>
      <c r="L168" s="3280"/>
      <c r="M168" s="3281"/>
      <c r="N168" s="577"/>
      <c r="P168" s="500"/>
    </row>
    <row r="169" spans="1:16" s="3024" customFormat="1" ht="14.25" customHeight="1" x14ac:dyDescent="0.25">
      <c r="A169" s="352"/>
      <c r="B169" s="1242"/>
      <c r="C169" s="3860" t="s">
        <v>2695</v>
      </c>
      <c r="D169" s="1717">
        <v>250000000</v>
      </c>
      <c r="E169" s="1434">
        <f>D169/D14*100</f>
        <v>9.9711176764920612E-2</v>
      </c>
      <c r="F169" s="771"/>
      <c r="G169" s="780"/>
      <c r="H169" s="2429"/>
      <c r="I169" s="2338"/>
      <c r="J169" s="1748"/>
      <c r="K169" s="3279"/>
      <c r="L169" s="3280"/>
      <c r="M169" s="3281"/>
      <c r="N169" s="577"/>
      <c r="P169" s="500"/>
    </row>
    <row r="170" spans="1:16" s="3024" customFormat="1" ht="12" customHeight="1" x14ac:dyDescent="0.25">
      <c r="A170" s="352"/>
      <c r="B170" s="1242"/>
      <c r="C170" s="3860"/>
      <c r="D170" s="1315"/>
      <c r="E170" s="1434"/>
      <c r="F170" s="771"/>
      <c r="G170" s="780"/>
      <c r="H170" s="2429"/>
      <c r="I170" s="2338"/>
      <c r="J170" s="1748"/>
      <c r="K170" s="3279"/>
      <c r="L170" s="3280"/>
      <c r="M170" s="3281"/>
      <c r="N170" s="577"/>
      <c r="P170" s="500"/>
    </row>
    <row r="171" spans="1:16" s="3024" customFormat="1" ht="17.25" customHeight="1" x14ac:dyDescent="0.25">
      <c r="A171" s="352"/>
      <c r="B171" s="1242"/>
      <c r="C171" s="3882" t="s">
        <v>2696</v>
      </c>
      <c r="D171" s="2261">
        <f>D172</f>
        <v>2000000000</v>
      </c>
      <c r="E171" s="1435">
        <f>D171/D14*100</f>
        <v>0.79768941411936489</v>
      </c>
      <c r="F171" s="767"/>
      <c r="G171" s="780"/>
      <c r="H171" s="2429"/>
      <c r="I171" s="2338"/>
      <c r="J171" s="1748"/>
      <c r="K171" s="3279"/>
      <c r="L171" s="3280"/>
      <c r="M171" s="3281"/>
      <c r="N171" s="577"/>
      <c r="P171" s="500"/>
    </row>
    <row r="172" spans="1:16" s="3024" customFormat="1" ht="15.75" customHeight="1" x14ac:dyDescent="0.25">
      <c r="A172" s="352"/>
      <c r="B172" s="1242"/>
      <c r="C172" s="3860" t="s">
        <v>2697</v>
      </c>
      <c r="D172" s="1717">
        <v>2000000000</v>
      </c>
      <c r="E172" s="1434">
        <f>D172/D14*100</f>
        <v>0.79768941411936489</v>
      </c>
      <c r="F172" s="771"/>
      <c r="G172" s="780"/>
      <c r="H172" s="2429"/>
      <c r="I172" s="2338"/>
      <c r="J172" s="1748"/>
      <c r="K172" s="3279"/>
      <c r="L172" s="3280"/>
      <c r="M172" s="3281"/>
      <c r="N172" s="577"/>
      <c r="P172" s="500"/>
    </row>
    <row r="173" spans="1:16" s="3024" customFormat="1" ht="8.25" customHeight="1" x14ac:dyDescent="0.25">
      <c r="A173" s="352"/>
      <c r="B173" s="1242"/>
      <c r="C173" s="3860"/>
      <c r="D173" s="1315"/>
      <c r="E173" s="1434"/>
      <c r="F173" s="771"/>
      <c r="G173" s="780"/>
      <c r="H173" s="2429"/>
      <c r="I173" s="2338"/>
      <c r="J173" s="1748"/>
      <c r="K173" s="3279"/>
      <c r="L173" s="3280"/>
      <c r="M173" s="3281"/>
      <c r="N173" s="577"/>
      <c r="P173" s="500"/>
    </row>
    <row r="174" spans="1:16" s="3024" customFormat="1" ht="19.5" customHeight="1" x14ac:dyDescent="0.25">
      <c r="A174" s="352"/>
      <c r="B174" s="1242"/>
      <c r="C174" s="3882" t="s">
        <v>2698</v>
      </c>
      <c r="D174" s="2261">
        <f>D175</f>
        <v>1500000000</v>
      </c>
      <c r="E174" s="1435">
        <f>D174/D14*100</f>
        <v>0.59826706058952361</v>
      </c>
      <c r="F174" s="767"/>
      <c r="G174" s="780"/>
      <c r="H174" s="2429"/>
      <c r="I174" s="2338"/>
      <c r="J174" s="1748"/>
      <c r="K174" s="3279"/>
      <c r="L174" s="3280"/>
      <c r="M174" s="3281"/>
      <c r="N174" s="577"/>
      <c r="P174" s="500"/>
    </row>
    <row r="175" spans="1:16" s="3024" customFormat="1" ht="14.25" customHeight="1" x14ac:dyDescent="0.25">
      <c r="A175" s="352"/>
      <c r="B175" s="1242"/>
      <c r="C175" s="3860" t="s">
        <v>2699</v>
      </c>
      <c r="D175" s="1717">
        <v>1500000000</v>
      </c>
      <c r="E175" s="1434">
        <f>D175/D14*100</f>
        <v>0.59826706058952361</v>
      </c>
      <c r="F175" s="771"/>
      <c r="G175" s="780"/>
      <c r="H175" s="2429"/>
      <c r="I175" s="2338"/>
      <c r="J175" s="1748"/>
      <c r="K175" s="3279"/>
      <c r="L175" s="3280"/>
      <c r="M175" s="3281"/>
      <c r="N175" s="577"/>
      <c r="P175" s="500"/>
    </row>
    <row r="176" spans="1:16" s="3024" customFormat="1" ht="12" customHeight="1" x14ac:dyDescent="0.25">
      <c r="A176" s="352"/>
      <c r="B176" s="1242"/>
      <c r="C176" s="3861"/>
      <c r="D176" s="2285"/>
      <c r="E176" s="1436"/>
      <c r="F176" s="781"/>
      <c r="G176" s="660"/>
      <c r="H176" s="2696"/>
      <c r="I176" s="2314"/>
      <c r="J176" s="1763"/>
      <c r="K176" s="3282"/>
      <c r="L176" s="3283"/>
      <c r="M176" s="3284"/>
      <c r="N176" s="577"/>
      <c r="P176" s="500"/>
    </row>
    <row r="177" spans="1:16" s="3024" customFormat="1" ht="16.5" customHeight="1" x14ac:dyDescent="0.25">
      <c r="A177" s="352"/>
      <c r="B177" s="1305" t="s">
        <v>2701</v>
      </c>
      <c r="C177" s="3858" t="s">
        <v>2700</v>
      </c>
      <c r="D177" s="2356">
        <f>SUM(D178+D181+D184)</f>
        <v>1909909000</v>
      </c>
      <c r="E177" s="1437">
        <f>D177/D14*100</f>
        <v>0.76175709561565108</v>
      </c>
      <c r="F177" s="2652"/>
      <c r="G177" s="2659"/>
      <c r="H177" s="3272"/>
      <c r="I177" s="3273"/>
      <c r="J177" s="3274"/>
      <c r="K177" s="3275"/>
      <c r="L177" s="3276"/>
      <c r="M177" s="3277"/>
      <c r="N177" s="577"/>
      <c r="P177" s="500"/>
    </row>
    <row r="178" spans="1:16" s="3024" customFormat="1" ht="17.25" customHeight="1" x14ac:dyDescent="0.25">
      <c r="A178" s="352"/>
      <c r="B178" s="1242"/>
      <c r="C178" s="3881" t="s">
        <v>6155</v>
      </c>
      <c r="D178" s="2562">
        <f>D179</f>
        <v>892880000</v>
      </c>
      <c r="E178" s="1435">
        <f>D178/D14*100</f>
        <v>0.3561204620394493</v>
      </c>
      <c r="F178" s="2769"/>
      <c r="G178" s="2674"/>
      <c r="H178" s="2855"/>
      <c r="I178" s="3285"/>
      <c r="J178" s="3286"/>
      <c r="K178" s="3287"/>
      <c r="L178" s="3288"/>
      <c r="M178" s="3289"/>
      <c r="N178" s="577"/>
      <c r="P178" s="500"/>
    </row>
    <row r="179" spans="1:16" s="3024" customFormat="1" ht="15" customHeight="1" x14ac:dyDescent="0.25">
      <c r="A179" s="352"/>
      <c r="B179" s="1242"/>
      <c r="C179" s="3899" t="s">
        <v>6156</v>
      </c>
      <c r="D179" s="2373">
        <v>892880000</v>
      </c>
      <c r="E179" s="1434">
        <f>D179/D14*100</f>
        <v>0.3561204620394493</v>
      </c>
      <c r="F179" s="2771"/>
      <c r="G179" s="2674"/>
      <c r="H179" s="2855"/>
      <c r="I179" s="3285"/>
      <c r="J179" s="3286"/>
      <c r="K179" s="3287"/>
      <c r="L179" s="3288"/>
      <c r="M179" s="3289"/>
      <c r="N179" s="577"/>
      <c r="P179" s="500"/>
    </row>
    <row r="180" spans="1:16" s="3024" customFormat="1" ht="12" customHeight="1" x14ac:dyDescent="0.25">
      <c r="A180" s="352"/>
      <c r="B180" s="1242"/>
      <c r="C180" s="3899"/>
      <c r="D180" s="2269"/>
      <c r="E180" s="1439"/>
      <c r="F180" s="2771"/>
      <c r="G180" s="2674"/>
      <c r="H180" s="2855"/>
      <c r="I180" s="3285"/>
      <c r="J180" s="3286"/>
      <c r="K180" s="3287"/>
      <c r="L180" s="3288"/>
      <c r="M180" s="3289"/>
      <c r="N180" s="577"/>
      <c r="P180" s="500"/>
    </row>
    <row r="181" spans="1:16" s="3024" customFormat="1" ht="15.75" customHeight="1" x14ac:dyDescent="0.25">
      <c r="A181" s="352"/>
      <c r="B181" s="1242"/>
      <c r="C181" s="3881" t="s">
        <v>6157</v>
      </c>
      <c r="D181" s="2562">
        <f>D182</f>
        <v>546896000</v>
      </c>
      <c r="E181" s="1435">
        <f>D181/D14*100</f>
        <v>0.2181265749121121</v>
      </c>
      <c r="F181" s="2769"/>
      <c r="G181" s="2674"/>
      <c r="H181" s="2855"/>
      <c r="I181" s="3285"/>
      <c r="J181" s="3286"/>
      <c r="K181" s="3287"/>
      <c r="L181" s="3288"/>
      <c r="M181" s="3289"/>
      <c r="N181" s="577"/>
      <c r="P181" s="500"/>
    </row>
    <row r="182" spans="1:16" s="3024" customFormat="1" ht="15.75" customHeight="1" x14ac:dyDescent="0.25">
      <c r="A182" s="352"/>
      <c r="B182" s="1242"/>
      <c r="C182" s="3899" t="s">
        <v>6158</v>
      </c>
      <c r="D182" s="2373">
        <v>546896000</v>
      </c>
      <c r="E182" s="1434">
        <f>D182/D14*100</f>
        <v>0.2181265749121121</v>
      </c>
      <c r="F182" s="2771"/>
      <c r="G182" s="2674"/>
      <c r="H182" s="2855"/>
      <c r="I182" s="3285"/>
      <c r="J182" s="3286"/>
      <c r="K182" s="3287"/>
      <c r="L182" s="3288"/>
      <c r="M182" s="3289"/>
      <c r="N182" s="577"/>
      <c r="P182" s="500"/>
    </row>
    <row r="183" spans="1:16" s="3024" customFormat="1" ht="12" customHeight="1" x14ac:dyDescent="0.25">
      <c r="A183" s="352"/>
      <c r="B183" s="1242"/>
      <c r="C183" s="3899"/>
      <c r="D183" s="2269"/>
      <c r="E183" s="1439"/>
      <c r="F183" s="2771"/>
      <c r="G183" s="2674"/>
      <c r="H183" s="2855"/>
      <c r="I183" s="3285"/>
      <c r="J183" s="3286"/>
      <c r="K183" s="3287"/>
      <c r="L183" s="3288"/>
      <c r="M183" s="3289"/>
      <c r="N183" s="577"/>
      <c r="P183" s="500"/>
    </row>
    <row r="184" spans="1:16" s="3024" customFormat="1" ht="14.25" customHeight="1" x14ac:dyDescent="0.25">
      <c r="A184" s="352"/>
      <c r="B184" s="1242"/>
      <c r="C184" s="3881" t="s">
        <v>6159</v>
      </c>
      <c r="D184" s="2562">
        <f>D185</f>
        <v>470133000</v>
      </c>
      <c r="E184" s="1435">
        <f>D184/D14*100</f>
        <v>0.18751005866408968</v>
      </c>
      <c r="F184" s="2769"/>
      <c r="G184" s="2674"/>
      <c r="H184" s="2855"/>
      <c r="I184" s="3285"/>
      <c r="J184" s="3286"/>
      <c r="K184" s="3287"/>
      <c r="L184" s="3288"/>
      <c r="M184" s="3289"/>
      <c r="N184" s="577"/>
      <c r="P184" s="500"/>
    </row>
    <row r="185" spans="1:16" s="3024" customFormat="1" ht="14.25" customHeight="1" x14ac:dyDescent="0.25">
      <c r="A185" s="352"/>
      <c r="B185" s="1242"/>
      <c r="C185" s="3899" t="s">
        <v>6160</v>
      </c>
      <c r="D185" s="2373">
        <v>470133000</v>
      </c>
      <c r="E185" s="1434">
        <f>D185/D14*100</f>
        <v>0.18751005866408968</v>
      </c>
      <c r="F185" s="2771"/>
      <c r="G185" s="2674"/>
      <c r="H185" s="2855"/>
      <c r="I185" s="3285"/>
      <c r="J185" s="3286"/>
      <c r="K185" s="3287"/>
      <c r="L185" s="3288"/>
      <c r="M185" s="3289"/>
      <c r="N185" s="577"/>
      <c r="P185" s="500"/>
    </row>
    <row r="186" spans="1:16" s="3024" customFormat="1" ht="12" customHeight="1" x14ac:dyDescent="0.25">
      <c r="A186" s="352"/>
      <c r="B186" s="1242"/>
      <c r="C186" s="3892"/>
      <c r="D186" s="2279"/>
      <c r="E186" s="3264"/>
      <c r="F186" s="2300"/>
      <c r="G186" s="799"/>
      <c r="H186" s="2761"/>
      <c r="I186" s="3290"/>
      <c r="J186" s="3266"/>
      <c r="K186" s="3291"/>
      <c r="L186" s="3292"/>
      <c r="M186" s="3293"/>
      <c r="N186" s="577"/>
      <c r="P186" s="500"/>
    </row>
    <row r="187" spans="1:16" s="3024" customFormat="1" ht="16.5" customHeight="1" x14ac:dyDescent="0.25">
      <c r="A187" s="352"/>
      <c r="B187" s="1305" t="s">
        <v>2702</v>
      </c>
      <c r="C187" s="3858" t="s">
        <v>2715</v>
      </c>
      <c r="D187" s="2356">
        <f>SUM(D188+D192+D196+D199)</f>
        <v>3470580000</v>
      </c>
      <c r="E187" s="1437">
        <f>D187/D14*100</f>
        <v>1.3842224634271927</v>
      </c>
      <c r="F187" s="2652"/>
      <c r="G187" s="2659"/>
      <c r="H187" s="3272"/>
      <c r="I187" s="3273"/>
      <c r="J187" s="3274"/>
      <c r="K187" s="3275"/>
      <c r="L187" s="3276"/>
      <c r="M187" s="3277"/>
      <c r="N187" s="577"/>
      <c r="P187" s="500"/>
    </row>
    <row r="188" spans="1:16" s="3024" customFormat="1" ht="18" customHeight="1" x14ac:dyDescent="0.25">
      <c r="A188" s="352"/>
      <c r="B188" s="1242"/>
      <c r="C188" s="3881" t="s">
        <v>2703</v>
      </c>
      <c r="D188" s="2562">
        <f>SUM(D189:D190)</f>
        <v>1039630000</v>
      </c>
      <c r="E188" s="1435">
        <f>D188/D14*100</f>
        <v>0.41465092280045768</v>
      </c>
      <c r="F188" s="2769"/>
      <c r="G188" s="2674"/>
      <c r="H188" s="2855"/>
      <c r="I188" s="3285"/>
      <c r="J188" s="3286"/>
      <c r="K188" s="3287"/>
      <c r="L188" s="3288"/>
      <c r="M188" s="3289"/>
      <c r="N188" s="577"/>
      <c r="P188" s="500"/>
    </row>
    <row r="189" spans="1:16" s="3024" customFormat="1" ht="17.25" customHeight="1" x14ac:dyDescent="0.25">
      <c r="A189" s="352"/>
      <c r="B189" s="1242"/>
      <c r="C189" s="3899" t="s">
        <v>2704</v>
      </c>
      <c r="D189" s="2373">
        <v>289630000</v>
      </c>
      <c r="E189" s="1434">
        <f>D189/D14*100</f>
        <v>0.11551739250569583</v>
      </c>
      <c r="F189" s="2771"/>
      <c r="G189" s="2674"/>
      <c r="H189" s="2855"/>
      <c r="I189" s="3285"/>
      <c r="J189" s="3286"/>
      <c r="K189" s="3287"/>
      <c r="L189" s="3288"/>
      <c r="M189" s="3289"/>
      <c r="N189" s="577"/>
      <c r="P189" s="500"/>
    </row>
    <row r="190" spans="1:16" s="3024" customFormat="1" ht="15.75" customHeight="1" x14ac:dyDescent="0.25">
      <c r="A190" s="352"/>
      <c r="B190" s="1242"/>
      <c r="C190" s="3899" t="s">
        <v>2705</v>
      </c>
      <c r="D190" s="2373">
        <v>750000000</v>
      </c>
      <c r="E190" s="1434">
        <f>D190/D14*100</f>
        <v>0.29913353029476181</v>
      </c>
      <c r="F190" s="2771"/>
      <c r="G190" s="2674"/>
      <c r="H190" s="2855"/>
      <c r="I190" s="3285"/>
      <c r="J190" s="3286"/>
      <c r="K190" s="3287"/>
      <c r="L190" s="3288"/>
      <c r="M190" s="3289"/>
      <c r="N190" s="577"/>
      <c r="P190" s="500"/>
    </row>
    <row r="191" spans="1:16" s="3024" customFormat="1" ht="9" customHeight="1" x14ac:dyDescent="0.25">
      <c r="A191" s="352"/>
      <c r="B191" s="1242"/>
      <c r="C191" s="3899"/>
      <c r="D191" s="2269"/>
      <c r="E191" s="1439"/>
      <c r="F191" s="2771"/>
      <c r="G191" s="2674"/>
      <c r="H191" s="2855"/>
      <c r="I191" s="3285"/>
      <c r="J191" s="3286"/>
      <c r="K191" s="3287"/>
      <c r="L191" s="3288"/>
      <c r="M191" s="3289"/>
      <c r="N191" s="577"/>
      <c r="P191" s="500"/>
    </row>
    <row r="192" spans="1:16" s="3024" customFormat="1" ht="17.25" customHeight="1" x14ac:dyDescent="0.25">
      <c r="A192" s="352"/>
      <c r="B192" s="1242"/>
      <c r="C192" s="3881" t="s">
        <v>2706</v>
      </c>
      <c r="D192" s="2562">
        <f>SUM(D193:D194)</f>
        <v>1500000000</v>
      </c>
      <c r="E192" s="1435">
        <f>D192/D14*100</f>
        <v>0.59826706058952361</v>
      </c>
      <c r="F192" s="2769"/>
      <c r="G192" s="2674"/>
      <c r="H192" s="2855"/>
      <c r="I192" s="3285"/>
      <c r="J192" s="3286"/>
      <c r="K192" s="3287"/>
      <c r="L192" s="3288"/>
      <c r="M192" s="3289"/>
      <c r="N192" s="577"/>
      <c r="P192" s="500"/>
    </row>
    <row r="193" spans="1:16" s="3024" customFormat="1" ht="17.25" customHeight="1" x14ac:dyDescent="0.25">
      <c r="A193" s="352"/>
      <c r="B193" s="1242"/>
      <c r="C193" s="3899" t="s">
        <v>2707</v>
      </c>
      <c r="D193" s="2373">
        <v>700000000</v>
      </c>
      <c r="E193" s="1434">
        <f>D193/D14*100</f>
        <v>0.27919129494177769</v>
      </c>
      <c r="F193" s="2769"/>
      <c r="G193" s="2674"/>
      <c r="H193" s="2855"/>
      <c r="I193" s="3285"/>
      <c r="J193" s="3286"/>
      <c r="K193" s="3287"/>
      <c r="L193" s="3288"/>
      <c r="M193" s="3289"/>
      <c r="N193" s="577"/>
      <c r="P193" s="500"/>
    </row>
    <row r="194" spans="1:16" s="3024" customFormat="1" ht="17.25" customHeight="1" x14ac:dyDescent="0.25">
      <c r="A194" s="352"/>
      <c r="B194" s="1242"/>
      <c r="C194" s="3899" t="s">
        <v>2708</v>
      </c>
      <c r="D194" s="2373">
        <v>800000000</v>
      </c>
      <c r="E194" s="1434">
        <f>D194/D14*100</f>
        <v>0.31907576564774592</v>
      </c>
      <c r="F194" s="2769"/>
      <c r="G194" s="2674"/>
      <c r="H194" s="2855"/>
      <c r="I194" s="3285"/>
      <c r="J194" s="3286"/>
      <c r="K194" s="3287"/>
      <c r="L194" s="3288"/>
      <c r="M194" s="3289"/>
      <c r="N194" s="577"/>
      <c r="P194" s="500"/>
    </row>
    <row r="195" spans="1:16" s="3024" customFormat="1" ht="11.25" customHeight="1" x14ac:dyDescent="0.25">
      <c r="A195" s="352"/>
      <c r="B195" s="1242"/>
      <c r="C195" s="3881"/>
      <c r="D195" s="2562"/>
      <c r="E195" s="1438"/>
      <c r="F195" s="2769"/>
      <c r="G195" s="2674"/>
      <c r="H195" s="2855"/>
      <c r="I195" s="3285"/>
      <c r="J195" s="3286"/>
      <c r="K195" s="3287"/>
      <c r="L195" s="3288"/>
      <c r="M195" s="3289"/>
      <c r="N195" s="577"/>
      <c r="P195" s="500"/>
    </row>
    <row r="196" spans="1:16" s="3024" customFormat="1" ht="18" customHeight="1" x14ac:dyDescent="0.25">
      <c r="A196" s="352"/>
      <c r="B196" s="1242"/>
      <c r="C196" s="3882" t="s">
        <v>2709</v>
      </c>
      <c r="D196" s="2261">
        <f>D197</f>
        <v>750000000</v>
      </c>
      <c r="E196" s="1435">
        <f>D196/D14*100</f>
        <v>0.29913353029476181</v>
      </c>
      <c r="F196" s="767"/>
      <c r="G196" s="780"/>
      <c r="H196" s="2429"/>
      <c r="I196" s="2338"/>
      <c r="J196" s="1748"/>
      <c r="K196" s="3279"/>
      <c r="L196" s="3280"/>
      <c r="M196" s="3281"/>
      <c r="N196" s="577"/>
      <c r="P196" s="500"/>
    </row>
    <row r="197" spans="1:16" s="3024" customFormat="1" ht="15" customHeight="1" x14ac:dyDescent="0.25">
      <c r="A197" s="352"/>
      <c r="B197" s="1242"/>
      <c r="C197" s="3860" t="s">
        <v>2710</v>
      </c>
      <c r="D197" s="1717">
        <v>750000000</v>
      </c>
      <c r="E197" s="1434">
        <f>D197/D14*100</f>
        <v>0.29913353029476181</v>
      </c>
      <c r="F197" s="771"/>
      <c r="G197" s="780"/>
      <c r="H197" s="2429"/>
      <c r="I197" s="2338"/>
      <c r="J197" s="1748"/>
      <c r="K197" s="3279"/>
      <c r="L197" s="3280"/>
      <c r="M197" s="3281"/>
      <c r="N197" s="577"/>
      <c r="P197" s="500"/>
    </row>
    <row r="198" spans="1:16" s="3024" customFormat="1" ht="11.25" customHeight="1" x14ac:dyDescent="0.25">
      <c r="A198" s="352"/>
      <c r="B198" s="1242"/>
      <c r="C198" s="3882"/>
      <c r="D198" s="2261"/>
      <c r="E198" s="1435"/>
      <c r="F198" s="767"/>
      <c r="G198" s="780"/>
      <c r="H198" s="2429"/>
      <c r="I198" s="2338"/>
      <c r="J198" s="1748"/>
      <c r="K198" s="3279"/>
      <c r="L198" s="3280"/>
      <c r="M198" s="3281"/>
      <c r="N198" s="577"/>
      <c r="P198" s="500"/>
    </row>
    <row r="199" spans="1:16" s="3024" customFormat="1" ht="18" customHeight="1" x14ac:dyDescent="0.25">
      <c r="A199" s="352"/>
      <c r="B199" s="1242"/>
      <c r="C199" s="3882" t="s">
        <v>2711</v>
      </c>
      <c r="D199" s="2261">
        <f>D200</f>
        <v>180950000</v>
      </c>
      <c r="E199" s="1435">
        <f>D199/D14*100</f>
        <v>7.2170949742449544E-2</v>
      </c>
      <c r="F199" s="767"/>
      <c r="G199" s="780"/>
      <c r="H199" s="2429"/>
      <c r="I199" s="2338"/>
      <c r="J199" s="1748"/>
      <c r="K199" s="3279"/>
      <c r="L199" s="3280"/>
      <c r="M199" s="3281"/>
      <c r="N199" s="577"/>
      <c r="P199" s="500"/>
    </row>
    <row r="200" spans="1:16" s="3024" customFormat="1" ht="30.75" customHeight="1" x14ac:dyDescent="0.25">
      <c r="A200" s="352"/>
      <c r="B200" s="1242"/>
      <c r="C200" s="3860" t="s">
        <v>2712</v>
      </c>
      <c r="D200" s="1717">
        <v>180950000</v>
      </c>
      <c r="E200" s="1434">
        <f>D200/D14*100</f>
        <v>7.2170949742449544E-2</v>
      </c>
      <c r="F200" s="767"/>
      <c r="G200" s="780"/>
      <c r="H200" s="2429"/>
      <c r="I200" s="2338"/>
      <c r="J200" s="1748"/>
      <c r="K200" s="3279"/>
      <c r="L200" s="3280"/>
      <c r="M200" s="3281"/>
      <c r="N200" s="577"/>
      <c r="P200" s="500"/>
    </row>
    <row r="201" spans="1:16" s="3024" customFormat="1" ht="14.25" customHeight="1" x14ac:dyDescent="0.25">
      <c r="A201" s="352"/>
      <c r="B201" s="1242"/>
      <c r="C201" s="3861"/>
      <c r="D201" s="2281"/>
      <c r="E201" s="1436"/>
      <c r="F201" s="3265"/>
      <c r="G201" s="660"/>
      <c r="H201" s="2696"/>
      <c r="I201" s="2314"/>
      <c r="J201" s="1763"/>
      <c r="K201" s="3282"/>
      <c r="L201" s="3283"/>
      <c r="M201" s="3284"/>
      <c r="N201" s="577"/>
      <c r="P201" s="500"/>
    </row>
    <row r="202" spans="1:16" s="3024" customFormat="1" ht="17.25" customHeight="1" x14ac:dyDescent="0.25">
      <c r="A202" s="352"/>
      <c r="B202" s="1305" t="s">
        <v>2713</v>
      </c>
      <c r="C202" s="3858" t="s">
        <v>2714</v>
      </c>
      <c r="D202" s="2356">
        <f>SUM(D203+D210)</f>
        <v>2000000000</v>
      </c>
      <c r="E202" s="1437">
        <f>D202/D14*100</f>
        <v>0.79768941411936489</v>
      </c>
      <c r="F202" s="2652"/>
      <c r="G202" s="3271"/>
      <c r="H202" s="3272"/>
      <c r="I202" s="3273"/>
      <c r="J202" s="3274"/>
      <c r="K202" s="3275"/>
      <c r="L202" s="3276"/>
      <c r="M202" s="3277"/>
      <c r="N202" s="577"/>
      <c r="P202" s="500"/>
    </row>
    <row r="203" spans="1:16" s="3024" customFormat="1" ht="20.25" customHeight="1" x14ac:dyDescent="0.25">
      <c r="A203" s="352"/>
      <c r="B203" s="1242"/>
      <c r="C203" s="3881" t="s">
        <v>2716</v>
      </c>
      <c r="D203" s="2562">
        <f>SUM(D204:D208)</f>
        <v>1250000000</v>
      </c>
      <c r="E203" s="1435">
        <f>D203/D14*100</f>
        <v>0.49855588382460309</v>
      </c>
      <c r="F203" s="2769"/>
      <c r="G203" s="2674"/>
      <c r="H203" s="2855"/>
      <c r="I203" s="3285"/>
      <c r="J203" s="3286"/>
      <c r="K203" s="3287"/>
      <c r="L203" s="3288"/>
      <c r="M203" s="3289"/>
      <c r="N203" s="577"/>
      <c r="P203" s="500"/>
    </row>
    <row r="204" spans="1:16" s="3024" customFormat="1" ht="15.75" customHeight="1" x14ac:dyDescent="0.25">
      <c r="A204" s="352"/>
      <c r="B204" s="1242"/>
      <c r="C204" s="3860" t="s">
        <v>7324</v>
      </c>
      <c r="D204" s="1717">
        <v>250000000</v>
      </c>
      <c r="E204" s="1434">
        <f>D204/D14*100</f>
        <v>9.9711176764920612E-2</v>
      </c>
      <c r="F204" s="767"/>
      <c r="G204" s="780"/>
      <c r="H204" s="2429"/>
      <c r="I204" s="2338"/>
      <c r="J204" s="1748"/>
      <c r="K204" s="3279"/>
      <c r="L204" s="3280"/>
      <c r="M204" s="3281"/>
      <c r="N204" s="577"/>
      <c r="P204" s="500"/>
    </row>
    <row r="205" spans="1:16" s="3024" customFormat="1" ht="16.5" customHeight="1" x14ac:dyDescent="0.25">
      <c r="A205" s="352"/>
      <c r="B205" s="1242"/>
      <c r="C205" s="3860" t="s">
        <v>2717</v>
      </c>
      <c r="D205" s="1717">
        <v>55000000</v>
      </c>
      <c r="E205" s="1434">
        <f>D205/D14*100</f>
        <v>2.1936458888282533E-2</v>
      </c>
      <c r="F205" s="767"/>
      <c r="G205" s="780"/>
      <c r="H205" s="2429"/>
      <c r="I205" s="2338"/>
      <c r="J205" s="1748"/>
      <c r="K205" s="3279"/>
      <c r="L205" s="3280"/>
      <c r="M205" s="3281"/>
      <c r="N205" s="577"/>
      <c r="P205" s="500"/>
    </row>
    <row r="206" spans="1:16" s="3024" customFormat="1" ht="15.75" customHeight="1" x14ac:dyDescent="0.25">
      <c r="A206" s="352"/>
      <c r="B206" s="1242"/>
      <c r="C206" s="3860" t="s">
        <v>2718</v>
      </c>
      <c r="D206" s="1717">
        <v>495000000</v>
      </c>
      <c r="E206" s="1434">
        <f>D206/D14*100</f>
        <v>0.19742812999454284</v>
      </c>
      <c r="F206" s="767"/>
      <c r="G206" s="780"/>
      <c r="H206" s="2429"/>
      <c r="I206" s="2338"/>
      <c r="J206" s="1748"/>
      <c r="K206" s="3279"/>
      <c r="L206" s="3280"/>
      <c r="M206" s="3281"/>
      <c r="N206" s="577"/>
      <c r="P206" s="500"/>
    </row>
    <row r="207" spans="1:16" s="3024" customFormat="1" ht="14.25" customHeight="1" x14ac:dyDescent="0.25">
      <c r="A207" s="352"/>
      <c r="B207" s="1242"/>
      <c r="C207" s="3860" t="s">
        <v>2719</v>
      </c>
      <c r="D207" s="1717">
        <v>200000000</v>
      </c>
      <c r="E207" s="1434">
        <f>D207/D14*100</f>
        <v>7.9768941411936481E-2</v>
      </c>
      <c r="F207" s="767"/>
      <c r="G207" s="780"/>
      <c r="H207" s="2429"/>
      <c r="I207" s="2338"/>
      <c r="J207" s="1748"/>
      <c r="K207" s="3279"/>
      <c r="L207" s="3280"/>
      <c r="M207" s="3281"/>
      <c r="N207" s="577"/>
      <c r="P207" s="500"/>
    </row>
    <row r="208" spans="1:16" s="3024" customFormat="1" ht="14.25" customHeight="1" x14ac:dyDescent="0.25">
      <c r="A208" s="352"/>
      <c r="B208" s="1242"/>
      <c r="C208" s="3860" t="s">
        <v>7326</v>
      </c>
      <c r="D208" s="1717">
        <v>250000000</v>
      </c>
      <c r="E208" s="1434">
        <f>D208/D14*100</f>
        <v>9.9711176764920612E-2</v>
      </c>
      <c r="F208" s="767"/>
      <c r="G208" s="780"/>
      <c r="H208" s="2429"/>
      <c r="I208" s="2338"/>
      <c r="J208" s="1748"/>
      <c r="K208" s="3279"/>
      <c r="L208" s="3280"/>
      <c r="M208" s="3281"/>
      <c r="N208" s="577"/>
      <c r="P208" s="500"/>
    </row>
    <row r="209" spans="1:17" s="3024" customFormat="1" ht="10.5" customHeight="1" x14ac:dyDescent="0.25">
      <c r="A209" s="352"/>
      <c r="B209" s="1242"/>
      <c r="C209" s="3860"/>
      <c r="D209" s="1717"/>
      <c r="E209" s="1434"/>
      <c r="F209" s="767"/>
      <c r="G209" s="780"/>
      <c r="H209" s="2429"/>
      <c r="I209" s="2338"/>
      <c r="J209" s="1748"/>
      <c r="K209" s="3279"/>
      <c r="L209" s="3280"/>
      <c r="M209" s="3281"/>
      <c r="N209" s="577"/>
      <c r="P209" s="500"/>
    </row>
    <row r="210" spans="1:17" s="3024" customFormat="1" ht="13.5" customHeight="1" x14ac:dyDescent="0.25">
      <c r="A210" s="352"/>
      <c r="B210" s="1242"/>
      <c r="C210" s="3882" t="s">
        <v>2720</v>
      </c>
      <c r="D210" s="2261">
        <f>SUM(D211:D212)</f>
        <v>750000000</v>
      </c>
      <c r="E210" s="1435">
        <f>D210/D14*100</f>
        <v>0.29913353029476181</v>
      </c>
      <c r="F210" s="767"/>
      <c r="G210" s="780"/>
      <c r="H210" s="2429"/>
      <c r="I210" s="2338"/>
      <c r="J210" s="1748"/>
      <c r="K210" s="3279"/>
      <c r="L210" s="3280"/>
      <c r="M210" s="3281"/>
      <c r="N210" s="577"/>
      <c r="P210" s="500"/>
    </row>
    <row r="211" spans="1:17" s="3024" customFormat="1" ht="18" customHeight="1" x14ac:dyDescent="0.25">
      <c r="A211" s="352"/>
      <c r="B211" s="1242"/>
      <c r="C211" s="3860" t="s">
        <v>7325</v>
      </c>
      <c r="D211" s="1717">
        <v>448300000</v>
      </c>
      <c r="E211" s="1434">
        <f>D211/D14*100</f>
        <v>0.17880208217485566</v>
      </c>
      <c r="F211" s="767"/>
      <c r="G211" s="780"/>
      <c r="H211" s="2429"/>
      <c r="I211" s="2338"/>
      <c r="J211" s="1748"/>
      <c r="K211" s="3279"/>
      <c r="L211" s="3280"/>
      <c r="M211" s="3281"/>
      <c r="N211" s="577"/>
      <c r="P211" s="500"/>
    </row>
    <row r="212" spans="1:17" s="3024" customFormat="1" ht="16.5" customHeight="1" x14ac:dyDescent="0.25">
      <c r="A212" s="352"/>
      <c r="B212" s="1242"/>
      <c r="C212" s="3860" t="s">
        <v>2721</v>
      </c>
      <c r="D212" s="1717">
        <v>301700000</v>
      </c>
      <c r="E212" s="1434">
        <f>D212/D14*100</f>
        <v>0.1203314481199062</v>
      </c>
      <c r="F212" s="767"/>
      <c r="G212" s="780"/>
      <c r="H212" s="2429"/>
      <c r="I212" s="2338"/>
      <c r="J212" s="1748"/>
      <c r="K212" s="3279"/>
      <c r="L212" s="3280"/>
      <c r="M212" s="3281"/>
      <c r="N212" s="577"/>
      <c r="P212" s="500"/>
    </row>
    <row r="213" spans="1:17" s="3024" customFormat="1" ht="9.75" customHeight="1" x14ac:dyDescent="0.25">
      <c r="A213" s="352"/>
      <c r="B213" s="1242"/>
      <c r="C213" s="3861"/>
      <c r="D213" s="2281"/>
      <c r="E213" s="1436"/>
      <c r="F213" s="3265"/>
      <c r="G213" s="660"/>
      <c r="H213" s="2696"/>
      <c r="I213" s="2314"/>
      <c r="J213" s="1763"/>
      <c r="K213" s="3282"/>
      <c r="L213" s="3283"/>
      <c r="M213" s="3284"/>
      <c r="N213" s="577"/>
      <c r="P213" s="500"/>
    </row>
    <row r="214" spans="1:17" s="3024" customFormat="1" ht="16.5" customHeight="1" x14ac:dyDescent="0.25">
      <c r="A214" s="352"/>
      <c r="B214" s="1305" t="s">
        <v>65</v>
      </c>
      <c r="C214" s="3858" t="s">
        <v>2722</v>
      </c>
      <c r="D214" s="2356">
        <f>D215</f>
        <v>1000000000</v>
      </c>
      <c r="E214" s="1437">
        <f>D214/D14*100</f>
        <v>0.39884470705968245</v>
      </c>
      <c r="F214" s="2652"/>
      <c r="G214" s="2659"/>
      <c r="H214" s="3272"/>
      <c r="I214" s="3273"/>
      <c r="J214" s="3274"/>
      <c r="K214" s="3275"/>
      <c r="L214" s="3276"/>
      <c r="M214" s="3277"/>
      <c r="N214" s="577"/>
      <c r="P214" s="500"/>
    </row>
    <row r="215" spans="1:17" s="3024" customFormat="1" ht="14.25" customHeight="1" x14ac:dyDescent="0.25">
      <c r="A215" s="352"/>
      <c r="B215" s="1242"/>
      <c r="C215" s="3881" t="s">
        <v>2723</v>
      </c>
      <c r="D215" s="2562">
        <f>D216</f>
        <v>1000000000</v>
      </c>
      <c r="E215" s="1435">
        <f>D215/D14*100</f>
        <v>0.39884470705968245</v>
      </c>
      <c r="F215" s="2769"/>
      <c r="G215" s="2674"/>
      <c r="H215" s="2855"/>
      <c r="I215" s="3285"/>
      <c r="J215" s="3286"/>
      <c r="K215" s="3287"/>
      <c r="L215" s="3288"/>
      <c r="M215" s="3289"/>
      <c r="N215" s="577"/>
      <c r="P215" s="500"/>
    </row>
    <row r="216" spans="1:17" s="3024" customFormat="1" ht="16.5" customHeight="1" x14ac:dyDescent="0.25">
      <c r="A216" s="352"/>
      <c r="B216" s="1242"/>
      <c r="C216" s="3860" t="s">
        <v>2724</v>
      </c>
      <c r="D216" s="1717">
        <v>1000000000</v>
      </c>
      <c r="E216" s="1434">
        <f>D216/D14*100</f>
        <v>0.39884470705968245</v>
      </c>
      <c r="F216" s="767"/>
      <c r="G216" s="780"/>
      <c r="H216" s="2429"/>
      <c r="I216" s="2338"/>
      <c r="J216" s="1748"/>
      <c r="K216" s="3279"/>
      <c r="L216" s="3280"/>
      <c r="M216" s="3281"/>
      <c r="N216" s="577"/>
      <c r="P216" s="500"/>
    </row>
    <row r="217" spans="1:17" s="3024" customFormat="1" ht="12" customHeight="1" x14ac:dyDescent="0.25">
      <c r="A217" s="352"/>
      <c r="B217" s="1242"/>
      <c r="C217" s="3892"/>
      <c r="D217" s="2182"/>
      <c r="E217" s="3264"/>
      <c r="F217" s="2300"/>
      <c r="G217" s="799"/>
      <c r="H217" s="2424"/>
      <c r="I217" s="2302"/>
      <c r="J217" s="3266"/>
      <c r="K217" s="3267"/>
      <c r="L217" s="3268"/>
      <c r="M217" s="3269"/>
      <c r="N217" s="577"/>
      <c r="P217" s="500"/>
    </row>
    <row r="218" spans="1:17" s="2070" customFormat="1" ht="17.25" customHeight="1" x14ac:dyDescent="0.25">
      <c r="B218" s="1305" t="s">
        <v>62</v>
      </c>
      <c r="C218" s="3858" t="s">
        <v>2347</v>
      </c>
      <c r="D218" s="2652">
        <f>D219+D222+D225+D228+D231+D234+D238+D241</f>
        <v>17797800000</v>
      </c>
      <c r="E218" s="1437">
        <f>D218/D14*100</f>
        <v>7.0985583273068169</v>
      </c>
      <c r="F218" s="764"/>
      <c r="G218" s="743"/>
      <c r="H218" s="2228"/>
      <c r="I218" s="2220"/>
      <c r="J218" s="1745"/>
      <c r="K218" s="1745"/>
      <c r="L218" s="2229"/>
      <c r="M218" s="2220"/>
      <c r="N218" s="2071"/>
      <c r="P218" s="4586"/>
    </row>
    <row r="219" spans="1:17" s="2070" customFormat="1" ht="15" customHeight="1" x14ac:dyDescent="0.25">
      <c r="B219" s="1242"/>
      <c r="C219" s="3871" t="s">
        <v>2726</v>
      </c>
      <c r="D219" s="2769">
        <f>SUM(D220:D220)</f>
        <v>80000000</v>
      </c>
      <c r="E219" s="1440">
        <f>D219/D14*100</f>
        <v>3.1907576564774595E-2</v>
      </c>
      <c r="F219" s="752"/>
      <c r="G219" s="779"/>
      <c r="H219" s="2221"/>
      <c r="I219" s="2222"/>
      <c r="J219" s="1746"/>
      <c r="K219" s="1746"/>
      <c r="L219" s="2223"/>
      <c r="M219" s="2222"/>
      <c r="N219" s="2073"/>
      <c r="P219" s="4586"/>
    </row>
    <row r="220" spans="1:17" s="1639" customFormat="1" ht="14.25" customHeight="1" x14ac:dyDescent="0.25">
      <c r="A220" s="1637"/>
      <c r="B220" s="2900"/>
      <c r="C220" s="3860" t="s">
        <v>2727</v>
      </c>
      <c r="D220" s="771">
        <v>80000000</v>
      </c>
      <c r="E220" s="1434">
        <f>D220/D14*100</f>
        <v>3.1907576564774595E-2</v>
      </c>
      <c r="F220" s="771"/>
      <c r="G220" s="780"/>
      <c r="H220" s="2202"/>
      <c r="I220" s="2164"/>
      <c r="J220" s="1748"/>
      <c r="K220" s="2164"/>
      <c r="L220" s="2204"/>
      <c r="M220" s="2164"/>
      <c r="N220" s="1638"/>
      <c r="P220" s="4588"/>
    </row>
    <row r="221" spans="1:17" s="1639" customFormat="1" ht="10.5" customHeight="1" x14ac:dyDescent="0.25">
      <c r="A221" s="1637"/>
      <c r="B221" s="2900"/>
      <c r="C221" s="3861"/>
      <c r="D221" s="783"/>
      <c r="E221" s="1434"/>
      <c r="F221" s="783"/>
      <c r="G221" s="784"/>
      <c r="H221" s="2202"/>
      <c r="I221" s="2211"/>
      <c r="J221" s="1764"/>
      <c r="K221" s="2211"/>
      <c r="L221" s="2204"/>
      <c r="M221" s="2211"/>
      <c r="N221" s="2086"/>
      <c r="P221" s="4588"/>
    </row>
    <row r="222" spans="1:17" s="1639" customFormat="1" ht="16.5" customHeight="1" x14ac:dyDescent="0.25">
      <c r="A222" s="1637"/>
      <c r="B222" s="2900"/>
      <c r="C222" s="3873" t="s">
        <v>2728</v>
      </c>
      <c r="D222" s="785">
        <f>D223</f>
        <v>700000000</v>
      </c>
      <c r="E222" s="1440">
        <f>D222/D14*100</f>
        <v>0.27919129494177769</v>
      </c>
      <c r="F222" s="785"/>
      <c r="G222" s="753"/>
      <c r="H222" s="753"/>
      <c r="I222" s="753"/>
      <c r="J222" s="1765"/>
      <c r="K222" s="1765"/>
      <c r="L222" s="753"/>
      <c r="M222" s="753"/>
      <c r="N222" s="2086"/>
      <c r="P222" s="4588"/>
    </row>
    <row r="223" spans="1:17" s="1639" customFormat="1" ht="16.5" customHeight="1" x14ac:dyDescent="0.25">
      <c r="A223" s="1637"/>
      <c r="B223" s="2900"/>
      <c r="C223" s="3861" t="s">
        <v>2729</v>
      </c>
      <c r="D223" s="783">
        <v>700000000</v>
      </c>
      <c r="E223" s="1434">
        <f>D223/D14*100</f>
        <v>0.27919129494177769</v>
      </c>
      <c r="F223" s="783"/>
      <c r="G223" s="755"/>
      <c r="H223" s="755"/>
      <c r="I223" s="755"/>
      <c r="J223" s="1748"/>
      <c r="K223" s="2211"/>
      <c r="L223" s="755"/>
      <c r="M223" s="755"/>
      <c r="N223" s="2086"/>
      <c r="P223" s="4588"/>
      <c r="Q223" s="2155"/>
    </row>
    <row r="224" spans="1:17" ht="9.75" customHeight="1" x14ac:dyDescent="0.25">
      <c r="B224" s="2900"/>
      <c r="C224" s="3861"/>
      <c r="D224" s="2175"/>
      <c r="E224" s="1436"/>
      <c r="F224" s="781"/>
      <c r="G224" s="660"/>
      <c r="H224" s="1510"/>
      <c r="I224" s="2227"/>
      <c r="J224" s="1741"/>
      <c r="K224" s="2212"/>
      <c r="L224" s="2213"/>
      <c r="M224" s="1761"/>
      <c r="N224" s="536"/>
    </row>
    <row r="225" spans="1:16" s="3024" customFormat="1" ht="17.25" customHeight="1" x14ac:dyDescent="0.25">
      <c r="A225" s="352"/>
      <c r="B225" s="2900"/>
      <c r="C225" s="3873" t="s">
        <v>2730</v>
      </c>
      <c r="D225" s="775">
        <f>D226</f>
        <v>200000000</v>
      </c>
      <c r="E225" s="1435">
        <f>D225/D14*100</f>
        <v>7.9768941411936481E-2</v>
      </c>
      <c r="F225" s="3265"/>
      <c r="G225" s="660"/>
      <c r="H225" s="1510"/>
      <c r="I225" s="2227"/>
      <c r="J225" s="1741"/>
      <c r="K225" s="2212"/>
      <c r="L225" s="2213"/>
      <c r="M225" s="1761"/>
      <c r="N225" s="536"/>
      <c r="P225" s="500"/>
    </row>
    <row r="226" spans="1:16" s="3024" customFormat="1" ht="14.25" customHeight="1" x14ac:dyDescent="0.25">
      <c r="A226" s="352"/>
      <c r="B226" s="2900"/>
      <c r="C226" s="3861" t="s">
        <v>2731</v>
      </c>
      <c r="D226" s="1323">
        <v>200000000</v>
      </c>
      <c r="E226" s="1434">
        <f>D226/D14*100</f>
        <v>7.9768941411936481E-2</v>
      </c>
      <c r="F226" s="781"/>
      <c r="G226" s="660"/>
      <c r="H226" s="1510"/>
      <c r="I226" s="2227"/>
      <c r="J226" s="1741"/>
      <c r="K226" s="2212"/>
      <c r="L226" s="2213"/>
      <c r="M226" s="1761"/>
      <c r="N226" s="536"/>
      <c r="P226" s="500"/>
    </row>
    <row r="227" spans="1:16" s="3024" customFormat="1" ht="10.5" customHeight="1" x14ac:dyDescent="0.25">
      <c r="A227" s="352"/>
      <c r="B227" s="2900"/>
      <c r="C227" s="3861"/>
      <c r="D227" s="2175"/>
      <c r="E227" s="1434"/>
      <c r="F227" s="781"/>
      <c r="G227" s="660"/>
      <c r="H227" s="1510"/>
      <c r="I227" s="2227"/>
      <c r="J227" s="1741"/>
      <c r="K227" s="2212"/>
      <c r="L227" s="2213"/>
      <c r="M227" s="1761"/>
      <c r="N227" s="536"/>
      <c r="P227" s="500"/>
    </row>
    <row r="228" spans="1:16" s="3024" customFormat="1" ht="30" customHeight="1" x14ac:dyDescent="0.25">
      <c r="A228" s="352"/>
      <c r="B228" s="2900"/>
      <c r="C228" s="3882" t="s">
        <v>2732</v>
      </c>
      <c r="D228" s="1650">
        <f>D229</f>
        <v>7000000000</v>
      </c>
      <c r="E228" s="1435">
        <f>D228/D14*100</f>
        <v>2.7919129494177772</v>
      </c>
      <c r="F228" s="767"/>
      <c r="G228" s="780"/>
      <c r="H228" s="2202"/>
      <c r="I228" s="2230"/>
      <c r="J228" s="3295"/>
      <c r="K228" s="2210"/>
      <c r="L228" s="2204"/>
      <c r="M228" s="2231"/>
      <c r="N228" s="535"/>
      <c r="P228" s="500"/>
    </row>
    <row r="229" spans="1:16" s="3024" customFormat="1" ht="29.25" customHeight="1" x14ac:dyDescent="0.25">
      <c r="A229" s="352"/>
      <c r="B229" s="2900"/>
      <c r="C229" s="3860" t="s">
        <v>2733</v>
      </c>
      <c r="D229" s="1312">
        <v>7000000000</v>
      </c>
      <c r="E229" s="1434">
        <f>D229/D14*100</f>
        <v>2.7919129494177772</v>
      </c>
      <c r="F229" s="767"/>
      <c r="G229" s="780"/>
      <c r="H229" s="2202"/>
      <c r="I229" s="2230"/>
      <c r="J229" s="3295"/>
      <c r="K229" s="2210"/>
      <c r="L229" s="2204"/>
      <c r="M229" s="2231"/>
      <c r="N229" s="535"/>
      <c r="P229" s="500"/>
    </row>
    <row r="230" spans="1:16" s="3024" customFormat="1" ht="12" customHeight="1" x14ac:dyDescent="0.25">
      <c r="A230" s="352"/>
      <c r="B230" s="2900"/>
      <c r="C230" s="3892"/>
      <c r="D230" s="1703"/>
      <c r="E230" s="1434"/>
      <c r="F230" s="3278"/>
      <c r="G230" s="799"/>
      <c r="H230" s="2424"/>
      <c r="I230" s="2302"/>
      <c r="J230" s="3294"/>
      <c r="K230" s="3267"/>
      <c r="L230" s="3268"/>
      <c r="M230" s="3269"/>
      <c r="N230" s="577"/>
      <c r="P230" s="500"/>
    </row>
    <row r="231" spans="1:16" s="3024" customFormat="1" ht="18.75" customHeight="1" x14ac:dyDescent="0.25">
      <c r="A231" s="352"/>
      <c r="B231" s="2900"/>
      <c r="C231" s="3882" t="s">
        <v>2734</v>
      </c>
      <c r="D231" s="1650">
        <f>D232</f>
        <v>344800000</v>
      </c>
      <c r="E231" s="1440">
        <f>D231/D14*100</f>
        <v>0.13752165499417851</v>
      </c>
      <c r="F231" s="767"/>
      <c r="G231" s="780"/>
      <c r="H231" s="2202"/>
      <c r="I231" s="2230"/>
      <c r="J231" s="3295"/>
      <c r="K231" s="2210"/>
      <c r="L231" s="2204"/>
      <c r="M231" s="2231"/>
      <c r="N231" s="577"/>
      <c r="P231" s="500"/>
    </row>
    <row r="232" spans="1:16" s="3024" customFormat="1" ht="41.25" customHeight="1" x14ac:dyDescent="0.25">
      <c r="A232" s="352"/>
      <c r="B232" s="2900"/>
      <c r="C232" s="3860" t="s">
        <v>2735</v>
      </c>
      <c r="D232" s="1312">
        <v>344800000</v>
      </c>
      <c r="E232" s="1434">
        <f>D232/D14*100</f>
        <v>0.13752165499417851</v>
      </c>
      <c r="F232" s="767"/>
      <c r="G232" s="780"/>
      <c r="H232" s="2202"/>
      <c r="I232" s="2230"/>
      <c r="J232" s="3295"/>
      <c r="K232" s="2210"/>
      <c r="L232" s="2204"/>
      <c r="M232" s="2231"/>
      <c r="N232" s="577"/>
      <c r="P232" s="500"/>
    </row>
    <row r="233" spans="1:16" s="3024" customFormat="1" ht="10.5" customHeight="1" x14ac:dyDescent="0.25">
      <c r="A233" s="352"/>
      <c r="B233" s="2900"/>
      <c r="C233" s="3860"/>
      <c r="D233" s="1312"/>
      <c r="E233" s="1434"/>
      <c r="F233" s="767"/>
      <c r="G233" s="780"/>
      <c r="H233" s="2202"/>
      <c r="I233" s="2230"/>
      <c r="J233" s="3295"/>
      <c r="K233" s="2210"/>
      <c r="L233" s="2204"/>
      <c r="M233" s="2231"/>
      <c r="N233" s="577"/>
      <c r="P233" s="500"/>
    </row>
    <row r="234" spans="1:16" s="3024" customFormat="1" ht="18.75" customHeight="1" x14ac:dyDescent="0.25">
      <c r="A234" s="352"/>
      <c r="B234" s="2900"/>
      <c r="C234" s="3882" t="s">
        <v>2736</v>
      </c>
      <c r="D234" s="1650">
        <f>SUM(D235:D236)</f>
        <v>773000000</v>
      </c>
      <c r="E234" s="1440">
        <f>D234/D14*100</f>
        <v>0.30830695855713453</v>
      </c>
      <c r="F234" s="767"/>
      <c r="G234" s="780"/>
      <c r="H234" s="2202"/>
      <c r="I234" s="2230"/>
      <c r="J234" s="3295"/>
      <c r="K234" s="2210"/>
      <c r="L234" s="2204"/>
      <c r="M234" s="2231"/>
      <c r="N234" s="577"/>
      <c r="P234" s="500"/>
    </row>
    <row r="235" spans="1:16" s="3024" customFormat="1" ht="25.5" customHeight="1" x14ac:dyDescent="0.25">
      <c r="A235" s="352"/>
      <c r="B235" s="2900"/>
      <c r="C235" s="3860" t="s">
        <v>2737</v>
      </c>
      <c r="D235" s="1312">
        <v>425000000</v>
      </c>
      <c r="E235" s="1434">
        <f>D235/D14*100</f>
        <v>0.16950900050036505</v>
      </c>
      <c r="F235" s="767"/>
      <c r="G235" s="780"/>
      <c r="H235" s="2202"/>
      <c r="I235" s="2230"/>
      <c r="J235" s="3295"/>
      <c r="K235" s="2210"/>
      <c r="L235" s="2204"/>
      <c r="M235" s="2231"/>
      <c r="N235" s="577"/>
      <c r="P235" s="500"/>
    </row>
    <row r="236" spans="1:16" s="3024" customFormat="1" ht="17.25" customHeight="1" x14ac:dyDescent="0.25">
      <c r="A236" s="352"/>
      <c r="B236" s="2900"/>
      <c r="C236" s="3860" t="s">
        <v>2738</v>
      </c>
      <c r="D236" s="1312">
        <v>348000000</v>
      </c>
      <c r="E236" s="1434">
        <f>D236/D14*100</f>
        <v>0.1387979580567695</v>
      </c>
      <c r="F236" s="767"/>
      <c r="G236" s="780"/>
      <c r="H236" s="2202"/>
      <c r="I236" s="2230"/>
      <c r="J236" s="3295"/>
      <c r="K236" s="2210"/>
      <c r="L236" s="2204"/>
      <c r="M236" s="2231"/>
      <c r="N236" s="577"/>
      <c r="P236" s="500"/>
    </row>
    <row r="237" spans="1:16" s="3024" customFormat="1" ht="11.25" customHeight="1" x14ac:dyDescent="0.25">
      <c r="A237" s="352"/>
      <c r="B237" s="2900"/>
      <c r="C237" s="3860"/>
      <c r="D237" s="1312"/>
      <c r="E237" s="1434"/>
      <c r="F237" s="767"/>
      <c r="G237" s="780"/>
      <c r="H237" s="2202"/>
      <c r="I237" s="2230"/>
      <c r="J237" s="3295"/>
      <c r="K237" s="2210"/>
      <c r="L237" s="2204"/>
      <c r="M237" s="2231"/>
      <c r="N237" s="577"/>
      <c r="P237" s="500"/>
    </row>
    <row r="238" spans="1:16" s="3024" customFormat="1" ht="18" customHeight="1" x14ac:dyDescent="0.25">
      <c r="A238" s="352"/>
      <c r="B238" s="2900"/>
      <c r="C238" s="3882" t="s">
        <v>2739</v>
      </c>
      <c r="D238" s="1650">
        <f>D239</f>
        <v>2000000000</v>
      </c>
      <c r="E238" s="1440">
        <f>D238/D14*100</f>
        <v>0.79768941411936489</v>
      </c>
      <c r="F238" s="767"/>
      <c r="G238" s="780"/>
      <c r="H238" s="2202"/>
      <c r="I238" s="2230"/>
      <c r="J238" s="3295"/>
      <c r="K238" s="2210"/>
      <c r="L238" s="2204"/>
      <c r="M238" s="2231"/>
      <c r="N238" s="577"/>
      <c r="P238" s="500"/>
    </row>
    <row r="239" spans="1:16" s="3024" customFormat="1" ht="18" customHeight="1" x14ac:dyDescent="0.25">
      <c r="A239" s="352"/>
      <c r="B239" s="2900"/>
      <c r="C239" s="3860" t="s">
        <v>2740</v>
      </c>
      <c r="D239" s="1312">
        <v>2000000000</v>
      </c>
      <c r="E239" s="1434">
        <f>D239/D14*100</f>
        <v>0.79768941411936489</v>
      </c>
      <c r="F239" s="767"/>
      <c r="G239" s="780"/>
      <c r="H239" s="2202"/>
      <c r="I239" s="2230"/>
      <c r="J239" s="3295"/>
      <c r="K239" s="2210"/>
      <c r="L239" s="2204"/>
      <c r="M239" s="2231"/>
      <c r="N239" s="577"/>
      <c r="P239" s="500"/>
    </row>
    <row r="240" spans="1:16" s="3024" customFormat="1" ht="9.75" customHeight="1" x14ac:dyDescent="0.25">
      <c r="A240" s="352"/>
      <c r="B240" s="2900"/>
      <c r="C240" s="3860"/>
      <c r="D240" s="1312"/>
      <c r="E240" s="1434"/>
      <c r="F240" s="767"/>
      <c r="G240" s="780"/>
      <c r="H240" s="2202"/>
      <c r="I240" s="2230"/>
      <c r="J240" s="3295"/>
      <c r="K240" s="2210"/>
      <c r="L240" s="2204"/>
      <c r="M240" s="2231"/>
      <c r="N240" s="577"/>
      <c r="P240" s="500"/>
    </row>
    <row r="241" spans="1:16" s="3024" customFormat="1" ht="30" customHeight="1" x14ac:dyDescent="0.25">
      <c r="A241" s="352"/>
      <c r="B241" s="2900"/>
      <c r="C241" s="3882" t="s">
        <v>2741</v>
      </c>
      <c r="D241" s="1650">
        <f>SUM(D242:D244)</f>
        <v>6700000000</v>
      </c>
      <c r="E241" s="1440">
        <f>D241/D14*100</f>
        <v>2.6722595372998725</v>
      </c>
      <c r="F241" s="767"/>
      <c r="G241" s="780"/>
      <c r="H241" s="2202"/>
      <c r="I241" s="2230"/>
      <c r="J241" s="3295"/>
      <c r="K241" s="2210"/>
      <c r="L241" s="2204"/>
      <c r="M241" s="2231"/>
      <c r="N241" s="577"/>
      <c r="P241" s="500"/>
    </row>
    <row r="242" spans="1:16" s="3024" customFormat="1" ht="20.25" customHeight="1" x14ac:dyDescent="0.25">
      <c r="A242" s="352"/>
      <c r="B242" s="2900"/>
      <c r="C242" s="3860" t="s">
        <v>2742</v>
      </c>
      <c r="D242" s="1312">
        <v>4000000000</v>
      </c>
      <c r="E242" s="1434">
        <f>D242/D14*100</f>
        <v>1.5953788282387298</v>
      </c>
      <c r="F242" s="767"/>
      <c r="G242" s="780"/>
      <c r="H242" s="2202"/>
      <c r="I242" s="2230"/>
      <c r="J242" s="3295"/>
      <c r="K242" s="2210"/>
      <c r="L242" s="2204"/>
      <c r="M242" s="2231"/>
      <c r="N242" s="577"/>
      <c r="P242" s="500"/>
    </row>
    <row r="243" spans="1:16" s="3024" customFormat="1" ht="29.25" customHeight="1" x14ac:dyDescent="0.25">
      <c r="A243" s="352"/>
      <c r="B243" s="2900"/>
      <c r="C243" s="3860" t="s">
        <v>2743</v>
      </c>
      <c r="D243" s="1312">
        <v>1500000000</v>
      </c>
      <c r="E243" s="1434">
        <f>D243/D14*100</f>
        <v>0.59826706058952361</v>
      </c>
      <c r="F243" s="767"/>
      <c r="G243" s="780"/>
      <c r="H243" s="2202"/>
      <c r="I243" s="2230"/>
      <c r="J243" s="3295"/>
      <c r="K243" s="2210"/>
      <c r="L243" s="2204"/>
      <c r="M243" s="2231"/>
      <c r="N243" s="577"/>
      <c r="P243" s="500"/>
    </row>
    <row r="244" spans="1:16" s="3024" customFormat="1" ht="33" customHeight="1" x14ac:dyDescent="0.25">
      <c r="A244" s="352"/>
      <c r="B244" s="2900"/>
      <c r="C244" s="3860" t="s">
        <v>2744</v>
      </c>
      <c r="D244" s="1312">
        <v>1200000000</v>
      </c>
      <c r="E244" s="1434">
        <f>D244/D14*100</f>
        <v>0.47861364847161897</v>
      </c>
      <c r="F244" s="767"/>
      <c r="G244" s="780"/>
      <c r="H244" s="2202"/>
      <c r="I244" s="2230"/>
      <c r="J244" s="3295"/>
      <c r="K244" s="2210"/>
      <c r="L244" s="2204"/>
      <c r="M244" s="2231"/>
      <c r="N244" s="577"/>
      <c r="P244" s="500"/>
    </row>
    <row r="245" spans="1:16" s="3024" customFormat="1" ht="9" customHeight="1" x14ac:dyDescent="0.25">
      <c r="A245" s="352"/>
      <c r="B245" s="2900"/>
      <c r="C245" s="3892"/>
      <c r="D245" s="2182"/>
      <c r="E245" s="3264"/>
      <c r="F245" s="2300"/>
      <c r="G245" s="799"/>
      <c r="H245" s="2424"/>
      <c r="I245" s="2302"/>
      <c r="J245" s="3294"/>
      <c r="K245" s="3267"/>
      <c r="L245" s="3268"/>
      <c r="M245" s="3269"/>
      <c r="N245" s="577"/>
      <c r="P245" s="500"/>
    </row>
    <row r="246" spans="1:16" s="269" customFormat="1" ht="16.5" customHeight="1" x14ac:dyDescent="0.25">
      <c r="A246" s="350"/>
      <c r="B246" s="1305" t="s">
        <v>2725</v>
      </c>
      <c r="C246" s="3858" t="s">
        <v>2346</v>
      </c>
      <c r="D246" s="2652">
        <f>SUM(D247,D250)</f>
        <v>15146850400</v>
      </c>
      <c r="E246" s="1437">
        <f>D246/D14*100</f>
        <v>6.041241110664834</v>
      </c>
      <c r="F246" s="764"/>
      <c r="G246" s="743"/>
      <c r="H246" s="2198"/>
      <c r="I246" s="2220"/>
      <c r="J246" s="1766"/>
      <c r="K246" s="1766"/>
      <c r="L246" s="2200"/>
      <c r="M246" s="2220"/>
      <c r="N246" s="550"/>
      <c r="P246" s="300"/>
    </row>
    <row r="247" spans="1:16" s="269" customFormat="1" ht="18" customHeight="1" x14ac:dyDescent="0.25">
      <c r="A247" s="350"/>
      <c r="B247" s="2901"/>
      <c r="C247" s="3871" t="s">
        <v>2745</v>
      </c>
      <c r="D247" s="2769">
        <f>SUM(D248:D248)</f>
        <v>4395850400</v>
      </c>
      <c r="E247" s="1441">
        <f>D247/D14*100</f>
        <v>1.7532616650661879</v>
      </c>
      <c r="F247" s="752"/>
      <c r="G247" s="779"/>
      <c r="H247" s="2221"/>
      <c r="I247" s="2222"/>
      <c r="J247" s="1767"/>
      <c r="K247" s="1767"/>
      <c r="L247" s="2223"/>
      <c r="M247" s="2222"/>
      <c r="N247" s="551"/>
      <c r="P247" s="300"/>
    </row>
    <row r="248" spans="1:16" s="3024" customFormat="1" ht="15" customHeight="1" x14ac:dyDescent="0.25">
      <c r="A248" s="352"/>
      <c r="B248" s="2902"/>
      <c r="C248" s="3860" t="s">
        <v>7107</v>
      </c>
      <c r="D248" s="780">
        <v>4395850400</v>
      </c>
      <c r="E248" s="1434">
        <f>D248/D14*100</f>
        <v>1.7532616650661879</v>
      </c>
      <c r="F248" s="780"/>
      <c r="G248" s="755"/>
      <c r="H248" s="802"/>
      <c r="I248" s="802"/>
      <c r="J248" s="780"/>
      <c r="K248" s="2211"/>
      <c r="L248" s="802"/>
      <c r="M248" s="802"/>
      <c r="N248" s="535"/>
      <c r="P248" s="500"/>
    </row>
    <row r="249" spans="1:16" s="695" customFormat="1" ht="12" customHeight="1" x14ac:dyDescent="0.25">
      <c r="A249" s="352"/>
      <c r="B249" s="2902"/>
      <c r="C249" s="3860"/>
      <c r="D249" s="771"/>
      <c r="E249" s="1434"/>
      <c r="F249" s="759"/>
      <c r="G249" s="760"/>
      <c r="H249" s="2202"/>
      <c r="I249" s="2230"/>
      <c r="J249" s="2918"/>
      <c r="K249" s="2210"/>
      <c r="L249" s="2204"/>
      <c r="M249" s="2231"/>
      <c r="N249" s="535"/>
      <c r="P249" s="500"/>
    </row>
    <row r="250" spans="1:16" ht="17.25" customHeight="1" x14ac:dyDescent="0.25">
      <c r="B250" s="2902"/>
      <c r="C250" s="3859" t="s">
        <v>2746</v>
      </c>
      <c r="D250" s="767">
        <f>SUM(D251:D251)</f>
        <v>10751000000</v>
      </c>
      <c r="E250" s="1435">
        <f>D250/D14*100</f>
        <v>4.287979445598646</v>
      </c>
      <c r="F250" s="758"/>
      <c r="G250" s="761"/>
      <c r="H250" s="1704"/>
      <c r="I250" s="2206"/>
      <c r="J250" s="2919"/>
      <c r="K250" s="2919"/>
      <c r="L250" s="2205"/>
      <c r="M250" s="2206"/>
      <c r="N250" s="535"/>
    </row>
    <row r="251" spans="1:16" ht="16.5" customHeight="1" x14ac:dyDescent="0.25">
      <c r="B251" s="2902"/>
      <c r="C251" s="3860" t="s">
        <v>2747</v>
      </c>
      <c r="D251" s="780">
        <v>10751000000</v>
      </c>
      <c r="E251" s="1434">
        <f>D251/D14*100</f>
        <v>4.287979445598646</v>
      </c>
      <c r="F251" s="780"/>
      <c r="G251" s="780"/>
      <c r="H251" s="2202"/>
      <c r="I251" s="2230"/>
      <c r="J251" s="1743"/>
      <c r="K251" s="2210"/>
      <c r="L251" s="2204"/>
      <c r="M251" s="2231"/>
      <c r="N251" s="535"/>
    </row>
    <row r="252" spans="1:16" ht="12" customHeight="1" x14ac:dyDescent="0.25">
      <c r="B252" s="2902"/>
      <c r="C252" s="3860"/>
      <c r="D252" s="771"/>
      <c r="E252" s="1434"/>
      <c r="F252" s="771"/>
      <c r="G252" s="780"/>
      <c r="H252" s="2202"/>
      <c r="I252" s="2230"/>
      <c r="J252" s="2210"/>
      <c r="K252" s="2210"/>
      <c r="L252" s="2210"/>
      <c r="M252" s="2210"/>
      <c r="N252" s="535"/>
    </row>
    <row r="253" spans="1:16" s="276" customFormat="1" ht="18.75" customHeight="1" x14ac:dyDescent="0.25">
      <c r="A253" s="362"/>
      <c r="B253" s="2905" t="s">
        <v>79</v>
      </c>
      <c r="C253" s="3886" t="s">
        <v>17</v>
      </c>
      <c r="D253" s="3028">
        <f>SUM(D255+D426+D807+D1654+D1371+D1943+D2358+D2528+D3472+D2961+D3160+D3717+D3944)</f>
        <v>1980975030140</v>
      </c>
      <c r="E253" s="1442">
        <f>D253/2507241496000*100</f>
        <v>79.010140558873388</v>
      </c>
      <c r="F253" s="787"/>
      <c r="G253" s="787"/>
      <c r="H253" s="2232"/>
      <c r="I253" s="787"/>
      <c r="J253" s="1768"/>
      <c r="K253" s="1768"/>
      <c r="L253" s="2232"/>
      <c r="M253" s="2233"/>
      <c r="N253" s="575"/>
      <c r="P253" s="4589"/>
    </row>
    <row r="254" spans="1:16" ht="9" customHeight="1" x14ac:dyDescent="0.25">
      <c r="B254" s="2904"/>
      <c r="C254" s="3873"/>
      <c r="D254" s="868"/>
      <c r="E254" s="1443"/>
      <c r="F254" s="788"/>
      <c r="G254" s="788"/>
      <c r="H254" s="2234"/>
      <c r="I254" s="1651"/>
      <c r="J254" s="1311"/>
      <c r="K254" s="1311"/>
      <c r="L254" s="1311"/>
      <c r="M254" s="1311"/>
      <c r="N254" s="535"/>
    </row>
    <row r="255" spans="1:16" ht="16.5" customHeight="1" x14ac:dyDescent="0.25">
      <c r="B255" s="2906"/>
      <c r="C255" s="3967" t="s">
        <v>557</v>
      </c>
      <c r="D255" s="2650">
        <f>SUM(D257+D301+D339+D343+D350+D369+D394+D398+D407+D418+D422)</f>
        <v>183431447000</v>
      </c>
      <c r="E255" s="1444">
        <f>D255/2507241496000*100</f>
        <v>7.3160661744248667</v>
      </c>
      <c r="F255" s="789"/>
      <c r="G255" s="789"/>
      <c r="H255" s="2235"/>
      <c r="I255" s="2236"/>
      <c r="J255" s="1769"/>
      <c r="K255" s="1769"/>
      <c r="L255" s="2235"/>
      <c r="M255" s="2237"/>
      <c r="N255" s="535"/>
      <c r="P255" s="500">
        <v>177268183965</v>
      </c>
    </row>
    <row r="256" spans="1:16" ht="6.75" customHeight="1" x14ac:dyDescent="0.25">
      <c r="B256" s="1242"/>
      <c r="C256" s="3968"/>
      <c r="D256" s="2260"/>
      <c r="E256" s="1393"/>
      <c r="F256" s="790"/>
      <c r="G256" s="791"/>
      <c r="H256" s="2238"/>
      <c r="I256" s="791"/>
      <c r="J256" s="1311"/>
      <c r="K256" s="1311"/>
      <c r="L256" s="1311"/>
      <c r="M256" s="1311"/>
      <c r="N256" s="535"/>
    </row>
    <row r="257" spans="1:16" s="1639" customFormat="1" ht="16.5" customHeight="1" x14ac:dyDescent="0.25">
      <c r="A257" s="1637"/>
      <c r="B257" s="1305"/>
      <c r="C257" s="3969" t="s">
        <v>2064</v>
      </c>
      <c r="D257" s="2659">
        <f>SUM(D258+D270+D273+D296)</f>
        <v>50934414000</v>
      </c>
      <c r="E257" s="1445">
        <f>D257/D255*100</f>
        <v>27.767547404235437</v>
      </c>
      <c r="F257" s="743"/>
      <c r="G257" s="743"/>
      <c r="H257" s="1462"/>
      <c r="I257" s="2239"/>
      <c r="J257" s="1770"/>
      <c r="K257" s="1770"/>
      <c r="L257" s="1462"/>
      <c r="M257" s="2240"/>
      <c r="N257" s="1638"/>
      <c r="P257" s="4588">
        <v>183431447000</v>
      </c>
    </row>
    <row r="258" spans="1:16" s="1639" customFormat="1" ht="15.75" customHeight="1" x14ac:dyDescent="0.25">
      <c r="A258" s="1637"/>
      <c r="B258" s="1242"/>
      <c r="C258" s="3970" t="s">
        <v>288</v>
      </c>
      <c r="D258" s="2024">
        <f>SUM(D259:D268)</f>
        <v>9818000000</v>
      </c>
      <c r="E258" s="1136">
        <f>D258/D255*100</f>
        <v>5.3524083032502059</v>
      </c>
      <c r="F258" s="792"/>
      <c r="G258" s="793"/>
      <c r="H258" s="793"/>
      <c r="I258" s="793"/>
      <c r="J258" s="2241"/>
      <c r="K258" s="1805"/>
      <c r="L258" s="1671"/>
      <c r="M258" s="1671"/>
      <c r="N258" s="1638"/>
      <c r="P258" s="4588">
        <f>SUM(P257-P255)</f>
        <v>6163263035</v>
      </c>
    </row>
    <row r="259" spans="1:16" s="1639" customFormat="1" ht="16.5" customHeight="1" x14ac:dyDescent="0.25">
      <c r="A259" s="1637"/>
      <c r="B259" s="1242"/>
      <c r="C259" s="3867" t="s">
        <v>6967</v>
      </c>
      <c r="D259" s="666">
        <v>825000000</v>
      </c>
      <c r="E259" s="1138">
        <f>D259/D255*100</f>
        <v>0.44975930435744749</v>
      </c>
      <c r="F259" s="626"/>
      <c r="G259" s="755"/>
      <c r="H259" s="755"/>
      <c r="I259" s="755"/>
      <c r="J259" s="2180"/>
      <c r="K259" s="2242"/>
      <c r="L259" s="1312"/>
      <c r="M259" s="1312"/>
      <c r="N259" s="1638"/>
      <c r="P259" s="4588"/>
    </row>
    <row r="260" spans="1:16" s="1639" customFormat="1" ht="16.5" customHeight="1" x14ac:dyDescent="0.25">
      <c r="A260" s="1637"/>
      <c r="B260" s="1242"/>
      <c r="C260" s="3867" t="s">
        <v>6968</v>
      </c>
      <c r="D260" s="666">
        <v>1648000000</v>
      </c>
      <c r="E260" s="1138">
        <f>D260/D255*100</f>
        <v>0.89842828312857392</v>
      </c>
      <c r="F260" s="626"/>
      <c r="G260" s="755"/>
      <c r="H260" s="755"/>
      <c r="I260" s="755"/>
      <c r="J260" s="2180"/>
      <c r="K260" s="1014"/>
      <c r="L260" s="755"/>
      <c r="M260" s="755"/>
      <c r="N260" s="1638"/>
      <c r="P260" s="4588"/>
    </row>
    <row r="261" spans="1:16" s="1639" customFormat="1" ht="15" customHeight="1" x14ac:dyDescent="0.25">
      <c r="A261" s="1637"/>
      <c r="B261" s="1242"/>
      <c r="C261" s="622" t="s">
        <v>6969</v>
      </c>
      <c r="D261" s="666">
        <v>1863000000</v>
      </c>
      <c r="E261" s="1138">
        <f>D261/D255*100</f>
        <v>1.0156382836580906</v>
      </c>
      <c r="F261" s="624"/>
      <c r="G261" s="755"/>
      <c r="H261" s="755"/>
      <c r="I261" s="755"/>
      <c r="J261" s="2180"/>
      <c r="K261" s="1014"/>
      <c r="L261" s="755"/>
      <c r="M261" s="755"/>
      <c r="N261" s="1638"/>
      <c r="P261" s="4588"/>
    </row>
    <row r="262" spans="1:16" s="4551" customFormat="1" ht="15" customHeight="1" x14ac:dyDescent="0.25">
      <c r="A262" s="4544"/>
      <c r="B262" s="2910"/>
      <c r="C262" s="4552" t="s">
        <v>6970</v>
      </c>
      <c r="D262" s="799">
        <v>1728000000</v>
      </c>
      <c r="E262" s="1138">
        <f>D262/D255*100</f>
        <v>0.94204130658141727</v>
      </c>
      <c r="F262" s="4545"/>
      <c r="G262" s="4553"/>
      <c r="H262" s="2477"/>
      <c r="I262" s="4546"/>
      <c r="J262" s="4547"/>
      <c r="K262" s="4548"/>
      <c r="L262" s="2467"/>
      <c r="M262" s="4549"/>
      <c r="N262" s="4550"/>
      <c r="P262" s="4590"/>
    </row>
    <row r="263" spans="1:16" s="2079" customFormat="1" ht="18" customHeight="1" x14ac:dyDescent="0.25">
      <c r="A263" s="2070"/>
      <c r="B263" s="4119"/>
      <c r="C263" s="4554" t="s">
        <v>6971</v>
      </c>
      <c r="D263" s="780">
        <v>728000000</v>
      </c>
      <c r="E263" s="1138">
        <f>D263/D255*100</f>
        <v>0.39687851342087488</v>
      </c>
      <c r="F263" s="761"/>
      <c r="G263" s="794"/>
      <c r="H263" s="1415"/>
      <c r="I263" s="2243"/>
      <c r="J263" s="1747"/>
      <c r="K263" s="4615"/>
      <c r="L263" s="2261"/>
      <c r="M263" s="2245"/>
      <c r="N263" s="2077"/>
      <c r="P263" s="4591"/>
    </row>
    <row r="264" spans="1:16" s="2079" customFormat="1" ht="17.25" customHeight="1" x14ac:dyDescent="0.25">
      <c r="A264" s="2070"/>
      <c r="B264" s="4119"/>
      <c r="C264" s="4067" t="s">
        <v>6972</v>
      </c>
      <c r="D264" s="780">
        <v>672000000</v>
      </c>
      <c r="E264" s="1138">
        <f>D264/D255*100</f>
        <v>0.36634939700388452</v>
      </c>
      <c r="F264" s="761"/>
      <c r="G264" s="794"/>
      <c r="H264" s="1415"/>
      <c r="I264" s="2243"/>
      <c r="J264" s="1747"/>
      <c r="K264" s="4615"/>
      <c r="L264" s="2261"/>
      <c r="M264" s="2245"/>
      <c r="N264" s="2077"/>
      <c r="P264" s="4591"/>
    </row>
    <row r="265" spans="1:16" s="2079" customFormat="1" ht="17.25" customHeight="1" x14ac:dyDescent="0.25">
      <c r="A265" s="2070"/>
      <c r="B265" s="4119"/>
      <c r="C265" s="4067" t="s">
        <v>6973</v>
      </c>
      <c r="D265" s="780">
        <v>324000000</v>
      </c>
      <c r="E265" s="1138">
        <f>D265/D255*100</f>
        <v>0.17663274498401574</v>
      </c>
      <c r="F265" s="761"/>
      <c r="G265" s="794"/>
      <c r="H265" s="1415"/>
      <c r="I265" s="2243"/>
      <c r="J265" s="1747"/>
      <c r="K265" s="4615"/>
      <c r="L265" s="2261"/>
      <c r="M265" s="2245"/>
      <c r="N265" s="2077"/>
      <c r="P265" s="4591"/>
    </row>
    <row r="266" spans="1:16" s="2079" customFormat="1" ht="17.25" customHeight="1" x14ac:dyDescent="0.25">
      <c r="A266" s="2070"/>
      <c r="B266" s="4119"/>
      <c r="C266" s="4067" t="s">
        <v>6974</v>
      </c>
      <c r="D266" s="780">
        <v>1680000000</v>
      </c>
      <c r="E266" s="1138">
        <f>D266/D255*100</f>
        <v>0.9158734925097114</v>
      </c>
      <c r="F266" s="761"/>
      <c r="G266" s="794"/>
      <c r="H266" s="1415"/>
      <c r="I266" s="2243"/>
      <c r="J266" s="1747"/>
      <c r="K266" s="4615"/>
      <c r="L266" s="2261"/>
      <c r="M266" s="2245"/>
      <c r="N266" s="2077"/>
      <c r="P266" s="4591"/>
    </row>
    <row r="267" spans="1:16" s="2079" customFormat="1" ht="17.25" customHeight="1" x14ac:dyDescent="0.25">
      <c r="A267" s="2070"/>
      <c r="B267" s="4119"/>
      <c r="C267" s="4067" t="s">
        <v>6975</v>
      </c>
      <c r="D267" s="780">
        <v>210000000</v>
      </c>
      <c r="E267" s="1138">
        <f>D267/D255*100</f>
        <v>0.11448418656371392</v>
      </c>
      <c r="F267" s="761"/>
      <c r="G267" s="794"/>
      <c r="H267" s="1415"/>
      <c r="I267" s="2243"/>
      <c r="J267" s="1747"/>
      <c r="K267" s="4615"/>
      <c r="L267" s="2261"/>
      <c r="M267" s="2245"/>
      <c r="N267" s="2077"/>
      <c r="P267" s="4591"/>
    </row>
    <row r="268" spans="1:16" s="2079" customFormat="1" ht="17.25" customHeight="1" x14ac:dyDescent="0.25">
      <c r="A268" s="2070"/>
      <c r="B268" s="4119"/>
      <c r="C268" s="4067" t="s">
        <v>6976</v>
      </c>
      <c r="D268" s="780">
        <v>140000000</v>
      </c>
      <c r="E268" s="1138">
        <f>D268/D255*100</f>
        <v>7.632279104247594E-2</v>
      </c>
      <c r="F268" s="761"/>
      <c r="G268" s="794"/>
      <c r="H268" s="1415"/>
      <c r="I268" s="2243"/>
      <c r="J268" s="1747"/>
      <c r="K268" s="4615"/>
      <c r="L268" s="2261"/>
      <c r="M268" s="2245"/>
      <c r="N268" s="2077"/>
      <c r="P268" s="4591"/>
    </row>
    <row r="269" spans="1:16" s="2079" customFormat="1" ht="9" customHeight="1" x14ac:dyDescent="0.25">
      <c r="A269" s="2070"/>
      <c r="B269" s="4119"/>
      <c r="C269" s="4067"/>
      <c r="D269" s="780"/>
      <c r="E269" s="1138"/>
      <c r="F269" s="761"/>
      <c r="G269" s="794"/>
      <c r="H269" s="1415"/>
      <c r="I269" s="2243"/>
      <c r="J269" s="1747"/>
      <c r="K269" s="4615"/>
      <c r="L269" s="2261"/>
      <c r="M269" s="2245"/>
      <c r="N269" s="2077"/>
      <c r="P269" s="4591"/>
    </row>
    <row r="270" spans="1:16" s="2079" customFormat="1" ht="16.5" customHeight="1" x14ac:dyDescent="0.25">
      <c r="A270" s="2070"/>
      <c r="B270" s="4119"/>
      <c r="C270" s="4555" t="s">
        <v>6977</v>
      </c>
      <c r="D270" s="768">
        <f>D271</f>
        <v>5242510000</v>
      </c>
      <c r="E270" s="1139">
        <f>D270/D255*100</f>
        <v>2.8580213947720754</v>
      </c>
      <c r="F270" s="761"/>
      <c r="G270" s="794"/>
      <c r="H270" s="1415"/>
      <c r="I270" s="2243"/>
      <c r="J270" s="1747"/>
      <c r="K270" s="4615"/>
      <c r="L270" s="2261"/>
      <c r="M270" s="2245"/>
      <c r="N270" s="2077"/>
      <c r="P270" s="4591"/>
    </row>
    <row r="271" spans="1:16" s="2079" customFormat="1" ht="16.5" customHeight="1" x14ac:dyDescent="0.25">
      <c r="A271" s="2070"/>
      <c r="B271" s="4119"/>
      <c r="C271" s="4067" t="s">
        <v>6978</v>
      </c>
      <c r="D271" s="780">
        <v>5242510000</v>
      </c>
      <c r="E271" s="4560">
        <f>D271/D255*100</f>
        <v>2.8580213947720754</v>
      </c>
      <c r="F271" s="761"/>
      <c r="G271" s="794"/>
      <c r="H271" s="1415"/>
      <c r="I271" s="2243"/>
      <c r="J271" s="1747"/>
      <c r="K271" s="4615"/>
      <c r="L271" s="2261"/>
      <c r="M271" s="2245"/>
      <c r="N271" s="2077"/>
      <c r="P271" s="4591"/>
    </row>
    <row r="272" spans="1:16" s="1639" customFormat="1" ht="9.75" customHeight="1" x14ac:dyDescent="0.25">
      <c r="A272" s="1637"/>
      <c r="B272" s="4119"/>
      <c r="C272" s="3970"/>
      <c r="D272" s="2024"/>
      <c r="E272" s="1446"/>
      <c r="F272" s="792"/>
      <c r="G272" s="4542"/>
      <c r="H272" s="1661"/>
      <c r="I272" s="2243"/>
      <c r="J272" s="1747"/>
      <c r="K272" s="4615"/>
      <c r="L272" s="2261"/>
      <c r="M272" s="2245"/>
      <c r="N272" s="1638"/>
      <c r="P272" s="4588"/>
    </row>
    <row r="273" spans="1:16" s="1639" customFormat="1" ht="15.75" customHeight="1" x14ac:dyDescent="0.25">
      <c r="A273" s="1637"/>
      <c r="B273" s="1242"/>
      <c r="C273" s="3938" t="s">
        <v>366</v>
      </c>
      <c r="D273" s="768">
        <f>SUM(D274:D294)</f>
        <v>32733000000</v>
      </c>
      <c r="E273" s="1139">
        <f>D273/D255*100</f>
        <v>17.844813708524036</v>
      </c>
      <c r="F273" s="3629"/>
      <c r="G273" s="795"/>
      <c r="H273" s="1308"/>
      <c r="I273" s="2243"/>
      <c r="J273" s="1771"/>
      <c r="K273" s="1771"/>
      <c r="L273" s="1671"/>
      <c r="M273" s="2245"/>
      <c r="N273" s="1638"/>
      <c r="P273" s="4588"/>
    </row>
    <row r="274" spans="1:16" s="1639" customFormat="1" x14ac:dyDescent="0.25">
      <c r="A274" s="1637"/>
      <c r="B274" s="1242"/>
      <c r="C274" s="3866" t="s">
        <v>6979</v>
      </c>
      <c r="D274" s="666">
        <v>8590000000</v>
      </c>
      <c r="E274" s="1138">
        <f>D274/D255*100</f>
        <v>4.6829483932490596</v>
      </c>
      <c r="F274" s="624"/>
      <c r="G274" s="755"/>
      <c r="H274" s="755"/>
      <c r="I274" s="755"/>
      <c r="J274" s="1753"/>
      <c r="K274" s="1753"/>
      <c r="L274" s="1312"/>
      <c r="M274" s="1312"/>
      <c r="N274" s="1638"/>
      <c r="P274" s="4588"/>
    </row>
    <row r="275" spans="1:16" s="1639" customFormat="1" ht="15.75" customHeight="1" x14ac:dyDescent="0.25">
      <c r="A275" s="1637"/>
      <c r="B275" s="1242"/>
      <c r="C275" s="3866" t="s">
        <v>6980</v>
      </c>
      <c r="D275" s="666">
        <v>7440000000</v>
      </c>
      <c r="E275" s="1138">
        <f>D275/D255*100</f>
        <v>4.0560111811144353</v>
      </c>
      <c r="F275" s="624"/>
      <c r="G275" s="755"/>
      <c r="H275" s="1310"/>
      <c r="I275" s="1111"/>
      <c r="J275" s="1753"/>
      <c r="K275" s="1753"/>
      <c r="L275" s="1312"/>
      <c r="M275" s="1312"/>
      <c r="N275" s="1638"/>
      <c r="P275" s="4588"/>
    </row>
    <row r="276" spans="1:16" s="1639" customFormat="1" ht="14.25" customHeight="1" x14ac:dyDescent="0.25">
      <c r="A276" s="1637"/>
      <c r="B276" s="1242"/>
      <c r="C276" s="622" t="s">
        <v>6981</v>
      </c>
      <c r="D276" s="666">
        <v>1350000000</v>
      </c>
      <c r="E276" s="1138">
        <f>D276/D255*100</f>
        <v>0.7359697707667322</v>
      </c>
      <c r="F276" s="624"/>
      <c r="G276" s="755"/>
      <c r="H276" s="755"/>
      <c r="I276" s="755"/>
      <c r="J276" s="1753"/>
      <c r="K276" s="1753"/>
      <c r="L276" s="1312"/>
      <c r="M276" s="1312"/>
      <c r="N276" s="1638"/>
      <c r="P276" s="4588"/>
    </row>
    <row r="277" spans="1:16" s="1639" customFormat="1" ht="20.25" customHeight="1" x14ac:dyDescent="0.25">
      <c r="A277" s="1637"/>
      <c r="B277" s="1242"/>
      <c r="C277" s="622" t="s">
        <v>6982</v>
      </c>
      <c r="D277" s="666">
        <v>1350000000</v>
      </c>
      <c r="E277" s="1138">
        <f>D277/D255*100</f>
        <v>0.7359697707667322</v>
      </c>
      <c r="F277" s="624"/>
      <c r="G277" s="755"/>
      <c r="H277" s="755"/>
      <c r="I277" s="755"/>
      <c r="J277" s="1753"/>
      <c r="K277" s="1753"/>
      <c r="L277" s="1312"/>
      <c r="M277" s="1312"/>
      <c r="N277" s="1638"/>
      <c r="P277" s="4588"/>
    </row>
    <row r="278" spans="1:16" s="1639" customFormat="1" ht="17.25" customHeight="1" x14ac:dyDescent="0.25">
      <c r="A278" s="1637"/>
      <c r="B278" s="1242"/>
      <c r="C278" s="622" t="s">
        <v>6983</v>
      </c>
      <c r="D278" s="666">
        <v>1125000000</v>
      </c>
      <c r="E278" s="1138">
        <f>D277/D255*100</f>
        <v>0.7359697707667322</v>
      </c>
      <c r="F278" s="624"/>
      <c r="G278" s="755"/>
      <c r="H278" s="755"/>
      <c r="I278" s="755"/>
      <c r="J278" s="1753"/>
      <c r="K278" s="1014"/>
      <c r="L278" s="755"/>
      <c r="M278" s="755"/>
      <c r="N278" s="1638"/>
      <c r="P278" s="4588"/>
    </row>
    <row r="279" spans="1:16" s="1639" customFormat="1" ht="15" customHeight="1" x14ac:dyDescent="0.25">
      <c r="A279" s="1637"/>
      <c r="B279" s="4119"/>
      <c r="C279" s="4556" t="s">
        <v>6984</v>
      </c>
      <c r="D279" s="1855">
        <v>960000000</v>
      </c>
      <c r="E279" s="1138">
        <f>D279/D255*100</f>
        <v>0.52335628143412072</v>
      </c>
      <c r="F279" s="4557"/>
      <c r="G279" s="3630"/>
      <c r="H279" s="3620"/>
      <c r="I279" s="3620"/>
      <c r="J279" s="1753"/>
      <c r="K279" s="3879"/>
      <c r="L279" s="3620"/>
      <c r="M279" s="3620"/>
      <c r="N279" s="1638"/>
      <c r="P279" s="4588"/>
    </row>
    <row r="280" spans="1:16" s="1639" customFormat="1" ht="15.75" customHeight="1" x14ac:dyDescent="0.25">
      <c r="A280" s="1637"/>
      <c r="B280" s="4119"/>
      <c r="C280" s="4556" t="s">
        <v>6985</v>
      </c>
      <c r="D280" s="1855">
        <v>960000000</v>
      </c>
      <c r="E280" s="1138">
        <f>D280/D255*100</f>
        <v>0.52335628143412072</v>
      </c>
      <c r="F280" s="4557"/>
      <c r="G280" s="3630"/>
      <c r="H280" s="3620"/>
      <c r="I280" s="3620"/>
      <c r="J280" s="1753"/>
      <c r="K280" s="3879"/>
      <c r="L280" s="3620"/>
      <c r="M280" s="3620"/>
      <c r="N280" s="1638"/>
      <c r="P280" s="4588"/>
    </row>
    <row r="281" spans="1:16" s="1639" customFormat="1" ht="17.25" customHeight="1" x14ac:dyDescent="0.25">
      <c r="A281" s="1637"/>
      <c r="B281" s="4119"/>
      <c r="C281" s="4556" t="s">
        <v>6986</v>
      </c>
      <c r="D281" s="1855">
        <v>960000000</v>
      </c>
      <c r="E281" s="1138">
        <f>D281/D255*100</f>
        <v>0.52335628143412072</v>
      </c>
      <c r="F281" s="4557"/>
      <c r="G281" s="3630"/>
      <c r="H281" s="3620"/>
      <c r="I281" s="3620"/>
      <c r="J281" s="1753"/>
      <c r="K281" s="3879"/>
      <c r="L281" s="3620"/>
      <c r="M281" s="3620"/>
      <c r="N281" s="1638"/>
      <c r="P281" s="4588"/>
    </row>
    <row r="282" spans="1:16" s="1639" customFormat="1" ht="17.25" customHeight="1" x14ac:dyDescent="0.25">
      <c r="A282" s="1637"/>
      <c r="B282" s="4119"/>
      <c r="C282" s="4556" t="s">
        <v>6987</v>
      </c>
      <c r="D282" s="1855">
        <v>960000000</v>
      </c>
      <c r="E282" s="1138">
        <f>D282/D255*100</f>
        <v>0.52335628143412072</v>
      </c>
      <c r="F282" s="4557"/>
      <c r="G282" s="3630"/>
      <c r="H282" s="3620"/>
      <c r="I282" s="3620"/>
      <c r="J282" s="1753"/>
      <c r="K282" s="3879"/>
      <c r="L282" s="3620"/>
      <c r="M282" s="3620"/>
      <c r="N282" s="1638"/>
      <c r="P282" s="4588"/>
    </row>
    <row r="283" spans="1:16" s="1639" customFormat="1" ht="17.25" customHeight="1" x14ac:dyDescent="0.25">
      <c r="A283" s="1637"/>
      <c r="B283" s="4119"/>
      <c r="C283" s="4556" t="s">
        <v>6988</v>
      </c>
      <c r="D283" s="1855">
        <v>1250000000</v>
      </c>
      <c r="E283" s="1138">
        <f>D283/D255*100</f>
        <v>0.68145349145067802</v>
      </c>
      <c r="F283" s="4557"/>
      <c r="G283" s="3630"/>
      <c r="H283" s="3620"/>
      <c r="I283" s="3620"/>
      <c r="J283" s="1753"/>
      <c r="K283" s="3879"/>
      <c r="L283" s="3620"/>
      <c r="M283" s="3620"/>
      <c r="N283" s="1638"/>
      <c r="P283" s="4588"/>
    </row>
    <row r="284" spans="1:16" s="1639" customFormat="1" ht="17.25" customHeight="1" x14ac:dyDescent="0.25">
      <c r="A284" s="1637"/>
      <c r="B284" s="4119"/>
      <c r="C284" s="4556" t="s">
        <v>6989</v>
      </c>
      <c r="D284" s="1855">
        <v>1250000000</v>
      </c>
      <c r="E284" s="1138">
        <f>D284/D255*100</f>
        <v>0.68145349145067802</v>
      </c>
      <c r="F284" s="4557"/>
      <c r="G284" s="3630"/>
      <c r="H284" s="3620"/>
      <c r="I284" s="3620"/>
      <c r="J284" s="1753"/>
      <c r="K284" s="3879"/>
      <c r="L284" s="3620"/>
      <c r="M284" s="3620"/>
      <c r="N284" s="1638"/>
      <c r="P284" s="4588"/>
    </row>
    <row r="285" spans="1:16" s="1639" customFormat="1" ht="17.25" customHeight="1" x14ac:dyDescent="0.25">
      <c r="A285" s="1637"/>
      <c r="B285" s="4119"/>
      <c r="C285" s="4556" t="s">
        <v>6990</v>
      </c>
      <c r="D285" s="1855">
        <v>1798000000</v>
      </c>
      <c r="E285" s="1138">
        <f>D285/D255*100</f>
        <v>0.98020270210265537</v>
      </c>
      <c r="F285" s="4557"/>
      <c r="G285" s="3630"/>
      <c r="H285" s="3620"/>
      <c r="I285" s="3620"/>
      <c r="J285" s="1753"/>
      <c r="K285" s="3879"/>
      <c r="L285" s="3620"/>
      <c r="M285" s="3620"/>
      <c r="N285" s="1638"/>
      <c r="P285" s="4588"/>
    </row>
    <row r="286" spans="1:16" s="1639" customFormat="1" ht="17.25" customHeight="1" x14ac:dyDescent="0.25">
      <c r="A286" s="1637"/>
      <c r="B286" s="4119"/>
      <c r="C286" s="4556" t="s">
        <v>6991</v>
      </c>
      <c r="D286" s="1855">
        <v>725000000</v>
      </c>
      <c r="E286" s="1138">
        <f>D286/D255*100</f>
        <v>0.39524302504139325</v>
      </c>
      <c r="F286" s="4557"/>
      <c r="G286" s="3630"/>
      <c r="H286" s="3620"/>
      <c r="I286" s="3620"/>
      <c r="J286" s="1753"/>
      <c r="K286" s="3879"/>
      <c r="L286" s="3620"/>
      <c r="M286" s="3620"/>
      <c r="N286" s="1638"/>
      <c r="P286" s="4588"/>
    </row>
    <row r="287" spans="1:16" s="1639" customFormat="1" ht="17.25" customHeight="1" x14ac:dyDescent="0.25">
      <c r="A287" s="1637"/>
      <c r="B287" s="4119"/>
      <c r="C287" s="4556" t="s">
        <v>6992</v>
      </c>
      <c r="D287" s="1855">
        <v>725000000</v>
      </c>
      <c r="E287" s="1138">
        <f>D287/D255*100</f>
        <v>0.39524302504139325</v>
      </c>
      <c r="F287" s="4557"/>
      <c r="G287" s="3630"/>
      <c r="H287" s="3620"/>
      <c r="I287" s="3620"/>
      <c r="J287" s="1753"/>
      <c r="K287" s="3879"/>
      <c r="L287" s="3620"/>
      <c r="M287" s="3620"/>
      <c r="N287" s="1638"/>
      <c r="P287" s="4588"/>
    </row>
    <row r="288" spans="1:16" s="1639" customFormat="1" ht="18" customHeight="1" x14ac:dyDescent="0.25">
      <c r="A288" s="1637"/>
      <c r="B288" s="1242"/>
      <c r="C288" s="4556" t="s">
        <v>6993</v>
      </c>
      <c r="D288" s="1855">
        <v>725000000</v>
      </c>
      <c r="E288" s="1138">
        <f>D288/D255*100</f>
        <v>0.39524302504139325</v>
      </c>
      <c r="F288" s="782"/>
      <c r="G288" s="755"/>
      <c r="H288" s="1310"/>
      <c r="I288" s="2246"/>
      <c r="J288" s="1753"/>
      <c r="K288" s="1753"/>
      <c r="L288" s="1312"/>
      <c r="M288" s="2247"/>
      <c r="N288" s="1638"/>
      <c r="P288" s="4588"/>
    </row>
    <row r="289" spans="1:16" s="1639" customFormat="1" ht="18" customHeight="1" x14ac:dyDescent="0.25">
      <c r="A289" s="1637"/>
      <c r="B289" s="4119"/>
      <c r="C289" s="4556" t="s">
        <v>6994</v>
      </c>
      <c r="D289" s="1855">
        <v>1125000000</v>
      </c>
      <c r="E289" s="1138">
        <f>D289/D255*100</f>
        <v>0.61330814230561026</v>
      </c>
      <c r="F289" s="3557"/>
      <c r="G289" s="3630"/>
      <c r="H289" s="1310"/>
      <c r="I289" s="2246"/>
      <c r="J289" s="1753"/>
      <c r="K289" s="1753"/>
      <c r="L289" s="1703"/>
      <c r="M289" s="2658"/>
      <c r="N289" s="1638"/>
      <c r="P289" s="4588"/>
    </row>
    <row r="290" spans="1:16" s="1639" customFormat="1" ht="18" customHeight="1" x14ac:dyDescent="0.25">
      <c r="A290" s="1637"/>
      <c r="B290" s="4119"/>
      <c r="C290" s="4556" t="s">
        <v>6995</v>
      </c>
      <c r="D290" s="1855">
        <v>540000000</v>
      </c>
      <c r="E290" s="1138">
        <f>D290/D255*100</f>
        <v>0.29438790830669292</v>
      </c>
      <c r="F290" s="3557"/>
      <c r="G290" s="3630"/>
      <c r="H290" s="1310"/>
      <c r="I290" s="2246"/>
      <c r="J290" s="1753"/>
      <c r="K290" s="1753"/>
      <c r="L290" s="1703"/>
      <c r="M290" s="2658"/>
      <c r="N290" s="1638"/>
      <c r="P290" s="4588"/>
    </row>
    <row r="291" spans="1:16" s="1639" customFormat="1" ht="18" customHeight="1" x14ac:dyDescent="0.25">
      <c r="A291" s="1637"/>
      <c r="B291" s="4119"/>
      <c r="C291" s="4556" t="s">
        <v>6996</v>
      </c>
      <c r="D291" s="1855">
        <v>270000000</v>
      </c>
      <c r="E291" s="1138">
        <f>D291/D255*100</f>
        <v>0.14719395415334646</v>
      </c>
      <c r="F291" s="3557"/>
      <c r="G291" s="3630"/>
      <c r="H291" s="1310"/>
      <c r="I291" s="2246"/>
      <c r="J291" s="1753"/>
      <c r="K291" s="1753"/>
      <c r="L291" s="1703"/>
      <c r="M291" s="2658"/>
      <c r="N291" s="1638"/>
      <c r="P291" s="4588"/>
    </row>
    <row r="292" spans="1:16" s="1639" customFormat="1" ht="18" customHeight="1" x14ac:dyDescent="0.25">
      <c r="A292" s="1637"/>
      <c r="B292" s="4119"/>
      <c r="C292" s="4556" t="s">
        <v>6997</v>
      </c>
      <c r="D292" s="1855">
        <v>210000000</v>
      </c>
      <c r="E292" s="1138">
        <f>D292/D255*100</f>
        <v>0.11448418656371392</v>
      </c>
      <c r="F292" s="3557"/>
      <c r="G292" s="3630"/>
      <c r="H292" s="1310"/>
      <c r="I292" s="2246"/>
      <c r="J292" s="1753"/>
      <c r="K292" s="1753"/>
      <c r="L292" s="1703"/>
      <c r="M292" s="2658"/>
      <c r="N292" s="1638"/>
      <c r="P292" s="4588"/>
    </row>
    <row r="293" spans="1:16" s="1639" customFormat="1" ht="18" customHeight="1" x14ac:dyDescent="0.25">
      <c r="A293" s="1637"/>
      <c r="B293" s="4119"/>
      <c r="C293" s="4556" t="s">
        <v>6998</v>
      </c>
      <c r="D293" s="1855">
        <v>210000000</v>
      </c>
      <c r="E293" s="1138">
        <f>D293/D255*100</f>
        <v>0.11448418656371392</v>
      </c>
      <c r="F293" s="3557"/>
      <c r="G293" s="3630"/>
      <c r="H293" s="1310"/>
      <c r="I293" s="2246"/>
      <c r="J293" s="1753"/>
      <c r="K293" s="1753"/>
      <c r="L293" s="1703"/>
      <c r="M293" s="2658"/>
      <c r="N293" s="1638"/>
      <c r="P293" s="4588"/>
    </row>
    <row r="294" spans="1:16" s="1639" customFormat="1" ht="18" customHeight="1" x14ac:dyDescent="0.25">
      <c r="A294" s="1637"/>
      <c r="B294" s="4119"/>
      <c r="C294" s="4556" t="s">
        <v>6999</v>
      </c>
      <c r="D294" s="1855">
        <v>210000000</v>
      </c>
      <c r="E294" s="1138">
        <f>D294/D255*100</f>
        <v>0.11448418656371392</v>
      </c>
      <c r="F294" s="3557"/>
      <c r="G294" s="3630"/>
      <c r="H294" s="1310"/>
      <c r="I294" s="2246"/>
      <c r="J294" s="1753"/>
      <c r="K294" s="1753"/>
      <c r="L294" s="1703"/>
      <c r="M294" s="2658"/>
      <c r="N294" s="1638"/>
      <c r="P294" s="4588"/>
    </row>
    <row r="295" spans="1:16" s="1639" customFormat="1" ht="10.5" customHeight="1" x14ac:dyDescent="0.25">
      <c r="A295" s="1637"/>
      <c r="B295" s="4119"/>
      <c r="C295" s="4556"/>
      <c r="D295" s="1855"/>
      <c r="E295" s="1138"/>
      <c r="F295" s="3557"/>
      <c r="G295" s="3630"/>
      <c r="H295" s="1310"/>
      <c r="I295" s="2246"/>
      <c r="J295" s="1753"/>
      <c r="K295" s="1753"/>
      <c r="L295" s="1703"/>
      <c r="M295" s="2658"/>
      <c r="N295" s="1638"/>
      <c r="P295" s="4588"/>
    </row>
    <row r="296" spans="1:16" s="1639" customFormat="1" ht="16.5" customHeight="1" x14ac:dyDescent="0.25">
      <c r="A296" s="1637"/>
      <c r="B296" s="1242"/>
      <c r="C296" s="3938" t="s">
        <v>7000</v>
      </c>
      <c r="D296" s="768">
        <f>SUM(D297:D299)</f>
        <v>3140904000</v>
      </c>
      <c r="E296" s="1139">
        <f>D296/D255*100</f>
        <v>1.7123039976891203</v>
      </c>
      <c r="F296" s="753"/>
      <c r="G296" s="753"/>
      <c r="H296" s="1308"/>
      <c r="I296" s="1316"/>
      <c r="J296" s="1772"/>
      <c r="K296" s="1772"/>
      <c r="L296" s="1671"/>
      <c r="M296" s="1671"/>
      <c r="N296" s="1638"/>
      <c r="P296" s="4588"/>
    </row>
    <row r="297" spans="1:16" s="1639" customFormat="1" ht="18" customHeight="1" x14ac:dyDescent="0.25">
      <c r="A297" s="1637"/>
      <c r="B297" s="1242"/>
      <c r="C297" s="3917" t="s">
        <v>7003</v>
      </c>
      <c r="D297" s="666">
        <v>530904000</v>
      </c>
      <c r="E297" s="1138">
        <f>D297/D255*100</f>
        <v>0.28942910754010465</v>
      </c>
      <c r="F297" s="626"/>
      <c r="G297" s="755"/>
      <c r="H297" s="1310"/>
      <c r="I297" s="1111"/>
      <c r="J297" s="1753"/>
      <c r="K297" s="1753"/>
      <c r="L297" s="1312"/>
      <c r="M297" s="1312"/>
      <c r="N297" s="1638"/>
      <c r="P297" s="4588"/>
    </row>
    <row r="298" spans="1:16" s="1639" customFormat="1" ht="15.75" customHeight="1" x14ac:dyDescent="0.25">
      <c r="A298" s="1637"/>
      <c r="B298" s="4119"/>
      <c r="C298" s="4001" t="s">
        <v>7001</v>
      </c>
      <c r="D298" s="868">
        <v>1500000000</v>
      </c>
      <c r="E298" s="1138">
        <f>D298/D255*100</f>
        <v>0.81774418974081364</v>
      </c>
      <c r="F298" s="4558"/>
      <c r="G298" s="798"/>
      <c r="H298" s="2174"/>
      <c r="I298" s="1324"/>
      <c r="J298" s="2180"/>
      <c r="K298" s="2180"/>
      <c r="L298" s="1312"/>
      <c r="M298" s="1312"/>
      <c r="N298" s="1638"/>
      <c r="P298" s="4588"/>
    </row>
    <row r="299" spans="1:16" s="1639" customFormat="1" ht="18" customHeight="1" x14ac:dyDescent="0.25">
      <c r="A299" s="1637"/>
      <c r="B299" s="4119"/>
      <c r="C299" s="4001" t="s">
        <v>7002</v>
      </c>
      <c r="D299" s="868">
        <v>1110000000</v>
      </c>
      <c r="E299" s="1138">
        <f>D299/D255*100</f>
        <v>0.60513070040820205</v>
      </c>
      <c r="F299" s="4558"/>
      <c r="G299" s="798"/>
      <c r="H299" s="2174"/>
      <c r="I299" s="1324"/>
      <c r="J299" s="2180"/>
      <c r="K299" s="2180"/>
      <c r="L299" s="1312"/>
      <c r="M299" s="1312"/>
      <c r="N299" s="1638"/>
      <c r="P299" s="4588"/>
    </row>
    <row r="300" spans="1:16" ht="13.5" customHeight="1" x14ac:dyDescent="0.25">
      <c r="B300" s="1242"/>
      <c r="C300" s="3972"/>
      <c r="D300" s="660"/>
      <c r="E300" s="1140"/>
      <c r="F300" s="796"/>
      <c r="G300" s="777"/>
      <c r="H300" s="2174"/>
      <c r="I300" s="2248"/>
      <c r="J300" s="1311"/>
      <c r="K300" s="1311"/>
      <c r="L300" s="1311"/>
      <c r="M300" s="1311"/>
      <c r="N300" s="535"/>
    </row>
    <row r="301" spans="1:16" s="1639" customFormat="1" ht="18.75" customHeight="1" x14ac:dyDescent="0.25">
      <c r="A301" s="1637"/>
      <c r="B301" s="1305"/>
      <c r="C301" s="3973" t="s">
        <v>241</v>
      </c>
      <c r="D301" s="2659">
        <f>SUM(D302+D305+D333)</f>
        <v>20745893240</v>
      </c>
      <c r="E301" s="1445">
        <f>D301/D255*100</f>
        <v>11.309889105328816</v>
      </c>
      <c r="F301" s="765"/>
      <c r="G301" s="765"/>
      <c r="H301" s="1462"/>
      <c r="I301" s="2239"/>
      <c r="J301" s="1773"/>
      <c r="K301" s="1773"/>
      <c r="L301" s="1462"/>
      <c r="M301" s="2240"/>
      <c r="N301" s="1638"/>
      <c r="P301" s="4588"/>
    </row>
    <row r="302" spans="1:16" s="1639" customFormat="1" ht="19.5" customHeight="1" x14ac:dyDescent="0.25">
      <c r="A302" s="1637"/>
      <c r="B302" s="1242"/>
      <c r="C302" s="3974" t="s">
        <v>7004</v>
      </c>
      <c r="D302" s="4176">
        <f>SUM(D303)</f>
        <v>7840926585</v>
      </c>
      <c r="E302" s="1446">
        <f>D302/D255*100</f>
        <v>4.2745814380453533</v>
      </c>
      <c r="F302" s="654"/>
      <c r="G302" s="795"/>
      <c r="H302" s="795"/>
      <c r="I302" s="795"/>
      <c r="J302" s="654"/>
      <c r="K302" s="1771"/>
      <c r="L302" s="795"/>
      <c r="M302" s="795"/>
      <c r="N302" s="1638"/>
      <c r="P302" s="4588"/>
    </row>
    <row r="303" spans="1:16" s="1639" customFormat="1" ht="18" customHeight="1" x14ac:dyDescent="0.25">
      <c r="A303" s="1637"/>
      <c r="B303" s="1242"/>
      <c r="C303" s="3864" t="s">
        <v>7005</v>
      </c>
      <c r="D303" s="666">
        <v>7840926585</v>
      </c>
      <c r="E303" s="1126">
        <f>D303/D255*100</f>
        <v>4.2745814380453533</v>
      </c>
      <c r="F303" s="624"/>
      <c r="G303" s="755"/>
      <c r="H303" s="755"/>
      <c r="I303" s="755"/>
      <c r="J303" s="1774"/>
      <c r="K303" s="1014"/>
      <c r="L303" s="755"/>
      <c r="M303" s="755"/>
      <c r="N303" s="1638"/>
      <c r="P303" s="4588"/>
    </row>
    <row r="304" spans="1:16" s="1639" customFormat="1" ht="12" customHeight="1" x14ac:dyDescent="0.25">
      <c r="A304" s="1637"/>
      <c r="B304" s="1242"/>
      <c r="C304" s="3917"/>
      <c r="D304" s="780"/>
      <c r="E304" s="1126"/>
      <c r="F304" s="755"/>
      <c r="G304" s="755"/>
      <c r="H304" s="1308"/>
      <c r="I304" s="1316"/>
      <c r="J304" s="1014"/>
      <c r="K304" s="1753"/>
      <c r="L304" s="1650"/>
      <c r="M304" s="1650"/>
      <c r="N304" s="1638"/>
      <c r="P304" s="4588"/>
    </row>
    <row r="305" spans="1:16" s="1639" customFormat="1" ht="21" customHeight="1" x14ac:dyDescent="0.25">
      <c r="A305" s="1637"/>
      <c r="B305" s="1242"/>
      <c r="C305" s="3975" t="s">
        <v>7006</v>
      </c>
      <c r="D305" s="4177">
        <f>SUM(D306:D331)</f>
        <v>7093440000</v>
      </c>
      <c r="E305" s="1447">
        <f>D305/D255*100</f>
        <v>3.8670795635167186</v>
      </c>
      <c r="F305" s="621"/>
      <c r="G305" s="621"/>
      <c r="H305" s="1308"/>
      <c r="I305" s="1316"/>
      <c r="J305" s="621"/>
      <c r="K305" s="621"/>
      <c r="L305" s="1671"/>
      <c r="M305" s="1650"/>
      <c r="N305" s="1638"/>
      <c r="P305" s="4588"/>
    </row>
    <row r="306" spans="1:16" s="1639" customFormat="1" ht="16.5" customHeight="1" x14ac:dyDescent="0.25">
      <c r="A306" s="1637"/>
      <c r="B306" s="1242"/>
      <c r="C306" s="3866" t="s">
        <v>7007</v>
      </c>
      <c r="D306" s="666">
        <v>483620000</v>
      </c>
      <c r="E306" s="1126">
        <f>D306/D255*100</f>
        <v>0.2636516300283015</v>
      </c>
      <c r="F306" s="626"/>
      <c r="G306" s="755"/>
      <c r="H306" s="755"/>
      <c r="I306" s="755"/>
      <c r="J306" s="1775"/>
      <c r="K306" s="1753"/>
      <c r="L306" s="1312"/>
      <c r="M306" s="1312"/>
      <c r="N306" s="1638"/>
      <c r="P306" s="4588"/>
    </row>
    <row r="307" spans="1:16" s="1639" customFormat="1" ht="15.75" customHeight="1" x14ac:dyDescent="0.25">
      <c r="A307" s="1637"/>
      <c r="B307" s="1242"/>
      <c r="C307" s="3866" t="s">
        <v>7008</v>
      </c>
      <c r="D307" s="780">
        <v>498200000</v>
      </c>
      <c r="E307" s="1126">
        <f>D307/D255*100</f>
        <v>0.27160010355258224</v>
      </c>
      <c r="F307" s="625"/>
      <c r="G307" s="755"/>
      <c r="H307" s="755"/>
      <c r="I307" s="755"/>
      <c r="J307" s="1776"/>
      <c r="K307" s="1753"/>
      <c r="L307" s="1312"/>
      <c r="M307" s="1312"/>
      <c r="N307" s="1638"/>
      <c r="P307" s="4588"/>
    </row>
    <row r="308" spans="1:16" s="1639" customFormat="1" ht="16.5" customHeight="1" x14ac:dyDescent="0.25">
      <c r="A308" s="1637"/>
      <c r="B308" s="1242"/>
      <c r="C308" s="3866" t="s">
        <v>7009</v>
      </c>
      <c r="D308" s="780">
        <v>604000000</v>
      </c>
      <c r="E308" s="1126">
        <f>D308/D255*100</f>
        <v>0.32927832706896759</v>
      </c>
      <c r="F308" s="625"/>
      <c r="G308" s="755"/>
      <c r="H308" s="755"/>
      <c r="I308" s="755"/>
      <c r="J308" s="1776"/>
      <c r="K308" s="1014"/>
      <c r="L308" s="755"/>
      <c r="M308" s="755"/>
      <c r="N308" s="1638"/>
      <c r="P308" s="4588"/>
    </row>
    <row r="309" spans="1:16" s="1639" customFormat="1" ht="16.5" customHeight="1" x14ac:dyDescent="0.25">
      <c r="A309" s="1637"/>
      <c r="B309" s="1242"/>
      <c r="C309" s="3866" t="s">
        <v>7010</v>
      </c>
      <c r="D309" s="780">
        <v>144800000</v>
      </c>
      <c r="E309" s="1126">
        <f>D309/D255*100</f>
        <v>7.8939572449646542E-2</v>
      </c>
      <c r="F309" s="625"/>
      <c r="G309" s="755"/>
      <c r="H309" s="1310"/>
      <c r="I309" s="1111"/>
      <c r="J309" s="1776"/>
      <c r="K309" s="1753"/>
      <c r="L309" s="1312"/>
      <c r="M309" s="1312"/>
      <c r="N309" s="1638"/>
      <c r="P309" s="4588"/>
    </row>
    <row r="310" spans="1:16" s="1639" customFormat="1" ht="16.5" customHeight="1" x14ac:dyDescent="0.25">
      <c r="A310" s="1637"/>
      <c r="B310" s="4119"/>
      <c r="C310" s="3866" t="s">
        <v>7011</v>
      </c>
      <c r="D310" s="780">
        <v>319760000</v>
      </c>
      <c r="E310" s="1126">
        <f>D310/D255*100</f>
        <v>0.17432125474101504</v>
      </c>
      <c r="F310" s="625"/>
      <c r="G310" s="3630"/>
      <c r="H310" s="1310"/>
      <c r="I310" s="1111"/>
      <c r="J310" s="1776"/>
      <c r="K310" s="1753"/>
      <c r="L310" s="1312"/>
      <c r="M310" s="1312"/>
      <c r="N310" s="1638"/>
      <c r="P310" s="4588"/>
    </row>
    <row r="311" spans="1:16" s="1639" customFormat="1" ht="16.5" customHeight="1" x14ac:dyDescent="0.25">
      <c r="A311" s="1637"/>
      <c r="B311" s="4119"/>
      <c r="C311" s="3866" t="s">
        <v>7012</v>
      </c>
      <c r="D311" s="780">
        <v>273300000</v>
      </c>
      <c r="E311" s="1126">
        <f>D311/D255*100</f>
        <v>0.14899299137077626</v>
      </c>
      <c r="F311" s="625"/>
      <c r="G311" s="3630"/>
      <c r="H311" s="1310"/>
      <c r="I311" s="1111"/>
      <c r="J311" s="1776"/>
      <c r="K311" s="1753"/>
      <c r="L311" s="1312"/>
      <c r="M311" s="1312"/>
      <c r="N311" s="1638"/>
      <c r="P311" s="4588"/>
    </row>
    <row r="312" spans="1:16" s="1639" customFormat="1" ht="16.5" customHeight="1" x14ac:dyDescent="0.25">
      <c r="A312" s="1637"/>
      <c r="B312" s="4119"/>
      <c r="C312" s="3866" t="s">
        <v>7013</v>
      </c>
      <c r="D312" s="780">
        <v>193920000</v>
      </c>
      <c r="E312" s="1126">
        <f>D312/D255*100</f>
        <v>0.10571796884969238</v>
      </c>
      <c r="F312" s="625"/>
      <c r="G312" s="3630"/>
      <c r="H312" s="1310"/>
      <c r="I312" s="1111"/>
      <c r="J312" s="1776"/>
      <c r="K312" s="1753"/>
      <c r="L312" s="1312"/>
      <c r="M312" s="1312"/>
      <c r="N312" s="1638"/>
      <c r="P312" s="4588"/>
    </row>
    <row r="313" spans="1:16" s="1639" customFormat="1" ht="16.5" customHeight="1" x14ac:dyDescent="0.25">
      <c r="A313" s="1637"/>
      <c r="B313" s="4119"/>
      <c r="C313" s="3866" t="s">
        <v>7014</v>
      </c>
      <c r="D313" s="780">
        <v>258920000</v>
      </c>
      <c r="E313" s="1126">
        <f>D313/D255*100</f>
        <v>0.14115355040512764</v>
      </c>
      <c r="F313" s="625"/>
      <c r="G313" s="3630"/>
      <c r="H313" s="1310"/>
      <c r="I313" s="1111"/>
      <c r="J313" s="1776"/>
      <c r="K313" s="1753"/>
      <c r="L313" s="1312"/>
      <c r="M313" s="1312"/>
      <c r="N313" s="1638"/>
      <c r="P313" s="4588"/>
    </row>
    <row r="314" spans="1:16" s="1639" customFormat="1" ht="16.5" customHeight="1" x14ac:dyDescent="0.25">
      <c r="A314" s="1637"/>
      <c r="B314" s="4119"/>
      <c r="C314" s="3866" t="s">
        <v>7015</v>
      </c>
      <c r="D314" s="780">
        <v>266920000</v>
      </c>
      <c r="E314" s="1126">
        <f>D314/D255*100</f>
        <v>0.14551485275041198</v>
      </c>
      <c r="F314" s="625"/>
      <c r="G314" s="3630"/>
      <c r="H314" s="1310"/>
      <c r="I314" s="1111"/>
      <c r="J314" s="1776"/>
      <c r="K314" s="1753"/>
      <c r="L314" s="1312"/>
      <c r="M314" s="1312"/>
      <c r="N314" s="1638"/>
      <c r="P314" s="4588"/>
    </row>
    <row r="315" spans="1:16" s="1639" customFormat="1" ht="16.5" customHeight="1" x14ac:dyDescent="0.25">
      <c r="A315" s="1637"/>
      <c r="B315" s="4119"/>
      <c r="C315" s="3866" t="s">
        <v>7016</v>
      </c>
      <c r="D315" s="780">
        <v>434120000</v>
      </c>
      <c r="E315" s="1126">
        <f>D315/D255*100</f>
        <v>0.23666607176685467</v>
      </c>
      <c r="F315" s="625"/>
      <c r="G315" s="3630"/>
      <c r="H315" s="1310"/>
      <c r="I315" s="1111"/>
      <c r="J315" s="1776"/>
      <c r="K315" s="1753"/>
      <c r="L315" s="1312"/>
      <c r="M315" s="1312"/>
      <c r="N315" s="1638"/>
      <c r="P315" s="4588"/>
    </row>
    <row r="316" spans="1:16" s="1639" customFormat="1" ht="16.5" customHeight="1" x14ac:dyDescent="0.25">
      <c r="A316" s="1637"/>
      <c r="B316" s="4119"/>
      <c r="C316" s="3866" t="s">
        <v>7017</v>
      </c>
      <c r="D316" s="780">
        <v>234700000</v>
      </c>
      <c r="E316" s="1126">
        <f>D316/D255*100</f>
        <v>0.12794970755477933</v>
      </c>
      <c r="F316" s="625"/>
      <c r="G316" s="3630"/>
      <c r="H316" s="1310"/>
      <c r="I316" s="1111"/>
      <c r="J316" s="1776"/>
      <c r="K316" s="1753"/>
      <c r="L316" s="1312"/>
      <c r="M316" s="1312"/>
      <c r="N316" s="1638"/>
      <c r="P316" s="4588"/>
    </row>
    <row r="317" spans="1:16" s="1639" customFormat="1" ht="16.5" customHeight="1" x14ac:dyDescent="0.25">
      <c r="A317" s="1637"/>
      <c r="B317" s="4119"/>
      <c r="C317" s="3866" t="s">
        <v>7018</v>
      </c>
      <c r="D317" s="780">
        <v>271800000</v>
      </c>
      <c r="E317" s="1126">
        <f>D317/D255*100</f>
        <v>0.14817524718103542</v>
      </c>
      <c r="F317" s="625"/>
      <c r="G317" s="3630"/>
      <c r="H317" s="1310"/>
      <c r="I317" s="1111"/>
      <c r="J317" s="1776"/>
      <c r="K317" s="1753"/>
      <c r="L317" s="1312"/>
      <c r="M317" s="1312"/>
      <c r="N317" s="1638"/>
      <c r="P317" s="4588"/>
    </row>
    <row r="318" spans="1:16" s="1639" customFormat="1" ht="16.5" customHeight="1" x14ac:dyDescent="0.25">
      <c r="A318" s="1637"/>
      <c r="B318" s="4119"/>
      <c r="C318" s="3866" t="s">
        <v>7019</v>
      </c>
      <c r="D318" s="780">
        <v>253300000</v>
      </c>
      <c r="E318" s="1126">
        <f>D318/D255*100</f>
        <v>0.1380897355075654</v>
      </c>
      <c r="F318" s="625"/>
      <c r="G318" s="3630"/>
      <c r="H318" s="1310"/>
      <c r="I318" s="1111"/>
      <c r="J318" s="1776"/>
      <c r="K318" s="1753"/>
      <c r="L318" s="1312"/>
      <c r="M318" s="1312"/>
      <c r="N318" s="1638"/>
      <c r="P318" s="4588"/>
    </row>
    <row r="319" spans="1:16" s="1639" customFormat="1" ht="16.5" customHeight="1" x14ac:dyDescent="0.25">
      <c r="A319" s="1637"/>
      <c r="B319" s="4119"/>
      <c r="C319" s="3866" t="s">
        <v>7020</v>
      </c>
      <c r="D319" s="780">
        <v>418120000</v>
      </c>
      <c r="E319" s="1126">
        <f>D319/D255*100</f>
        <v>0.22794346707628602</v>
      </c>
      <c r="F319" s="625"/>
      <c r="G319" s="3630"/>
      <c r="H319" s="1310"/>
      <c r="I319" s="1111"/>
      <c r="J319" s="1776"/>
      <c r="K319" s="1753"/>
      <c r="L319" s="1312"/>
      <c r="M319" s="1312"/>
      <c r="N319" s="1638"/>
      <c r="P319" s="4588"/>
    </row>
    <row r="320" spans="1:16" s="1639" customFormat="1" ht="16.5" customHeight="1" x14ac:dyDescent="0.25">
      <c r="A320" s="1637"/>
      <c r="B320" s="4119"/>
      <c r="C320" s="3866" t="s">
        <v>7021</v>
      </c>
      <c r="D320" s="780">
        <v>155920000</v>
      </c>
      <c r="E320" s="1126">
        <f>D320/D255*100</f>
        <v>8.5001782709591786E-2</v>
      </c>
      <c r="F320" s="625"/>
      <c r="G320" s="3630"/>
      <c r="H320" s="1310"/>
      <c r="I320" s="1111"/>
      <c r="J320" s="1776"/>
      <c r="K320" s="1753"/>
      <c r="L320" s="1312"/>
      <c r="M320" s="1312"/>
      <c r="N320" s="1638"/>
      <c r="P320" s="4588"/>
    </row>
    <row r="321" spans="1:16" s="1639" customFormat="1" ht="16.5" customHeight="1" x14ac:dyDescent="0.25">
      <c r="A321" s="1637"/>
      <c r="B321" s="4119"/>
      <c r="C321" s="3866" t="s">
        <v>7022</v>
      </c>
      <c r="D321" s="780">
        <v>222000000</v>
      </c>
      <c r="E321" s="1126">
        <f>D321/D255*100</f>
        <v>0.12102614008164042</v>
      </c>
      <c r="F321" s="625"/>
      <c r="G321" s="3630"/>
      <c r="H321" s="1310"/>
      <c r="I321" s="1111"/>
      <c r="J321" s="1776"/>
      <c r="K321" s="1753"/>
      <c r="L321" s="1312"/>
      <c r="M321" s="1312"/>
      <c r="N321" s="1638"/>
      <c r="P321" s="4588"/>
    </row>
    <row r="322" spans="1:16" s="1639" customFormat="1" ht="16.5" customHeight="1" x14ac:dyDescent="0.25">
      <c r="A322" s="1637"/>
      <c r="B322" s="4119"/>
      <c r="C322" s="3866" t="s">
        <v>7023</v>
      </c>
      <c r="D322" s="780">
        <v>418120000</v>
      </c>
      <c r="E322" s="1126">
        <f>D322/D255*100</f>
        <v>0.22794346707628602</v>
      </c>
      <c r="F322" s="625"/>
      <c r="G322" s="3630"/>
      <c r="H322" s="1310"/>
      <c r="I322" s="1111"/>
      <c r="J322" s="1776"/>
      <c r="K322" s="1753"/>
      <c r="L322" s="1312"/>
      <c r="M322" s="1312"/>
      <c r="N322" s="1638"/>
      <c r="P322" s="4588"/>
    </row>
    <row r="323" spans="1:16" s="1639" customFormat="1" ht="16.5" customHeight="1" x14ac:dyDescent="0.25">
      <c r="A323" s="1637"/>
      <c r="B323" s="4119"/>
      <c r="C323" s="3866" t="s">
        <v>7024</v>
      </c>
      <c r="D323" s="780">
        <v>164920000</v>
      </c>
      <c r="E323" s="1126">
        <f>D323/D255*100</f>
        <v>8.9908247848036665E-2</v>
      </c>
      <c r="F323" s="625"/>
      <c r="G323" s="3630"/>
      <c r="H323" s="1310"/>
      <c r="I323" s="1111"/>
      <c r="J323" s="1776"/>
      <c r="K323" s="1753"/>
      <c r="L323" s="1312"/>
      <c r="M323" s="1312"/>
      <c r="N323" s="1638"/>
      <c r="P323" s="4588"/>
    </row>
    <row r="324" spans="1:16" s="1639" customFormat="1" ht="16.5" customHeight="1" x14ac:dyDescent="0.25">
      <c r="A324" s="1637"/>
      <c r="B324" s="4119"/>
      <c r="C324" s="3866" t="s">
        <v>7026</v>
      </c>
      <c r="D324" s="780">
        <v>229800000</v>
      </c>
      <c r="E324" s="1126">
        <f>D324/D255*100</f>
        <v>0.12527840986829264</v>
      </c>
      <c r="F324" s="625"/>
      <c r="G324" s="3630"/>
      <c r="H324" s="1310"/>
      <c r="I324" s="1111"/>
      <c r="J324" s="1776"/>
      <c r="K324" s="1753"/>
      <c r="L324" s="1312"/>
      <c r="M324" s="1312"/>
      <c r="N324" s="1638"/>
      <c r="P324" s="4588"/>
    </row>
    <row r="325" spans="1:16" s="1639" customFormat="1" ht="16.5" customHeight="1" x14ac:dyDescent="0.25">
      <c r="A325" s="1637"/>
      <c r="B325" s="4119"/>
      <c r="C325" s="3866" t="s">
        <v>7025</v>
      </c>
      <c r="D325" s="780">
        <v>173300000</v>
      </c>
      <c r="E325" s="1126">
        <f>D325/D255*100</f>
        <v>9.4476712054721995E-2</v>
      </c>
      <c r="F325" s="625"/>
      <c r="G325" s="3630"/>
      <c r="H325" s="1310"/>
      <c r="I325" s="1111"/>
      <c r="J325" s="1776"/>
      <c r="K325" s="1753"/>
      <c r="L325" s="1312"/>
      <c r="M325" s="1312"/>
      <c r="N325" s="1638"/>
      <c r="P325" s="4588"/>
    </row>
    <row r="326" spans="1:16" s="1639" customFormat="1" ht="16.5" customHeight="1" x14ac:dyDescent="0.25">
      <c r="A326" s="1637"/>
      <c r="B326" s="4119"/>
      <c r="C326" s="3866" t="s">
        <v>7027</v>
      </c>
      <c r="D326" s="780">
        <v>322000000</v>
      </c>
      <c r="E326" s="1126">
        <f>D326/D255*100</f>
        <v>0.17554241939769466</v>
      </c>
      <c r="F326" s="625"/>
      <c r="G326" s="3630"/>
      <c r="H326" s="1310"/>
      <c r="I326" s="1111"/>
      <c r="J326" s="1776"/>
      <c r="K326" s="1753"/>
      <c r="L326" s="1312"/>
      <c r="M326" s="1312"/>
      <c r="N326" s="1638"/>
      <c r="P326" s="4588"/>
    </row>
    <row r="327" spans="1:16" s="1639" customFormat="1" ht="16.5" customHeight="1" x14ac:dyDescent="0.25">
      <c r="A327" s="1637"/>
      <c r="B327" s="4119"/>
      <c r="C327" s="3866" t="s">
        <v>7028</v>
      </c>
      <c r="D327" s="780">
        <v>108800000</v>
      </c>
      <c r="E327" s="1126">
        <f>D327/D255*100</f>
        <v>5.9313711895867018E-2</v>
      </c>
      <c r="F327" s="625"/>
      <c r="G327" s="3630"/>
      <c r="H327" s="1310"/>
      <c r="I327" s="1111"/>
      <c r="J327" s="1776"/>
      <c r="K327" s="1753"/>
      <c r="L327" s="1312"/>
      <c r="M327" s="1312"/>
      <c r="N327" s="1638"/>
      <c r="P327" s="4588"/>
    </row>
    <row r="328" spans="1:16" s="1639" customFormat="1" ht="16.5" customHeight="1" x14ac:dyDescent="0.25">
      <c r="A328" s="1637"/>
      <c r="B328" s="4119"/>
      <c r="C328" s="3866" t="s">
        <v>7029</v>
      </c>
      <c r="D328" s="780">
        <v>220300000</v>
      </c>
      <c r="E328" s="1126">
        <f>D328/D255*100</f>
        <v>0.1200993633332675</v>
      </c>
      <c r="F328" s="625"/>
      <c r="G328" s="3630"/>
      <c r="H328" s="1310"/>
      <c r="I328" s="1111"/>
      <c r="J328" s="1776"/>
      <c r="K328" s="1753"/>
      <c r="L328" s="1312"/>
      <c r="M328" s="1312"/>
      <c r="N328" s="1638"/>
      <c r="P328" s="4588"/>
    </row>
    <row r="329" spans="1:16" s="1639" customFormat="1" ht="16.5" customHeight="1" x14ac:dyDescent="0.25">
      <c r="A329" s="1637"/>
      <c r="B329" s="4119"/>
      <c r="C329" s="3866" t="s">
        <v>7030</v>
      </c>
      <c r="D329" s="780">
        <v>100000000</v>
      </c>
      <c r="E329" s="1126">
        <f>D329/D255*100</f>
        <v>5.4516279316054239E-2</v>
      </c>
      <c r="F329" s="625"/>
      <c r="G329" s="3630"/>
      <c r="H329" s="1310"/>
      <c r="I329" s="1111"/>
      <c r="J329" s="1776"/>
      <c r="K329" s="1753"/>
      <c r="L329" s="1312"/>
      <c r="M329" s="1312"/>
      <c r="N329" s="1638"/>
      <c r="P329" s="4588"/>
    </row>
    <row r="330" spans="1:16" s="1639" customFormat="1" ht="16.5" customHeight="1" x14ac:dyDescent="0.25">
      <c r="A330" s="1637"/>
      <c r="B330" s="4119"/>
      <c r="C330" s="3866" t="s">
        <v>7031</v>
      </c>
      <c r="D330" s="780">
        <v>100000000</v>
      </c>
      <c r="E330" s="1126">
        <f>D330/D255*100</f>
        <v>5.4516279316054239E-2</v>
      </c>
      <c r="F330" s="625"/>
      <c r="G330" s="3630"/>
      <c r="H330" s="1310"/>
      <c r="I330" s="1111"/>
      <c r="J330" s="1776"/>
      <c r="K330" s="1753"/>
      <c r="L330" s="1312"/>
      <c r="M330" s="1312"/>
      <c r="N330" s="1638"/>
      <c r="P330" s="4588"/>
    </row>
    <row r="331" spans="1:16" s="1639" customFormat="1" ht="16.5" customHeight="1" x14ac:dyDescent="0.25">
      <c r="A331" s="1637"/>
      <c r="B331" s="4119"/>
      <c r="C331" s="3866" t="s">
        <v>7032</v>
      </c>
      <c r="D331" s="780">
        <v>222800000</v>
      </c>
      <c r="E331" s="1126">
        <f>D331/D255*100</f>
        <v>0.12146227031616884</v>
      </c>
      <c r="F331" s="625"/>
      <c r="G331" s="3630"/>
      <c r="H331" s="1310"/>
      <c r="I331" s="1111"/>
      <c r="J331" s="1776"/>
      <c r="K331" s="1753"/>
      <c r="L331" s="1312"/>
      <c r="M331" s="1312"/>
      <c r="N331" s="1638"/>
      <c r="P331" s="4588"/>
    </row>
    <row r="332" spans="1:16" s="1639" customFormat="1" ht="12" customHeight="1" x14ac:dyDescent="0.25">
      <c r="A332" s="1637"/>
      <c r="B332" s="1242"/>
      <c r="C332" s="3959"/>
      <c r="D332" s="780"/>
      <c r="E332" s="1126"/>
      <c r="F332" s="755"/>
      <c r="G332" s="755"/>
      <c r="H332" s="1308"/>
      <c r="I332" s="1316"/>
      <c r="J332" s="1014"/>
      <c r="K332" s="1753"/>
      <c r="L332" s="1650"/>
      <c r="M332" s="1650"/>
      <c r="N332" s="1638"/>
      <c r="P332" s="4588"/>
    </row>
    <row r="333" spans="1:16" s="1639" customFormat="1" ht="20.25" customHeight="1" x14ac:dyDescent="0.25">
      <c r="A333" s="1637"/>
      <c r="B333" s="1242"/>
      <c r="C333" s="3872" t="s">
        <v>7033</v>
      </c>
      <c r="D333" s="4177">
        <f>SUM(D334:D337)</f>
        <v>5811526655</v>
      </c>
      <c r="E333" s="1447">
        <f>D333/D255*100</f>
        <v>3.1682281037667437</v>
      </c>
      <c r="F333" s="655"/>
      <c r="G333" s="795"/>
      <c r="H333" s="795"/>
      <c r="I333" s="795"/>
      <c r="J333" s="655"/>
      <c r="K333" s="655"/>
      <c r="L333" s="1671"/>
      <c r="M333" s="1729"/>
      <c r="N333" s="1638"/>
      <c r="P333" s="4588"/>
    </row>
    <row r="334" spans="1:16" s="1639" customFormat="1" ht="16.5" customHeight="1" x14ac:dyDescent="0.25">
      <c r="A334" s="1637"/>
      <c r="B334" s="1242"/>
      <c r="C334" s="3865" t="s">
        <v>7034</v>
      </c>
      <c r="D334" s="780">
        <v>3931886655</v>
      </c>
      <c r="E334" s="1126">
        <f>D334/D255*100</f>
        <v>2.1435183112304621</v>
      </c>
      <c r="F334" s="625"/>
      <c r="G334" s="755"/>
      <c r="H334" s="755"/>
      <c r="I334" s="755"/>
      <c r="J334" s="1776"/>
      <c r="K334" s="1753"/>
      <c r="L334" s="1312"/>
      <c r="M334" s="1312"/>
      <c r="N334" s="1638"/>
      <c r="P334" s="4588"/>
    </row>
    <row r="335" spans="1:16" s="1639" customFormat="1" ht="14.25" customHeight="1" x14ac:dyDescent="0.25">
      <c r="A335" s="1637"/>
      <c r="B335" s="1242"/>
      <c r="C335" s="3865" t="s">
        <v>7035</v>
      </c>
      <c r="D335" s="780">
        <v>621640000</v>
      </c>
      <c r="E335" s="1126">
        <f>D335/D255*100</f>
        <v>0.33889499874031959</v>
      </c>
      <c r="F335" s="625"/>
      <c r="G335" s="755"/>
      <c r="H335" s="755"/>
      <c r="I335" s="755"/>
      <c r="J335" s="1776"/>
      <c r="K335" s="1014"/>
      <c r="L335" s="755"/>
      <c r="M335" s="1648"/>
      <c r="N335" s="1638"/>
      <c r="P335" s="4588"/>
    </row>
    <row r="336" spans="1:16" s="1639" customFormat="1" ht="15.75" customHeight="1" x14ac:dyDescent="0.25">
      <c r="A336" s="1637"/>
      <c r="B336" s="4119"/>
      <c r="C336" s="3981" t="s">
        <v>7036</v>
      </c>
      <c r="D336" s="799">
        <v>486000000</v>
      </c>
      <c r="E336" s="864">
        <f>D336/D255*100</f>
        <v>0.26494911747602362</v>
      </c>
      <c r="F336" s="4561"/>
      <c r="G336" s="3630"/>
      <c r="H336" s="3620"/>
      <c r="I336" s="3620"/>
      <c r="J336" s="4562"/>
      <c r="K336" s="3879"/>
      <c r="L336" s="3620"/>
      <c r="M336" s="1648"/>
      <c r="N336" s="1638"/>
      <c r="P336" s="4588"/>
    </row>
    <row r="337" spans="1:16" s="1639" customFormat="1" ht="14.25" customHeight="1" x14ac:dyDescent="0.25">
      <c r="A337" s="1637"/>
      <c r="B337" s="4119"/>
      <c r="C337" s="4563" t="s">
        <v>7037</v>
      </c>
      <c r="D337" s="780">
        <v>772000000</v>
      </c>
      <c r="E337" s="1126">
        <f>D337/D255*100</f>
        <v>0.42086567631993871</v>
      </c>
      <c r="F337" s="625"/>
      <c r="G337" s="3630"/>
      <c r="H337" s="3620"/>
      <c r="I337" s="3620"/>
      <c r="J337" s="4562"/>
      <c r="K337" s="3879"/>
      <c r="L337" s="3620"/>
      <c r="M337" s="1648"/>
      <c r="N337" s="1638"/>
      <c r="P337" s="4588"/>
    </row>
    <row r="338" spans="1:16" ht="12" customHeight="1" x14ac:dyDescent="0.25">
      <c r="B338" s="1242"/>
      <c r="C338" s="3972"/>
      <c r="D338" s="660"/>
      <c r="E338" s="1448"/>
      <c r="F338" s="796"/>
      <c r="G338" s="777"/>
      <c r="H338" s="2251"/>
      <c r="I338" s="2248"/>
      <c r="J338" s="2175"/>
      <c r="K338" s="2175"/>
      <c r="L338" s="2175"/>
      <c r="M338" s="2175"/>
      <c r="N338" s="535"/>
    </row>
    <row r="339" spans="1:16" s="1639" customFormat="1" ht="15.75" customHeight="1" x14ac:dyDescent="0.25">
      <c r="A339" s="1637"/>
      <c r="B339" s="1305"/>
      <c r="C339" s="3913" t="s">
        <v>358</v>
      </c>
      <c r="D339" s="2659">
        <f>D340</f>
        <v>3931886655</v>
      </c>
      <c r="E339" s="1445">
        <f>D339/D255*100</f>
        <v>2.1435183112304621</v>
      </c>
      <c r="F339" s="743"/>
      <c r="G339" s="743"/>
      <c r="H339" s="1306"/>
      <c r="I339" s="2239"/>
      <c r="J339" s="1770"/>
      <c r="K339" s="1770"/>
      <c r="L339" s="1462"/>
      <c r="M339" s="1307"/>
      <c r="N339" s="1638"/>
      <c r="P339" s="4588"/>
    </row>
    <row r="340" spans="1:16" s="1639" customFormat="1" ht="31.5" customHeight="1" x14ac:dyDescent="0.25">
      <c r="A340" s="1637"/>
      <c r="B340" s="1242"/>
      <c r="C340" s="3976" t="s">
        <v>7038</v>
      </c>
      <c r="D340" s="4178">
        <f>D341</f>
        <v>3931886655</v>
      </c>
      <c r="E340" s="1447">
        <f>D340/D255*100</f>
        <v>2.1435183112304621</v>
      </c>
      <c r="F340" s="656"/>
      <c r="G340" s="656"/>
      <c r="H340" s="2252"/>
      <c r="I340" s="2253"/>
      <c r="J340" s="656"/>
      <c r="K340" s="656"/>
      <c r="L340" s="1671"/>
      <c r="M340" s="2254"/>
      <c r="N340" s="1638"/>
      <c r="P340" s="4588"/>
    </row>
    <row r="341" spans="1:16" s="1639" customFormat="1" ht="14.25" customHeight="1" x14ac:dyDescent="0.25">
      <c r="A341" s="1637"/>
      <c r="B341" s="1242"/>
      <c r="C341" s="4067" t="s">
        <v>7039</v>
      </c>
      <c r="D341" s="666">
        <v>3931886655</v>
      </c>
      <c r="E341" s="1126">
        <f>D341/D255*100</f>
        <v>2.1435183112304621</v>
      </c>
      <c r="F341" s="593"/>
      <c r="G341" s="780"/>
      <c r="H341" s="880"/>
      <c r="I341" s="780"/>
      <c r="J341" s="666"/>
      <c r="K341" s="1717"/>
      <c r="L341" s="1717"/>
      <c r="M341" s="1717"/>
      <c r="N341" s="1638"/>
      <c r="P341" s="4588"/>
    </row>
    <row r="342" spans="1:16" s="589" customFormat="1" ht="12" customHeight="1" x14ac:dyDescent="0.25">
      <c r="A342" s="352"/>
      <c r="B342" s="1242"/>
      <c r="C342" s="3977"/>
      <c r="D342" s="3540"/>
      <c r="E342" s="1449"/>
      <c r="F342" s="800"/>
      <c r="G342" s="801"/>
      <c r="H342" s="2238"/>
      <c r="I342" s="2257"/>
      <c r="J342" s="2182"/>
      <c r="K342" s="2182"/>
      <c r="L342" s="2182"/>
      <c r="M342" s="2182"/>
      <c r="N342" s="535"/>
      <c r="P342" s="500"/>
    </row>
    <row r="343" spans="1:16" s="1639" customFormat="1" ht="16.5" customHeight="1" x14ac:dyDescent="0.25">
      <c r="A343" s="1637"/>
      <c r="B343" s="1305"/>
      <c r="C343" s="3913" t="s">
        <v>274</v>
      </c>
      <c r="D343" s="2659">
        <f>SUM(D344+D347)</f>
        <v>17200000000</v>
      </c>
      <c r="E343" s="1445">
        <f>D343/D255*100</f>
        <v>9.3768000423613298</v>
      </c>
      <c r="F343" s="765"/>
      <c r="G343" s="765"/>
      <c r="H343" s="765"/>
      <c r="I343" s="765"/>
      <c r="J343" s="1773"/>
      <c r="K343" s="1773"/>
      <c r="L343" s="1462"/>
      <c r="M343" s="1726"/>
      <c r="N343" s="1638"/>
      <c r="P343" s="4588"/>
    </row>
    <row r="344" spans="1:16" s="1639" customFormat="1" ht="17.25" customHeight="1" x14ac:dyDescent="0.25">
      <c r="A344" s="1637"/>
      <c r="B344" s="1242"/>
      <c r="C344" s="3968" t="s">
        <v>275</v>
      </c>
      <c r="D344" s="2260">
        <f>D345</f>
        <v>14700000000</v>
      </c>
      <c r="E344" s="1446">
        <f>D344/D255*100</f>
        <v>8.0138930594599742</v>
      </c>
      <c r="F344" s="793"/>
      <c r="G344" s="793"/>
      <c r="H344" s="793"/>
      <c r="I344" s="793"/>
      <c r="J344" s="790"/>
      <c r="K344" s="790"/>
      <c r="L344" s="793"/>
      <c r="M344" s="793"/>
      <c r="N344" s="1638"/>
      <c r="P344" s="4588"/>
    </row>
    <row r="345" spans="1:16" s="1639" customFormat="1" ht="15" customHeight="1" x14ac:dyDescent="0.25">
      <c r="A345" s="1637"/>
      <c r="B345" s="1242"/>
      <c r="C345" s="3865" t="s">
        <v>7040</v>
      </c>
      <c r="D345" s="666">
        <v>14700000000</v>
      </c>
      <c r="E345" s="1126">
        <f>D345/D255*100</f>
        <v>8.0138930594599742</v>
      </c>
      <c r="F345" s="626"/>
      <c r="G345" s="802"/>
      <c r="H345" s="802"/>
      <c r="I345" s="802"/>
      <c r="J345" s="1775"/>
      <c r="K345" s="1904"/>
      <c r="L345" s="802"/>
      <c r="M345" s="802"/>
      <c r="N345" s="1638"/>
      <c r="P345" s="4588"/>
    </row>
    <row r="346" spans="1:16" s="1639" customFormat="1" ht="8.25" customHeight="1" x14ac:dyDescent="0.25">
      <c r="A346" s="1637"/>
      <c r="B346" s="1242"/>
      <c r="C346" s="3978"/>
      <c r="D346" s="1660"/>
      <c r="E346" s="1126"/>
      <c r="F346" s="657"/>
      <c r="G346" s="802"/>
      <c r="H346" s="802"/>
      <c r="I346" s="802"/>
      <c r="J346" s="1778"/>
      <c r="K346" s="2180"/>
      <c r="L346" s="1648"/>
      <c r="M346" s="1648"/>
      <c r="N346" s="1638"/>
      <c r="P346" s="4588"/>
    </row>
    <row r="347" spans="1:16" s="1639" customFormat="1" ht="15.75" customHeight="1" x14ac:dyDescent="0.25">
      <c r="A347" s="1637"/>
      <c r="B347" s="1242"/>
      <c r="C347" s="3979" t="s">
        <v>1887</v>
      </c>
      <c r="D347" s="768">
        <f>SUM(D348:D348)</f>
        <v>2500000000</v>
      </c>
      <c r="E347" s="1446">
        <f>D347/D255*100</f>
        <v>1.362906982901356</v>
      </c>
      <c r="F347" s="753"/>
      <c r="G347" s="803"/>
      <c r="H347" s="803"/>
      <c r="I347" s="803"/>
      <c r="J347" s="1772"/>
      <c r="K347" s="1772"/>
      <c r="L347" s="1671"/>
      <c r="M347" s="1706"/>
      <c r="N347" s="1638"/>
      <c r="P347" s="4588"/>
    </row>
    <row r="348" spans="1:16" s="1639" customFormat="1" ht="17.25" customHeight="1" x14ac:dyDescent="0.25">
      <c r="A348" s="1637"/>
      <c r="B348" s="1242"/>
      <c r="C348" s="3865" t="s">
        <v>7041</v>
      </c>
      <c r="D348" s="666">
        <v>2500000000</v>
      </c>
      <c r="E348" s="1126">
        <f>D348/D255*100</f>
        <v>1.362906982901356</v>
      </c>
      <c r="F348" s="626"/>
      <c r="G348" s="802"/>
      <c r="H348" s="802"/>
      <c r="I348" s="802"/>
      <c r="J348" s="1775"/>
      <c r="K348" s="1904"/>
      <c r="L348" s="802"/>
      <c r="M348" s="802"/>
      <c r="N348" s="1638"/>
      <c r="P348" s="4588"/>
    </row>
    <row r="349" spans="1:16" ht="12.75" customHeight="1" x14ac:dyDescent="0.25">
      <c r="B349" s="1242"/>
      <c r="C349" s="3896"/>
      <c r="D349" s="2256"/>
      <c r="E349" s="1448"/>
      <c r="F349" s="804"/>
      <c r="G349" s="805"/>
      <c r="H349" s="805"/>
      <c r="I349" s="805"/>
      <c r="J349" s="2225"/>
      <c r="K349" s="2225"/>
      <c r="L349" s="775"/>
      <c r="M349" s="775"/>
      <c r="N349" s="535"/>
    </row>
    <row r="350" spans="1:16" s="1639" customFormat="1" ht="17.25" customHeight="1" x14ac:dyDescent="0.25">
      <c r="A350" s="1637"/>
      <c r="B350" s="1305"/>
      <c r="C350" s="3980" t="s">
        <v>2197</v>
      </c>
      <c r="D350" s="2659">
        <f>SUM(D351+D361)</f>
        <v>5305012500</v>
      </c>
      <c r="E350" s="1445">
        <f>D350/D255*100</f>
        <v>2.8920954322515917</v>
      </c>
      <c r="F350" s="806"/>
      <c r="G350" s="807"/>
      <c r="H350" s="807"/>
      <c r="I350" s="807"/>
      <c r="J350" s="1779"/>
      <c r="K350" s="1779"/>
      <c r="L350" s="1462"/>
      <c r="M350" s="1307"/>
      <c r="N350" s="1638"/>
      <c r="P350" s="4588"/>
    </row>
    <row r="351" spans="1:16" s="1639" customFormat="1" ht="17.25" customHeight="1" x14ac:dyDescent="0.25">
      <c r="A351" s="1637"/>
      <c r="B351" s="1242"/>
      <c r="C351" s="3869" t="s">
        <v>7042</v>
      </c>
      <c r="D351" s="4176">
        <f>SUM(D352:D359)</f>
        <v>2930000000</v>
      </c>
      <c r="E351" s="1446">
        <f>D351/D255*100</f>
        <v>1.5973269839603892</v>
      </c>
      <c r="F351" s="627"/>
      <c r="G351" s="804"/>
      <c r="H351" s="804"/>
      <c r="I351" s="804"/>
      <c r="J351" s="1780"/>
      <c r="K351" s="1780"/>
      <c r="L351" s="1671"/>
      <c r="M351" s="1671"/>
      <c r="N351" s="1638"/>
      <c r="P351" s="4588"/>
    </row>
    <row r="352" spans="1:16" s="1639" customFormat="1" ht="15" customHeight="1" x14ac:dyDescent="0.25">
      <c r="A352" s="1637"/>
      <c r="B352" s="1242"/>
      <c r="C352" s="3866" t="s">
        <v>7043</v>
      </c>
      <c r="D352" s="666">
        <v>925000000</v>
      </c>
      <c r="E352" s="1126">
        <f>D352/D255*100</f>
        <v>0.50427558367350178</v>
      </c>
      <c r="F352" s="624"/>
      <c r="G352" s="755"/>
      <c r="H352" s="755"/>
      <c r="I352" s="755"/>
      <c r="J352" s="1774"/>
      <c r="K352" s="1014"/>
      <c r="L352" s="755"/>
      <c r="M352" s="755"/>
      <c r="N352" s="1638"/>
      <c r="P352" s="4588"/>
    </row>
    <row r="353" spans="1:16" s="1639" customFormat="1" ht="15.75" customHeight="1" x14ac:dyDescent="0.25">
      <c r="A353" s="1637"/>
      <c r="B353" s="1242"/>
      <c r="C353" s="3866" t="s">
        <v>7044</v>
      </c>
      <c r="D353" s="666">
        <v>1000000000</v>
      </c>
      <c r="E353" s="1126">
        <f>D353/D255*100</f>
        <v>0.54516279316054239</v>
      </c>
      <c r="F353" s="626"/>
      <c r="G353" s="755"/>
      <c r="H353" s="755"/>
      <c r="I353" s="755"/>
      <c r="J353" s="1775"/>
      <c r="K353" s="1775"/>
      <c r="L353" s="1703"/>
      <c r="M353" s="1703"/>
      <c r="N353" s="1638"/>
      <c r="P353" s="4588"/>
    </row>
    <row r="354" spans="1:16" s="1639" customFormat="1" ht="15" customHeight="1" x14ac:dyDescent="0.25">
      <c r="A354" s="1637"/>
      <c r="B354" s="1242"/>
      <c r="C354" s="3866" t="s">
        <v>7045</v>
      </c>
      <c r="D354" s="666">
        <v>287500000</v>
      </c>
      <c r="E354" s="1126">
        <f>D354/D255*100</f>
        <v>0.15673430303365596</v>
      </c>
      <c r="F354" s="626"/>
      <c r="G354" s="755"/>
      <c r="H354" s="755"/>
      <c r="I354" s="755"/>
      <c r="J354" s="1775"/>
      <c r="K354" s="1014"/>
      <c r="L354" s="755"/>
      <c r="M354" s="755"/>
      <c r="N354" s="1638"/>
      <c r="P354" s="4588"/>
    </row>
    <row r="355" spans="1:16" s="1639" customFormat="1" ht="15" customHeight="1" x14ac:dyDescent="0.25">
      <c r="A355" s="1637"/>
      <c r="B355" s="1242"/>
      <c r="C355" s="3866" t="s">
        <v>7046</v>
      </c>
      <c r="D355" s="666">
        <v>280000000</v>
      </c>
      <c r="E355" s="1126">
        <f>D355/D255*100</f>
        <v>0.15264558208495188</v>
      </c>
      <c r="F355" s="626"/>
      <c r="G355" s="755"/>
      <c r="H355" s="755"/>
      <c r="I355" s="755"/>
      <c r="J355" s="1775"/>
      <c r="K355" s="1014"/>
      <c r="L355" s="755"/>
      <c r="M355" s="755"/>
      <c r="N355" s="1638"/>
      <c r="P355" s="4588"/>
    </row>
    <row r="356" spans="1:16" s="1639" customFormat="1" ht="18" customHeight="1" x14ac:dyDescent="0.25">
      <c r="A356" s="1637"/>
      <c r="B356" s="1242"/>
      <c r="C356" s="3866" t="s">
        <v>7047</v>
      </c>
      <c r="D356" s="666">
        <v>125000000</v>
      </c>
      <c r="E356" s="1126">
        <f>D356/D255*100</f>
        <v>6.8145349145067799E-2</v>
      </c>
      <c r="F356" s="626"/>
      <c r="G356" s="755"/>
      <c r="H356" s="755"/>
      <c r="I356" s="755"/>
      <c r="J356" s="1775"/>
      <c r="K356" s="1014"/>
      <c r="L356" s="755"/>
      <c r="M356" s="755"/>
      <c r="N356" s="1638"/>
      <c r="P356" s="4588"/>
    </row>
    <row r="357" spans="1:16" s="1639" customFormat="1" ht="18" customHeight="1" x14ac:dyDescent="0.25">
      <c r="A357" s="1637"/>
      <c r="B357" s="4119"/>
      <c r="C357" s="4566" t="s">
        <v>7048</v>
      </c>
      <c r="D357" s="666">
        <v>125000000</v>
      </c>
      <c r="E357" s="1126">
        <f>D357/D255*100</f>
        <v>6.8145349145067799E-2</v>
      </c>
      <c r="F357" s="626"/>
      <c r="G357" s="3630"/>
      <c r="H357" s="798"/>
      <c r="I357" s="798"/>
      <c r="J357" s="4565"/>
      <c r="K357" s="3556"/>
      <c r="L357" s="3620"/>
      <c r="M357" s="3620"/>
      <c r="N357" s="1638"/>
      <c r="P357" s="4588"/>
    </row>
    <row r="358" spans="1:16" s="1639" customFormat="1" ht="18" customHeight="1" x14ac:dyDescent="0.25">
      <c r="A358" s="1637"/>
      <c r="B358" s="4119"/>
      <c r="C358" s="4566" t="s">
        <v>7049</v>
      </c>
      <c r="D358" s="666">
        <v>125000000</v>
      </c>
      <c r="E358" s="1126">
        <f>D358/D255*100</f>
        <v>6.8145349145067799E-2</v>
      </c>
      <c r="F358" s="626"/>
      <c r="G358" s="3630"/>
      <c r="H358" s="798"/>
      <c r="I358" s="798"/>
      <c r="J358" s="4565"/>
      <c r="K358" s="3556"/>
      <c r="L358" s="3620"/>
      <c r="M358" s="3620"/>
      <c r="N358" s="1638"/>
      <c r="P358" s="4588"/>
    </row>
    <row r="359" spans="1:16" s="1639" customFormat="1" ht="18" customHeight="1" x14ac:dyDescent="0.25">
      <c r="A359" s="1637"/>
      <c r="B359" s="4119"/>
      <c r="C359" s="4566" t="s">
        <v>7050</v>
      </c>
      <c r="D359" s="666">
        <v>62500000</v>
      </c>
      <c r="E359" s="1126">
        <f>D359/D255*100</f>
        <v>3.4072674572533899E-2</v>
      </c>
      <c r="F359" s="626"/>
      <c r="G359" s="3630"/>
      <c r="H359" s="798"/>
      <c r="I359" s="798"/>
      <c r="J359" s="4565"/>
      <c r="K359" s="3556"/>
      <c r="L359" s="3620"/>
      <c r="M359" s="3620"/>
      <c r="N359" s="1638"/>
      <c r="P359" s="4588"/>
    </row>
    <row r="360" spans="1:16" s="1639" customFormat="1" ht="13.5" customHeight="1" x14ac:dyDescent="0.25">
      <c r="A360" s="1637"/>
      <c r="B360" s="4119"/>
      <c r="C360" s="4566"/>
      <c r="D360" s="666"/>
      <c r="E360" s="1126"/>
      <c r="F360" s="626"/>
      <c r="G360" s="3630"/>
      <c r="H360" s="798"/>
      <c r="I360" s="798"/>
      <c r="J360" s="4565"/>
      <c r="K360" s="3556"/>
      <c r="L360" s="3620"/>
      <c r="M360" s="3620"/>
      <c r="N360" s="1638"/>
      <c r="P360" s="4588"/>
    </row>
    <row r="361" spans="1:16" s="1639" customFormat="1" ht="18" customHeight="1" x14ac:dyDescent="0.25">
      <c r="A361" s="1637"/>
      <c r="B361" s="4119"/>
      <c r="C361" s="4567" t="s">
        <v>7051</v>
      </c>
      <c r="D361" s="673">
        <f>SUM(D362:D367)</f>
        <v>2375012500</v>
      </c>
      <c r="E361" s="1447">
        <f>D361/D255*100</f>
        <v>1.2947684482912027</v>
      </c>
      <c r="F361" s="626"/>
      <c r="G361" s="3630"/>
      <c r="H361" s="798"/>
      <c r="I361" s="798"/>
      <c r="J361" s="4565"/>
      <c r="K361" s="3556"/>
      <c r="L361" s="3620"/>
      <c r="M361" s="3620"/>
      <c r="N361" s="1638"/>
      <c r="P361" s="4588"/>
    </row>
    <row r="362" spans="1:16" s="1639" customFormat="1" ht="30.75" customHeight="1" x14ac:dyDescent="0.25">
      <c r="A362" s="1637"/>
      <c r="B362" s="4119"/>
      <c r="C362" s="4566" t="s">
        <v>7052</v>
      </c>
      <c r="D362" s="666">
        <v>648750000</v>
      </c>
      <c r="E362" s="1126">
        <f>D362/D255*100</f>
        <v>0.35367436206290187</v>
      </c>
      <c r="F362" s="626"/>
      <c r="G362" s="3630"/>
      <c r="H362" s="798"/>
      <c r="I362" s="798"/>
      <c r="J362" s="4565"/>
      <c r="K362" s="3556"/>
      <c r="L362" s="3620"/>
      <c r="M362" s="3620"/>
      <c r="N362" s="1638"/>
      <c r="P362" s="4588"/>
    </row>
    <row r="363" spans="1:16" s="1639" customFormat="1" ht="15.75" customHeight="1" x14ac:dyDescent="0.25">
      <c r="A363" s="1637"/>
      <c r="B363" s="4119"/>
      <c r="C363" s="4566" t="s">
        <v>7053</v>
      </c>
      <c r="D363" s="666">
        <v>172687500</v>
      </c>
      <c r="E363" s="1126">
        <f>D363/D255*100</f>
        <v>9.4142799843911162E-2</v>
      </c>
      <c r="F363" s="626"/>
      <c r="G363" s="3630"/>
      <c r="H363" s="798"/>
      <c r="I363" s="798"/>
      <c r="J363" s="4565"/>
      <c r="K363" s="3556"/>
      <c r="L363" s="3620"/>
      <c r="M363" s="3620"/>
      <c r="N363" s="1638"/>
      <c r="P363" s="4588"/>
    </row>
    <row r="364" spans="1:16" s="1639" customFormat="1" ht="18" customHeight="1" x14ac:dyDescent="0.25">
      <c r="A364" s="1637"/>
      <c r="B364" s="4119"/>
      <c r="C364" s="4566" t="s">
        <v>7054</v>
      </c>
      <c r="D364" s="666">
        <v>192500000</v>
      </c>
      <c r="E364" s="1126">
        <f>D364/D255*100</f>
        <v>0.10494383768340441</v>
      </c>
      <c r="F364" s="626"/>
      <c r="G364" s="3630"/>
      <c r="H364" s="798"/>
      <c r="I364" s="798"/>
      <c r="J364" s="4565"/>
      <c r="K364" s="3556"/>
      <c r="L364" s="3620"/>
      <c r="M364" s="3620"/>
      <c r="N364" s="1638"/>
      <c r="P364" s="4588"/>
    </row>
    <row r="365" spans="1:16" s="1639" customFormat="1" ht="25.5" customHeight="1" x14ac:dyDescent="0.25">
      <c r="A365" s="1637"/>
      <c r="B365" s="4119"/>
      <c r="C365" s="4566" t="s">
        <v>7055</v>
      </c>
      <c r="D365" s="666">
        <v>196250000</v>
      </c>
      <c r="E365" s="1126">
        <f>D365/D255*100</f>
        <v>0.10698819815775644</v>
      </c>
      <c r="F365" s="626"/>
      <c r="G365" s="3630"/>
      <c r="H365" s="798"/>
      <c r="I365" s="798"/>
      <c r="J365" s="4565"/>
      <c r="K365" s="3556"/>
      <c r="L365" s="3620"/>
      <c r="M365" s="3620"/>
      <c r="N365" s="1638"/>
      <c r="P365" s="4588"/>
    </row>
    <row r="366" spans="1:16" s="1639" customFormat="1" ht="18" customHeight="1" x14ac:dyDescent="0.25">
      <c r="A366" s="1637"/>
      <c r="B366" s="4119"/>
      <c r="C366" s="4566" t="s">
        <v>7056</v>
      </c>
      <c r="D366" s="666">
        <v>701820000</v>
      </c>
      <c r="E366" s="1126">
        <f>D366/D255*100</f>
        <v>0.38260615149593186</v>
      </c>
      <c r="F366" s="626"/>
      <c r="G366" s="3630"/>
      <c r="H366" s="798"/>
      <c r="I366" s="798"/>
      <c r="J366" s="4565"/>
      <c r="K366" s="3556"/>
      <c r="L366" s="3620"/>
      <c r="M366" s="3620"/>
      <c r="N366" s="1638"/>
      <c r="P366" s="4588"/>
    </row>
    <row r="367" spans="1:16" s="1639" customFormat="1" ht="18" customHeight="1" x14ac:dyDescent="0.25">
      <c r="A367" s="1637"/>
      <c r="B367" s="4119"/>
      <c r="C367" s="4566" t="s">
        <v>7057</v>
      </c>
      <c r="D367" s="666">
        <v>463005000</v>
      </c>
      <c r="E367" s="1126">
        <f>D367/D255*100</f>
        <v>0.25241309904729697</v>
      </c>
      <c r="F367" s="626"/>
      <c r="G367" s="3630"/>
      <c r="H367" s="798"/>
      <c r="I367" s="798"/>
      <c r="J367" s="4565"/>
      <c r="K367" s="3556"/>
      <c r="L367" s="3620"/>
      <c r="M367" s="3620"/>
      <c r="N367" s="1638"/>
      <c r="P367" s="4588"/>
    </row>
    <row r="368" spans="1:16" ht="17.25" customHeight="1" x14ac:dyDescent="0.25">
      <c r="B368" s="1242"/>
      <c r="C368" s="3968"/>
      <c r="D368" s="799"/>
      <c r="E368" s="1449"/>
      <c r="F368" s="808"/>
      <c r="G368" s="801"/>
      <c r="H368" s="1448"/>
      <c r="I368" s="777"/>
      <c r="J368" s="1311"/>
      <c r="K368" s="1311"/>
      <c r="L368" s="1311"/>
      <c r="M368" s="1311"/>
      <c r="N368" s="535"/>
    </row>
    <row r="369" spans="1:16" s="1639" customFormat="1" ht="18.75" customHeight="1" x14ac:dyDescent="0.25">
      <c r="A369" s="1637"/>
      <c r="B369" s="1305"/>
      <c r="C369" s="3913" t="s">
        <v>276</v>
      </c>
      <c r="D369" s="2239">
        <f>SUM(D370+D375+D380+D385+D390)</f>
        <v>7131772000</v>
      </c>
      <c r="E369" s="1445">
        <f>D369/D255*100</f>
        <v>3.8879767437041481</v>
      </c>
      <c r="F369" s="807"/>
      <c r="G369" s="807"/>
      <c r="H369" s="807"/>
      <c r="I369" s="807"/>
      <c r="J369" s="1781"/>
      <c r="K369" s="1781"/>
      <c r="L369" s="807"/>
      <c r="M369" s="807"/>
      <c r="N369" s="1638"/>
      <c r="P369" s="4588"/>
    </row>
    <row r="370" spans="1:16" s="1639" customFormat="1" ht="18.75" customHeight="1" x14ac:dyDescent="0.25">
      <c r="A370" s="1637"/>
      <c r="B370" s="1242"/>
      <c r="C370" s="3968" t="s">
        <v>7058</v>
      </c>
      <c r="D370" s="2260">
        <f>SUM(D371:D373)</f>
        <v>1416012000</v>
      </c>
      <c r="E370" s="1446">
        <f>D370/D255*100</f>
        <v>0.77195705706884599</v>
      </c>
      <c r="F370" s="793"/>
      <c r="G370" s="804"/>
      <c r="H370" s="804"/>
      <c r="I370" s="804"/>
      <c r="J370" s="790"/>
      <c r="K370" s="2258"/>
      <c r="L370" s="804"/>
      <c r="M370" s="804"/>
      <c r="N370" s="1638"/>
      <c r="P370" s="4588"/>
    </row>
    <row r="371" spans="1:16" s="1639" customFormat="1" ht="15.75" customHeight="1" x14ac:dyDescent="0.25">
      <c r="A371" s="1637"/>
      <c r="B371" s="1242"/>
      <c r="C371" s="3917" t="s">
        <v>7059</v>
      </c>
      <c r="D371" s="666">
        <v>478400000</v>
      </c>
      <c r="E371" s="1126">
        <f>D371/D255*100</f>
        <v>0.2608058802480035</v>
      </c>
      <c r="F371" s="626"/>
      <c r="G371" s="755"/>
      <c r="H371" s="755"/>
      <c r="I371" s="755"/>
      <c r="J371" s="1775"/>
      <c r="K371" s="1014"/>
      <c r="L371" s="755"/>
      <c r="M371" s="755"/>
      <c r="N371" s="1638"/>
      <c r="P371" s="4588"/>
    </row>
    <row r="372" spans="1:16" s="1639" customFormat="1" ht="15.75" customHeight="1" x14ac:dyDescent="0.25">
      <c r="A372" s="1637"/>
      <c r="B372" s="4119"/>
      <c r="C372" s="4118" t="s">
        <v>7060</v>
      </c>
      <c r="D372" s="666">
        <v>379500000</v>
      </c>
      <c r="E372" s="1126">
        <f>D372/D255*100</f>
        <v>0.20688928000442583</v>
      </c>
      <c r="F372" s="626"/>
      <c r="G372" s="3630"/>
      <c r="H372" s="3630"/>
      <c r="I372" s="3630"/>
      <c r="J372" s="4568"/>
      <c r="K372" s="3879"/>
      <c r="L372" s="3630"/>
      <c r="M372" s="3630"/>
      <c r="N372" s="1638"/>
      <c r="P372" s="4588"/>
    </row>
    <row r="373" spans="1:16" s="1639" customFormat="1" ht="15.75" customHeight="1" x14ac:dyDescent="0.25">
      <c r="A373" s="1637"/>
      <c r="B373" s="4119"/>
      <c r="C373" s="4118" t="s">
        <v>7061</v>
      </c>
      <c r="D373" s="666">
        <v>558112000</v>
      </c>
      <c r="E373" s="1126">
        <f>D373/D255*100</f>
        <v>0.30426189681641663</v>
      </c>
      <c r="F373" s="626"/>
      <c r="G373" s="3630"/>
      <c r="H373" s="3630"/>
      <c r="I373" s="3630"/>
      <c r="J373" s="4568"/>
      <c r="K373" s="3879"/>
      <c r="L373" s="3630"/>
      <c r="M373" s="3630"/>
      <c r="N373" s="1638"/>
      <c r="P373" s="4588"/>
    </row>
    <row r="374" spans="1:16" s="1639" customFormat="1" ht="9" customHeight="1" x14ac:dyDescent="0.25">
      <c r="A374" s="1637"/>
      <c r="B374" s="1242"/>
      <c r="C374" s="4118"/>
      <c r="D374" s="894"/>
      <c r="E374" s="1126"/>
      <c r="F374" s="4570"/>
      <c r="G374" s="755"/>
      <c r="H374" s="755"/>
      <c r="I374" s="755"/>
      <c r="J374" s="1782"/>
      <c r="K374" s="1014"/>
      <c r="L374" s="755"/>
      <c r="M374" s="755"/>
      <c r="N374" s="1638"/>
      <c r="P374" s="4588"/>
    </row>
    <row r="375" spans="1:16" s="1639" customFormat="1" ht="15.75" customHeight="1" x14ac:dyDescent="0.25">
      <c r="A375" s="1637"/>
      <c r="B375" s="1242"/>
      <c r="C375" s="4569" t="s">
        <v>1932</v>
      </c>
      <c r="D375" s="2026">
        <f>SUM(D376:D378)</f>
        <v>955900000</v>
      </c>
      <c r="E375" s="1446">
        <f>D375/D255*100</f>
        <v>0.52112111398216254</v>
      </c>
      <c r="F375" s="766"/>
      <c r="G375" s="755"/>
      <c r="H375" s="755"/>
      <c r="I375" s="755"/>
      <c r="J375" s="1013"/>
      <c r="K375" s="1014"/>
      <c r="L375" s="755"/>
      <c r="M375" s="755"/>
      <c r="N375" s="1638"/>
      <c r="P375" s="4588"/>
    </row>
    <row r="376" spans="1:16" s="1639" customFormat="1" ht="18.75" customHeight="1" x14ac:dyDescent="0.25">
      <c r="A376" s="1637"/>
      <c r="B376" s="1242"/>
      <c r="C376" s="3866" t="s">
        <v>7062</v>
      </c>
      <c r="D376" s="666">
        <v>317900000</v>
      </c>
      <c r="E376" s="1126">
        <f>D376/D255*100</f>
        <v>0.17330725194573643</v>
      </c>
      <c r="F376" s="626"/>
      <c r="G376" s="755"/>
      <c r="H376" s="755"/>
      <c r="I376" s="755"/>
      <c r="J376" s="1775"/>
      <c r="K376" s="1014"/>
      <c r="L376" s="755"/>
      <c r="M376" s="755"/>
      <c r="N376" s="1638"/>
      <c r="P376" s="4588"/>
    </row>
    <row r="377" spans="1:16" s="1639" customFormat="1" ht="15.75" customHeight="1" x14ac:dyDescent="0.25">
      <c r="A377" s="1637"/>
      <c r="B377" s="1242"/>
      <c r="C377" s="3866" t="s">
        <v>7063</v>
      </c>
      <c r="D377" s="666">
        <v>324500000</v>
      </c>
      <c r="E377" s="1126">
        <f>D377/D255*100</f>
        <v>0.17690532638059603</v>
      </c>
      <c r="F377" s="626"/>
      <c r="G377" s="755"/>
      <c r="H377" s="755"/>
      <c r="I377" s="755"/>
      <c r="J377" s="1775"/>
      <c r="K377" s="1014"/>
      <c r="L377" s="755"/>
      <c r="M377" s="755"/>
      <c r="N377" s="1638"/>
      <c r="P377" s="4588"/>
    </row>
    <row r="378" spans="1:16" s="1639" customFormat="1" ht="15.75" customHeight="1" x14ac:dyDescent="0.25">
      <c r="A378" s="1637"/>
      <c r="B378" s="1242"/>
      <c r="C378" s="3867" t="s">
        <v>7064</v>
      </c>
      <c r="D378" s="666">
        <v>313500000</v>
      </c>
      <c r="E378" s="1126">
        <f>D378/D255*100</f>
        <v>0.17090853565583003</v>
      </c>
      <c r="F378" s="626"/>
      <c r="G378" s="755"/>
      <c r="H378" s="755"/>
      <c r="I378" s="755"/>
      <c r="J378" s="1775"/>
      <c r="K378" s="1014"/>
      <c r="L378" s="755"/>
      <c r="M378" s="755"/>
      <c r="N378" s="1638"/>
      <c r="P378" s="4588"/>
    </row>
    <row r="379" spans="1:16" ht="12" customHeight="1" x14ac:dyDescent="0.25">
      <c r="B379" s="1242"/>
      <c r="C379" s="3896"/>
      <c r="D379" s="2256"/>
      <c r="E379" s="1126"/>
      <c r="F379" s="804"/>
      <c r="G379" s="804"/>
      <c r="H379" s="804"/>
      <c r="I379" s="804"/>
      <c r="J379" s="2175"/>
      <c r="K379" s="2175"/>
      <c r="L379" s="2175"/>
      <c r="M379" s="2175"/>
      <c r="N379" s="535"/>
    </row>
    <row r="380" spans="1:16" s="4099" customFormat="1" ht="16.5" customHeight="1" x14ac:dyDescent="0.25">
      <c r="A380" s="4101"/>
      <c r="B380" s="4119"/>
      <c r="C380" s="3938" t="s">
        <v>1845</v>
      </c>
      <c r="D380" s="768">
        <f>SUM(D381:D383)</f>
        <v>1307200000</v>
      </c>
      <c r="E380" s="1447">
        <f>D380/D255*100</f>
        <v>0.7126368032194611</v>
      </c>
      <c r="F380" s="3630"/>
      <c r="G380" s="3630"/>
      <c r="H380" s="3630"/>
      <c r="I380" s="3630"/>
      <c r="J380" s="1315"/>
      <c r="K380" s="1315"/>
      <c r="L380" s="1315"/>
      <c r="M380" s="1315"/>
      <c r="N380" s="4109"/>
      <c r="P380" s="500"/>
    </row>
    <row r="381" spans="1:16" s="4099" customFormat="1" ht="15" customHeight="1" x14ac:dyDescent="0.25">
      <c r="A381" s="4101"/>
      <c r="B381" s="4119"/>
      <c r="C381" s="4118" t="s">
        <v>7065</v>
      </c>
      <c r="D381" s="780">
        <v>398000000</v>
      </c>
      <c r="E381" s="1126">
        <f>D381/D255*100</f>
        <v>0.21697479167789588</v>
      </c>
      <c r="F381" s="3630"/>
      <c r="G381" s="3630"/>
      <c r="H381" s="3630"/>
      <c r="I381" s="3630"/>
      <c r="J381" s="1315"/>
      <c r="K381" s="1315"/>
      <c r="L381" s="1315"/>
      <c r="M381" s="1315"/>
      <c r="N381" s="4109"/>
      <c r="P381" s="500"/>
    </row>
    <row r="382" spans="1:16" s="4099" customFormat="1" ht="15" customHeight="1" x14ac:dyDescent="0.25">
      <c r="A382" s="4101"/>
      <c r="B382" s="4119"/>
      <c r="C382" s="4118" t="s">
        <v>7066</v>
      </c>
      <c r="D382" s="780">
        <v>459200000</v>
      </c>
      <c r="E382" s="1126">
        <f>D382/D255*100</f>
        <v>0.25033875461932104</v>
      </c>
      <c r="F382" s="3630"/>
      <c r="G382" s="3630"/>
      <c r="H382" s="3630"/>
      <c r="I382" s="3630"/>
      <c r="J382" s="1315"/>
      <c r="K382" s="1315"/>
      <c r="L382" s="1315"/>
      <c r="M382" s="1315"/>
      <c r="N382" s="4109"/>
      <c r="P382" s="500"/>
    </row>
    <row r="383" spans="1:16" s="4099" customFormat="1" ht="16.5" customHeight="1" x14ac:dyDescent="0.25">
      <c r="A383" s="4101"/>
      <c r="B383" s="4119"/>
      <c r="C383" s="4118" t="s">
        <v>7067</v>
      </c>
      <c r="D383" s="780">
        <v>450000000</v>
      </c>
      <c r="E383" s="1126">
        <f>D383/D255*100</f>
        <v>0.2453232569222441</v>
      </c>
      <c r="F383" s="3630"/>
      <c r="G383" s="3630"/>
      <c r="H383" s="3630"/>
      <c r="I383" s="3630"/>
      <c r="J383" s="1315"/>
      <c r="K383" s="1315"/>
      <c r="L383" s="1315"/>
      <c r="M383" s="1315"/>
      <c r="N383" s="4109"/>
      <c r="P383" s="500"/>
    </row>
    <row r="384" spans="1:16" s="4099" customFormat="1" ht="11.25" customHeight="1" x14ac:dyDescent="0.25">
      <c r="A384" s="4101"/>
      <c r="B384" s="4119"/>
      <c r="C384" s="4118"/>
      <c r="D384" s="780"/>
      <c r="E384" s="1126"/>
      <c r="F384" s="3630"/>
      <c r="G384" s="3630"/>
      <c r="H384" s="3630"/>
      <c r="I384" s="3630"/>
      <c r="J384" s="1315"/>
      <c r="K384" s="1315"/>
      <c r="L384" s="1315"/>
      <c r="M384" s="1315"/>
      <c r="N384" s="4109"/>
      <c r="P384" s="500"/>
    </row>
    <row r="385" spans="1:16" s="3598" customFormat="1" ht="17.25" customHeight="1" x14ac:dyDescent="0.25">
      <c r="A385" s="3588"/>
      <c r="B385" s="4119"/>
      <c r="C385" s="3938" t="s">
        <v>7068</v>
      </c>
      <c r="D385" s="768">
        <f>SUM(D386:D388)</f>
        <v>1313557000</v>
      </c>
      <c r="E385" s="1447">
        <f>D385/D255*100</f>
        <v>0.71610240309558271</v>
      </c>
      <c r="F385" s="3629"/>
      <c r="G385" s="3629"/>
      <c r="H385" s="3629"/>
      <c r="I385" s="3629"/>
      <c r="J385" s="2261"/>
      <c r="K385" s="2261"/>
      <c r="L385" s="2261"/>
      <c r="M385" s="2261"/>
      <c r="N385" s="3592"/>
      <c r="P385" s="4592"/>
    </row>
    <row r="386" spans="1:16" s="4099" customFormat="1" ht="15.75" customHeight="1" x14ac:dyDescent="0.25">
      <c r="A386" s="4101"/>
      <c r="B386" s="4119"/>
      <c r="C386" s="4118" t="s">
        <v>7069</v>
      </c>
      <c r="D386" s="780">
        <v>495000000</v>
      </c>
      <c r="E386" s="1126">
        <f>D386/D255*100</f>
        <v>0.26985558261446846</v>
      </c>
      <c r="F386" s="3630"/>
      <c r="G386" s="3630"/>
      <c r="H386" s="3630"/>
      <c r="I386" s="3630"/>
      <c r="J386" s="1315"/>
      <c r="K386" s="1315"/>
      <c r="L386" s="1315"/>
      <c r="M386" s="1315"/>
      <c r="N386" s="4109"/>
      <c r="P386" s="500"/>
    </row>
    <row r="387" spans="1:16" s="4099" customFormat="1" ht="27" customHeight="1" x14ac:dyDescent="0.25">
      <c r="A387" s="4101"/>
      <c r="B387" s="4119"/>
      <c r="C387" s="4118" t="s">
        <v>7070</v>
      </c>
      <c r="D387" s="780">
        <v>578900000</v>
      </c>
      <c r="E387" s="1126">
        <f>D387/D255*100</f>
        <v>0.315594740960638</v>
      </c>
      <c r="F387" s="3630"/>
      <c r="G387" s="3630"/>
      <c r="H387" s="3630"/>
      <c r="I387" s="3630"/>
      <c r="J387" s="1315"/>
      <c r="K387" s="1315"/>
      <c r="L387" s="1315"/>
      <c r="M387" s="1315"/>
      <c r="N387" s="4109"/>
      <c r="P387" s="500"/>
    </row>
    <row r="388" spans="1:16" s="4099" customFormat="1" ht="27" customHeight="1" x14ac:dyDescent="0.25">
      <c r="A388" s="4101"/>
      <c r="B388" s="4119"/>
      <c r="C388" s="4118" t="s">
        <v>7071</v>
      </c>
      <c r="D388" s="780">
        <v>239657000</v>
      </c>
      <c r="E388" s="1126">
        <f>D388/D255*100</f>
        <v>0.13065207952047611</v>
      </c>
      <c r="F388" s="3630"/>
      <c r="G388" s="3630"/>
      <c r="H388" s="3630"/>
      <c r="I388" s="3630"/>
      <c r="J388" s="1315"/>
      <c r="K388" s="1315"/>
      <c r="L388" s="1315"/>
      <c r="M388" s="1315"/>
      <c r="N388" s="4109"/>
      <c r="P388" s="500"/>
    </row>
    <row r="389" spans="1:16" s="4099" customFormat="1" ht="8.25" customHeight="1" x14ac:dyDescent="0.25">
      <c r="A389" s="4101"/>
      <c r="B389" s="4119"/>
      <c r="C389" s="4118"/>
      <c r="D389" s="780"/>
      <c r="E389" s="1126"/>
      <c r="F389" s="3630"/>
      <c r="G389" s="3630"/>
      <c r="H389" s="3630"/>
      <c r="I389" s="3630"/>
      <c r="J389" s="1315"/>
      <c r="K389" s="1315"/>
      <c r="L389" s="1315"/>
      <c r="M389" s="1315"/>
      <c r="N389" s="4109"/>
      <c r="P389" s="500"/>
    </row>
    <row r="390" spans="1:16" s="4099" customFormat="1" ht="27" customHeight="1" x14ac:dyDescent="0.25">
      <c r="A390" s="4101"/>
      <c r="B390" s="4119"/>
      <c r="C390" s="3938" t="s">
        <v>7072</v>
      </c>
      <c r="D390" s="768">
        <f>SUM(D391:D392)</f>
        <v>2139103000</v>
      </c>
      <c r="E390" s="1447">
        <f>D390/D255*100</f>
        <v>1.1661593663380958</v>
      </c>
      <c r="F390" s="3630"/>
      <c r="G390" s="3630"/>
      <c r="H390" s="3630"/>
      <c r="I390" s="3630"/>
      <c r="J390" s="1315"/>
      <c r="K390" s="1315"/>
      <c r="L390" s="1315"/>
      <c r="M390" s="1315"/>
      <c r="N390" s="4109"/>
      <c r="P390" s="500"/>
    </row>
    <row r="391" spans="1:16" s="4099" customFormat="1" ht="16.5" customHeight="1" x14ac:dyDescent="0.25">
      <c r="A391" s="4101"/>
      <c r="B391" s="4119"/>
      <c r="C391" s="4118" t="s">
        <v>7073</v>
      </c>
      <c r="D391" s="780">
        <v>1781603000</v>
      </c>
      <c r="E391" s="1126">
        <f>D391/D255*100</f>
        <v>0.97126366778320183</v>
      </c>
      <c r="F391" s="3630"/>
      <c r="G391" s="3630"/>
      <c r="H391" s="3630"/>
      <c r="I391" s="3630"/>
      <c r="J391" s="1315"/>
      <c r="K391" s="1315"/>
      <c r="L391" s="1315"/>
      <c r="M391" s="1315"/>
      <c r="N391" s="4109"/>
      <c r="P391" s="500"/>
    </row>
    <row r="392" spans="1:16" s="4099" customFormat="1" ht="16.5" customHeight="1" x14ac:dyDescent="0.25">
      <c r="A392" s="4101"/>
      <c r="B392" s="4119"/>
      <c r="C392" s="4118" t="s">
        <v>7074</v>
      </c>
      <c r="D392" s="780">
        <v>357500000</v>
      </c>
      <c r="E392" s="1126">
        <f>D392/D255*100</f>
        <v>0.19489569855489391</v>
      </c>
      <c r="F392" s="3630"/>
      <c r="G392" s="3630"/>
      <c r="H392" s="3630"/>
      <c r="I392" s="3630"/>
      <c r="J392" s="1315"/>
      <c r="K392" s="1315"/>
      <c r="L392" s="1315"/>
      <c r="M392" s="1315"/>
      <c r="N392" s="4109"/>
      <c r="P392" s="500"/>
    </row>
    <row r="393" spans="1:16" s="4099" customFormat="1" ht="12" customHeight="1" x14ac:dyDescent="0.25">
      <c r="A393" s="4101"/>
      <c r="B393" s="4119"/>
      <c r="C393" s="3956"/>
      <c r="D393" s="897"/>
      <c r="E393" s="1449"/>
      <c r="F393" s="804"/>
      <c r="G393" s="804"/>
      <c r="H393" s="804"/>
      <c r="I393" s="804"/>
      <c r="J393" s="2182"/>
      <c r="K393" s="2182"/>
      <c r="L393" s="2182"/>
      <c r="M393" s="2182"/>
      <c r="N393" s="4109"/>
      <c r="P393" s="500"/>
    </row>
    <row r="394" spans="1:16" s="1639" customFormat="1" ht="18.75" customHeight="1" x14ac:dyDescent="0.25">
      <c r="A394" s="1637"/>
      <c r="B394" s="1305"/>
      <c r="C394" s="3980" t="s">
        <v>254</v>
      </c>
      <c r="D394" s="2659">
        <f>SUM(D395)</f>
        <v>5240000000</v>
      </c>
      <c r="E394" s="1445">
        <f>D394/D255*100</f>
        <v>2.8566530361612426</v>
      </c>
      <c r="F394" s="765"/>
      <c r="G394" s="807"/>
      <c r="H394" s="807"/>
      <c r="I394" s="807"/>
      <c r="J394" s="1773"/>
      <c r="K394" s="1773"/>
      <c r="L394" s="1462"/>
      <c r="M394" s="1307"/>
      <c r="N394" s="1638"/>
      <c r="P394" s="4588"/>
    </row>
    <row r="395" spans="1:16" s="1639" customFormat="1" ht="21" customHeight="1" x14ac:dyDescent="0.25">
      <c r="A395" s="1637"/>
      <c r="B395" s="1242"/>
      <c r="C395" s="3869" t="s">
        <v>7075</v>
      </c>
      <c r="D395" s="4176">
        <f>D396</f>
        <v>5240000000</v>
      </c>
      <c r="E395" s="1446">
        <f>D395/D255*100</f>
        <v>2.8566530361612426</v>
      </c>
      <c r="F395" s="627"/>
      <c r="G395" s="804"/>
      <c r="H395" s="804"/>
      <c r="I395" s="804"/>
      <c r="J395" s="1780"/>
      <c r="K395" s="1780"/>
      <c r="L395" s="1671"/>
      <c r="M395" s="2259"/>
      <c r="N395" s="1638"/>
      <c r="P395" s="4588"/>
    </row>
    <row r="396" spans="1:16" s="1639" customFormat="1" ht="15" customHeight="1" x14ac:dyDescent="0.25">
      <c r="A396" s="1637"/>
      <c r="B396" s="1242"/>
      <c r="C396" s="3868" t="s">
        <v>7076</v>
      </c>
      <c r="D396" s="666">
        <v>5240000000</v>
      </c>
      <c r="E396" s="1126">
        <f>D396/D255*100</f>
        <v>2.8566530361612426</v>
      </c>
      <c r="F396" s="626"/>
      <c r="G396" s="755"/>
      <c r="H396" s="755"/>
      <c r="I396" s="755"/>
      <c r="J396" s="1775"/>
      <c r="K396" s="1312"/>
      <c r="L396" s="1703"/>
      <c r="M396" s="1703"/>
      <c r="N396" s="1638"/>
      <c r="P396" s="4588"/>
    </row>
    <row r="397" spans="1:16" s="620" customFormat="1" ht="12" customHeight="1" x14ac:dyDescent="0.25">
      <c r="A397" s="352"/>
      <c r="B397" s="1242"/>
      <c r="C397" s="3982"/>
      <c r="D397" s="2256"/>
      <c r="E397" s="864"/>
      <c r="F397" s="804"/>
      <c r="G397" s="804"/>
      <c r="H397" s="2238"/>
      <c r="I397" s="2257"/>
      <c r="J397" s="2182"/>
      <c r="K397" s="2182"/>
      <c r="L397" s="2182"/>
      <c r="M397" s="2182"/>
      <c r="N397" s="535"/>
      <c r="P397" s="500"/>
    </row>
    <row r="398" spans="1:16" s="620" customFormat="1" ht="15.75" customHeight="1" x14ac:dyDescent="0.25">
      <c r="A398" s="352"/>
      <c r="B398" s="1305"/>
      <c r="C398" s="3913" t="s">
        <v>2213</v>
      </c>
      <c r="D398" s="2659">
        <f>SUM(D399)</f>
        <v>52794100495</v>
      </c>
      <c r="E398" s="1445">
        <f>D398/D255*100</f>
        <v>28.781379288252573</v>
      </c>
      <c r="F398" s="765"/>
      <c r="G398" s="765"/>
      <c r="H398" s="1306"/>
      <c r="I398" s="2239"/>
      <c r="J398" s="1773"/>
      <c r="K398" s="1773"/>
      <c r="L398" s="1462"/>
      <c r="M398" s="1307"/>
      <c r="N398" s="535"/>
      <c r="P398" s="500"/>
    </row>
    <row r="399" spans="1:16" s="620" customFormat="1" ht="15.75" customHeight="1" x14ac:dyDescent="0.25">
      <c r="A399" s="352"/>
      <c r="B399" s="1242"/>
      <c r="C399" s="3979" t="s">
        <v>2214</v>
      </c>
      <c r="D399" s="4178">
        <f>SUM(D400:D405)</f>
        <v>52794100495</v>
      </c>
      <c r="E399" s="1446">
        <f>D399/D255*100</f>
        <v>28.781379288252573</v>
      </c>
      <c r="F399" s="628"/>
      <c r="G399" s="628"/>
      <c r="H399" s="2238"/>
      <c r="I399" s="2260"/>
      <c r="J399" s="628"/>
      <c r="K399" s="628"/>
      <c r="L399" s="1671"/>
      <c r="M399" s="1671"/>
      <c r="N399" s="535"/>
      <c r="P399" s="500"/>
    </row>
    <row r="400" spans="1:16" s="1639" customFormat="1" ht="18" customHeight="1" x14ac:dyDescent="0.25">
      <c r="A400" s="1637"/>
      <c r="B400" s="1242"/>
      <c r="C400" s="622" t="s">
        <v>2215</v>
      </c>
      <c r="D400" s="666">
        <f>850000000+6163263035</f>
        <v>7013263035</v>
      </c>
      <c r="E400" s="1126">
        <f>D400/D255*100</f>
        <v>3.8233700653301832</v>
      </c>
      <c r="F400" s="626"/>
      <c r="G400" s="755"/>
      <c r="H400" s="1310"/>
      <c r="I400" s="2249"/>
      <c r="J400" s="1775"/>
      <c r="K400" s="1312"/>
      <c r="L400" s="1717"/>
      <c r="M400" s="1312"/>
      <c r="N400" s="1638"/>
      <c r="P400" s="4588"/>
    </row>
    <row r="401" spans="1:16" s="1639" customFormat="1" ht="17.25" customHeight="1" x14ac:dyDescent="0.25">
      <c r="A401" s="1637"/>
      <c r="B401" s="1242"/>
      <c r="C401" s="622" t="s">
        <v>7077</v>
      </c>
      <c r="D401" s="666">
        <v>7500000000</v>
      </c>
      <c r="E401" s="1126">
        <f>D401/D255*100</f>
        <v>4.0887209487040677</v>
      </c>
      <c r="F401" s="626"/>
      <c r="G401" s="755"/>
      <c r="H401" s="1310"/>
      <c r="I401" s="2249"/>
      <c r="J401" s="1775"/>
      <c r="K401" s="1312"/>
      <c r="L401" s="1717"/>
      <c r="M401" s="1312"/>
      <c r="N401" s="1638"/>
      <c r="P401" s="4588"/>
    </row>
    <row r="402" spans="1:16" s="1639" customFormat="1" ht="17.25" customHeight="1" x14ac:dyDescent="0.25">
      <c r="A402" s="1637"/>
      <c r="B402" s="1242"/>
      <c r="C402" s="622" t="s">
        <v>7078</v>
      </c>
      <c r="D402" s="666">
        <v>1937002000</v>
      </c>
      <c r="E402" s="1450">
        <f>D402/D255*100</f>
        <v>1.0559814206775568</v>
      </c>
      <c r="F402" s="626"/>
      <c r="G402" s="755"/>
      <c r="H402" s="1310"/>
      <c r="I402" s="2249"/>
      <c r="J402" s="1775"/>
      <c r="K402" s="1312"/>
      <c r="L402" s="1717"/>
      <c r="M402" s="1312"/>
      <c r="N402" s="1638"/>
      <c r="P402" s="4588"/>
    </row>
    <row r="403" spans="1:16" s="1639" customFormat="1" ht="15.75" customHeight="1" x14ac:dyDescent="0.25">
      <c r="A403" s="1637"/>
      <c r="B403" s="1242"/>
      <c r="C403" s="4572" t="s">
        <v>7079</v>
      </c>
      <c r="D403" s="868">
        <v>750000000</v>
      </c>
      <c r="E403" s="1126">
        <f>D403/D255*100</f>
        <v>0.40887209487040682</v>
      </c>
      <c r="F403" s="4558"/>
      <c r="G403" s="798"/>
      <c r="H403" s="2174"/>
      <c r="I403" s="784"/>
      <c r="J403" s="4573"/>
      <c r="K403" s="1323"/>
      <c r="L403" s="1703"/>
      <c r="M403" s="1323"/>
      <c r="N403" s="1638"/>
      <c r="P403" s="4588"/>
    </row>
    <row r="404" spans="1:16" s="1639" customFormat="1" ht="15.75" customHeight="1" x14ac:dyDescent="0.25">
      <c r="A404" s="1637"/>
      <c r="B404" s="4119"/>
      <c r="C404" s="4574" t="s">
        <v>7080</v>
      </c>
      <c r="D404" s="666">
        <v>8706932460</v>
      </c>
      <c r="E404" s="1126">
        <f>D404/D255*100</f>
        <v>4.7466956197537931</v>
      </c>
      <c r="F404" s="626"/>
      <c r="G404" s="3630"/>
      <c r="H404" s="880"/>
      <c r="I404" s="780"/>
      <c r="J404" s="1775"/>
      <c r="K404" s="1717"/>
      <c r="L404" s="1717"/>
      <c r="M404" s="1717"/>
      <c r="N404" s="1638"/>
      <c r="P404" s="4588"/>
    </row>
    <row r="405" spans="1:16" s="1639" customFormat="1" ht="15.75" customHeight="1" x14ac:dyDescent="0.25">
      <c r="A405" s="1637"/>
      <c r="B405" s="4119"/>
      <c r="C405" s="4574" t="s">
        <v>7081</v>
      </c>
      <c r="D405" s="666">
        <v>26886903000</v>
      </c>
      <c r="E405" s="1126">
        <f>D405/D255*100</f>
        <v>14.657739138916567</v>
      </c>
      <c r="F405" s="626"/>
      <c r="G405" s="3630"/>
      <c r="H405" s="880"/>
      <c r="I405" s="780"/>
      <c r="J405" s="1775"/>
      <c r="K405" s="1717"/>
      <c r="L405" s="1717"/>
      <c r="M405" s="1717"/>
      <c r="N405" s="1638"/>
      <c r="P405" s="4588"/>
    </row>
    <row r="406" spans="1:16" s="620" customFormat="1" ht="12" customHeight="1" x14ac:dyDescent="0.25">
      <c r="A406" s="352"/>
      <c r="B406" s="1242"/>
      <c r="C406" s="3896"/>
      <c r="D406" s="2256"/>
      <c r="E406" s="1450"/>
      <c r="F406" s="804"/>
      <c r="G406" s="804"/>
      <c r="H406" s="2238"/>
      <c r="I406" s="2257"/>
      <c r="J406" s="2182"/>
      <c r="K406" s="2182"/>
      <c r="L406" s="2182"/>
      <c r="M406" s="2182"/>
      <c r="N406" s="535"/>
      <c r="P406" s="500"/>
    </row>
    <row r="407" spans="1:16" s="1639" customFormat="1" ht="18.75" customHeight="1" x14ac:dyDescent="0.25">
      <c r="A407" s="1637"/>
      <c r="B407" s="1305"/>
      <c r="C407" s="3913" t="s">
        <v>1750</v>
      </c>
      <c r="D407" s="2659">
        <f>SUM(D408+D412+D415)</f>
        <v>3019520800</v>
      </c>
      <c r="E407" s="1445">
        <f>D407/D255*100</f>
        <v>1.6461303933343556</v>
      </c>
      <c r="F407" s="743"/>
      <c r="G407" s="807"/>
      <c r="H407" s="807"/>
      <c r="I407" s="807"/>
      <c r="J407" s="1770"/>
      <c r="K407" s="1770"/>
      <c r="L407" s="1462"/>
      <c r="M407" s="1307"/>
      <c r="N407" s="1638"/>
      <c r="P407" s="4588"/>
    </row>
    <row r="408" spans="1:16" s="1639" customFormat="1" ht="17.25" customHeight="1" x14ac:dyDescent="0.25">
      <c r="A408" s="1637"/>
      <c r="B408" s="1242"/>
      <c r="C408" s="3975" t="s">
        <v>7082</v>
      </c>
      <c r="D408" s="4178">
        <f>SUM(D409:D410)</f>
        <v>391200000</v>
      </c>
      <c r="E408" s="1446">
        <f>D408/D255*100</f>
        <v>0.21326768468440419</v>
      </c>
      <c r="F408" s="633"/>
      <c r="G408" s="804"/>
      <c r="H408" s="804"/>
      <c r="I408" s="804"/>
      <c r="J408" s="1783"/>
      <c r="K408" s="1783"/>
      <c r="L408" s="1671"/>
      <c r="M408" s="1671"/>
      <c r="N408" s="1638"/>
      <c r="P408" s="4588"/>
    </row>
    <row r="409" spans="1:16" s="1639" customFormat="1" ht="14.25" customHeight="1" x14ac:dyDescent="0.25">
      <c r="A409" s="1637"/>
      <c r="B409" s="1242"/>
      <c r="C409" s="3870" t="s">
        <v>7083</v>
      </c>
      <c r="D409" s="666">
        <v>91200000</v>
      </c>
      <c r="E409" s="1126">
        <f>D409/D255*100</f>
        <v>4.9718846736241468E-2</v>
      </c>
      <c r="F409" s="629"/>
      <c r="G409" s="755"/>
      <c r="H409" s="755"/>
      <c r="I409" s="755"/>
      <c r="J409" s="629"/>
      <c r="K409" s="1717"/>
      <c r="L409" s="1717"/>
      <c r="M409" s="1315"/>
      <c r="N409" s="1638"/>
      <c r="P409" s="4588"/>
    </row>
    <row r="410" spans="1:16" s="1639" customFormat="1" ht="14.25" customHeight="1" x14ac:dyDescent="0.25">
      <c r="A410" s="1637"/>
      <c r="B410" s="1242"/>
      <c r="C410" s="3870" t="s">
        <v>7084</v>
      </c>
      <c r="D410" s="666">
        <v>300000000</v>
      </c>
      <c r="E410" s="1126">
        <f>D410/D255*100</f>
        <v>0.16354883794816275</v>
      </c>
      <c r="F410" s="630"/>
      <c r="G410" s="755"/>
      <c r="H410" s="755"/>
      <c r="I410" s="755"/>
      <c r="J410" s="629"/>
      <c r="K410" s="1717"/>
      <c r="L410" s="1703"/>
      <c r="M410" s="1315"/>
      <c r="N410" s="1638"/>
      <c r="P410" s="4588"/>
    </row>
    <row r="411" spans="1:16" s="1639" customFormat="1" ht="9.75" customHeight="1" x14ac:dyDescent="0.25">
      <c r="A411" s="1637"/>
      <c r="B411" s="1242"/>
      <c r="C411" s="3864"/>
      <c r="D411" s="666"/>
      <c r="E411" s="1126"/>
      <c r="F411" s="631"/>
      <c r="G411" s="809"/>
      <c r="H411" s="1451"/>
      <c r="I411" s="809"/>
      <c r="J411" s="1190"/>
      <c r="K411" s="1315"/>
      <c r="L411" s="1315"/>
      <c r="M411" s="1315"/>
      <c r="N411" s="1638"/>
      <c r="P411" s="4588"/>
    </row>
    <row r="412" spans="1:16" s="1639" customFormat="1" ht="17.25" customHeight="1" x14ac:dyDescent="0.25">
      <c r="A412" s="1637"/>
      <c r="B412" s="1242"/>
      <c r="C412" s="3975" t="s">
        <v>7085</v>
      </c>
      <c r="D412" s="4177">
        <f>D413</f>
        <v>1318320800</v>
      </c>
      <c r="E412" s="1446">
        <f>D412/D255*100</f>
        <v>0.71869944960964083</v>
      </c>
      <c r="F412" s="634"/>
      <c r="G412" s="753"/>
      <c r="H412" s="753"/>
      <c r="I412" s="753"/>
      <c r="J412" s="634"/>
      <c r="K412" s="1772"/>
      <c r="L412" s="753"/>
      <c r="M412" s="753"/>
      <c r="N412" s="1638"/>
      <c r="P412" s="4588"/>
    </row>
    <row r="413" spans="1:16" s="1639" customFormat="1" ht="18" customHeight="1" x14ac:dyDescent="0.25">
      <c r="A413" s="1637"/>
      <c r="B413" s="1242"/>
      <c r="C413" s="3866" t="s">
        <v>7086</v>
      </c>
      <c r="D413" s="666">
        <v>1318320800</v>
      </c>
      <c r="E413" s="1126">
        <f>D413/D255*100</f>
        <v>0.71869944960964083</v>
      </c>
      <c r="F413" s="632"/>
      <c r="G413" s="755"/>
      <c r="H413" s="755"/>
      <c r="I413" s="755"/>
      <c r="J413" s="1784"/>
      <c r="K413" s="1014"/>
      <c r="L413" s="755"/>
      <c r="M413" s="755"/>
      <c r="N413" s="1638"/>
      <c r="P413" s="4588"/>
    </row>
    <row r="414" spans="1:16" s="1639" customFormat="1" ht="11.25" customHeight="1" x14ac:dyDescent="0.25">
      <c r="A414" s="1637"/>
      <c r="B414" s="4119"/>
      <c r="C414" s="4575"/>
      <c r="D414" s="2181"/>
      <c r="E414" s="1126"/>
      <c r="F414" s="4576"/>
      <c r="G414" s="804"/>
      <c r="H414" s="804"/>
      <c r="I414" s="804"/>
      <c r="J414" s="4577"/>
      <c r="K414" s="2258"/>
      <c r="L414" s="804"/>
      <c r="M414" s="804"/>
      <c r="N414" s="1638"/>
      <c r="P414" s="4588"/>
    </row>
    <row r="415" spans="1:16" s="1639" customFormat="1" ht="18" customHeight="1" x14ac:dyDescent="0.25">
      <c r="A415" s="1637"/>
      <c r="B415" s="4119"/>
      <c r="C415" s="4578" t="s">
        <v>7087</v>
      </c>
      <c r="D415" s="673">
        <f>D416</f>
        <v>1310000000</v>
      </c>
      <c r="E415" s="1447">
        <f>D415/D255*100</f>
        <v>0.71416325904031064</v>
      </c>
      <c r="F415" s="632"/>
      <c r="G415" s="3630"/>
      <c r="H415" s="3630"/>
      <c r="I415" s="3630"/>
      <c r="J415" s="1784"/>
      <c r="K415" s="3879"/>
      <c r="L415" s="3630"/>
      <c r="M415" s="3630"/>
      <c r="N415" s="1638"/>
      <c r="P415" s="4588"/>
    </row>
    <row r="416" spans="1:16" s="1639" customFormat="1" ht="18" customHeight="1" x14ac:dyDescent="0.25">
      <c r="A416" s="1637"/>
      <c r="B416" s="4119"/>
      <c r="C416" s="4566" t="s">
        <v>7088</v>
      </c>
      <c r="D416" s="666">
        <v>1310000000</v>
      </c>
      <c r="E416" s="1126">
        <f>D416/D255*100</f>
        <v>0.71416325904031064</v>
      </c>
      <c r="F416" s="632"/>
      <c r="G416" s="3630"/>
      <c r="H416" s="3630"/>
      <c r="I416" s="3630"/>
      <c r="J416" s="1784"/>
      <c r="K416" s="3879"/>
      <c r="L416" s="3630"/>
      <c r="M416" s="3630"/>
      <c r="N416" s="1638"/>
      <c r="P416" s="4588"/>
    </row>
    <row r="417" spans="1:16" s="620" customFormat="1" ht="12" customHeight="1" x14ac:dyDescent="0.25">
      <c r="A417" s="352"/>
      <c r="B417" s="1242"/>
      <c r="C417" s="3896"/>
      <c r="D417" s="2256"/>
      <c r="E417" s="1450"/>
      <c r="F417" s="804"/>
      <c r="G417" s="804"/>
      <c r="H417" s="804"/>
      <c r="I417" s="804"/>
      <c r="J417" s="2182"/>
      <c r="K417" s="2182"/>
      <c r="L417" s="2182"/>
      <c r="M417" s="2182"/>
      <c r="N417" s="535"/>
      <c r="P417" s="500"/>
    </row>
    <row r="418" spans="1:16" s="1639" customFormat="1" ht="19.5" customHeight="1" x14ac:dyDescent="0.25">
      <c r="A418" s="1637"/>
      <c r="B418" s="1305"/>
      <c r="C418" s="3913" t="s">
        <v>2225</v>
      </c>
      <c r="D418" s="2239">
        <f>SUM(D419)</f>
        <v>9265074000</v>
      </c>
      <c r="E418" s="1445">
        <f>D418/D255*100</f>
        <v>5.0509736206791196</v>
      </c>
      <c r="F418" s="807"/>
      <c r="G418" s="807"/>
      <c r="H418" s="807"/>
      <c r="I418" s="807"/>
      <c r="J418" s="1781"/>
      <c r="K418" s="1781"/>
      <c r="L418" s="1462"/>
      <c r="M418" s="2240"/>
      <c r="N418" s="1638"/>
      <c r="P418" s="4588"/>
    </row>
    <row r="419" spans="1:16" s="1639" customFormat="1" ht="20.25" customHeight="1" x14ac:dyDescent="0.25">
      <c r="A419" s="1637"/>
      <c r="B419" s="1242"/>
      <c r="C419" s="3975" t="s">
        <v>7089</v>
      </c>
      <c r="D419" s="4178">
        <f>D420</f>
        <v>9265074000</v>
      </c>
      <c r="E419" s="1446">
        <f>D419/D255*100</f>
        <v>5.0509736206791196</v>
      </c>
      <c r="F419" s="635"/>
      <c r="G419" s="804"/>
      <c r="H419" s="804"/>
      <c r="I419" s="804"/>
      <c r="J419" s="635"/>
      <c r="K419" s="635"/>
      <c r="L419" s="1671"/>
      <c r="M419" s="1671"/>
      <c r="N419" s="1638"/>
      <c r="P419" s="4588"/>
    </row>
    <row r="420" spans="1:16" s="1639" customFormat="1" ht="17.25" customHeight="1" x14ac:dyDescent="0.25">
      <c r="A420" s="1637"/>
      <c r="B420" s="1242"/>
      <c r="C420" s="3870" t="s">
        <v>7090</v>
      </c>
      <c r="D420" s="666">
        <v>9265074000</v>
      </c>
      <c r="E420" s="1126">
        <f>D420/D255*100</f>
        <v>5.0509736206791196</v>
      </c>
      <c r="F420" s="624"/>
      <c r="G420" s="755"/>
      <c r="H420" s="755"/>
      <c r="I420" s="755"/>
      <c r="J420" s="1774"/>
      <c r="K420" s="2180"/>
      <c r="L420" s="1703"/>
      <c r="M420" s="1717"/>
      <c r="N420" s="1638"/>
      <c r="P420" s="4588"/>
    </row>
    <row r="421" spans="1:16" s="1639" customFormat="1" ht="12" customHeight="1" x14ac:dyDescent="0.25">
      <c r="A421" s="1637"/>
      <c r="B421" s="1242"/>
      <c r="C421" s="3983"/>
      <c r="D421" s="799"/>
      <c r="E421" s="864"/>
      <c r="F421" s="810"/>
      <c r="G421" s="798"/>
      <c r="H421" s="798"/>
      <c r="I421" s="798"/>
      <c r="J421" s="1777"/>
      <c r="K421" s="2175"/>
      <c r="L421" s="2175"/>
      <c r="M421" s="2175"/>
      <c r="N421" s="1638"/>
      <c r="P421" s="4588"/>
    </row>
    <row r="422" spans="1:16" s="1639" customFormat="1" ht="15.75" customHeight="1" x14ac:dyDescent="0.25">
      <c r="A422" s="1637"/>
      <c r="B422" s="4050"/>
      <c r="C422" s="4581" t="s">
        <v>7091</v>
      </c>
      <c r="D422" s="4203">
        <f>D423</f>
        <v>7863773310</v>
      </c>
      <c r="E422" s="1445">
        <f>D422/D255*100</f>
        <v>4.2870366224609242</v>
      </c>
      <c r="F422" s="4582"/>
      <c r="G422" s="2226"/>
      <c r="H422" s="2226"/>
      <c r="I422" s="2226"/>
      <c r="J422" s="4582"/>
      <c r="K422" s="4582"/>
      <c r="L422" s="2356"/>
      <c r="M422" s="2356"/>
      <c r="N422" s="1638"/>
      <c r="P422" s="4588"/>
    </row>
    <row r="423" spans="1:16" s="1639" customFormat="1" ht="15.75" customHeight="1" x14ac:dyDescent="0.25">
      <c r="A423" s="1637"/>
      <c r="B423" s="1242"/>
      <c r="C423" s="4583" t="s">
        <v>7092</v>
      </c>
      <c r="D423" s="667">
        <f>D424</f>
        <v>7863773310</v>
      </c>
      <c r="E423" s="1446">
        <f>D423/D255*100</f>
        <v>4.2870366224609242</v>
      </c>
      <c r="F423" s="4579"/>
      <c r="G423" s="827"/>
      <c r="H423" s="827"/>
      <c r="I423" s="827"/>
      <c r="J423" s="4580"/>
      <c r="K423" s="1703"/>
      <c r="L423" s="2265"/>
      <c r="M423" s="1703"/>
      <c r="N423" s="1638"/>
      <c r="P423" s="4588"/>
    </row>
    <row r="424" spans="1:16" s="1639" customFormat="1" ht="15" customHeight="1" x14ac:dyDescent="0.25">
      <c r="A424" s="1637"/>
      <c r="B424" s="4119"/>
      <c r="C424" s="4566" t="s">
        <v>7093</v>
      </c>
      <c r="D424" s="666">
        <v>7863773310</v>
      </c>
      <c r="E424" s="1126">
        <f>D424/D255*100</f>
        <v>4.2870366224609242</v>
      </c>
      <c r="F424" s="624"/>
      <c r="G424" s="3630"/>
      <c r="H424" s="3630"/>
      <c r="I424" s="3630"/>
      <c r="J424" s="1774"/>
      <c r="K424" s="1717"/>
      <c r="L424" s="1717"/>
      <c r="M424" s="1717"/>
      <c r="N424" s="1638"/>
      <c r="P424" s="4588"/>
    </row>
    <row r="425" spans="1:16" s="620" customFormat="1" ht="12" customHeight="1" x14ac:dyDescent="0.25">
      <c r="A425" s="352"/>
      <c r="B425" s="1242"/>
      <c r="C425" s="3977"/>
      <c r="D425" s="3540"/>
      <c r="E425" s="4584"/>
      <c r="F425" s="3096"/>
      <c r="G425" s="801"/>
      <c r="H425" s="2262"/>
      <c r="I425" s="2257"/>
      <c r="J425" s="2182"/>
      <c r="K425" s="2182"/>
      <c r="L425" s="2182"/>
      <c r="M425" s="2182"/>
      <c r="N425" s="535"/>
      <c r="P425" s="500"/>
    </row>
    <row r="426" spans="1:16" ht="17.25" customHeight="1" x14ac:dyDescent="0.25">
      <c r="B426" s="2906"/>
      <c r="C426" s="3967" t="s">
        <v>244</v>
      </c>
      <c r="D426" s="2650">
        <f>SUM(D428+D480+D504+D508+D518+D523+D533+D537+D550+D567+D572+D587+D591+D596+D617+D632+D645+D649+D671+D691+D713+D730+D746+D771+D794+D799)</f>
        <v>178986879000</v>
      </c>
      <c r="E426" s="1444">
        <f>D426/2507241496000*100</f>
        <v>7.1387969322281837</v>
      </c>
      <c r="F426" s="3716"/>
      <c r="G426" s="789"/>
      <c r="H426" s="1444"/>
      <c r="I426" s="2236"/>
      <c r="J426" s="1769"/>
      <c r="K426" s="1769"/>
      <c r="L426" s="2263"/>
      <c r="M426" s="2237"/>
      <c r="N426" s="535"/>
    </row>
    <row r="427" spans="1:16" ht="7.5" customHeight="1" x14ac:dyDescent="0.25">
      <c r="B427" s="1242"/>
      <c r="C427" s="3968"/>
      <c r="D427" s="799"/>
      <c r="E427" s="1449"/>
      <c r="F427" s="808"/>
      <c r="G427" s="801"/>
      <c r="H427" s="2262"/>
      <c r="I427" s="2257"/>
      <c r="J427" s="1785"/>
      <c r="K427" s="1311"/>
      <c r="L427" s="1311"/>
      <c r="M427" s="1311"/>
      <c r="N427" s="535"/>
    </row>
    <row r="428" spans="1:16" s="1639" customFormat="1" ht="15.75" customHeight="1" x14ac:dyDescent="0.25">
      <c r="A428" s="1637"/>
      <c r="B428" s="1305"/>
      <c r="C428" s="3858" t="s">
        <v>245</v>
      </c>
      <c r="D428" s="669">
        <f>SUM(D429+D438+D452+D459+D464+D473+D476)</f>
        <v>38018992400</v>
      </c>
      <c r="E428" s="1445">
        <f>D428/D426*100</f>
        <v>21.24121757550731</v>
      </c>
      <c r="F428" s="669"/>
      <c r="G428" s="669"/>
      <c r="H428" s="807"/>
      <c r="I428" s="807"/>
      <c r="J428" s="669"/>
      <c r="K428" s="669"/>
      <c r="L428" s="1462"/>
      <c r="M428" s="1656"/>
      <c r="N428" s="1638"/>
      <c r="P428" s="4588"/>
    </row>
    <row r="429" spans="1:16" s="1639" customFormat="1" ht="15.75" customHeight="1" x14ac:dyDescent="0.25">
      <c r="A429" s="1637"/>
      <c r="B429" s="1242"/>
      <c r="C429" s="3953" t="s">
        <v>246</v>
      </c>
      <c r="D429" s="667">
        <f>SUM(D430:D436)</f>
        <v>2985416000</v>
      </c>
      <c r="E429" s="1446">
        <f>D429/D426*100</f>
        <v>1.6679524313064311</v>
      </c>
      <c r="F429" s="811"/>
      <c r="G429" s="793"/>
      <c r="H429" s="793"/>
      <c r="I429" s="793"/>
      <c r="J429" s="667"/>
      <c r="K429" s="667"/>
      <c r="L429" s="1671"/>
      <c r="M429" s="2264"/>
      <c r="N429" s="1638"/>
      <c r="P429" s="4588"/>
    </row>
    <row r="430" spans="1:16" s="1639" customFormat="1" ht="17.25" customHeight="1" x14ac:dyDescent="0.25">
      <c r="A430" s="1637"/>
      <c r="B430" s="1242"/>
      <c r="C430" s="3863" t="s">
        <v>5880</v>
      </c>
      <c r="D430" s="666">
        <v>2087184000</v>
      </c>
      <c r="E430" s="1126">
        <f>D430/D426*100</f>
        <v>1.166110058827273</v>
      </c>
      <c r="F430" s="812"/>
      <c r="G430" s="802"/>
      <c r="H430" s="802"/>
      <c r="I430" s="802"/>
      <c r="J430" s="663"/>
      <c r="K430" s="1955"/>
      <c r="L430" s="2265"/>
      <c r="M430" s="1648"/>
      <c r="N430" s="1638"/>
      <c r="P430" s="4588"/>
    </row>
    <row r="431" spans="1:16" s="1639" customFormat="1" ht="15.75" customHeight="1" x14ac:dyDescent="0.25">
      <c r="A431" s="1637"/>
      <c r="B431" s="1242"/>
      <c r="C431" s="3863" t="s">
        <v>6161</v>
      </c>
      <c r="D431" s="4179">
        <v>50000000</v>
      </c>
      <c r="E431" s="1126">
        <f>D431/D426*100</f>
        <v>2.7935008576801874E-2</v>
      </c>
      <c r="F431" s="813"/>
      <c r="G431" s="802"/>
      <c r="H431" s="802"/>
      <c r="I431" s="802"/>
      <c r="J431" s="1786"/>
      <c r="K431" s="1955"/>
      <c r="L431" s="2265"/>
      <c r="M431" s="1648"/>
      <c r="N431" s="1638"/>
      <c r="P431" s="4588"/>
    </row>
    <row r="432" spans="1:16" s="1639" customFormat="1" ht="16.5" customHeight="1" x14ac:dyDescent="0.25">
      <c r="A432" s="1637"/>
      <c r="B432" s="1242"/>
      <c r="C432" s="3887" t="s">
        <v>6162</v>
      </c>
      <c r="D432" s="4180">
        <v>308640000</v>
      </c>
      <c r="E432" s="864">
        <f>D432/D426*100</f>
        <v>0.17243722094288264</v>
      </c>
      <c r="F432" s="814"/>
      <c r="G432" s="805"/>
      <c r="H432" s="805"/>
      <c r="I432" s="805"/>
      <c r="J432" s="1787"/>
      <c r="K432" s="1955"/>
      <c r="L432" s="971"/>
      <c r="M432" s="971"/>
      <c r="N432" s="1638"/>
      <c r="P432" s="4588"/>
    </row>
    <row r="433" spans="1:16" s="1639" customFormat="1" ht="16.5" customHeight="1" x14ac:dyDescent="0.25">
      <c r="A433" s="1637"/>
      <c r="B433" s="1242"/>
      <c r="C433" s="3888" t="s">
        <v>6163</v>
      </c>
      <c r="D433" s="4179">
        <v>129367000</v>
      </c>
      <c r="E433" s="864">
        <f>D433/D426*100</f>
        <v>7.2277365091102566E-2</v>
      </c>
      <c r="F433" s="813"/>
      <c r="G433" s="802"/>
      <c r="H433" s="802"/>
      <c r="I433" s="802"/>
      <c r="J433" s="1786"/>
      <c r="K433" s="1955"/>
      <c r="L433" s="971"/>
      <c r="M433" s="971"/>
      <c r="N433" s="1638"/>
      <c r="P433" s="4588"/>
    </row>
    <row r="434" spans="1:16" s="1639" customFormat="1" ht="27.75" customHeight="1" x14ac:dyDescent="0.25">
      <c r="A434" s="1637"/>
      <c r="B434" s="3623"/>
      <c r="C434" s="3717" t="s">
        <v>6164</v>
      </c>
      <c r="D434" s="4181">
        <v>116392000</v>
      </c>
      <c r="E434" s="864">
        <f>D434/D426*100</f>
        <v>6.502823036542249E-2</v>
      </c>
      <c r="F434" s="2693"/>
      <c r="G434" s="804"/>
      <c r="H434" s="804"/>
      <c r="I434" s="804"/>
      <c r="J434" s="3718"/>
      <c r="K434" s="3719"/>
      <c r="L434" s="3714"/>
      <c r="M434" s="3714"/>
      <c r="N434" s="1638"/>
      <c r="P434" s="4588"/>
    </row>
    <row r="435" spans="1:16" s="1639" customFormat="1" ht="16.5" customHeight="1" x14ac:dyDescent="0.25">
      <c r="A435" s="1637"/>
      <c r="B435" s="3623"/>
      <c r="C435" s="3891" t="s">
        <v>6165</v>
      </c>
      <c r="D435" s="4179">
        <v>132716000</v>
      </c>
      <c r="E435" s="864">
        <f>D435/D426*100</f>
        <v>7.4148451965576762E-2</v>
      </c>
      <c r="F435" s="813"/>
      <c r="G435" s="3630"/>
      <c r="H435" s="3630"/>
      <c r="I435" s="3630"/>
      <c r="J435" s="1786"/>
      <c r="K435" s="3719"/>
      <c r="L435" s="3714"/>
      <c r="M435" s="3714"/>
      <c r="N435" s="1638"/>
      <c r="P435" s="4588"/>
    </row>
    <row r="436" spans="1:16" s="1639" customFormat="1" ht="16.5" customHeight="1" x14ac:dyDescent="0.25">
      <c r="A436" s="1637"/>
      <c r="B436" s="3623"/>
      <c r="C436" s="3891" t="s">
        <v>6166</v>
      </c>
      <c r="D436" s="4179">
        <v>161117000</v>
      </c>
      <c r="E436" s="864">
        <f>D436/D426*100</f>
        <v>9.0016095537371763E-2</v>
      </c>
      <c r="F436" s="813"/>
      <c r="G436" s="3630"/>
      <c r="H436" s="3630"/>
      <c r="I436" s="3630"/>
      <c r="J436" s="1786"/>
      <c r="K436" s="3719"/>
      <c r="L436" s="3714"/>
      <c r="M436" s="3714"/>
      <c r="N436" s="1638"/>
      <c r="P436" s="4588"/>
    </row>
    <row r="437" spans="1:16" s="1639" customFormat="1" ht="10.5" customHeight="1" x14ac:dyDescent="0.25">
      <c r="A437" s="1637"/>
      <c r="B437" s="1242"/>
      <c r="C437" s="3984"/>
      <c r="D437" s="4182"/>
      <c r="E437" s="1451"/>
      <c r="F437" s="815"/>
      <c r="G437" s="801"/>
      <c r="H437" s="2262"/>
      <c r="I437" s="2257"/>
      <c r="J437" s="1788"/>
      <c r="K437" s="2266"/>
      <c r="L437" s="1311"/>
      <c r="M437" s="1311"/>
      <c r="N437" s="1638"/>
      <c r="P437" s="4588"/>
    </row>
    <row r="438" spans="1:16" s="1639" customFormat="1" ht="18" customHeight="1" x14ac:dyDescent="0.25">
      <c r="A438" s="1637"/>
      <c r="B438" s="1242"/>
      <c r="C438" s="3882" t="s">
        <v>1521</v>
      </c>
      <c r="D438" s="4177">
        <f>SUM(D439:D450)</f>
        <v>28962749600</v>
      </c>
      <c r="E438" s="1447">
        <f>D438/D426*100</f>
        <v>16.181493169675303</v>
      </c>
      <c r="F438" s="816"/>
      <c r="G438" s="816"/>
      <c r="H438" s="803"/>
      <c r="I438" s="803"/>
      <c r="J438" s="1789"/>
      <c r="K438" s="1789"/>
      <c r="L438" s="2261"/>
      <c r="M438" s="1650"/>
      <c r="N438" s="1638"/>
      <c r="P438" s="4588"/>
    </row>
    <row r="439" spans="1:16" s="1639" customFormat="1" ht="16.5" customHeight="1" x14ac:dyDescent="0.25">
      <c r="A439" s="1637"/>
      <c r="B439" s="1242"/>
      <c r="C439" s="3985" t="s">
        <v>3441</v>
      </c>
      <c r="D439" s="4183">
        <v>2751235800</v>
      </c>
      <c r="E439" s="1126">
        <f>D439/D426*100</f>
        <v>1.5371159133960877</v>
      </c>
      <c r="F439" s="817"/>
      <c r="G439" s="755"/>
      <c r="H439" s="755"/>
      <c r="I439" s="755"/>
      <c r="J439" s="1790"/>
      <c r="K439" s="1238"/>
      <c r="L439" s="1717"/>
      <c r="M439" s="1312"/>
      <c r="N439" s="1638"/>
      <c r="P439" s="4588"/>
    </row>
    <row r="440" spans="1:16" s="1639" customFormat="1" ht="16.5" customHeight="1" x14ac:dyDescent="0.25">
      <c r="A440" s="1637"/>
      <c r="B440" s="1242"/>
      <c r="C440" s="3889" t="s">
        <v>6167</v>
      </c>
      <c r="D440" s="4179">
        <v>544000000</v>
      </c>
      <c r="E440" s="1126">
        <f>D440/D426*100</f>
        <v>0.30393289331560441</v>
      </c>
      <c r="F440" s="813"/>
      <c r="G440" s="755"/>
      <c r="H440" s="755"/>
      <c r="I440" s="755"/>
      <c r="J440" s="1786"/>
      <c r="K440" s="1238"/>
      <c r="L440" s="1717"/>
      <c r="M440" s="1312"/>
      <c r="N440" s="1638"/>
      <c r="P440" s="4588"/>
    </row>
    <row r="441" spans="1:16" s="1639" customFormat="1" ht="16.5" customHeight="1" x14ac:dyDescent="0.25">
      <c r="A441" s="1637"/>
      <c r="B441" s="1242"/>
      <c r="C441" s="3860" t="s">
        <v>6168</v>
      </c>
      <c r="D441" s="4183">
        <v>11928967200</v>
      </c>
      <c r="E441" s="1126">
        <f>D441/D426*100</f>
        <v>6.6647160208877665</v>
      </c>
      <c r="F441" s="817"/>
      <c r="G441" s="755"/>
      <c r="H441" s="755"/>
      <c r="I441" s="755"/>
      <c r="J441" s="1790"/>
      <c r="K441" s="1238"/>
      <c r="L441" s="1717"/>
      <c r="M441" s="1648"/>
      <c r="N441" s="1638"/>
      <c r="P441" s="4588"/>
    </row>
    <row r="442" spans="1:16" s="1639" customFormat="1" ht="16.5" customHeight="1" x14ac:dyDescent="0.25">
      <c r="A442" s="1637"/>
      <c r="B442" s="1242"/>
      <c r="C442" s="3860" t="s">
        <v>6169</v>
      </c>
      <c r="D442" s="4183">
        <v>501190000</v>
      </c>
      <c r="E442" s="1126">
        <f>D442/D426*100</f>
        <v>0.28001493897214663</v>
      </c>
      <c r="F442" s="817"/>
      <c r="G442" s="755"/>
      <c r="H442" s="802"/>
      <c r="I442" s="802"/>
      <c r="J442" s="1790"/>
      <c r="K442" s="1238"/>
      <c r="L442" s="1717"/>
      <c r="M442" s="1312"/>
      <c r="N442" s="1638"/>
      <c r="P442" s="4588"/>
    </row>
    <row r="443" spans="1:16" s="1639" customFormat="1" ht="15.75" customHeight="1" x14ac:dyDescent="0.25">
      <c r="A443" s="1637"/>
      <c r="B443" s="1242"/>
      <c r="C443" s="3860" t="s">
        <v>6170</v>
      </c>
      <c r="D443" s="4183">
        <v>8260000</v>
      </c>
      <c r="E443" s="1126">
        <f>D443/D426*100</f>
        <v>4.6148634168876705E-3</v>
      </c>
      <c r="F443" s="817"/>
      <c r="G443" s="755"/>
      <c r="H443" s="802"/>
      <c r="I443" s="802"/>
      <c r="J443" s="1790"/>
      <c r="K443" s="1238"/>
      <c r="L443" s="1717"/>
      <c r="M443" s="1312"/>
      <c r="N443" s="1638"/>
      <c r="P443" s="4588"/>
    </row>
    <row r="444" spans="1:16" s="1639" customFormat="1" ht="17.25" customHeight="1" x14ac:dyDescent="0.25">
      <c r="A444" s="1637"/>
      <c r="B444" s="1242"/>
      <c r="C444" s="3860" t="s">
        <v>6171</v>
      </c>
      <c r="D444" s="4183">
        <v>86380000</v>
      </c>
      <c r="E444" s="1126">
        <f>D444/D426*100</f>
        <v>4.8260520817282923E-2</v>
      </c>
      <c r="F444" s="817"/>
      <c r="G444" s="755"/>
      <c r="H444" s="755"/>
      <c r="I444" s="755"/>
      <c r="J444" s="1790"/>
      <c r="K444" s="1238"/>
      <c r="L444" s="971"/>
      <c r="M444" s="971"/>
      <c r="N444" s="1638"/>
      <c r="P444" s="4588"/>
    </row>
    <row r="445" spans="1:16" s="1639" customFormat="1" ht="16.5" customHeight="1" x14ac:dyDescent="0.25">
      <c r="A445" s="1637"/>
      <c r="B445" s="1242"/>
      <c r="C445" s="3860" t="s">
        <v>6172</v>
      </c>
      <c r="D445" s="4183">
        <v>216293500</v>
      </c>
      <c r="E445" s="1126">
        <f>D445/D426*100</f>
        <v>0.12084321555212993</v>
      </c>
      <c r="F445" s="817"/>
      <c r="G445" s="755"/>
      <c r="H445" s="755"/>
      <c r="I445" s="755"/>
      <c r="J445" s="1790"/>
      <c r="K445" s="1238"/>
      <c r="L445" s="971"/>
      <c r="M445" s="971"/>
      <c r="N445" s="1638"/>
      <c r="P445" s="4588"/>
    </row>
    <row r="446" spans="1:16" s="1639" customFormat="1" ht="17.25" customHeight="1" x14ac:dyDescent="0.25">
      <c r="A446" s="1637"/>
      <c r="B446" s="1242"/>
      <c r="C446" s="3860" t="s">
        <v>6173</v>
      </c>
      <c r="D446" s="4183">
        <v>79648000</v>
      </c>
      <c r="E446" s="1126">
        <f>D446/D426*100</f>
        <v>4.4499351262502318E-2</v>
      </c>
      <c r="F446" s="817"/>
      <c r="G446" s="755"/>
      <c r="H446" s="802"/>
      <c r="I446" s="802"/>
      <c r="J446" s="1790"/>
      <c r="K446" s="1238"/>
      <c r="L446" s="1717"/>
      <c r="M446" s="1717"/>
      <c r="N446" s="1638"/>
      <c r="P446" s="4588"/>
    </row>
    <row r="447" spans="1:16" s="1639" customFormat="1" ht="16.5" customHeight="1" x14ac:dyDescent="0.25">
      <c r="A447" s="1637"/>
      <c r="B447" s="1242"/>
      <c r="C447" s="3985" t="s">
        <v>1530</v>
      </c>
      <c r="D447" s="1791">
        <v>215352000</v>
      </c>
      <c r="E447" s="864">
        <f>D444/D426*100</f>
        <v>4.8260520817282923E-2</v>
      </c>
      <c r="F447" s="612"/>
      <c r="G447" s="755"/>
      <c r="H447" s="802"/>
      <c r="I447" s="802"/>
      <c r="J447" s="1791"/>
      <c r="K447" s="1238"/>
      <c r="L447" s="1717"/>
      <c r="M447" s="1717"/>
      <c r="N447" s="1638"/>
      <c r="P447" s="4588"/>
    </row>
    <row r="448" spans="1:16" s="1639" customFormat="1" ht="18.75" customHeight="1" x14ac:dyDescent="0.25">
      <c r="A448" s="1637"/>
      <c r="B448" s="1242"/>
      <c r="C448" s="3860" t="s">
        <v>6174</v>
      </c>
      <c r="D448" s="1846">
        <v>4371261300</v>
      </c>
      <c r="E448" s="1126">
        <f>D445/D439*100</f>
        <v>7.8616852833915578</v>
      </c>
      <c r="F448" s="386"/>
      <c r="G448" s="755"/>
      <c r="H448" s="802"/>
      <c r="I448" s="802"/>
      <c r="J448" s="1791"/>
      <c r="K448" s="1238"/>
      <c r="L448" s="1717"/>
      <c r="M448" s="1717"/>
      <c r="N448" s="1638"/>
      <c r="P448" s="4588"/>
    </row>
    <row r="449" spans="1:16" s="1639" customFormat="1" ht="27.75" customHeight="1" x14ac:dyDescent="0.25">
      <c r="A449" s="1637"/>
      <c r="B449" s="1242"/>
      <c r="C449" s="3860" t="s">
        <v>6175</v>
      </c>
      <c r="D449" s="4183">
        <v>8034979800</v>
      </c>
      <c r="E449" s="1126">
        <f>D449/D426*100</f>
        <v>4.4891445925485964</v>
      </c>
      <c r="F449" s="817"/>
      <c r="G449" s="755"/>
      <c r="H449" s="802"/>
      <c r="I449" s="802"/>
      <c r="J449" s="1790"/>
      <c r="K449" s="1238"/>
      <c r="L449" s="1717"/>
      <c r="M449" s="1717"/>
      <c r="N449" s="1638"/>
      <c r="P449" s="4588"/>
    </row>
    <row r="450" spans="1:16" s="1639" customFormat="1" ht="17.25" customHeight="1" x14ac:dyDescent="0.25">
      <c r="A450" s="1637"/>
      <c r="B450" s="1242"/>
      <c r="C450" s="3860" t="s">
        <v>1533</v>
      </c>
      <c r="D450" s="4183">
        <v>225182000</v>
      </c>
      <c r="E450" s="1126">
        <f>D450/D426*100</f>
        <v>0.12580922202682801</v>
      </c>
      <c r="F450" s="817"/>
      <c r="G450" s="755"/>
      <c r="H450" s="802"/>
      <c r="I450" s="802"/>
      <c r="J450" s="1790"/>
      <c r="K450" s="1238"/>
      <c r="L450" s="1717"/>
      <c r="M450" s="1717"/>
      <c r="N450" s="1638"/>
      <c r="P450" s="4588"/>
    </row>
    <row r="451" spans="1:16" s="1639" customFormat="1" ht="10.5" customHeight="1" x14ac:dyDescent="0.25">
      <c r="A451" s="1637"/>
      <c r="B451" s="2901"/>
      <c r="C451" s="3890"/>
      <c r="D451" s="780"/>
      <c r="E451" s="1451"/>
      <c r="F451" s="760"/>
      <c r="G451" s="809"/>
      <c r="H451" s="2267"/>
      <c r="I451" s="2246"/>
      <c r="J451" s="1792"/>
      <c r="K451" s="2266"/>
      <c r="L451" s="1312"/>
      <c r="M451" s="1311"/>
      <c r="N451" s="1638"/>
      <c r="P451" s="4588"/>
    </row>
    <row r="452" spans="1:16" s="1639" customFormat="1" ht="18.75" customHeight="1" x14ac:dyDescent="0.25">
      <c r="A452" s="1637"/>
      <c r="B452" s="2904"/>
      <c r="C452" s="3882" t="s">
        <v>6176</v>
      </c>
      <c r="D452" s="768">
        <f>SUM(D453:D457)</f>
        <v>2226225000</v>
      </c>
      <c r="E452" s="1447">
        <f>D452/D426*100</f>
        <v>1.2437922893778153</v>
      </c>
      <c r="F452" s="761"/>
      <c r="G452" s="761"/>
      <c r="H452" s="803"/>
      <c r="I452" s="803"/>
      <c r="J452" s="1793"/>
      <c r="K452" s="1793"/>
      <c r="L452" s="2261"/>
      <c r="M452" s="761"/>
      <c r="N452" s="2078"/>
      <c r="O452" s="2078">
        <f>SUM(O453:O457)</f>
        <v>0</v>
      </c>
      <c r="P452" s="4593"/>
    </row>
    <row r="453" spans="1:16" s="1639" customFormat="1" ht="17.25" customHeight="1" x14ac:dyDescent="0.25">
      <c r="A453" s="1637"/>
      <c r="B453" s="1242"/>
      <c r="C453" s="3889" t="s">
        <v>1535</v>
      </c>
      <c r="D453" s="976">
        <v>1185210000</v>
      </c>
      <c r="E453" s="864">
        <f>D453/D426*100</f>
        <v>0.6621770303062271</v>
      </c>
      <c r="F453" s="818"/>
      <c r="G453" s="755"/>
      <c r="H453" s="755"/>
      <c r="I453" s="755"/>
      <c r="J453" s="1794"/>
      <c r="K453" s="1238"/>
      <c r="L453" s="1717"/>
      <c r="M453" s="1648"/>
      <c r="N453" s="1638"/>
      <c r="P453" s="4588"/>
    </row>
    <row r="454" spans="1:16" s="1639" customFormat="1" ht="16.5" customHeight="1" x14ac:dyDescent="0.25">
      <c r="A454" s="1637"/>
      <c r="B454" s="1242"/>
      <c r="C454" s="3891" t="s">
        <v>1536</v>
      </c>
      <c r="D454" s="4184">
        <v>122167000</v>
      </c>
      <c r="E454" s="1126">
        <f>D454/D426*100</f>
        <v>6.8254723856043101E-2</v>
      </c>
      <c r="F454" s="819"/>
      <c r="G454" s="755"/>
      <c r="H454" s="755"/>
      <c r="I454" s="755"/>
      <c r="J454" s="1795"/>
      <c r="K454" s="1238"/>
      <c r="L454" s="1717"/>
      <c r="M454" s="1648"/>
      <c r="N454" s="1638"/>
      <c r="P454" s="4588"/>
    </row>
    <row r="455" spans="1:16" s="1639" customFormat="1" ht="15.75" customHeight="1" x14ac:dyDescent="0.25">
      <c r="A455" s="1637"/>
      <c r="B455" s="1242"/>
      <c r="C455" s="3891" t="s">
        <v>1537</v>
      </c>
      <c r="D455" s="4184">
        <v>108012000</v>
      </c>
      <c r="E455" s="1126">
        <f>D455/D426*100</f>
        <v>6.0346322927950495E-2</v>
      </c>
      <c r="F455" s="819"/>
      <c r="G455" s="755"/>
      <c r="H455" s="802"/>
      <c r="I455" s="802"/>
      <c r="J455" s="1795"/>
      <c r="K455" s="1238"/>
      <c r="L455" s="1717"/>
      <c r="M455" s="1648"/>
      <c r="N455" s="1638"/>
      <c r="P455" s="4588"/>
    </row>
    <row r="456" spans="1:16" s="1639" customFormat="1" ht="16.5" customHeight="1" x14ac:dyDescent="0.25">
      <c r="A456" s="1637"/>
      <c r="B456" s="1242"/>
      <c r="C456" s="3891" t="s">
        <v>1538</v>
      </c>
      <c r="D456" s="4184">
        <v>92477000</v>
      </c>
      <c r="E456" s="1126">
        <f>D456/D426*100</f>
        <v>5.1666915763138144E-2</v>
      </c>
      <c r="F456" s="819"/>
      <c r="G456" s="755"/>
      <c r="H456" s="755"/>
      <c r="I456" s="755"/>
      <c r="J456" s="1795"/>
      <c r="K456" s="1238"/>
      <c r="L456" s="1717"/>
      <c r="M456" s="1312"/>
      <c r="N456" s="1638"/>
      <c r="P456" s="4588"/>
    </row>
    <row r="457" spans="1:16" s="1639" customFormat="1" ht="18" customHeight="1" x14ac:dyDescent="0.25">
      <c r="A457" s="1637"/>
      <c r="B457" s="1242"/>
      <c r="C457" s="3891" t="s">
        <v>1539</v>
      </c>
      <c r="D457" s="4184">
        <v>718359000</v>
      </c>
      <c r="E457" s="1126">
        <f>D457/D426*100</f>
        <v>0.40134729652445644</v>
      </c>
      <c r="F457" s="819"/>
      <c r="G457" s="755"/>
      <c r="H457" s="802"/>
      <c r="I457" s="2246"/>
      <c r="J457" s="1795"/>
      <c r="K457" s="1238"/>
      <c r="L457" s="1717"/>
      <c r="M457" s="1311"/>
      <c r="N457" s="1638"/>
      <c r="P457" s="4588"/>
    </row>
    <row r="458" spans="1:16" s="1639" customFormat="1" ht="10.5" customHeight="1" x14ac:dyDescent="0.25">
      <c r="A458" s="1637"/>
      <c r="B458" s="1242"/>
      <c r="C458" s="3889"/>
      <c r="D458" s="4185"/>
      <c r="E458" s="1452"/>
      <c r="F458" s="820"/>
      <c r="G458" s="802"/>
      <c r="H458" s="802"/>
      <c r="I458" s="2246"/>
      <c r="J458" s="1796"/>
      <c r="K458" s="2266"/>
      <c r="L458" s="1311"/>
      <c r="M458" s="1311"/>
      <c r="N458" s="1638"/>
      <c r="P458" s="4588"/>
    </row>
    <row r="459" spans="1:16" s="1639" customFormat="1" ht="15.75" customHeight="1" x14ac:dyDescent="0.25">
      <c r="A459" s="1637"/>
      <c r="B459" s="1242"/>
      <c r="C459" s="3873" t="s">
        <v>6177</v>
      </c>
      <c r="D459" s="768">
        <f>SUM(D460:D462)</f>
        <v>1313679000</v>
      </c>
      <c r="E459" s="1447">
        <f>D459/D426*100</f>
        <v>0.73395268264329028</v>
      </c>
      <c r="F459" s="761"/>
      <c r="G459" s="761"/>
      <c r="H459" s="803"/>
      <c r="I459" s="803"/>
      <c r="J459" s="1793"/>
      <c r="K459" s="1793"/>
      <c r="L459" s="2261"/>
      <c r="M459" s="1650"/>
      <c r="N459" s="1638"/>
      <c r="P459" s="4588"/>
    </row>
    <row r="460" spans="1:16" s="1639" customFormat="1" ht="18" customHeight="1" x14ac:dyDescent="0.25">
      <c r="A460" s="1637"/>
      <c r="B460" s="1242"/>
      <c r="C460" s="3860" t="s">
        <v>6178</v>
      </c>
      <c r="D460" s="4186">
        <v>390092000</v>
      </c>
      <c r="E460" s="864">
        <f>D460/D426*100</f>
        <v>0.21794446731483597</v>
      </c>
      <c r="F460" s="659"/>
      <c r="G460" s="755"/>
      <c r="H460" s="755"/>
      <c r="I460" s="755"/>
      <c r="J460" s="1797"/>
      <c r="K460" s="1238"/>
      <c r="L460" s="971"/>
      <c r="M460" s="971"/>
      <c r="N460" s="1638"/>
      <c r="P460" s="4588"/>
    </row>
    <row r="461" spans="1:16" s="1639" customFormat="1" ht="19.5" customHeight="1" x14ac:dyDescent="0.25">
      <c r="A461" s="1637"/>
      <c r="B461" s="1242"/>
      <c r="C461" s="3860" t="s">
        <v>6179</v>
      </c>
      <c r="D461" s="4179">
        <v>684300000</v>
      </c>
      <c r="E461" s="1126">
        <f>D461/D426*100</f>
        <v>0.38231852738211047</v>
      </c>
      <c r="F461" s="821"/>
      <c r="G461" s="755"/>
      <c r="H461" s="755"/>
      <c r="I461" s="755"/>
      <c r="J461" s="1798"/>
      <c r="K461" s="1238"/>
      <c r="L461" s="1717"/>
      <c r="M461" s="1648"/>
      <c r="N461" s="1638"/>
      <c r="P461" s="4588"/>
    </row>
    <row r="462" spans="1:16" s="1639" customFormat="1" ht="28.5" customHeight="1" x14ac:dyDescent="0.25">
      <c r="A462" s="1637"/>
      <c r="B462" s="1242"/>
      <c r="C462" s="3860" t="s">
        <v>6180</v>
      </c>
      <c r="D462" s="4179">
        <v>239287000</v>
      </c>
      <c r="E462" s="1126">
        <f>D462/D426*100</f>
        <v>0.13368968794634381</v>
      </c>
      <c r="F462" s="821"/>
      <c r="G462" s="755"/>
      <c r="H462" s="755"/>
      <c r="I462" s="755"/>
      <c r="J462" s="1798"/>
      <c r="K462" s="1238"/>
      <c r="L462" s="971"/>
      <c r="M462" s="971"/>
      <c r="N462" s="1638"/>
      <c r="P462" s="4588"/>
    </row>
    <row r="463" spans="1:16" s="1639" customFormat="1" ht="10.5" customHeight="1" x14ac:dyDescent="0.25">
      <c r="A463" s="1637"/>
      <c r="B463" s="1242"/>
      <c r="C463" s="3860"/>
      <c r="D463" s="660"/>
      <c r="E463" s="1448"/>
      <c r="F463" s="796"/>
      <c r="G463" s="777"/>
      <c r="H463" s="2268"/>
      <c r="I463" s="2248"/>
      <c r="J463" s="1799"/>
      <c r="K463" s="2269"/>
      <c r="L463" s="1312"/>
      <c r="M463" s="1311"/>
      <c r="N463" s="1638"/>
      <c r="P463" s="4588"/>
    </row>
    <row r="464" spans="1:16" s="1639" customFormat="1" ht="18.75" customHeight="1" x14ac:dyDescent="0.25">
      <c r="A464" s="1637"/>
      <c r="B464" s="1242"/>
      <c r="C464" s="3882" t="s">
        <v>6181</v>
      </c>
      <c r="D464" s="2280">
        <f>SUM(D465:D471)</f>
        <v>1931738800</v>
      </c>
      <c r="E464" s="1453">
        <f>D464/D426*100</f>
        <v>1.0792627989228194</v>
      </c>
      <c r="F464" s="822"/>
      <c r="G464" s="822"/>
      <c r="H464" s="803"/>
      <c r="I464" s="803"/>
      <c r="J464" s="1800"/>
      <c r="K464" s="1800"/>
      <c r="L464" s="2261"/>
      <c r="M464" s="1650"/>
      <c r="N464" s="1638"/>
      <c r="P464" s="4588"/>
    </row>
    <row r="465" spans="1:16" s="1639" customFormat="1" ht="18" customHeight="1" x14ac:dyDescent="0.25">
      <c r="A465" s="1637"/>
      <c r="B465" s="1242"/>
      <c r="C465" s="3860" t="s">
        <v>314</v>
      </c>
      <c r="D465" s="4186">
        <v>110372000</v>
      </c>
      <c r="E465" s="864">
        <f>D465/D426*100</f>
        <v>6.1664855332775541E-2</v>
      </c>
      <c r="F465" s="659"/>
      <c r="G465" s="755"/>
      <c r="H465" s="755"/>
      <c r="I465" s="755"/>
      <c r="J465" s="1797"/>
      <c r="K465" s="1238"/>
      <c r="L465" s="1717"/>
      <c r="M465" s="1312"/>
      <c r="N465" s="1638"/>
      <c r="P465" s="4588"/>
    </row>
    <row r="466" spans="1:16" s="1639" customFormat="1" ht="15.75" customHeight="1" x14ac:dyDescent="0.25">
      <c r="A466" s="1637"/>
      <c r="B466" s="1242"/>
      <c r="C466" s="3860" t="s">
        <v>4556</v>
      </c>
      <c r="D466" s="4186">
        <v>227541000</v>
      </c>
      <c r="E466" s="864">
        <f>D466/D426*100</f>
        <v>0.12712719573148154</v>
      </c>
      <c r="F466" s="659"/>
      <c r="G466" s="755"/>
      <c r="H466" s="755"/>
      <c r="I466" s="755"/>
      <c r="J466" s="1797"/>
      <c r="K466" s="1238"/>
      <c r="L466" s="971"/>
      <c r="M466" s="971"/>
      <c r="N466" s="1638"/>
      <c r="P466" s="4588"/>
    </row>
    <row r="467" spans="1:16" s="1639" customFormat="1" ht="15" customHeight="1" x14ac:dyDescent="0.25">
      <c r="A467" s="1637"/>
      <c r="B467" s="1242"/>
      <c r="C467" s="3860" t="s">
        <v>4557</v>
      </c>
      <c r="D467" s="4179">
        <v>164920000</v>
      </c>
      <c r="E467" s="864">
        <f>D467/D426*100</f>
        <v>9.2140832289723307E-2</v>
      </c>
      <c r="F467" s="813"/>
      <c r="G467" s="755"/>
      <c r="H467" s="755"/>
      <c r="I467" s="755"/>
      <c r="J467" s="1786"/>
      <c r="K467" s="1238"/>
      <c r="L467" s="1717"/>
      <c r="M467" s="1648"/>
      <c r="N467" s="1638"/>
      <c r="P467" s="4588"/>
    </row>
    <row r="468" spans="1:16" s="1639" customFormat="1" ht="16.5" customHeight="1" x14ac:dyDescent="0.25">
      <c r="A468" s="1637"/>
      <c r="B468" s="1242"/>
      <c r="C468" s="3860" t="s">
        <v>4558</v>
      </c>
      <c r="D468" s="4179">
        <v>605916800</v>
      </c>
      <c r="E468" s="864">
        <f>D468/D426*100</f>
        <v>0.33852582009656695</v>
      </c>
      <c r="F468" s="813"/>
      <c r="G468" s="755"/>
      <c r="H468" s="802"/>
      <c r="I468" s="802"/>
      <c r="J468" s="1786"/>
      <c r="K468" s="1238"/>
      <c r="L468" s="1717"/>
      <c r="M468" s="1648"/>
      <c r="N468" s="1638"/>
      <c r="P468" s="4588"/>
    </row>
    <row r="469" spans="1:16" s="1639" customFormat="1" ht="15.75" customHeight="1" x14ac:dyDescent="0.25">
      <c r="A469" s="1637"/>
      <c r="B469" s="1242"/>
      <c r="C469" s="3860" t="s">
        <v>4559</v>
      </c>
      <c r="D469" s="4179">
        <v>171475000</v>
      </c>
      <c r="E469" s="864">
        <f>D469/D426*100</f>
        <v>9.5803111914142036E-2</v>
      </c>
      <c r="F469" s="813"/>
      <c r="G469" s="755"/>
      <c r="H469" s="802"/>
      <c r="I469" s="802"/>
      <c r="J469" s="1786"/>
      <c r="K469" s="1238"/>
      <c r="L469" s="1717"/>
      <c r="M469" s="1648"/>
      <c r="N469" s="1638"/>
      <c r="P469" s="4588"/>
    </row>
    <row r="470" spans="1:16" s="1639" customFormat="1" ht="18.75" customHeight="1" x14ac:dyDescent="0.25">
      <c r="A470" s="1637"/>
      <c r="B470" s="1242"/>
      <c r="C470" s="3860" t="s">
        <v>4561</v>
      </c>
      <c r="D470" s="4179">
        <v>370000000</v>
      </c>
      <c r="E470" s="864">
        <f>D470/D426*100</f>
        <v>0.20671906346833388</v>
      </c>
      <c r="F470" s="813"/>
      <c r="G470" s="755"/>
      <c r="H470" s="755"/>
      <c r="I470" s="755"/>
      <c r="J470" s="1786"/>
      <c r="K470" s="1238"/>
      <c r="L470" s="971"/>
      <c r="M470" s="971"/>
      <c r="N470" s="1638"/>
      <c r="P470" s="4588"/>
    </row>
    <row r="471" spans="1:16" s="1639" customFormat="1" ht="30.75" customHeight="1" x14ac:dyDescent="0.25">
      <c r="A471" s="1637"/>
      <c r="B471" s="1242"/>
      <c r="C471" s="3860" t="s">
        <v>4560</v>
      </c>
      <c r="D471" s="4179">
        <v>281514000</v>
      </c>
      <c r="E471" s="1126">
        <f>D471/D426*100</f>
        <v>0.15728192008979608</v>
      </c>
      <c r="F471" s="813"/>
      <c r="G471" s="755"/>
      <c r="H471" s="802"/>
      <c r="I471" s="802"/>
      <c r="J471" s="1801"/>
      <c r="K471" s="1238"/>
      <c r="L471" s="1717"/>
      <c r="M471" s="1648"/>
      <c r="N471" s="1638"/>
      <c r="P471" s="4588"/>
    </row>
    <row r="472" spans="1:16" s="1639" customFormat="1" ht="9.75" customHeight="1" x14ac:dyDescent="0.25">
      <c r="A472" s="1637"/>
      <c r="B472" s="1242"/>
      <c r="C472" s="3861"/>
      <c r="D472" s="4187"/>
      <c r="E472" s="1450"/>
      <c r="F472" s="824"/>
      <c r="G472" s="798"/>
      <c r="H472" s="805"/>
      <c r="I472" s="805"/>
      <c r="J472" s="1802"/>
      <c r="K472" s="2270"/>
      <c r="L472" s="2271"/>
      <c r="M472" s="2271"/>
      <c r="N472" s="1638"/>
      <c r="P472" s="4588"/>
    </row>
    <row r="473" spans="1:16" s="1639" customFormat="1" ht="18" customHeight="1" x14ac:dyDescent="0.25">
      <c r="A473" s="1637"/>
      <c r="B473" s="1242"/>
      <c r="C473" s="3882" t="s">
        <v>1590</v>
      </c>
      <c r="D473" s="4188">
        <f>SUM(D474:D474)</f>
        <v>217104000</v>
      </c>
      <c r="E473" s="1453">
        <f>D473/D426*100</f>
        <v>0.12129604204115992</v>
      </c>
      <c r="F473" s="825"/>
      <c r="G473" s="753"/>
      <c r="H473" s="753"/>
      <c r="I473" s="753"/>
      <c r="J473" s="1803"/>
      <c r="K473" s="1772"/>
      <c r="L473" s="753"/>
      <c r="M473" s="753"/>
      <c r="N473" s="1638"/>
      <c r="P473" s="4588"/>
    </row>
    <row r="474" spans="1:16" s="1639" customFormat="1" ht="17.25" customHeight="1" x14ac:dyDescent="0.25">
      <c r="A474" s="1637"/>
      <c r="B474" s="1242"/>
      <c r="C474" s="3860" t="s">
        <v>4562</v>
      </c>
      <c r="D474" s="4189">
        <v>217104000</v>
      </c>
      <c r="E474" s="864">
        <f>D474/D426*100</f>
        <v>0.12129604204115992</v>
      </c>
      <c r="F474" s="826"/>
      <c r="G474" s="755"/>
      <c r="H474" s="755"/>
      <c r="I474" s="755"/>
      <c r="J474" s="1804"/>
      <c r="K474" s="1238"/>
      <c r="L474" s="971"/>
      <c r="M474" s="971"/>
      <c r="N474" s="1638"/>
      <c r="P474" s="4588"/>
    </row>
    <row r="475" spans="1:16" s="1639" customFormat="1" ht="9" customHeight="1" x14ac:dyDescent="0.25">
      <c r="A475" s="1637"/>
      <c r="B475" s="1242"/>
      <c r="C475" s="3860"/>
      <c r="D475" s="4189"/>
      <c r="E475" s="1126"/>
      <c r="F475" s="826"/>
      <c r="G475" s="755"/>
      <c r="H475" s="755"/>
      <c r="I475" s="755"/>
      <c r="J475" s="1804"/>
      <c r="K475" s="2119"/>
      <c r="L475" s="1648"/>
      <c r="M475" s="1648"/>
      <c r="N475" s="1638"/>
      <c r="P475" s="4588"/>
    </row>
    <row r="476" spans="1:16" s="1639" customFormat="1" ht="18.75" customHeight="1" x14ac:dyDescent="0.25">
      <c r="A476" s="1637"/>
      <c r="B476" s="1242"/>
      <c r="C476" s="3882" t="s">
        <v>1591</v>
      </c>
      <c r="D476" s="4188">
        <f>SUM(D477:D478)</f>
        <v>382080000</v>
      </c>
      <c r="E476" s="1453">
        <f>D476/D426*100</f>
        <v>0.21346816154048923</v>
      </c>
      <c r="F476" s="825"/>
      <c r="G476" s="753"/>
      <c r="H476" s="753"/>
      <c r="I476" s="753"/>
      <c r="J476" s="1803"/>
      <c r="K476" s="1956"/>
      <c r="L476" s="2261"/>
      <c r="M476" s="1706"/>
      <c r="N476" s="1638"/>
      <c r="P476" s="4588"/>
    </row>
    <row r="477" spans="1:16" s="1639" customFormat="1" ht="18.75" customHeight="1" x14ac:dyDescent="0.25">
      <c r="A477" s="1637"/>
      <c r="B477" s="1242"/>
      <c r="C477" s="3860" t="s">
        <v>4563</v>
      </c>
      <c r="D477" s="4189">
        <v>252530000</v>
      </c>
      <c r="E477" s="864">
        <f>D477/D426*100</f>
        <v>0.14108855431799555</v>
      </c>
      <c r="F477" s="826"/>
      <c r="G477" s="755"/>
      <c r="H477" s="755"/>
      <c r="I477" s="755"/>
      <c r="J477" s="1804"/>
      <c r="K477" s="1238"/>
      <c r="L477" s="1717"/>
      <c r="M477" s="1648"/>
      <c r="N477" s="1638"/>
      <c r="P477" s="4588"/>
    </row>
    <row r="478" spans="1:16" s="485" customFormat="1" ht="18" customHeight="1" x14ac:dyDescent="0.25">
      <c r="A478" s="352"/>
      <c r="B478" s="1242"/>
      <c r="C478" s="3860" t="s">
        <v>4564</v>
      </c>
      <c r="D478" s="4179">
        <v>129550000</v>
      </c>
      <c r="E478" s="1126">
        <f>D478/D426*100</f>
        <v>7.2379607222493675E-2</v>
      </c>
      <c r="F478" s="813"/>
      <c r="G478" s="3630"/>
      <c r="H478" s="3630"/>
      <c r="I478" s="3630"/>
      <c r="J478" s="1786"/>
      <c r="K478" s="1753"/>
      <c r="L478" s="3648"/>
      <c r="M478" s="3648"/>
      <c r="N478" s="3330"/>
      <c r="P478" s="500"/>
    </row>
    <row r="479" spans="1:16" s="3627" customFormat="1" ht="13.5" customHeight="1" x14ac:dyDescent="0.25">
      <c r="A479" s="3618"/>
      <c r="B479" s="3623"/>
      <c r="C479" s="3892"/>
      <c r="D479" s="4187"/>
      <c r="E479" s="1450"/>
      <c r="F479" s="824"/>
      <c r="G479" s="827"/>
      <c r="H479" s="804"/>
      <c r="I479" s="804"/>
      <c r="J479" s="1802"/>
      <c r="K479" s="2270"/>
      <c r="L479" s="1649"/>
      <c r="M479" s="1649"/>
      <c r="N479" s="579"/>
      <c r="P479" s="500"/>
    </row>
    <row r="480" spans="1:16" s="1639" customFormat="1" ht="18.75" customHeight="1" x14ac:dyDescent="0.25">
      <c r="A480" s="1637"/>
      <c r="B480" s="1305"/>
      <c r="C480" s="3858" t="s">
        <v>248</v>
      </c>
      <c r="D480" s="2659">
        <f>SUM(D481+D484+D491+D496+D501)</f>
        <v>19544286686</v>
      </c>
      <c r="E480" s="1445">
        <f>D480/D426*100</f>
        <v>10.919396324017695</v>
      </c>
      <c r="F480" s="743"/>
      <c r="G480" s="743"/>
      <c r="H480" s="807"/>
      <c r="I480" s="807"/>
      <c r="J480" s="1770"/>
      <c r="K480" s="1770"/>
      <c r="L480" s="1462"/>
      <c r="M480" s="1656"/>
      <c r="N480" s="1638"/>
      <c r="P480" s="4588"/>
    </row>
    <row r="481" spans="1:16" s="1639" customFormat="1" ht="18" customHeight="1" x14ac:dyDescent="0.25">
      <c r="A481" s="1637"/>
      <c r="B481" s="1242"/>
      <c r="C481" s="3893" t="s">
        <v>242</v>
      </c>
      <c r="D481" s="2024">
        <f>D482</f>
        <v>266190000</v>
      </c>
      <c r="E481" s="1453">
        <f>D481/D426*100</f>
        <v>0.14872039866117784</v>
      </c>
      <c r="F481" s="792"/>
      <c r="G481" s="795"/>
      <c r="H481" s="795"/>
      <c r="I481" s="795"/>
      <c r="J481" s="1805"/>
      <c r="K481" s="1771"/>
      <c r="L481" s="795"/>
      <c r="M481" s="795"/>
      <c r="N481" s="1638"/>
      <c r="P481" s="4588"/>
    </row>
    <row r="482" spans="1:16" s="1639" customFormat="1" ht="16.5" customHeight="1" x14ac:dyDescent="0.25">
      <c r="A482" s="1637"/>
      <c r="B482" s="1242"/>
      <c r="C482" s="3860" t="s">
        <v>4565</v>
      </c>
      <c r="D482" s="666">
        <v>266190000</v>
      </c>
      <c r="E482" s="1126">
        <f>D482/D426*100</f>
        <v>0.14872039866117784</v>
      </c>
      <c r="F482" s="542"/>
      <c r="G482" s="3630"/>
      <c r="H482" s="3630"/>
      <c r="I482" s="3630"/>
      <c r="J482" s="663"/>
      <c r="K482" s="1238"/>
      <c r="L482" s="971"/>
      <c r="M482" s="971"/>
      <c r="N482" s="1638"/>
      <c r="P482" s="4588"/>
    </row>
    <row r="483" spans="1:16" s="1639" customFormat="1" ht="10.5" customHeight="1" x14ac:dyDescent="0.25">
      <c r="A483" s="1637"/>
      <c r="B483" s="1242"/>
      <c r="C483" s="3882"/>
      <c r="D483" s="1806"/>
      <c r="E483" s="1470"/>
      <c r="F483" s="500"/>
      <c r="G483" s="3557"/>
      <c r="H483" s="937"/>
      <c r="I483" s="937"/>
      <c r="J483" s="1806"/>
      <c r="K483" s="1753"/>
      <c r="L483" s="1648"/>
      <c r="M483" s="1648"/>
      <c r="N483" s="1638"/>
      <c r="P483" s="4588"/>
    </row>
    <row r="484" spans="1:16" s="1639" customFormat="1" ht="15.75" customHeight="1" x14ac:dyDescent="0.25">
      <c r="A484" s="1637"/>
      <c r="B484" s="1242"/>
      <c r="C484" s="3882" t="s">
        <v>283</v>
      </c>
      <c r="D484" s="2280">
        <f>SUM(D485:D489)</f>
        <v>5565736700</v>
      </c>
      <c r="E484" s="1453">
        <f>D484/D426*100</f>
        <v>3.1095780490144196</v>
      </c>
      <c r="F484" s="822"/>
      <c r="G484" s="822"/>
      <c r="H484" s="803"/>
      <c r="I484" s="803"/>
      <c r="J484" s="1800"/>
      <c r="K484" s="1800"/>
      <c r="L484" s="2261"/>
      <c r="M484" s="2261"/>
      <c r="N484" s="1638"/>
      <c r="P484" s="4588"/>
    </row>
    <row r="485" spans="1:16" s="1639" customFormat="1" ht="17.25" customHeight="1" x14ac:dyDescent="0.25">
      <c r="A485" s="1637"/>
      <c r="B485" s="1242"/>
      <c r="C485" s="3860" t="s">
        <v>4566</v>
      </c>
      <c r="D485" s="4186">
        <v>337430000</v>
      </c>
      <c r="E485" s="864">
        <f>D485/D426*100</f>
        <v>0.18852219888140515</v>
      </c>
      <c r="F485" s="659"/>
      <c r="G485" s="755"/>
      <c r="H485" s="802"/>
      <c r="I485" s="802"/>
      <c r="J485" s="1797"/>
      <c r="K485" s="1238"/>
      <c r="L485" s="1717"/>
      <c r="M485" s="1717"/>
      <c r="N485" s="1638"/>
      <c r="P485" s="4588"/>
    </row>
    <row r="486" spans="1:16" s="1639" customFormat="1" ht="21" customHeight="1" x14ac:dyDescent="0.25">
      <c r="A486" s="1637"/>
      <c r="B486" s="1242"/>
      <c r="C486" s="3860" t="s">
        <v>4567</v>
      </c>
      <c r="D486" s="660">
        <v>3042192000</v>
      </c>
      <c r="E486" s="864">
        <f>D486/D426*100</f>
        <v>1.6996731922455612</v>
      </c>
      <c r="F486" s="796"/>
      <c r="G486" s="755"/>
      <c r="H486" s="802"/>
      <c r="I486" s="802"/>
      <c r="J486" s="1799"/>
      <c r="K486" s="2119"/>
      <c r="L486" s="1648"/>
      <c r="M486" s="1648"/>
      <c r="N486" s="1638"/>
      <c r="P486" s="4588"/>
    </row>
    <row r="487" spans="1:16" s="1639" customFormat="1" ht="18" customHeight="1" x14ac:dyDescent="0.25">
      <c r="A487" s="1637"/>
      <c r="B487" s="3623"/>
      <c r="C487" s="3860" t="s">
        <v>4568</v>
      </c>
      <c r="D487" s="660">
        <v>1599294700</v>
      </c>
      <c r="E487" s="864">
        <f>D487/D426*100</f>
        <v>0.89352622322667574</v>
      </c>
      <c r="F487" s="796"/>
      <c r="G487" s="798"/>
      <c r="H487" s="3620"/>
      <c r="I487" s="3620"/>
      <c r="J487" s="1799"/>
      <c r="K487" s="2270"/>
      <c r="L487" s="1648"/>
      <c r="M487" s="1648"/>
      <c r="N487" s="1638"/>
      <c r="P487" s="4588"/>
    </row>
    <row r="488" spans="1:16" s="1639" customFormat="1" ht="18" customHeight="1" x14ac:dyDescent="0.25">
      <c r="A488" s="1637"/>
      <c r="B488" s="3623"/>
      <c r="C488" s="3860" t="s">
        <v>4569</v>
      </c>
      <c r="D488" s="660">
        <v>247600000</v>
      </c>
      <c r="E488" s="864">
        <f>D488/D426*100</f>
        <v>0.13833416247232291</v>
      </c>
      <c r="F488" s="796"/>
      <c r="G488" s="798"/>
      <c r="H488" s="3620"/>
      <c r="I488" s="3620"/>
      <c r="J488" s="1799"/>
      <c r="K488" s="2270"/>
      <c r="L488" s="1648"/>
      <c r="M488" s="1648"/>
      <c r="N488" s="1638"/>
      <c r="P488" s="4588"/>
    </row>
    <row r="489" spans="1:16" s="1639" customFormat="1" ht="20.25" customHeight="1" x14ac:dyDescent="0.25">
      <c r="A489" s="1637"/>
      <c r="B489" s="3623"/>
      <c r="C489" s="3860" t="s">
        <v>4570</v>
      </c>
      <c r="D489" s="660">
        <v>339220000</v>
      </c>
      <c r="E489" s="864">
        <f>D489/D426*100</f>
        <v>0.18952227218845466</v>
      </c>
      <c r="F489" s="796"/>
      <c r="G489" s="798"/>
      <c r="H489" s="3620"/>
      <c r="I489" s="3620"/>
      <c r="J489" s="1799"/>
      <c r="K489" s="2270"/>
      <c r="L489" s="1648"/>
      <c r="M489" s="1648"/>
      <c r="N489" s="1638"/>
      <c r="P489" s="4588"/>
    </row>
    <row r="490" spans="1:16" s="1639" customFormat="1" ht="11.25" customHeight="1" x14ac:dyDescent="0.25">
      <c r="A490" s="1637"/>
      <c r="B490" s="3623"/>
      <c r="C490" s="3882"/>
      <c r="D490" s="660"/>
      <c r="E490" s="864"/>
      <c r="F490" s="796"/>
      <c r="G490" s="798"/>
      <c r="H490" s="3620"/>
      <c r="I490" s="3620"/>
      <c r="J490" s="1799"/>
      <c r="K490" s="2270"/>
      <c r="L490" s="1648"/>
      <c r="M490" s="1648"/>
      <c r="N490" s="1638"/>
      <c r="P490" s="4588"/>
    </row>
    <row r="491" spans="1:16" s="1639" customFormat="1" ht="18" customHeight="1" x14ac:dyDescent="0.25">
      <c r="A491" s="1637"/>
      <c r="B491" s="1242"/>
      <c r="C491" s="3882" t="s">
        <v>445</v>
      </c>
      <c r="D491" s="2280">
        <f>SUM(D492:D494)</f>
        <v>1496190000</v>
      </c>
      <c r="E491" s="1453">
        <f>D491/D426*100</f>
        <v>0.8359216096505041</v>
      </c>
      <c r="F491" s="822"/>
      <c r="G491" s="822"/>
      <c r="H491" s="803"/>
      <c r="I491" s="803"/>
      <c r="J491" s="1800"/>
      <c r="K491" s="1800"/>
      <c r="L491" s="2261"/>
      <c r="M491" s="1706"/>
      <c r="N491" s="1638"/>
      <c r="P491" s="4588"/>
    </row>
    <row r="492" spans="1:16" s="1639" customFormat="1" ht="18" customHeight="1" x14ac:dyDescent="0.25">
      <c r="A492" s="1637"/>
      <c r="B492" s="1242"/>
      <c r="C492" s="3860" t="s">
        <v>4571</v>
      </c>
      <c r="D492" s="4186">
        <v>1082750000</v>
      </c>
      <c r="E492" s="864">
        <f>D492/D426*100</f>
        <v>0.60493261073064464</v>
      </c>
      <c r="F492" s="659"/>
      <c r="G492" s="755"/>
      <c r="H492" s="755"/>
      <c r="I492" s="755"/>
      <c r="J492" s="1797"/>
      <c r="K492" s="1238"/>
      <c r="L492" s="971"/>
      <c r="M492" s="971"/>
      <c r="N492" s="1638"/>
      <c r="P492" s="4588"/>
    </row>
    <row r="493" spans="1:16" s="1639" customFormat="1" ht="30" customHeight="1" x14ac:dyDescent="0.25">
      <c r="A493" s="1637"/>
      <c r="B493" s="1242"/>
      <c r="C493" s="3860" t="s">
        <v>4572</v>
      </c>
      <c r="D493" s="4186">
        <v>350500000</v>
      </c>
      <c r="E493" s="864">
        <f>D493/D426*100</f>
        <v>0.19582441012338117</v>
      </c>
      <c r="F493" s="659"/>
      <c r="G493" s="755"/>
      <c r="H493" s="755"/>
      <c r="I493" s="755"/>
      <c r="J493" s="1797"/>
      <c r="K493" s="1238"/>
      <c r="L493" s="1717"/>
      <c r="M493" s="1648"/>
      <c r="N493" s="1638"/>
      <c r="P493" s="4588"/>
    </row>
    <row r="494" spans="1:16" s="1639" customFormat="1" ht="18" customHeight="1" x14ac:dyDescent="0.25">
      <c r="A494" s="1637"/>
      <c r="B494" s="1242"/>
      <c r="C494" s="3860" t="s">
        <v>4573</v>
      </c>
      <c r="D494" s="4190">
        <v>62940000</v>
      </c>
      <c r="E494" s="864">
        <f>D494/D426*100</f>
        <v>3.5164588796478206E-2</v>
      </c>
      <c r="F494" s="828"/>
      <c r="G494" s="755"/>
      <c r="H494" s="755"/>
      <c r="I494" s="755"/>
      <c r="J494" s="875"/>
      <c r="K494" s="1238"/>
      <c r="L494" s="1717"/>
      <c r="M494" s="1648"/>
      <c r="N494" s="1638"/>
      <c r="P494" s="4588"/>
    </row>
    <row r="495" spans="1:16" s="1639" customFormat="1" ht="10.5" customHeight="1" x14ac:dyDescent="0.25">
      <c r="A495" s="1637"/>
      <c r="B495" s="1242"/>
      <c r="C495" s="3860"/>
      <c r="D495" s="4190"/>
      <c r="E495" s="864"/>
      <c r="F495" s="828"/>
      <c r="G495" s="755"/>
      <c r="H495" s="755"/>
      <c r="I495" s="755"/>
      <c r="J495" s="875"/>
      <c r="K495" s="1753"/>
      <c r="L495" s="1648"/>
      <c r="M495" s="1648"/>
      <c r="N495" s="1638"/>
      <c r="P495" s="4588"/>
    </row>
    <row r="496" spans="1:16" s="1639" customFormat="1" ht="18" customHeight="1" x14ac:dyDescent="0.25">
      <c r="A496" s="1637"/>
      <c r="B496" s="1242"/>
      <c r="C496" s="3882" t="s">
        <v>453</v>
      </c>
      <c r="D496" s="4191">
        <f>SUM(D497:D499)</f>
        <v>1321933500</v>
      </c>
      <c r="E496" s="1453">
        <f>D496/D426*100</f>
        <v>0.73856447320923457</v>
      </c>
      <c r="F496" s="829"/>
      <c r="G496" s="753"/>
      <c r="H496" s="753"/>
      <c r="I496" s="753"/>
      <c r="J496" s="1807"/>
      <c r="K496" s="1772"/>
      <c r="L496" s="753"/>
      <c r="M496" s="753"/>
      <c r="N496" s="1638"/>
      <c r="P496" s="4588"/>
    </row>
    <row r="497" spans="1:16" s="1639" customFormat="1" ht="18" customHeight="1" x14ac:dyDescent="0.25">
      <c r="A497" s="1637"/>
      <c r="B497" s="1242"/>
      <c r="C497" s="3860" t="s">
        <v>4574</v>
      </c>
      <c r="D497" s="660">
        <v>429396500</v>
      </c>
      <c r="E497" s="864">
        <f>D497/D426*100</f>
        <v>0.23990389820697416</v>
      </c>
      <c r="F497" s="796"/>
      <c r="G497" s="755"/>
      <c r="H497" s="755"/>
      <c r="I497" s="755"/>
      <c r="J497" s="1808"/>
      <c r="K497" s="1238"/>
      <c r="L497" s="971"/>
      <c r="M497" s="971"/>
      <c r="N497" s="1638"/>
      <c r="P497" s="4588"/>
    </row>
    <row r="498" spans="1:16" s="1639" customFormat="1" ht="17.25" customHeight="1" x14ac:dyDescent="0.25">
      <c r="A498" s="1637"/>
      <c r="B498" s="1242"/>
      <c r="C498" s="3860" t="s">
        <v>4575</v>
      </c>
      <c r="D498" s="4192">
        <v>641599000</v>
      </c>
      <c r="E498" s="864">
        <f>D498/D426*100</f>
        <v>0.35846147135735018</v>
      </c>
      <c r="F498" s="830"/>
      <c r="G498" s="755"/>
      <c r="H498" s="755"/>
      <c r="I498" s="755"/>
      <c r="J498" s="1809"/>
      <c r="K498" s="1238"/>
      <c r="L498" s="971"/>
      <c r="M498" s="971"/>
      <c r="N498" s="1638"/>
      <c r="P498" s="4588"/>
    </row>
    <row r="499" spans="1:16" s="1639" customFormat="1" ht="17.25" customHeight="1" x14ac:dyDescent="0.25">
      <c r="A499" s="1637"/>
      <c r="B499" s="3623"/>
      <c r="C499" s="3860" t="s">
        <v>4576</v>
      </c>
      <c r="D499" s="4192">
        <v>250938000</v>
      </c>
      <c r="E499" s="864">
        <f>D499/D426*100</f>
        <v>0.1401991036449102</v>
      </c>
      <c r="F499" s="830"/>
      <c r="G499" s="3630"/>
      <c r="H499" s="3630"/>
      <c r="I499" s="3630"/>
      <c r="J499" s="1809"/>
      <c r="K499" s="1979"/>
      <c r="L499" s="3714"/>
      <c r="M499" s="3714"/>
      <c r="N499" s="1638"/>
      <c r="P499" s="4588"/>
    </row>
    <row r="500" spans="1:16" s="1639" customFormat="1" ht="10.5" customHeight="1" x14ac:dyDescent="0.25">
      <c r="A500" s="1637"/>
      <c r="B500" s="1242"/>
      <c r="C500" s="3890"/>
      <c r="D500" s="4192"/>
      <c r="E500" s="864"/>
      <c r="F500" s="830"/>
      <c r="G500" s="755"/>
      <c r="H500" s="755"/>
      <c r="I500" s="755"/>
      <c r="J500" s="1809"/>
      <c r="K500" s="1762"/>
      <c r="L500" s="1648"/>
      <c r="M500" s="1648"/>
      <c r="N500" s="1638"/>
      <c r="P500" s="4588"/>
    </row>
    <row r="501" spans="1:16" s="1639" customFormat="1" ht="33" customHeight="1" x14ac:dyDescent="0.25">
      <c r="A501" s="1637"/>
      <c r="B501" s="1242"/>
      <c r="C501" s="3882" t="s">
        <v>4577</v>
      </c>
      <c r="D501" s="4193">
        <f>D502</f>
        <v>10894236486</v>
      </c>
      <c r="E501" s="1453">
        <f>D501/D426*100</f>
        <v>6.0866117934823594</v>
      </c>
      <c r="F501" s="658"/>
      <c r="G501" s="753"/>
      <c r="H501" s="753"/>
      <c r="I501" s="753"/>
      <c r="J501" s="1810"/>
      <c r="K501" s="1112"/>
      <c r="L501" s="2261"/>
      <c r="M501" s="541"/>
      <c r="N501" s="2113"/>
      <c r="O501" s="2111">
        <f>SUM(O502:O502)</f>
        <v>0</v>
      </c>
      <c r="P501" s="4594"/>
    </row>
    <row r="502" spans="1:16" s="1639" customFormat="1" ht="20.25" customHeight="1" x14ac:dyDescent="0.25">
      <c r="A502" s="1637"/>
      <c r="B502" s="1242"/>
      <c r="C502" s="3860" t="s">
        <v>4578</v>
      </c>
      <c r="D502" s="666">
        <v>10894236486</v>
      </c>
      <c r="E502" s="1126">
        <f>D502/D426*100</f>
        <v>6.0866117934823594</v>
      </c>
      <c r="F502" s="542"/>
      <c r="G502" s="755"/>
      <c r="H502" s="755"/>
      <c r="I502" s="755"/>
      <c r="J502" s="1811"/>
      <c r="K502" s="1238"/>
      <c r="L502" s="971"/>
      <c r="M502" s="971"/>
      <c r="N502" s="1638"/>
      <c r="P502" s="4588"/>
    </row>
    <row r="503" spans="1:16" s="485" customFormat="1" ht="12" customHeight="1" x14ac:dyDescent="0.25">
      <c r="A503" s="352"/>
      <c r="B503" s="1242"/>
      <c r="C503" s="3892"/>
      <c r="D503" s="4187"/>
      <c r="E503" s="1450"/>
      <c r="F503" s="824"/>
      <c r="G503" s="798"/>
      <c r="H503" s="805"/>
      <c r="I503" s="805"/>
      <c r="J503" s="1802"/>
      <c r="K503" s="2270"/>
      <c r="L503" s="2271"/>
      <c r="M503" s="2271"/>
      <c r="N503" s="535"/>
      <c r="P503" s="500"/>
    </row>
    <row r="504" spans="1:16" s="1639" customFormat="1" ht="18.75" customHeight="1" x14ac:dyDescent="0.25">
      <c r="A504" s="1637"/>
      <c r="B504" s="1305"/>
      <c r="C504" s="3858" t="s">
        <v>249</v>
      </c>
      <c r="D504" s="669">
        <f>SUM(D505)</f>
        <v>5296293288</v>
      </c>
      <c r="E504" s="1445">
        <f>D504/D426*100</f>
        <v>2.9590399685107642</v>
      </c>
      <c r="F504" s="832"/>
      <c r="G504" s="832"/>
      <c r="H504" s="807"/>
      <c r="I504" s="807"/>
      <c r="J504" s="1813"/>
      <c r="K504" s="1813"/>
      <c r="L504" s="1462"/>
      <c r="M504" s="1656"/>
      <c r="N504" s="1638"/>
      <c r="P504" s="4595"/>
    </row>
    <row r="505" spans="1:16" s="1639" customFormat="1" ht="19.5" customHeight="1" x14ac:dyDescent="0.25">
      <c r="A505" s="1637"/>
      <c r="B505" s="1242"/>
      <c r="C505" s="3893" t="s">
        <v>1016</v>
      </c>
      <c r="D505" s="4194">
        <f>D506</f>
        <v>5296293288</v>
      </c>
      <c r="E505" s="1453">
        <f>D505/D426*100</f>
        <v>2.9590399685107642</v>
      </c>
      <c r="F505" s="833"/>
      <c r="G505" s="834"/>
      <c r="H505" s="793"/>
      <c r="I505" s="793"/>
      <c r="J505" s="1814"/>
      <c r="K505" s="1939"/>
      <c r="L505" s="1671"/>
      <c r="M505" s="2264"/>
      <c r="N505" s="1638"/>
      <c r="P505" s="4588"/>
    </row>
    <row r="506" spans="1:16" s="1639" customFormat="1" ht="17.25" customHeight="1" x14ac:dyDescent="0.25">
      <c r="A506" s="1637"/>
      <c r="B506" s="1242"/>
      <c r="C506" s="3860" t="s">
        <v>4579</v>
      </c>
      <c r="D506" s="4186">
        <v>5296293288</v>
      </c>
      <c r="E506" s="864">
        <f>D506/D426*100</f>
        <v>2.9590399685107642</v>
      </c>
      <c r="F506" s="659"/>
      <c r="G506" s="755"/>
      <c r="H506" s="804"/>
      <c r="I506" s="802"/>
      <c r="J506" s="1797"/>
      <c r="K506" s="1958"/>
      <c r="L506" s="1717"/>
      <c r="M506" s="1648"/>
      <c r="N506" s="1638"/>
      <c r="P506" s="4588"/>
    </row>
    <row r="507" spans="1:16" s="485" customFormat="1" ht="13.5" customHeight="1" x14ac:dyDescent="0.25">
      <c r="A507" s="352"/>
      <c r="B507" s="1242"/>
      <c r="C507" s="3892"/>
      <c r="D507" s="671"/>
      <c r="E507" s="864"/>
      <c r="F507" s="840"/>
      <c r="G507" s="798"/>
      <c r="H507" s="805"/>
      <c r="I507" s="805"/>
      <c r="J507" s="1819"/>
      <c r="K507" s="2270"/>
      <c r="L507" s="2271"/>
      <c r="M507" s="2271"/>
      <c r="N507" s="535"/>
      <c r="P507" s="500"/>
    </row>
    <row r="508" spans="1:16" s="1639" customFormat="1" ht="18" customHeight="1" x14ac:dyDescent="0.25">
      <c r="A508" s="1637"/>
      <c r="B508" s="1305"/>
      <c r="C508" s="3858" t="s">
        <v>4580</v>
      </c>
      <c r="D508" s="669">
        <f>SUM(D509+D515)</f>
        <v>41301225000</v>
      </c>
      <c r="E508" s="1445">
        <f>D508/D426*100</f>
        <v>23.075001492148484</v>
      </c>
      <c r="F508" s="832"/>
      <c r="G508" s="765"/>
      <c r="H508" s="765"/>
      <c r="I508" s="765"/>
      <c r="J508" s="1813"/>
      <c r="K508" s="1813"/>
      <c r="L508" s="1462"/>
      <c r="M508" s="1656"/>
      <c r="N508" s="1638"/>
      <c r="P508" s="4588"/>
    </row>
    <row r="509" spans="1:16" s="1639" customFormat="1" ht="18.75" customHeight="1" x14ac:dyDescent="0.25">
      <c r="A509" s="1637"/>
      <c r="B509" s="1242"/>
      <c r="C509" s="3893" t="s">
        <v>275</v>
      </c>
      <c r="D509" s="4193">
        <f>SUM(D510:D513)</f>
        <v>32257825000</v>
      </c>
      <c r="E509" s="864">
        <f>D509/D426*100</f>
        <v>18.02245236087948</v>
      </c>
      <c r="F509" s="658"/>
      <c r="G509" s="795"/>
      <c r="H509" s="795"/>
      <c r="I509" s="795"/>
      <c r="J509" s="1812"/>
      <c r="K509" s="1959"/>
      <c r="L509" s="1671"/>
      <c r="M509" s="2264"/>
      <c r="N509" s="1638"/>
      <c r="P509" s="4588"/>
    </row>
    <row r="510" spans="1:16" s="1639" customFormat="1" ht="18" customHeight="1" x14ac:dyDescent="0.25">
      <c r="A510" s="1637"/>
      <c r="B510" s="1242"/>
      <c r="C510" s="3860" t="s">
        <v>4581</v>
      </c>
      <c r="D510" s="4186">
        <v>17788450000</v>
      </c>
      <c r="E510" s="864">
        <f>D510/D426*100</f>
        <v>9.9384100663602268</v>
      </c>
      <c r="F510" s="659"/>
      <c r="G510" s="755"/>
      <c r="H510" s="755"/>
      <c r="I510" s="755"/>
      <c r="J510" s="1797"/>
      <c r="K510" s="1238"/>
      <c r="L510" s="1717"/>
      <c r="M510" s="1716"/>
      <c r="N510" s="1638"/>
      <c r="P510" s="4588"/>
    </row>
    <row r="511" spans="1:16" s="1639" customFormat="1" ht="17.25" customHeight="1" x14ac:dyDescent="0.25">
      <c r="A511" s="1637"/>
      <c r="B511" s="3623"/>
      <c r="C511" s="3860" t="s">
        <v>4582</v>
      </c>
      <c r="D511" s="4186">
        <v>2866565000</v>
      </c>
      <c r="E511" s="864">
        <f>D511/D426*100</f>
        <v>1.6015503572192016</v>
      </c>
      <c r="F511" s="659"/>
      <c r="G511" s="3630"/>
      <c r="H511" s="3630"/>
      <c r="I511" s="3630"/>
      <c r="J511" s="1797"/>
      <c r="K511" s="1979"/>
      <c r="L511" s="1312"/>
      <c r="M511" s="3648"/>
      <c r="N511" s="1638"/>
      <c r="P511" s="4588"/>
    </row>
    <row r="512" spans="1:16" s="1639" customFormat="1" ht="19.5" customHeight="1" x14ac:dyDescent="0.25">
      <c r="A512" s="1637"/>
      <c r="B512" s="3623"/>
      <c r="C512" s="3860" t="s">
        <v>4583</v>
      </c>
      <c r="D512" s="4186">
        <v>11310000000</v>
      </c>
      <c r="E512" s="864">
        <f>D512/D426*100</f>
        <v>6.3188989400725841</v>
      </c>
      <c r="F512" s="659"/>
      <c r="G512" s="3630"/>
      <c r="H512" s="3630"/>
      <c r="I512" s="3630"/>
      <c r="J512" s="1797"/>
      <c r="K512" s="1979"/>
      <c r="L512" s="1312"/>
      <c r="M512" s="3648"/>
      <c r="N512" s="1638"/>
      <c r="P512" s="4588"/>
    </row>
    <row r="513" spans="1:16" s="1639" customFormat="1" ht="15.75" customHeight="1" x14ac:dyDescent="0.25">
      <c r="A513" s="1637"/>
      <c r="B513" s="3623"/>
      <c r="C513" s="3860" t="s">
        <v>4584</v>
      </c>
      <c r="D513" s="4186">
        <v>292810000</v>
      </c>
      <c r="E513" s="864">
        <f>D513/D426*100</f>
        <v>0.16359299722746715</v>
      </c>
      <c r="F513" s="659"/>
      <c r="G513" s="3630"/>
      <c r="H513" s="3630"/>
      <c r="I513" s="3630"/>
      <c r="J513" s="1797"/>
      <c r="K513" s="1979"/>
      <c r="L513" s="1312"/>
      <c r="M513" s="3648"/>
      <c r="N513" s="1638"/>
      <c r="P513" s="4588"/>
    </row>
    <row r="514" spans="1:16" s="1639" customFormat="1" ht="10.5" customHeight="1" x14ac:dyDescent="0.25">
      <c r="A514" s="1637"/>
      <c r="B514" s="1242"/>
      <c r="C514" s="3890"/>
      <c r="D514" s="4195"/>
      <c r="E514" s="1126"/>
      <c r="F514" s="837"/>
      <c r="G514" s="755"/>
      <c r="H514" s="755"/>
      <c r="I514" s="755"/>
      <c r="J514" s="1817"/>
      <c r="K514" s="1762"/>
      <c r="L514" s="1648"/>
      <c r="M514" s="1716"/>
      <c r="N514" s="1638"/>
      <c r="P514" s="4588"/>
    </row>
    <row r="515" spans="1:16" s="1639" customFormat="1" ht="19.5" customHeight="1" x14ac:dyDescent="0.25">
      <c r="A515" s="1637"/>
      <c r="B515" s="1242"/>
      <c r="C515" s="3882" t="s">
        <v>4585</v>
      </c>
      <c r="D515" s="4193">
        <f>D516</f>
        <v>9043400000</v>
      </c>
      <c r="E515" s="1453">
        <f>D515/D426*100</f>
        <v>5.0525491312690018</v>
      </c>
      <c r="F515" s="658"/>
      <c r="G515" s="753"/>
      <c r="H515" s="753"/>
      <c r="I515" s="753"/>
      <c r="J515" s="1812"/>
      <c r="K515" s="1112"/>
      <c r="L515" s="1671"/>
      <c r="M515" s="1729"/>
      <c r="N515" s="1638"/>
      <c r="P515" s="4588"/>
    </row>
    <row r="516" spans="1:16" s="1639" customFormat="1" ht="13.5" customHeight="1" x14ac:dyDescent="0.25">
      <c r="A516" s="1637"/>
      <c r="B516" s="1242"/>
      <c r="C516" s="3860" t="s">
        <v>4586</v>
      </c>
      <c r="D516" s="4186">
        <v>9043400000</v>
      </c>
      <c r="E516" s="864">
        <f>D516/D426*100</f>
        <v>5.0525491312690018</v>
      </c>
      <c r="F516" s="659"/>
      <c r="G516" s="755"/>
      <c r="H516" s="755"/>
      <c r="I516" s="755"/>
      <c r="J516" s="1797"/>
      <c r="K516" s="1238"/>
      <c r="L516" s="1717"/>
      <c r="M516" s="1716"/>
      <c r="N516" s="1638"/>
      <c r="P516" s="4588"/>
    </row>
    <row r="517" spans="1:16" s="485" customFormat="1" ht="13.5" customHeight="1" x14ac:dyDescent="0.25">
      <c r="A517" s="352"/>
      <c r="B517" s="1242"/>
      <c r="C517" s="3894"/>
      <c r="D517" s="4196"/>
      <c r="E517" s="1326"/>
      <c r="F517" s="841"/>
      <c r="G517" s="827"/>
      <c r="H517" s="804"/>
      <c r="I517" s="804"/>
      <c r="J517" s="1820"/>
      <c r="K517" s="2274"/>
      <c r="L517" s="1717"/>
      <c r="M517" s="1649"/>
      <c r="N517" s="536"/>
      <c r="P517" s="500"/>
    </row>
    <row r="518" spans="1:16" s="1639" customFormat="1" ht="17.25" customHeight="1" x14ac:dyDescent="0.25">
      <c r="A518" s="1637"/>
      <c r="B518" s="1305"/>
      <c r="C518" s="3858" t="s">
        <v>317</v>
      </c>
      <c r="D518" s="669">
        <f>SUM(D519)</f>
        <v>624970000</v>
      </c>
      <c r="E518" s="1445">
        <f>D518/D426*100</f>
        <v>0.34917084620487737</v>
      </c>
      <c r="F518" s="832"/>
      <c r="G518" s="832"/>
      <c r="H518" s="807"/>
      <c r="I518" s="807"/>
      <c r="J518" s="1813"/>
      <c r="K518" s="1813"/>
      <c r="L518" s="1462"/>
      <c r="M518" s="1656"/>
      <c r="N518" s="2115"/>
      <c r="P518" s="4588"/>
    </row>
    <row r="519" spans="1:16" s="1639" customFormat="1" ht="17.25" customHeight="1" x14ac:dyDescent="0.25">
      <c r="A519" s="1637"/>
      <c r="B519" s="2901"/>
      <c r="C519" s="3893" t="s">
        <v>4587</v>
      </c>
      <c r="D519" s="667">
        <f>SUM(D520+D521)</f>
        <v>624970000</v>
      </c>
      <c r="E519" s="1453">
        <f>D519/D426*100</f>
        <v>0.34917084620487737</v>
      </c>
      <c r="F519" s="836"/>
      <c r="G519" s="836"/>
      <c r="H519" s="2272"/>
      <c r="I519" s="793"/>
      <c r="J519" s="1816"/>
      <c r="K519" s="1816"/>
      <c r="L519" s="1671"/>
      <c r="M519" s="2264"/>
      <c r="N519" s="2115"/>
      <c r="P519" s="4588"/>
    </row>
    <row r="520" spans="1:16" s="1639" customFormat="1" ht="19.5" customHeight="1" x14ac:dyDescent="0.25">
      <c r="A520" s="1637"/>
      <c r="B520" s="2907"/>
      <c r="C520" s="3860" t="s">
        <v>4588</v>
      </c>
      <c r="D520" s="4186">
        <v>325910000</v>
      </c>
      <c r="E520" s="864">
        <f>D520/D426*100</f>
        <v>0.18208597290531001</v>
      </c>
      <c r="F520" s="659"/>
      <c r="G520" s="755"/>
      <c r="H520" s="802"/>
      <c r="I520" s="802"/>
      <c r="J520" s="1797"/>
      <c r="K520" s="1238"/>
      <c r="L520" s="1717"/>
      <c r="M520" s="1648"/>
      <c r="N520" s="2115"/>
      <c r="P520" s="4588"/>
    </row>
    <row r="521" spans="1:16" s="1639" customFormat="1" ht="20.25" customHeight="1" x14ac:dyDescent="0.25">
      <c r="A521" s="1637"/>
      <c r="B521" s="2907"/>
      <c r="C521" s="3860" t="s">
        <v>4589</v>
      </c>
      <c r="D521" s="666">
        <v>299060000</v>
      </c>
      <c r="E521" s="1126">
        <f>D521/D426*100</f>
        <v>0.16708487329956739</v>
      </c>
      <c r="F521" s="542"/>
      <c r="G521" s="755"/>
      <c r="H521" s="755"/>
      <c r="I521" s="755"/>
      <c r="J521" s="1797"/>
      <c r="K521" s="1238"/>
      <c r="L521" s="1717"/>
      <c r="M521" s="1648"/>
      <c r="N521" s="2115"/>
      <c r="P521" s="4588"/>
    </row>
    <row r="522" spans="1:16" s="497" customFormat="1" ht="9.75" customHeight="1" x14ac:dyDescent="0.25">
      <c r="A522" s="352"/>
      <c r="B522" s="1242"/>
      <c r="C522" s="3892"/>
      <c r="D522" s="1901"/>
      <c r="E522" s="1450"/>
      <c r="F522" s="842"/>
      <c r="G522" s="827"/>
      <c r="H522" s="804"/>
      <c r="I522" s="804"/>
      <c r="J522" s="1821"/>
      <c r="K522" s="2274"/>
      <c r="L522" s="1649"/>
      <c r="M522" s="1649"/>
      <c r="N522" s="577"/>
      <c r="P522" s="500"/>
    </row>
    <row r="523" spans="1:16" s="1639" customFormat="1" ht="17.25" customHeight="1" x14ac:dyDescent="0.25">
      <c r="A523" s="1637"/>
      <c r="B523" s="1305"/>
      <c r="C523" s="3858" t="s">
        <v>4590</v>
      </c>
      <c r="D523" s="669">
        <f>SUM(D524+D527+D530)</f>
        <v>2481012012</v>
      </c>
      <c r="E523" s="1445">
        <f>D523/D426*100</f>
        <v>1.3861418366873697</v>
      </c>
      <c r="F523" s="832"/>
      <c r="G523" s="832"/>
      <c r="H523" s="807"/>
      <c r="I523" s="807"/>
      <c r="J523" s="1813"/>
      <c r="K523" s="1813"/>
      <c r="L523" s="1462"/>
      <c r="M523" s="1656"/>
      <c r="N523" s="2116"/>
      <c r="P523" s="4588"/>
    </row>
    <row r="524" spans="1:16" s="1639" customFormat="1" ht="19.5" customHeight="1" x14ac:dyDescent="0.25">
      <c r="A524" s="1637"/>
      <c r="B524" s="1242"/>
      <c r="C524" s="3882" t="s">
        <v>4591</v>
      </c>
      <c r="D524" s="4193">
        <f>D525</f>
        <v>42000000</v>
      </c>
      <c r="E524" s="1453">
        <f>D524/D426*100</f>
        <v>2.3465407204513577E-2</v>
      </c>
      <c r="F524" s="658"/>
      <c r="G524" s="753"/>
      <c r="H524" s="753"/>
      <c r="I524" s="753"/>
      <c r="J524" s="1812"/>
      <c r="K524" s="1957"/>
      <c r="L524" s="1671"/>
      <c r="M524" s="1729"/>
      <c r="N524" s="1638"/>
      <c r="P524" s="4588"/>
    </row>
    <row r="525" spans="1:16" s="1639" customFormat="1" ht="28.5" customHeight="1" x14ac:dyDescent="0.25">
      <c r="A525" s="1637"/>
      <c r="B525" s="1242"/>
      <c r="C525" s="3860" t="s">
        <v>4592</v>
      </c>
      <c r="D525" s="4186">
        <v>42000000</v>
      </c>
      <c r="E525" s="864">
        <f>D525/D426*100</f>
        <v>2.3465407204513577E-2</v>
      </c>
      <c r="F525" s="659"/>
      <c r="G525" s="755"/>
      <c r="H525" s="755"/>
      <c r="I525" s="755"/>
      <c r="J525" s="1797"/>
      <c r="K525" s="1238"/>
      <c r="L525" s="1717"/>
      <c r="M525" s="1716"/>
      <c r="N525" s="1638"/>
      <c r="P525" s="4588"/>
    </row>
    <row r="526" spans="1:16" s="1639" customFormat="1" ht="10.5" customHeight="1" x14ac:dyDescent="0.25">
      <c r="A526" s="1637"/>
      <c r="B526" s="1242"/>
      <c r="C526" s="3890"/>
      <c r="D526" s="868"/>
      <c r="E526" s="1126"/>
      <c r="F526" s="835"/>
      <c r="G526" s="755"/>
      <c r="H526" s="798"/>
      <c r="I526" s="755"/>
      <c r="J526" s="1815"/>
      <c r="K526" s="1753"/>
      <c r="L526" s="1716"/>
      <c r="M526" s="1716"/>
      <c r="N526" s="1638"/>
      <c r="P526" s="4588"/>
    </row>
    <row r="527" spans="1:16" s="1639" customFormat="1" ht="18" customHeight="1" x14ac:dyDescent="0.25">
      <c r="A527" s="1637"/>
      <c r="B527" s="1242"/>
      <c r="C527" s="3882" t="s">
        <v>4593</v>
      </c>
      <c r="D527" s="3701">
        <f>D528</f>
        <v>2412012012</v>
      </c>
      <c r="E527" s="1453">
        <f>D527/D426*100</f>
        <v>1.347591524851383</v>
      </c>
      <c r="F527" s="843"/>
      <c r="G527" s="843"/>
      <c r="H527" s="753"/>
      <c r="I527" s="753"/>
      <c r="J527" s="1822"/>
      <c r="K527" s="1822"/>
      <c r="L527" s="1671"/>
      <c r="M527" s="1729"/>
      <c r="N527" s="1638"/>
      <c r="P527" s="4588"/>
    </row>
    <row r="528" spans="1:16" s="1639" customFormat="1" ht="19.5" customHeight="1" x14ac:dyDescent="0.25">
      <c r="A528" s="1637"/>
      <c r="B528" s="1242"/>
      <c r="C528" s="3860" t="s">
        <v>4594</v>
      </c>
      <c r="D528" s="4186">
        <v>2412012012</v>
      </c>
      <c r="E528" s="864">
        <f>D528/D426*100</f>
        <v>1.347591524851383</v>
      </c>
      <c r="F528" s="659"/>
      <c r="G528" s="755"/>
      <c r="H528" s="802"/>
      <c r="I528" s="755"/>
      <c r="J528" s="1797"/>
      <c r="K528" s="1238"/>
      <c r="L528" s="1717"/>
      <c r="M528" s="1716"/>
      <c r="N528" s="1638"/>
      <c r="P528" s="4588"/>
    </row>
    <row r="529" spans="1:16" s="1639" customFormat="1" ht="10.5" customHeight="1" x14ac:dyDescent="0.25">
      <c r="A529" s="1637"/>
      <c r="B529" s="1242"/>
      <c r="C529" s="3861"/>
      <c r="D529" s="4190"/>
      <c r="E529" s="1126"/>
      <c r="F529" s="828"/>
      <c r="G529" s="755"/>
      <c r="H529" s="755"/>
      <c r="I529" s="755"/>
      <c r="J529" s="875"/>
      <c r="K529" s="1753"/>
      <c r="L529" s="1716"/>
      <c r="M529" s="1716"/>
      <c r="N529" s="1638"/>
      <c r="P529" s="4588"/>
    </row>
    <row r="530" spans="1:16" s="1639" customFormat="1" ht="15.75" customHeight="1" x14ac:dyDescent="0.25">
      <c r="A530" s="1637"/>
      <c r="B530" s="1242"/>
      <c r="C530" s="3873" t="s">
        <v>4595</v>
      </c>
      <c r="D530" s="4191">
        <f>D531</f>
        <v>27000000</v>
      </c>
      <c r="E530" s="1453">
        <f>D530/D426*100</f>
        <v>1.5084904631473014E-2</v>
      </c>
      <c r="F530" s="829"/>
      <c r="G530" s="753"/>
      <c r="H530" s="753"/>
      <c r="I530" s="753"/>
      <c r="J530" s="1807"/>
      <c r="K530" s="1957"/>
      <c r="L530" s="1671"/>
      <c r="M530" s="1729"/>
      <c r="N530" s="1638"/>
      <c r="P530" s="4588"/>
    </row>
    <row r="531" spans="1:16" s="1639" customFormat="1" ht="14.25" customHeight="1" x14ac:dyDescent="0.25">
      <c r="A531" s="1637"/>
      <c r="B531" s="1242"/>
      <c r="C531" s="3861" t="s">
        <v>4596</v>
      </c>
      <c r="D531" s="4190">
        <v>27000000</v>
      </c>
      <c r="E531" s="864">
        <f>D531/D426*100</f>
        <v>1.5084904631473014E-2</v>
      </c>
      <c r="F531" s="828"/>
      <c r="G531" s="755"/>
      <c r="H531" s="755"/>
      <c r="I531" s="755"/>
      <c r="J531" s="875"/>
      <c r="K531" s="1238"/>
      <c r="L531" s="971"/>
      <c r="M531" s="971"/>
      <c r="N531" s="1638"/>
      <c r="P531" s="4588"/>
    </row>
    <row r="532" spans="1:16" s="1639" customFormat="1" ht="13.5" customHeight="1" x14ac:dyDescent="0.25">
      <c r="A532" s="1637"/>
      <c r="B532" s="1242"/>
      <c r="C532" s="3848"/>
      <c r="D532" s="868"/>
      <c r="E532" s="864"/>
      <c r="F532" s="835"/>
      <c r="G532" s="798"/>
      <c r="H532" s="798"/>
      <c r="I532" s="798"/>
      <c r="J532" s="1815"/>
      <c r="K532" s="1961"/>
      <c r="L532" s="1722"/>
      <c r="M532" s="1722"/>
      <c r="N532" s="1638"/>
      <c r="P532" s="4588"/>
    </row>
    <row r="533" spans="1:16" s="1639" customFormat="1" ht="18" customHeight="1" x14ac:dyDescent="0.25">
      <c r="A533" s="1637"/>
      <c r="B533" s="1305"/>
      <c r="C533" s="3858" t="s">
        <v>4597</v>
      </c>
      <c r="D533" s="4197">
        <f>SUM(D534)</f>
        <v>1675185000</v>
      </c>
      <c r="E533" s="1445">
        <f>D533/D426*100</f>
        <v>0.93592614685459696</v>
      </c>
      <c r="F533" s="844"/>
      <c r="G533" s="844"/>
      <c r="H533" s="765"/>
      <c r="I533" s="765"/>
      <c r="J533" s="1823"/>
      <c r="K533" s="1823"/>
      <c r="L533" s="1462"/>
      <c r="M533" s="1726"/>
      <c r="N533" s="1638"/>
      <c r="P533" s="4588"/>
    </row>
    <row r="534" spans="1:16" s="1639" customFormat="1" ht="18" customHeight="1" x14ac:dyDescent="0.25">
      <c r="A534" s="1637"/>
      <c r="B534" s="1242"/>
      <c r="C534" s="3881" t="s">
        <v>4598</v>
      </c>
      <c r="D534" s="4194">
        <f>D535</f>
        <v>1675185000</v>
      </c>
      <c r="E534" s="1453">
        <f>D534/D426*100</f>
        <v>0.93592614685459696</v>
      </c>
      <c r="F534" s="833"/>
      <c r="G534" s="845"/>
      <c r="H534" s="753"/>
      <c r="I534" s="766"/>
      <c r="J534" s="1814"/>
      <c r="K534" s="1959"/>
      <c r="L534" s="1671"/>
      <c r="M534" s="1728"/>
      <c r="N534" s="1638"/>
      <c r="P534" s="4588"/>
    </row>
    <row r="535" spans="1:16" s="1639" customFormat="1" ht="17.25" customHeight="1" x14ac:dyDescent="0.25">
      <c r="A535" s="1637"/>
      <c r="B535" s="1242"/>
      <c r="C535" s="3860" t="s">
        <v>4599</v>
      </c>
      <c r="D535" s="4186">
        <v>1675185000</v>
      </c>
      <c r="E535" s="864">
        <f>D535/D426*100</f>
        <v>0.93592614685459696</v>
      </c>
      <c r="F535" s="846"/>
      <c r="G535" s="755"/>
      <c r="H535" s="802"/>
      <c r="I535" s="755"/>
      <c r="J535" s="1811"/>
      <c r="K535" s="1238"/>
      <c r="L535" s="1717"/>
      <c r="M535" s="1716"/>
      <c r="N535" s="1638"/>
      <c r="P535" s="4588"/>
    </row>
    <row r="536" spans="1:16" s="485" customFormat="1" ht="13.5" customHeight="1" x14ac:dyDescent="0.25">
      <c r="A536" s="352"/>
      <c r="B536" s="1242"/>
      <c r="C536" s="3873"/>
      <c r="D536" s="4193"/>
      <c r="E536" s="864"/>
      <c r="F536" s="658"/>
      <c r="G536" s="798"/>
      <c r="H536" s="798"/>
      <c r="I536" s="798"/>
      <c r="J536" s="1812"/>
      <c r="K536" s="1961"/>
      <c r="L536" s="1722"/>
      <c r="M536" s="1722"/>
      <c r="N536" s="535"/>
      <c r="P536" s="500"/>
    </row>
    <row r="537" spans="1:16" s="1639" customFormat="1" ht="19.5" customHeight="1" x14ac:dyDescent="0.25">
      <c r="A537" s="1637"/>
      <c r="B537" s="1305"/>
      <c r="C537" s="3858" t="s">
        <v>3200</v>
      </c>
      <c r="D537" s="669">
        <f>SUM(D538+D541+D544+D547)</f>
        <v>3122750000</v>
      </c>
      <c r="E537" s="1445">
        <f>D537/D426*100</f>
        <v>1.7446809606641613</v>
      </c>
      <c r="F537" s="847"/>
      <c r="G537" s="765"/>
      <c r="H537" s="765"/>
      <c r="I537" s="765"/>
      <c r="J537" s="1824"/>
      <c r="K537" s="1824"/>
      <c r="L537" s="1462"/>
      <c r="M537" s="1726"/>
      <c r="N537" s="1638"/>
      <c r="P537" s="4588"/>
    </row>
    <row r="538" spans="1:16" s="1639" customFormat="1" ht="21.75" customHeight="1" x14ac:dyDescent="0.25">
      <c r="A538" s="1637"/>
      <c r="B538" s="1242"/>
      <c r="C538" s="3893" t="s">
        <v>4600</v>
      </c>
      <c r="D538" s="4198">
        <f>D539</f>
        <v>91300000</v>
      </c>
      <c r="E538" s="1453">
        <f>D538/D426*100</f>
        <v>5.100932566124023E-2</v>
      </c>
      <c r="F538" s="1718"/>
      <c r="G538" s="766"/>
      <c r="H538" s="766"/>
      <c r="I538" s="766"/>
      <c r="J538" s="1825"/>
      <c r="K538" s="1939"/>
      <c r="L538" s="1671"/>
      <c r="M538" s="1728"/>
      <c r="N538" s="1638"/>
      <c r="P538" s="4588"/>
    </row>
    <row r="539" spans="1:16" s="1639" customFormat="1" ht="17.25" customHeight="1" x14ac:dyDescent="0.25">
      <c r="A539" s="1637"/>
      <c r="B539" s="1242"/>
      <c r="C539" s="3860" t="s">
        <v>4601</v>
      </c>
      <c r="D539" s="1111">
        <v>91300000</v>
      </c>
      <c r="E539" s="864">
        <f>D539/D426*100</f>
        <v>5.100932566124023E-2</v>
      </c>
      <c r="F539" s="848"/>
      <c r="G539" s="755"/>
      <c r="H539" s="755"/>
      <c r="I539" s="755"/>
      <c r="J539" s="1826"/>
      <c r="K539" s="1238"/>
      <c r="L539" s="1717"/>
      <c r="M539" s="1668"/>
      <c r="N539" s="1638"/>
      <c r="P539" s="4588"/>
    </row>
    <row r="540" spans="1:16" s="1639" customFormat="1" ht="9" customHeight="1" x14ac:dyDescent="0.25">
      <c r="A540" s="1637"/>
      <c r="B540" s="1242"/>
      <c r="C540" s="3861"/>
      <c r="D540" s="1324"/>
      <c r="E540" s="864"/>
      <c r="F540" s="662"/>
      <c r="G540" s="798"/>
      <c r="H540" s="798"/>
      <c r="I540" s="798"/>
      <c r="J540" s="1834"/>
      <c r="K540" s="1961"/>
      <c r="L540" s="1722"/>
      <c r="M540" s="1722"/>
      <c r="N540" s="1638"/>
      <c r="P540" s="4588"/>
    </row>
    <row r="541" spans="1:16" s="1639" customFormat="1" ht="18" customHeight="1" x14ac:dyDescent="0.25">
      <c r="A541" s="1637"/>
      <c r="B541" s="3623"/>
      <c r="C541" s="3882" t="s">
        <v>4602</v>
      </c>
      <c r="D541" s="673">
        <f>D542</f>
        <v>79000000</v>
      </c>
      <c r="E541" s="1453">
        <f>D541/D426*100</f>
        <v>4.4137313551346972E-2</v>
      </c>
      <c r="F541" s="542"/>
      <c r="G541" s="3630"/>
      <c r="H541" s="3630"/>
      <c r="I541" s="3630"/>
      <c r="J541" s="663"/>
      <c r="K541" s="1753"/>
      <c r="L541" s="3648"/>
      <c r="M541" s="3648"/>
      <c r="N541" s="1638"/>
      <c r="P541" s="4588"/>
    </row>
    <row r="542" spans="1:16" s="1639" customFormat="1" ht="16.5" customHeight="1" x14ac:dyDescent="0.25">
      <c r="A542" s="1637"/>
      <c r="B542" s="3623"/>
      <c r="C542" s="3860" t="s">
        <v>4603</v>
      </c>
      <c r="D542" s="666">
        <v>79000000</v>
      </c>
      <c r="E542" s="864">
        <f>D542/D426*100</f>
        <v>4.4137313551346972E-2</v>
      </c>
      <c r="F542" s="542"/>
      <c r="G542" s="3630"/>
      <c r="H542" s="3630"/>
      <c r="I542" s="3630"/>
      <c r="J542" s="663"/>
      <c r="K542" s="1753"/>
      <c r="L542" s="3648"/>
      <c r="M542" s="3648"/>
      <c r="N542" s="1638"/>
      <c r="P542" s="4588"/>
    </row>
    <row r="543" spans="1:16" s="1639" customFormat="1" ht="9" customHeight="1" x14ac:dyDescent="0.25">
      <c r="A543" s="1637"/>
      <c r="B543" s="3623"/>
      <c r="C543" s="3860"/>
      <c r="D543" s="666"/>
      <c r="E543" s="1126"/>
      <c r="F543" s="542"/>
      <c r="G543" s="3630"/>
      <c r="H543" s="3630"/>
      <c r="I543" s="3630"/>
      <c r="J543" s="663"/>
      <c r="K543" s="1753"/>
      <c r="L543" s="3648"/>
      <c r="M543" s="3648"/>
      <c r="N543" s="1638"/>
      <c r="P543" s="4588"/>
    </row>
    <row r="544" spans="1:16" s="1639" customFormat="1" ht="18.75" customHeight="1" x14ac:dyDescent="0.25">
      <c r="A544" s="1637"/>
      <c r="B544" s="3623"/>
      <c r="C544" s="3882" t="s">
        <v>4604</v>
      </c>
      <c r="D544" s="673">
        <f>D545</f>
        <v>2802450000</v>
      </c>
      <c r="E544" s="1453">
        <f>D544/D426*100</f>
        <v>1.5657292957211684</v>
      </c>
      <c r="F544" s="542"/>
      <c r="G544" s="3630"/>
      <c r="H544" s="3630"/>
      <c r="I544" s="3630"/>
      <c r="J544" s="663"/>
      <c r="K544" s="1753"/>
      <c r="L544" s="3648"/>
      <c r="M544" s="3648"/>
      <c r="N544" s="1638"/>
      <c r="P544" s="4588"/>
    </row>
    <row r="545" spans="1:16" s="1639" customFormat="1" ht="29.25" customHeight="1" x14ac:dyDescent="0.25">
      <c r="A545" s="1637"/>
      <c r="B545" s="3623"/>
      <c r="C545" s="3860" t="s">
        <v>4605</v>
      </c>
      <c r="D545" s="666">
        <v>2802450000</v>
      </c>
      <c r="E545" s="864">
        <f>D545/D426*100</f>
        <v>1.5657292957211684</v>
      </c>
      <c r="F545" s="542"/>
      <c r="G545" s="3630"/>
      <c r="H545" s="3630"/>
      <c r="I545" s="3630"/>
      <c r="J545" s="663"/>
      <c r="K545" s="1753"/>
      <c r="L545" s="3648"/>
      <c r="M545" s="3648"/>
      <c r="N545" s="1638"/>
      <c r="P545" s="4588"/>
    </row>
    <row r="546" spans="1:16" s="1639" customFormat="1" ht="9.75" customHeight="1" x14ac:dyDescent="0.25">
      <c r="A546" s="1637"/>
      <c r="B546" s="3623"/>
      <c r="C546" s="3860"/>
      <c r="D546" s="666"/>
      <c r="E546" s="1126"/>
      <c r="F546" s="542"/>
      <c r="G546" s="3630"/>
      <c r="H546" s="3630"/>
      <c r="I546" s="3630"/>
      <c r="J546" s="663"/>
      <c r="K546" s="1753"/>
      <c r="L546" s="3648"/>
      <c r="M546" s="3648"/>
      <c r="N546" s="1638"/>
      <c r="P546" s="4588"/>
    </row>
    <row r="547" spans="1:16" s="1639" customFormat="1" ht="18" customHeight="1" x14ac:dyDescent="0.25">
      <c r="A547" s="1637"/>
      <c r="B547" s="3623"/>
      <c r="C547" s="3882" t="s">
        <v>4606</v>
      </c>
      <c r="D547" s="673">
        <f>D548</f>
        <v>150000000</v>
      </c>
      <c r="E547" s="1453">
        <f>D547/D426*100</f>
        <v>8.380502573040563E-2</v>
      </c>
      <c r="F547" s="542"/>
      <c r="G547" s="3630"/>
      <c r="H547" s="3630"/>
      <c r="I547" s="3630"/>
      <c r="J547" s="663"/>
      <c r="K547" s="1753"/>
      <c r="L547" s="3648"/>
      <c r="M547" s="3648"/>
      <c r="N547" s="1638"/>
      <c r="P547" s="4588"/>
    </row>
    <row r="548" spans="1:16" s="1639" customFormat="1" ht="13.5" customHeight="1" x14ac:dyDescent="0.25">
      <c r="A548" s="1637"/>
      <c r="B548" s="3623"/>
      <c r="C548" s="3860" t="s">
        <v>4607</v>
      </c>
      <c r="D548" s="666">
        <v>150000000</v>
      </c>
      <c r="E548" s="864">
        <f>D548/D426*100</f>
        <v>8.380502573040563E-2</v>
      </c>
      <c r="F548" s="542"/>
      <c r="G548" s="3630"/>
      <c r="H548" s="3630"/>
      <c r="I548" s="3630"/>
      <c r="J548" s="663"/>
      <c r="K548" s="1753"/>
      <c r="L548" s="3648"/>
      <c r="M548" s="3648"/>
      <c r="N548" s="1638"/>
      <c r="P548" s="4588"/>
    </row>
    <row r="549" spans="1:16" s="1639" customFormat="1" ht="13.5" customHeight="1" x14ac:dyDescent="0.25">
      <c r="A549" s="1637"/>
      <c r="B549" s="3623"/>
      <c r="C549" s="3894"/>
      <c r="D549" s="1094"/>
      <c r="E549" s="1326"/>
      <c r="F549" s="870"/>
      <c r="G549" s="853"/>
      <c r="H549" s="853"/>
      <c r="I549" s="853"/>
      <c r="J549" s="1821"/>
      <c r="K549" s="2274"/>
      <c r="L549" s="2445"/>
      <c r="M549" s="2445"/>
      <c r="N549" s="1638"/>
      <c r="P549" s="4588"/>
    </row>
    <row r="550" spans="1:16" s="1639" customFormat="1" ht="27" customHeight="1" x14ac:dyDescent="0.25">
      <c r="A550" s="1637"/>
      <c r="B550" s="1305"/>
      <c r="C550" s="3858" t="s">
        <v>4608</v>
      </c>
      <c r="D550" s="669">
        <f>SUM(D551+D554+D560+D564)</f>
        <v>1890544850</v>
      </c>
      <c r="E550" s="1445">
        <f>D550/D426*100</f>
        <v>1.0562477319915724</v>
      </c>
      <c r="F550" s="847"/>
      <c r="G550" s="847"/>
      <c r="H550" s="765"/>
      <c r="I550" s="765"/>
      <c r="J550" s="1824"/>
      <c r="K550" s="1824"/>
      <c r="L550" s="1726"/>
      <c r="M550" s="1726"/>
      <c r="N550" s="1638"/>
      <c r="P550" s="4588"/>
    </row>
    <row r="551" spans="1:16" s="1639" customFormat="1" ht="18" customHeight="1" x14ac:dyDescent="0.25">
      <c r="A551" s="1637"/>
      <c r="B551" s="1242"/>
      <c r="C551" s="3893" t="s">
        <v>2664</v>
      </c>
      <c r="D551" s="4198">
        <f>D552</f>
        <v>1200000000</v>
      </c>
      <c r="E551" s="1453">
        <f>D551/D426*100</f>
        <v>0.67044020584324504</v>
      </c>
      <c r="F551" s="1718"/>
      <c r="G551" s="845"/>
      <c r="H551" s="753"/>
      <c r="I551" s="766"/>
      <c r="J551" s="1825"/>
      <c r="K551" s="1959"/>
      <c r="L551" s="753"/>
      <c r="M551" s="766"/>
      <c r="N551" s="1638"/>
      <c r="P551" s="4588"/>
    </row>
    <row r="552" spans="1:16" s="1639" customFormat="1" ht="16.5" customHeight="1" x14ac:dyDescent="0.25">
      <c r="A552" s="1637"/>
      <c r="B552" s="1242"/>
      <c r="C552" s="3860" t="s">
        <v>4609</v>
      </c>
      <c r="D552" s="1111">
        <v>1200000000</v>
      </c>
      <c r="E552" s="864">
        <f>D552/D426*100</f>
        <v>0.67044020584324504</v>
      </c>
      <c r="F552" s="1719"/>
      <c r="G552" s="542"/>
      <c r="H552" s="802"/>
      <c r="I552" s="755"/>
      <c r="J552" s="1827"/>
      <c r="K552" s="663"/>
      <c r="L552" s="802"/>
      <c r="M552" s="755"/>
      <c r="N552" s="1638"/>
      <c r="P552" s="4588"/>
    </row>
    <row r="553" spans="1:16" s="1639" customFormat="1" ht="10.5" customHeight="1" x14ac:dyDescent="0.25">
      <c r="A553" s="1637"/>
      <c r="B553" s="1242"/>
      <c r="C553" s="3860"/>
      <c r="D553" s="1111"/>
      <c r="E553" s="1126"/>
      <c r="F553" s="1719"/>
      <c r="G553" s="755"/>
      <c r="H553" s="755"/>
      <c r="I553" s="755"/>
      <c r="J553" s="1827"/>
      <c r="K553" s="1753"/>
      <c r="L553" s="1716"/>
      <c r="M553" s="1716"/>
      <c r="N553" s="1638"/>
      <c r="P553" s="4588"/>
    </row>
    <row r="554" spans="1:16" s="1639" customFormat="1" ht="23.25" customHeight="1" x14ac:dyDescent="0.25">
      <c r="A554" s="1637"/>
      <c r="B554" s="1242"/>
      <c r="C554" s="3882" t="s">
        <v>4610</v>
      </c>
      <c r="D554" s="4199">
        <f>SUM(D555:D558)</f>
        <v>469520000</v>
      </c>
      <c r="E554" s="1453">
        <f>D554/D426*100</f>
        <v>0.26232090453960033</v>
      </c>
      <c r="F554" s="1723"/>
      <c r="G554" s="753"/>
      <c r="H554" s="753"/>
      <c r="I554" s="753"/>
      <c r="J554" s="1828"/>
      <c r="K554" s="1960"/>
      <c r="L554" s="1671"/>
      <c r="M554" s="1729"/>
      <c r="N554" s="1638"/>
      <c r="P554" s="4588"/>
    </row>
    <row r="555" spans="1:16" s="1639" customFormat="1" ht="26.25" customHeight="1" x14ac:dyDescent="0.25">
      <c r="A555" s="1637"/>
      <c r="B555" s="1242"/>
      <c r="C555" s="3860" t="s">
        <v>4611</v>
      </c>
      <c r="D555" s="1111">
        <v>233890000</v>
      </c>
      <c r="E555" s="864">
        <f>D555/D426*100</f>
        <v>0.13067438312056384</v>
      </c>
      <c r="F555" s="1720"/>
      <c r="G555" s="755"/>
      <c r="H555" s="755"/>
      <c r="I555" s="755"/>
      <c r="J555" s="1829"/>
      <c r="K555" s="1238"/>
      <c r="L555" s="971"/>
      <c r="M555" s="971"/>
      <c r="N555" s="1638"/>
      <c r="P555" s="4588"/>
    </row>
    <row r="556" spans="1:16" s="1639" customFormat="1" ht="19.5" customHeight="1" x14ac:dyDescent="0.25">
      <c r="A556" s="1637"/>
      <c r="B556" s="1242"/>
      <c r="C556" s="3860" t="s">
        <v>4612</v>
      </c>
      <c r="D556" s="1111">
        <v>160130000</v>
      </c>
      <c r="E556" s="864">
        <f>D556/D426*100</f>
        <v>8.94646584680657E-2</v>
      </c>
      <c r="F556" s="1719"/>
      <c r="G556" s="755"/>
      <c r="H556" s="755"/>
      <c r="I556" s="755"/>
      <c r="J556" s="1827"/>
      <c r="K556" s="1238"/>
      <c r="L556" s="1703"/>
      <c r="M556" s="1716"/>
      <c r="N556" s="1638"/>
      <c r="P556" s="4588"/>
    </row>
    <row r="557" spans="1:16" s="1639" customFormat="1" ht="16.5" customHeight="1" x14ac:dyDescent="0.25">
      <c r="A557" s="1637"/>
      <c r="B557" s="1242"/>
      <c r="C557" s="3860" t="s">
        <v>4613</v>
      </c>
      <c r="D557" s="1111">
        <v>69625000</v>
      </c>
      <c r="E557" s="864">
        <f>D557/D426*100</f>
        <v>3.8899499443196615E-2</v>
      </c>
      <c r="F557" s="1719"/>
      <c r="G557" s="755"/>
      <c r="H557" s="755"/>
      <c r="I557" s="755"/>
      <c r="J557" s="1827"/>
      <c r="K557" s="1238"/>
      <c r="L557" s="971"/>
      <c r="M557" s="971"/>
      <c r="N557" s="1638"/>
      <c r="P557" s="4588"/>
    </row>
    <row r="558" spans="1:16" s="1639" customFormat="1" ht="18.75" customHeight="1" x14ac:dyDescent="0.25">
      <c r="A558" s="1637"/>
      <c r="B558" s="3623"/>
      <c r="C558" s="3860" t="s">
        <v>4614</v>
      </c>
      <c r="D558" s="1111">
        <v>5875000</v>
      </c>
      <c r="E558" s="864">
        <f>D558/D426*100</f>
        <v>3.2823635077742206E-3</v>
      </c>
      <c r="F558" s="1719"/>
      <c r="G558" s="3630"/>
      <c r="H558" s="3630"/>
      <c r="I558" s="3630"/>
      <c r="J558" s="1827"/>
      <c r="K558" s="1979"/>
      <c r="L558" s="971"/>
      <c r="M558" s="971"/>
      <c r="N558" s="1638"/>
      <c r="P558" s="4588"/>
    </row>
    <row r="559" spans="1:16" s="1639" customFormat="1" ht="10.5" customHeight="1" x14ac:dyDescent="0.25">
      <c r="A559" s="1637"/>
      <c r="B559" s="1242"/>
      <c r="C559" s="3860"/>
      <c r="D559" s="1111"/>
      <c r="E559" s="1126"/>
      <c r="F559" s="1719"/>
      <c r="G559" s="755"/>
      <c r="H559" s="755"/>
      <c r="I559" s="755"/>
      <c r="J559" s="1827"/>
      <c r="K559" s="1762"/>
      <c r="L559" s="1716"/>
      <c r="M559" s="1716"/>
      <c r="N559" s="1638"/>
      <c r="P559" s="4588"/>
    </row>
    <row r="560" spans="1:16" s="1639" customFormat="1" ht="17.25" customHeight="1" x14ac:dyDescent="0.25">
      <c r="A560" s="1637"/>
      <c r="B560" s="1242"/>
      <c r="C560" s="3882" t="s">
        <v>4615</v>
      </c>
      <c r="D560" s="1316">
        <f>SUM(D561:D562)</f>
        <v>198100000</v>
      </c>
      <c r="E560" s="1453">
        <f>D560/D426*100</f>
        <v>0.11067850398128905</v>
      </c>
      <c r="F560" s="1721"/>
      <c r="G560" s="753"/>
      <c r="H560" s="753"/>
      <c r="I560" s="753"/>
      <c r="J560" s="1830"/>
      <c r="K560" s="1112"/>
      <c r="L560" s="1671"/>
      <c r="M560" s="1729"/>
      <c r="N560" s="1638"/>
      <c r="P560" s="4588"/>
    </row>
    <row r="561" spans="1:16" s="1639" customFormat="1" ht="15.75" customHeight="1" x14ac:dyDescent="0.25">
      <c r="A561" s="1637"/>
      <c r="B561" s="1242"/>
      <c r="C561" s="3860" t="s">
        <v>4616</v>
      </c>
      <c r="D561" s="1111">
        <v>115000000</v>
      </c>
      <c r="E561" s="864">
        <f>D561/D426*100</f>
        <v>6.425051972664432E-2</v>
      </c>
      <c r="F561" s="1719"/>
      <c r="G561" s="755"/>
      <c r="H561" s="755"/>
      <c r="I561" s="755"/>
      <c r="J561" s="1827"/>
      <c r="K561" s="1238"/>
      <c r="L561" s="971"/>
      <c r="M561" s="971"/>
      <c r="N561" s="1638"/>
      <c r="P561" s="4588"/>
    </row>
    <row r="562" spans="1:16" s="1639" customFormat="1" ht="15.75" customHeight="1" x14ac:dyDescent="0.25">
      <c r="A562" s="1637"/>
      <c r="B562" s="1242"/>
      <c r="C562" s="3860" t="s">
        <v>4617</v>
      </c>
      <c r="D562" s="1111">
        <v>83100000</v>
      </c>
      <c r="E562" s="864">
        <f>D562/D426*100</f>
        <v>4.6427984254644721E-2</v>
      </c>
      <c r="F562" s="1719"/>
      <c r="G562" s="755"/>
      <c r="H562" s="755"/>
      <c r="I562" s="755"/>
      <c r="J562" s="1827"/>
      <c r="K562" s="1238"/>
      <c r="L562" s="971"/>
      <c r="M562" s="971"/>
      <c r="N562" s="1638"/>
      <c r="P562" s="4588"/>
    </row>
    <row r="563" spans="1:16" s="1639" customFormat="1" ht="10.5" customHeight="1" x14ac:dyDescent="0.25">
      <c r="A563" s="1637"/>
      <c r="B563" s="1242"/>
      <c r="C563" s="3892"/>
      <c r="D563" s="1901"/>
      <c r="E563" s="864"/>
      <c r="F563" s="842"/>
      <c r="G563" s="798"/>
      <c r="H563" s="798"/>
      <c r="I563" s="798"/>
      <c r="J563" s="1831"/>
      <c r="K563" s="1961"/>
      <c r="L563" s="1722"/>
      <c r="M563" s="1722"/>
      <c r="N563" s="1638"/>
      <c r="P563" s="4588"/>
    </row>
    <row r="564" spans="1:16" s="1639" customFormat="1" ht="16.5" customHeight="1" x14ac:dyDescent="0.25">
      <c r="A564" s="1637"/>
      <c r="B564" s="1242"/>
      <c r="C564" s="3882" t="s">
        <v>4618</v>
      </c>
      <c r="D564" s="4200">
        <f>D565</f>
        <v>22924850</v>
      </c>
      <c r="E564" s="1453">
        <f>D564/D426*100</f>
        <v>1.2808117627437931E-2</v>
      </c>
      <c r="F564" s="1721"/>
      <c r="G564" s="541"/>
      <c r="H564" s="803"/>
      <c r="I564" s="753"/>
      <c r="J564" s="1830"/>
      <c r="K564" s="1112"/>
      <c r="L564" s="803"/>
      <c r="M564" s="753"/>
      <c r="N564" s="1638"/>
      <c r="P564" s="4588"/>
    </row>
    <row r="565" spans="1:16" s="1639" customFormat="1" ht="20.25" customHeight="1" x14ac:dyDescent="0.25">
      <c r="A565" s="1637"/>
      <c r="B565" s="1242"/>
      <c r="C565" s="3860" t="s">
        <v>4619</v>
      </c>
      <c r="D565" s="666">
        <v>22924850</v>
      </c>
      <c r="E565" s="1126">
        <f>D565/D426*100</f>
        <v>1.2808117627437931E-2</v>
      </c>
      <c r="F565" s="542"/>
      <c r="G565" s="3630"/>
      <c r="H565" s="3630"/>
      <c r="I565" s="3630"/>
      <c r="J565" s="663"/>
      <c r="K565" s="1891"/>
      <c r="L565" s="782"/>
      <c r="M565" s="782"/>
      <c r="N565" s="1638"/>
      <c r="P565" s="4588"/>
    </row>
    <row r="566" spans="1:16" s="303" customFormat="1" ht="13.5" customHeight="1" x14ac:dyDescent="0.25">
      <c r="A566" s="1714"/>
      <c r="B566" s="1242"/>
      <c r="C566" s="3892"/>
      <c r="D566" s="1901"/>
      <c r="E566" s="1450"/>
      <c r="F566" s="842"/>
      <c r="G566" s="827"/>
      <c r="H566" s="827"/>
      <c r="I566" s="827"/>
      <c r="J566" s="1831"/>
      <c r="K566" s="1962"/>
      <c r="L566" s="1722"/>
      <c r="M566" s="1722"/>
      <c r="N566" s="554"/>
      <c r="P566" s="500"/>
    </row>
    <row r="567" spans="1:16" s="1639" customFormat="1" ht="16.5" customHeight="1" x14ac:dyDescent="0.25">
      <c r="A567" s="1637"/>
      <c r="B567" s="1305"/>
      <c r="C567" s="4054" t="s">
        <v>327</v>
      </c>
      <c r="D567" s="4201">
        <f>D568</f>
        <v>611350000</v>
      </c>
      <c r="E567" s="1445">
        <f>D567/D426*100</f>
        <v>0.34156134986855657</v>
      </c>
      <c r="F567" s="1725"/>
      <c r="G567" s="1725"/>
      <c r="H567" s="765"/>
      <c r="I567" s="765"/>
      <c r="J567" s="1725"/>
      <c r="K567" s="1725"/>
      <c r="L567" s="1726"/>
      <c r="M567" s="1726"/>
      <c r="N567" s="1638"/>
      <c r="P567" s="4588"/>
    </row>
    <row r="568" spans="1:16" s="1639" customFormat="1" ht="20.25" customHeight="1" x14ac:dyDescent="0.25">
      <c r="A568" s="1637"/>
      <c r="B568" s="1242"/>
      <c r="C568" s="3893" t="s">
        <v>4620</v>
      </c>
      <c r="D568" s="4198">
        <f>SUM(D569:D570)</f>
        <v>611350000</v>
      </c>
      <c r="E568" s="1453">
        <f>D568/D426*100</f>
        <v>0.34156134986855657</v>
      </c>
      <c r="F568" s="1718"/>
      <c r="G568" s="782"/>
      <c r="H568" s="782"/>
      <c r="I568" s="782"/>
      <c r="J568" s="1825"/>
      <c r="K568" s="1959"/>
      <c r="L568" s="753"/>
      <c r="M568" s="1728"/>
      <c r="N568" s="1638"/>
      <c r="P568" s="4588"/>
    </row>
    <row r="569" spans="1:16" s="1639" customFormat="1" ht="15.75" customHeight="1" x14ac:dyDescent="0.25">
      <c r="A569" s="1637"/>
      <c r="B569" s="1242"/>
      <c r="C569" s="3860" t="s">
        <v>4621</v>
      </c>
      <c r="D569" s="1111">
        <v>524350000</v>
      </c>
      <c r="E569" s="864">
        <f>D569/D426*100</f>
        <v>0.29295443494492129</v>
      </c>
      <c r="F569" s="848"/>
      <c r="G569" s="755"/>
      <c r="H569" s="755"/>
      <c r="I569" s="755"/>
      <c r="J569" s="1826"/>
      <c r="K569" s="1238"/>
      <c r="L569" s="802"/>
      <c r="M569" s="1716"/>
      <c r="N569" s="1638"/>
      <c r="P569" s="4588"/>
    </row>
    <row r="570" spans="1:16" s="1639" customFormat="1" ht="15.75" customHeight="1" x14ac:dyDescent="0.25">
      <c r="A570" s="1637"/>
      <c r="B570" s="1242"/>
      <c r="C570" s="3860" t="s">
        <v>4622</v>
      </c>
      <c r="D570" s="1111">
        <v>87000000</v>
      </c>
      <c r="E570" s="864">
        <f>D570/D426*100</f>
        <v>4.8606914923635267E-2</v>
      </c>
      <c r="F570" s="848"/>
      <c r="G570" s="755"/>
      <c r="H570" s="755"/>
      <c r="I570" s="755"/>
      <c r="J570" s="1826"/>
      <c r="K570" s="1753"/>
      <c r="L570" s="1716"/>
      <c r="M570" s="1716"/>
      <c r="N570" s="1638"/>
      <c r="P570" s="4588"/>
    </row>
    <row r="571" spans="1:16" s="1639" customFormat="1" ht="13.5" customHeight="1" x14ac:dyDescent="0.25">
      <c r="A571" s="1637"/>
      <c r="B571" s="1242"/>
      <c r="C571" s="3861"/>
      <c r="D571" s="1324"/>
      <c r="E571" s="864"/>
      <c r="F571" s="662"/>
      <c r="G571" s="798"/>
      <c r="H571" s="798"/>
      <c r="I571" s="798"/>
      <c r="J571" s="1834"/>
      <c r="K571" s="1961"/>
      <c r="L571" s="1722"/>
      <c r="M571" s="1722"/>
      <c r="N571" s="1638"/>
      <c r="P571" s="4588"/>
    </row>
    <row r="572" spans="1:16" s="1639" customFormat="1" ht="17.25" customHeight="1" x14ac:dyDescent="0.25">
      <c r="A572" s="1637"/>
      <c r="B572" s="1305"/>
      <c r="C572" s="3858" t="s">
        <v>329</v>
      </c>
      <c r="D572" s="1645">
        <f>SUM(D573+D578+D583)</f>
        <v>3513131000</v>
      </c>
      <c r="E572" s="1445">
        <f>D572/D426*100</f>
        <v>1.9627868923285712</v>
      </c>
      <c r="F572" s="850"/>
      <c r="G572" s="850"/>
      <c r="H572" s="765"/>
      <c r="I572" s="765"/>
      <c r="J572" s="1832"/>
      <c r="K572" s="1745"/>
      <c r="L572" s="1726"/>
      <c r="M572" s="1726"/>
      <c r="N572" s="1638"/>
      <c r="P572" s="4588"/>
    </row>
    <row r="573" spans="1:16" s="1639" customFormat="1" ht="18" customHeight="1" x14ac:dyDescent="0.25">
      <c r="A573" s="1637"/>
      <c r="B573" s="1242"/>
      <c r="C573" s="3881" t="s">
        <v>330</v>
      </c>
      <c r="D573" s="1309">
        <f>SUM(D574:D576)</f>
        <v>2657569000</v>
      </c>
      <c r="E573" s="1453">
        <f>D573/D426*100</f>
        <v>1.4847842561688558</v>
      </c>
      <c r="F573" s="851"/>
      <c r="G573" s="851"/>
      <c r="H573" s="753"/>
      <c r="I573" s="766"/>
      <c r="J573" s="1833"/>
      <c r="K573" s="1833"/>
      <c r="L573" s="753"/>
      <c r="M573" s="1728"/>
      <c r="N573" s="1638"/>
      <c r="P573" s="4588"/>
    </row>
    <row r="574" spans="1:16" s="1639" customFormat="1" ht="17.25" customHeight="1" x14ac:dyDescent="0.25">
      <c r="A574" s="1637"/>
      <c r="B574" s="1242"/>
      <c r="C574" s="3860" t="s">
        <v>4623</v>
      </c>
      <c r="D574" s="1111">
        <v>2317234000</v>
      </c>
      <c r="E574" s="864">
        <f>D574/D426*100</f>
        <v>1.2946390332891384</v>
      </c>
      <c r="F574" s="848"/>
      <c r="G574" s="755"/>
      <c r="H574" s="755"/>
      <c r="I574" s="755"/>
      <c r="J574" s="1826"/>
      <c r="K574" s="1238"/>
      <c r="L574" s="802"/>
      <c r="M574" s="1716"/>
      <c r="N574" s="1638"/>
      <c r="P574" s="4588"/>
    </row>
    <row r="575" spans="1:16" s="1639" customFormat="1" ht="15" customHeight="1" x14ac:dyDescent="0.25">
      <c r="A575" s="1637"/>
      <c r="B575" s="1242"/>
      <c r="C575" s="3860" t="s">
        <v>4624</v>
      </c>
      <c r="D575" s="1111">
        <v>263825000</v>
      </c>
      <c r="E575" s="864">
        <f>D575/D426*100</f>
        <v>0.1473990727554951</v>
      </c>
      <c r="F575" s="848"/>
      <c r="G575" s="755"/>
      <c r="H575" s="755"/>
      <c r="I575" s="755"/>
      <c r="J575" s="1826"/>
      <c r="K575" s="1238"/>
      <c r="L575" s="802"/>
      <c r="M575" s="1716"/>
      <c r="N575" s="1638"/>
      <c r="P575" s="4588"/>
    </row>
    <row r="576" spans="1:16" s="1639" customFormat="1" ht="17.25" customHeight="1" x14ac:dyDescent="0.25">
      <c r="A576" s="1637"/>
      <c r="B576" s="1242"/>
      <c r="C576" s="3860" t="s">
        <v>4625</v>
      </c>
      <c r="D576" s="1111">
        <v>76510000</v>
      </c>
      <c r="E576" s="864">
        <f>D576/D426*100</f>
        <v>4.2746150124222233E-2</v>
      </c>
      <c r="F576" s="848"/>
      <c r="G576" s="755"/>
      <c r="H576" s="755"/>
      <c r="I576" s="755"/>
      <c r="J576" s="1826"/>
      <c r="K576" s="1238"/>
      <c r="L576" s="802"/>
      <c r="M576" s="1716"/>
      <c r="N576" s="1638"/>
      <c r="P576" s="4588"/>
    </row>
    <row r="577" spans="1:16" s="1639" customFormat="1" ht="9.75" customHeight="1" x14ac:dyDescent="0.25">
      <c r="A577" s="1637"/>
      <c r="B577" s="1242"/>
      <c r="C577" s="3861"/>
      <c r="D577" s="1324"/>
      <c r="E577" s="864"/>
      <c r="F577" s="662"/>
      <c r="G577" s="798"/>
      <c r="H577" s="798"/>
      <c r="I577" s="798"/>
      <c r="J577" s="1834"/>
      <c r="K577" s="1961"/>
      <c r="L577" s="1722"/>
      <c r="M577" s="1722"/>
      <c r="N577" s="1638"/>
      <c r="P577" s="4588"/>
    </row>
    <row r="578" spans="1:16" s="1639" customFormat="1" ht="16.5" customHeight="1" x14ac:dyDescent="0.25">
      <c r="A578" s="1637"/>
      <c r="B578" s="3623"/>
      <c r="C578" s="3882" t="s">
        <v>1205</v>
      </c>
      <c r="D578" s="673">
        <f>SUM(D579:D581)</f>
        <v>552634000</v>
      </c>
      <c r="E578" s="1453">
        <f>D578/D426*100</f>
        <v>0.30875671059664661</v>
      </c>
      <c r="F578" s="542"/>
      <c r="G578" s="3630"/>
      <c r="H578" s="3630"/>
      <c r="I578" s="3630"/>
      <c r="J578" s="663"/>
      <c r="K578" s="1753"/>
      <c r="L578" s="3648"/>
      <c r="M578" s="3648"/>
      <c r="N578" s="1638"/>
      <c r="P578" s="4588"/>
    </row>
    <row r="579" spans="1:16" s="1639" customFormat="1" ht="14.25" customHeight="1" x14ac:dyDescent="0.25">
      <c r="A579" s="1637"/>
      <c r="B579" s="3623"/>
      <c r="C579" s="3860" t="s">
        <v>4626</v>
      </c>
      <c r="D579" s="666">
        <v>294660000</v>
      </c>
      <c r="E579" s="864">
        <f>D579/D426*100</f>
        <v>0.16462659254480883</v>
      </c>
      <c r="F579" s="542"/>
      <c r="G579" s="3630"/>
      <c r="H579" s="3630"/>
      <c r="I579" s="3630"/>
      <c r="J579" s="663"/>
      <c r="K579" s="1753"/>
      <c r="L579" s="3648"/>
      <c r="M579" s="3648"/>
      <c r="N579" s="1638"/>
      <c r="P579" s="4588"/>
    </row>
    <row r="580" spans="1:16" s="1639" customFormat="1" ht="17.25" customHeight="1" x14ac:dyDescent="0.25">
      <c r="A580" s="1637"/>
      <c r="B580" s="3623"/>
      <c r="C580" s="3860" t="s">
        <v>4627</v>
      </c>
      <c r="D580" s="666">
        <v>136049000</v>
      </c>
      <c r="E580" s="864">
        <f>D580/D426*100</f>
        <v>7.6010599637306372E-2</v>
      </c>
      <c r="F580" s="542"/>
      <c r="G580" s="3630"/>
      <c r="H580" s="3630"/>
      <c r="I580" s="3630"/>
      <c r="J580" s="663"/>
      <c r="K580" s="1753"/>
      <c r="L580" s="3648"/>
      <c r="M580" s="3648"/>
      <c r="N580" s="1638"/>
      <c r="P580" s="4588"/>
    </row>
    <row r="581" spans="1:16" s="1639" customFormat="1" ht="15" customHeight="1" x14ac:dyDescent="0.25">
      <c r="A581" s="1637"/>
      <c r="B581" s="3623"/>
      <c r="C581" s="3860" t="s">
        <v>4628</v>
      </c>
      <c r="D581" s="666">
        <v>121925000</v>
      </c>
      <c r="E581" s="864">
        <f>D581/D426*100</f>
        <v>6.8119518414531385E-2</v>
      </c>
      <c r="F581" s="542"/>
      <c r="G581" s="3630"/>
      <c r="H581" s="3630"/>
      <c r="I581" s="3630"/>
      <c r="J581" s="663"/>
      <c r="K581" s="1753"/>
      <c r="L581" s="3648"/>
      <c r="M581" s="3648"/>
      <c r="N581" s="1638"/>
      <c r="P581" s="4588"/>
    </row>
    <row r="582" spans="1:16" s="1639" customFormat="1" ht="8.25" customHeight="1" x14ac:dyDescent="0.25">
      <c r="A582" s="1637"/>
      <c r="B582" s="3623"/>
      <c r="C582" s="3860"/>
      <c r="D582" s="666"/>
      <c r="E582" s="1126"/>
      <c r="F582" s="542"/>
      <c r="G582" s="3630"/>
      <c r="H582" s="3630"/>
      <c r="I582" s="3630"/>
      <c r="J582" s="663"/>
      <c r="K582" s="1753"/>
      <c r="L582" s="3648"/>
      <c r="M582" s="3648"/>
      <c r="N582" s="1638"/>
      <c r="P582" s="4588"/>
    </row>
    <row r="583" spans="1:16" s="1639" customFormat="1" ht="15.75" customHeight="1" x14ac:dyDescent="0.25">
      <c r="A583" s="1637"/>
      <c r="B583" s="3623"/>
      <c r="C583" s="3882" t="s">
        <v>1207</v>
      </c>
      <c r="D583" s="673">
        <f>SUM(D584:D585)</f>
        <v>302928000</v>
      </c>
      <c r="E583" s="1453">
        <f>D583/D426*100</f>
        <v>0.16924592556306881</v>
      </c>
      <c r="F583" s="542"/>
      <c r="G583" s="3630"/>
      <c r="H583" s="3630"/>
      <c r="I583" s="3630"/>
      <c r="J583" s="663"/>
      <c r="K583" s="1753"/>
      <c r="L583" s="3648"/>
      <c r="M583" s="3648"/>
      <c r="N583" s="1638"/>
      <c r="P583" s="4588"/>
    </row>
    <row r="584" spans="1:16" s="1639" customFormat="1" ht="18.75" customHeight="1" x14ac:dyDescent="0.25">
      <c r="A584" s="1637"/>
      <c r="B584" s="3623"/>
      <c r="C584" s="3860" t="s">
        <v>4629</v>
      </c>
      <c r="D584" s="666">
        <v>178778000</v>
      </c>
      <c r="E584" s="864">
        <f>D584/D426*100</f>
        <v>9.9883299266869729E-2</v>
      </c>
      <c r="F584" s="542"/>
      <c r="G584" s="3630"/>
      <c r="H584" s="3630"/>
      <c r="I584" s="3630"/>
      <c r="J584" s="663"/>
      <c r="K584" s="1753"/>
      <c r="L584" s="3648"/>
      <c r="M584" s="3648"/>
      <c r="N584" s="1638"/>
      <c r="P584" s="4588"/>
    </row>
    <row r="585" spans="1:16" s="1639" customFormat="1" ht="15.75" customHeight="1" x14ac:dyDescent="0.25">
      <c r="A585" s="1637"/>
      <c r="B585" s="3623"/>
      <c r="C585" s="3860" t="s">
        <v>4630</v>
      </c>
      <c r="D585" s="666">
        <v>124150000</v>
      </c>
      <c r="E585" s="864">
        <f>D585/D426*100</f>
        <v>6.9362626296199062E-2</v>
      </c>
      <c r="F585" s="542"/>
      <c r="G585" s="3630"/>
      <c r="H585" s="3630"/>
      <c r="I585" s="3630"/>
      <c r="J585" s="663"/>
      <c r="K585" s="1753"/>
      <c r="L585" s="3648"/>
      <c r="M585" s="3648"/>
      <c r="N585" s="1638"/>
      <c r="P585" s="4588"/>
    </row>
    <row r="586" spans="1:16" s="1639" customFormat="1" ht="13.5" customHeight="1" x14ac:dyDescent="0.25">
      <c r="A586" s="1637"/>
      <c r="B586" s="3623"/>
      <c r="C586" s="3892"/>
      <c r="D586" s="2181"/>
      <c r="E586" s="1450"/>
      <c r="F586" s="3720"/>
      <c r="G586" s="827"/>
      <c r="H586" s="827"/>
      <c r="I586" s="827"/>
      <c r="J586" s="3721"/>
      <c r="K586" s="1961"/>
      <c r="L586" s="3651"/>
      <c r="M586" s="3651"/>
      <c r="N586" s="1638"/>
      <c r="P586" s="4588"/>
    </row>
    <row r="587" spans="1:16" s="1639" customFormat="1" ht="16.5" customHeight="1" x14ac:dyDescent="0.25">
      <c r="A587" s="1637"/>
      <c r="B587" s="1305"/>
      <c r="C587" s="3858" t="s">
        <v>4631</v>
      </c>
      <c r="D587" s="1645">
        <f>D588</f>
        <v>1925500000</v>
      </c>
      <c r="E587" s="1445">
        <f>D587/D426*100</f>
        <v>1.0757771802926404</v>
      </c>
      <c r="F587" s="850"/>
      <c r="G587" s="765"/>
      <c r="H587" s="765"/>
      <c r="I587" s="765"/>
      <c r="J587" s="1832"/>
      <c r="K587" s="1963"/>
      <c r="L587" s="1726"/>
      <c r="M587" s="1726"/>
      <c r="N587" s="1638"/>
      <c r="P587" s="4588"/>
    </row>
    <row r="588" spans="1:16" s="1639" customFormat="1" ht="16.5" customHeight="1" x14ac:dyDescent="0.25">
      <c r="A588" s="1637"/>
      <c r="B588" s="1242"/>
      <c r="C588" s="3881" t="s">
        <v>4632</v>
      </c>
      <c r="D588" s="1309">
        <f>D589</f>
        <v>1925500000</v>
      </c>
      <c r="E588" s="1453">
        <f>D588/D426*100</f>
        <v>1.0757771802926404</v>
      </c>
      <c r="F588" s="851"/>
      <c r="G588" s="766"/>
      <c r="H588" s="766"/>
      <c r="I588" s="766"/>
      <c r="J588" s="1833"/>
      <c r="K588" s="1833"/>
      <c r="L588" s="753"/>
      <c r="M588" s="1728"/>
      <c r="N588" s="1638"/>
      <c r="P588" s="4588"/>
    </row>
    <row r="589" spans="1:16" s="1639" customFormat="1" ht="16.5" customHeight="1" x14ac:dyDescent="0.25">
      <c r="A589" s="1637"/>
      <c r="B589" s="1242"/>
      <c r="C589" s="3860" t="s">
        <v>4633</v>
      </c>
      <c r="D589" s="1111">
        <v>1925500000</v>
      </c>
      <c r="E589" s="864">
        <f>D589/D426*100</f>
        <v>1.0757771802926404</v>
      </c>
      <c r="F589" s="848"/>
      <c r="G589" s="755"/>
      <c r="H589" s="755"/>
      <c r="I589" s="755"/>
      <c r="J589" s="1826"/>
      <c r="K589" s="1238"/>
      <c r="L589" s="755"/>
      <c r="M589" s="755"/>
      <c r="N589" s="1638"/>
      <c r="P589" s="4588"/>
    </row>
    <row r="590" spans="1:16" s="1639" customFormat="1" ht="13.5" customHeight="1" x14ac:dyDescent="0.25">
      <c r="A590" s="1637"/>
      <c r="B590" s="1242"/>
      <c r="C590" s="3861"/>
      <c r="D590" s="1324"/>
      <c r="E590" s="864"/>
      <c r="F590" s="662"/>
      <c r="G590" s="798"/>
      <c r="H590" s="798"/>
      <c r="I590" s="798"/>
      <c r="J590" s="1834"/>
      <c r="K590" s="1961"/>
      <c r="L590" s="1722"/>
      <c r="M590" s="1722"/>
      <c r="N590" s="1638"/>
      <c r="P590" s="4588"/>
    </row>
    <row r="591" spans="1:16" s="485" customFormat="1" ht="17.25" customHeight="1" x14ac:dyDescent="0.25">
      <c r="A591" s="352"/>
      <c r="B591" s="1305"/>
      <c r="C591" s="3858" t="s">
        <v>4634</v>
      </c>
      <c r="D591" s="1645">
        <f>D592</f>
        <v>403750000</v>
      </c>
      <c r="E591" s="1445">
        <f>D591/D426*100</f>
        <v>0.22557519425767517</v>
      </c>
      <c r="F591" s="850"/>
      <c r="G591" s="850"/>
      <c r="H591" s="765"/>
      <c r="I591" s="765"/>
      <c r="J591" s="1832"/>
      <c r="K591" s="1832"/>
      <c r="L591" s="1726"/>
      <c r="M591" s="1726"/>
      <c r="N591" s="535"/>
      <c r="P591" s="500"/>
    </row>
    <row r="592" spans="1:16" s="1639" customFormat="1" ht="17.25" customHeight="1" x14ac:dyDescent="0.25">
      <c r="A592" s="1637"/>
      <c r="B592" s="1242"/>
      <c r="C592" s="3881" t="s">
        <v>4635</v>
      </c>
      <c r="D592" s="1309">
        <f>SUM(D593:D594)</f>
        <v>403750000</v>
      </c>
      <c r="E592" s="1453">
        <f>D592/D426*100</f>
        <v>0.22557519425767517</v>
      </c>
      <c r="F592" s="851"/>
      <c r="G592" s="766"/>
      <c r="H592" s="753"/>
      <c r="I592" s="766"/>
      <c r="J592" s="1833"/>
      <c r="K592" s="1833"/>
      <c r="L592" s="753"/>
      <c r="M592" s="1728"/>
      <c r="N592" s="1638"/>
      <c r="P592" s="4588"/>
    </row>
    <row r="593" spans="1:16" s="1639" customFormat="1" ht="17.25" customHeight="1" x14ac:dyDescent="0.25">
      <c r="A593" s="1637"/>
      <c r="B593" s="1242"/>
      <c r="C593" s="3860" t="s">
        <v>4636</v>
      </c>
      <c r="D593" s="1111">
        <v>272500000</v>
      </c>
      <c r="E593" s="864">
        <f>D593/D426*100</f>
        <v>0.15224579674357025</v>
      </c>
      <c r="F593" s="848"/>
      <c r="G593" s="755"/>
      <c r="H593" s="755"/>
      <c r="I593" s="755"/>
      <c r="J593" s="1826"/>
      <c r="K593" s="1964"/>
      <c r="L593" s="802"/>
      <c r="M593" s="1716"/>
      <c r="N593" s="1638"/>
      <c r="P593" s="4588"/>
    </row>
    <row r="594" spans="1:16" s="1639" customFormat="1" ht="16.5" customHeight="1" x14ac:dyDescent="0.25">
      <c r="A594" s="1637"/>
      <c r="B594" s="1242"/>
      <c r="C594" s="3860" t="s">
        <v>4637</v>
      </c>
      <c r="D594" s="1111">
        <v>131250000</v>
      </c>
      <c r="E594" s="864">
        <f>D594/D426*100</f>
        <v>7.332939751410493E-2</v>
      </c>
      <c r="F594" s="848"/>
      <c r="G594" s="755"/>
      <c r="H594" s="755"/>
      <c r="I594" s="755"/>
      <c r="J594" s="1826"/>
      <c r="K594" s="1753"/>
      <c r="L594" s="1716"/>
      <c r="M594" s="1716"/>
      <c r="N594" s="1638"/>
      <c r="P594" s="4588"/>
    </row>
    <row r="595" spans="1:16" s="485" customFormat="1" ht="13.5" customHeight="1" x14ac:dyDescent="0.25">
      <c r="A595" s="352"/>
      <c r="B595" s="1242"/>
      <c r="C595" s="3861"/>
      <c r="D595" s="1324"/>
      <c r="E595" s="864"/>
      <c r="F595" s="662"/>
      <c r="G595" s="798"/>
      <c r="H595" s="798"/>
      <c r="I595" s="798"/>
      <c r="J595" s="1834"/>
      <c r="K595" s="1961"/>
      <c r="L595" s="1722"/>
      <c r="M595" s="1722"/>
      <c r="N595" s="535"/>
      <c r="P595" s="500"/>
    </row>
    <row r="596" spans="1:16" s="1639" customFormat="1" ht="15" customHeight="1" x14ac:dyDescent="0.25">
      <c r="A596" s="1637"/>
      <c r="B596" s="1305"/>
      <c r="C596" s="3858" t="s">
        <v>4638</v>
      </c>
      <c r="D596" s="669">
        <f>SUM(D597+D601+D604+D607+D610+D613)</f>
        <v>1116111100</v>
      </c>
      <c r="E596" s="1445">
        <f>D596/D426*100</f>
        <v>0.6235714630232756</v>
      </c>
      <c r="F596" s="832"/>
      <c r="G596" s="765"/>
      <c r="H596" s="765"/>
      <c r="I596" s="765"/>
      <c r="J596" s="1813"/>
      <c r="K596" s="1773"/>
      <c r="L596" s="765"/>
      <c r="M596" s="765"/>
      <c r="N596" s="1638"/>
      <c r="P596" s="4588"/>
    </row>
    <row r="597" spans="1:16" s="1639" customFormat="1" ht="16.5" customHeight="1" x14ac:dyDescent="0.25">
      <c r="A597" s="1637"/>
      <c r="B597" s="1242"/>
      <c r="C597" s="3893" t="s">
        <v>4639</v>
      </c>
      <c r="D597" s="667">
        <f>SUM(D598:D599)</f>
        <v>148608000</v>
      </c>
      <c r="E597" s="1453">
        <f>D597/D426*100</f>
        <v>8.3027315091627474E-2</v>
      </c>
      <c r="F597" s="836"/>
      <c r="G597" s="766"/>
      <c r="H597" s="766"/>
      <c r="I597" s="766"/>
      <c r="J597" s="1816"/>
      <c r="K597" s="1013"/>
      <c r="L597" s="766"/>
      <c r="M597" s="766"/>
      <c r="N597" s="1638"/>
      <c r="P597" s="4588"/>
    </row>
    <row r="598" spans="1:16" s="1639" customFormat="1" ht="20.25" customHeight="1" x14ac:dyDescent="0.25">
      <c r="A598" s="1637"/>
      <c r="B598" s="1242"/>
      <c r="C598" s="3860" t="s">
        <v>4640</v>
      </c>
      <c r="D598" s="666">
        <v>50000000</v>
      </c>
      <c r="E598" s="864">
        <f>D598/D426*100</f>
        <v>2.7935008576801874E-2</v>
      </c>
      <c r="F598" s="838"/>
      <c r="G598" s="755"/>
      <c r="H598" s="755"/>
      <c r="I598" s="755"/>
      <c r="J598" s="1818"/>
      <c r="K598" s="1238"/>
      <c r="L598" s="971"/>
      <c r="M598" s="971"/>
      <c r="N598" s="1638"/>
      <c r="P598" s="4588"/>
    </row>
    <row r="599" spans="1:16" s="1639" customFormat="1" ht="16.5" customHeight="1" x14ac:dyDescent="0.25">
      <c r="A599" s="1637"/>
      <c r="B599" s="1242"/>
      <c r="C599" s="3860" t="s">
        <v>4641</v>
      </c>
      <c r="D599" s="666">
        <v>98608000</v>
      </c>
      <c r="E599" s="864">
        <f>D599/D426*100</f>
        <v>5.5092306514825599E-2</v>
      </c>
      <c r="F599" s="838"/>
      <c r="G599" s="755"/>
      <c r="H599" s="755"/>
      <c r="I599" s="755"/>
      <c r="J599" s="1818"/>
      <c r="K599" s="1753"/>
      <c r="L599" s="1716"/>
      <c r="M599" s="1716"/>
      <c r="N599" s="1638"/>
      <c r="P599" s="4588"/>
    </row>
    <row r="600" spans="1:16" s="1639" customFormat="1" ht="11.25" customHeight="1" x14ac:dyDescent="0.25">
      <c r="A600" s="1637"/>
      <c r="B600" s="3623"/>
      <c r="C600" s="3860"/>
      <c r="D600" s="666"/>
      <c r="E600" s="864"/>
      <c r="F600" s="838"/>
      <c r="G600" s="3630"/>
      <c r="H600" s="3630"/>
      <c r="I600" s="3630"/>
      <c r="J600" s="1818"/>
      <c r="K600" s="1762"/>
      <c r="L600" s="1668"/>
      <c r="M600" s="1668"/>
      <c r="N600" s="1638"/>
      <c r="P600" s="4588"/>
    </row>
    <row r="601" spans="1:16" s="1639" customFormat="1" ht="27.75" customHeight="1" x14ac:dyDescent="0.25">
      <c r="A601" s="1637"/>
      <c r="B601" s="1242"/>
      <c r="C601" s="3882" t="s">
        <v>4642</v>
      </c>
      <c r="D601" s="673">
        <f>D602</f>
        <v>285743100</v>
      </c>
      <c r="E601" s="1453">
        <f>D601/D426*100</f>
        <v>0.15964471898523913</v>
      </c>
      <c r="F601" s="839"/>
      <c r="G601" s="753"/>
      <c r="H601" s="753"/>
      <c r="I601" s="753"/>
      <c r="J601" s="1381"/>
      <c r="K601" s="1013"/>
      <c r="L601" s="766"/>
      <c r="M601" s="766"/>
      <c r="N601" s="1638"/>
      <c r="P601" s="4588"/>
    </row>
    <row r="602" spans="1:16" s="1639" customFormat="1" ht="16.5" customHeight="1" x14ac:dyDescent="0.25">
      <c r="A602" s="1637"/>
      <c r="B602" s="1242"/>
      <c r="C602" s="3860" t="s">
        <v>4643</v>
      </c>
      <c r="D602" s="666">
        <v>285743100</v>
      </c>
      <c r="E602" s="864">
        <f>D602/D426*100</f>
        <v>0.15964471898523913</v>
      </c>
      <c r="F602" s="838"/>
      <c r="G602" s="755"/>
      <c r="H602" s="755"/>
      <c r="I602" s="755"/>
      <c r="J602" s="1818"/>
      <c r="K602" s="1238"/>
      <c r="L602" s="971"/>
      <c r="M602" s="971"/>
      <c r="N602" s="1638"/>
      <c r="P602" s="4588"/>
    </row>
    <row r="603" spans="1:16" s="1639" customFormat="1" ht="9" customHeight="1" x14ac:dyDescent="0.25">
      <c r="A603" s="1637"/>
      <c r="B603" s="3623"/>
      <c r="C603" s="3861"/>
      <c r="D603" s="868"/>
      <c r="E603" s="864"/>
      <c r="F603" s="835"/>
      <c r="G603" s="798"/>
      <c r="H603" s="3634"/>
      <c r="I603" s="3634"/>
      <c r="J603" s="1815"/>
      <c r="K603" s="3722"/>
      <c r="L603" s="3723"/>
      <c r="M603" s="3724"/>
      <c r="N603" s="1638"/>
      <c r="P603" s="4588"/>
    </row>
    <row r="604" spans="1:16" s="1639" customFormat="1" ht="18.75" customHeight="1" x14ac:dyDescent="0.25">
      <c r="A604" s="1637"/>
      <c r="B604" s="3623"/>
      <c r="C604" s="3873" t="s">
        <v>4644</v>
      </c>
      <c r="D604" s="3701">
        <f>D605</f>
        <v>100000000</v>
      </c>
      <c r="E604" s="1453">
        <f>D604/D426*100</f>
        <v>5.5870017153603749E-2</v>
      </c>
      <c r="F604" s="835"/>
      <c r="G604" s="798"/>
      <c r="H604" s="3634"/>
      <c r="I604" s="3634"/>
      <c r="J604" s="1815"/>
      <c r="K604" s="3722"/>
      <c r="L604" s="3723"/>
      <c r="M604" s="3724"/>
      <c r="N604" s="1638"/>
      <c r="P604" s="4588"/>
    </row>
    <row r="605" spans="1:16" s="1639" customFormat="1" ht="15.75" customHeight="1" x14ac:dyDescent="0.25">
      <c r="A605" s="1637"/>
      <c r="B605" s="3623"/>
      <c r="C605" s="3861" t="s">
        <v>4645</v>
      </c>
      <c r="D605" s="868">
        <v>100000000</v>
      </c>
      <c r="E605" s="864">
        <f>D605/D426*100</f>
        <v>5.5870017153603749E-2</v>
      </c>
      <c r="F605" s="835"/>
      <c r="G605" s="798"/>
      <c r="H605" s="3634"/>
      <c r="I605" s="3634"/>
      <c r="J605" s="1815"/>
      <c r="K605" s="3722"/>
      <c r="L605" s="3723"/>
      <c r="M605" s="3724"/>
      <c r="N605" s="1638"/>
      <c r="P605" s="4588"/>
    </row>
    <row r="606" spans="1:16" s="1639" customFormat="1" ht="10.5" customHeight="1" x14ac:dyDescent="0.25">
      <c r="A606" s="1637"/>
      <c r="B606" s="3623"/>
      <c r="C606" s="3861"/>
      <c r="D606" s="868"/>
      <c r="E606" s="864"/>
      <c r="F606" s="835"/>
      <c r="G606" s="798"/>
      <c r="H606" s="3634"/>
      <c r="I606" s="3634"/>
      <c r="J606" s="1815"/>
      <c r="K606" s="3722"/>
      <c r="L606" s="3723"/>
      <c r="M606" s="3724"/>
      <c r="N606" s="1638"/>
      <c r="P606" s="4588"/>
    </row>
    <row r="607" spans="1:16" s="1639" customFormat="1" ht="18" customHeight="1" x14ac:dyDescent="0.25">
      <c r="A607" s="1637"/>
      <c r="B607" s="3623"/>
      <c r="C607" s="3873" t="s">
        <v>4646</v>
      </c>
      <c r="D607" s="3701">
        <f>D608</f>
        <v>168000000</v>
      </c>
      <c r="E607" s="1453">
        <f>D607/D426*100</f>
        <v>9.3861628818054307E-2</v>
      </c>
      <c r="F607" s="835"/>
      <c r="G607" s="798"/>
      <c r="H607" s="3634"/>
      <c r="I607" s="3634"/>
      <c r="J607" s="1815"/>
      <c r="K607" s="3722"/>
      <c r="L607" s="3723"/>
      <c r="M607" s="3724"/>
      <c r="N607" s="1638"/>
      <c r="P607" s="4588"/>
    </row>
    <row r="608" spans="1:16" s="1639" customFormat="1" ht="18.75" customHeight="1" x14ac:dyDescent="0.25">
      <c r="A608" s="1637"/>
      <c r="B608" s="3623"/>
      <c r="C608" s="3861" t="s">
        <v>4647</v>
      </c>
      <c r="D608" s="868">
        <v>168000000</v>
      </c>
      <c r="E608" s="864">
        <f>D608/D426*100</f>
        <v>9.3861628818054307E-2</v>
      </c>
      <c r="F608" s="835"/>
      <c r="G608" s="798"/>
      <c r="H608" s="3634"/>
      <c r="I608" s="3634"/>
      <c r="J608" s="1815"/>
      <c r="K608" s="3722"/>
      <c r="L608" s="3723"/>
      <c r="M608" s="3724"/>
      <c r="N608" s="1638"/>
      <c r="P608" s="4588"/>
    </row>
    <row r="609" spans="1:16" s="1639" customFormat="1" ht="11.25" customHeight="1" x14ac:dyDescent="0.25">
      <c r="A609" s="1637"/>
      <c r="B609" s="3623"/>
      <c r="C609" s="3861"/>
      <c r="D609" s="868"/>
      <c r="E609" s="864"/>
      <c r="F609" s="835"/>
      <c r="G609" s="798"/>
      <c r="H609" s="3634"/>
      <c r="I609" s="3634"/>
      <c r="J609" s="1815"/>
      <c r="K609" s="3722"/>
      <c r="L609" s="3723"/>
      <c r="M609" s="3724"/>
      <c r="N609" s="1638"/>
      <c r="P609" s="4588"/>
    </row>
    <row r="610" spans="1:16" s="1639" customFormat="1" ht="18.75" customHeight="1" x14ac:dyDescent="0.25">
      <c r="A610" s="1637"/>
      <c r="B610" s="3623"/>
      <c r="C610" s="3873" t="s">
        <v>4648</v>
      </c>
      <c r="D610" s="3701">
        <f>D611</f>
        <v>225000000</v>
      </c>
      <c r="E610" s="1453">
        <f>D610/D426*100</f>
        <v>0.12570753859560843</v>
      </c>
      <c r="F610" s="835"/>
      <c r="G610" s="798"/>
      <c r="H610" s="3634"/>
      <c r="I610" s="3634"/>
      <c r="J610" s="1815"/>
      <c r="K610" s="3722"/>
      <c r="L610" s="3723"/>
      <c r="M610" s="3724"/>
      <c r="N610" s="1638"/>
      <c r="P610" s="4588"/>
    </row>
    <row r="611" spans="1:16" s="1639" customFormat="1" ht="27.75" customHeight="1" x14ac:dyDescent="0.25">
      <c r="A611" s="1637"/>
      <c r="B611" s="3623"/>
      <c r="C611" s="3861" t="s">
        <v>4649</v>
      </c>
      <c r="D611" s="868">
        <v>225000000</v>
      </c>
      <c r="E611" s="864">
        <f>D611/D426*100</f>
        <v>0.12570753859560843</v>
      </c>
      <c r="F611" s="835"/>
      <c r="G611" s="798"/>
      <c r="H611" s="3634"/>
      <c r="I611" s="3634"/>
      <c r="J611" s="1815"/>
      <c r="K611" s="3722"/>
      <c r="L611" s="3723"/>
      <c r="M611" s="3724"/>
      <c r="N611" s="1638"/>
      <c r="P611" s="4588"/>
    </row>
    <row r="612" spans="1:16" s="1639" customFormat="1" ht="13.5" customHeight="1" x14ac:dyDescent="0.25">
      <c r="A612" s="1637"/>
      <c r="B612" s="3623"/>
      <c r="C612" s="3861"/>
      <c r="D612" s="868"/>
      <c r="E612" s="864"/>
      <c r="F612" s="835"/>
      <c r="G612" s="798"/>
      <c r="H612" s="3634"/>
      <c r="I612" s="3634"/>
      <c r="J612" s="1815"/>
      <c r="K612" s="3722"/>
      <c r="L612" s="3723"/>
      <c r="M612" s="3724"/>
      <c r="N612" s="1638"/>
      <c r="P612" s="4588"/>
    </row>
    <row r="613" spans="1:16" s="1639" customFormat="1" ht="18.75" customHeight="1" x14ac:dyDescent="0.25">
      <c r="A613" s="1637"/>
      <c r="B613" s="3623"/>
      <c r="C613" s="3873" t="s">
        <v>4650</v>
      </c>
      <c r="D613" s="3701">
        <f>SUM(D614:D615)</f>
        <v>188760000</v>
      </c>
      <c r="E613" s="1453">
        <f>D613/D426*100</f>
        <v>0.10546024437914246</v>
      </c>
      <c r="F613" s="835"/>
      <c r="G613" s="798"/>
      <c r="H613" s="3634"/>
      <c r="I613" s="3634"/>
      <c r="J613" s="1815"/>
      <c r="K613" s="3722"/>
      <c r="L613" s="3723"/>
      <c r="M613" s="3724"/>
      <c r="N613" s="1638"/>
      <c r="P613" s="4588"/>
    </row>
    <row r="614" spans="1:16" s="1639" customFormat="1" ht="30" customHeight="1" x14ac:dyDescent="0.25">
      <c r="A614" s="1637"/>
      <c r="B614" s="3623"/>
      <c r="C614" s="3861" t="s">
        <v>4651</v>
      </c>
      <c r="D614" s="868">
        <v>141360000</v>
      </c>
      <c r="E614" s="864">
        <f>D614/D426*100</f>
        <v>7.8977856248334269E-2</v>
      </c>
      <c r="F614" s="835"/>
      <c r="G614" s="798"/>
      <c r="H614" s="3634"/>
      <c r="I614" s="3634"/>
      <c r="J614" s="1815"/>
      <c r="K614" s="3722"/>
      <c r="L614" s="3723"/>
      <c r="M614" s="3724"/>
      <c r="N614" s="1638"/>
      <c r="P614" s="4588"/>
    </row>
    <row r="615" spans="1:16" s="1639" customFormat="1" ht="27" customHeight="1" x14ac:dyDescent="0.25">
      <c r="A615" s="1637"/>
      <c r="B615" s="3623"/>
      <c r="C615" s="3861" t="s">
        <v>4652</v>
      </c>
      <c r="D615" s="868">
        <v>47400000</v>
      </c>
      <c r="E615" s="864">
        <f>D615/D426*100</f>
        <v>2.6482388130808183E-2</v>
      </c>
      <c r="F615" s="835"/>
      <c r="G615" s="798"/>
      <c r="H615" s="3634"/>
      <c r="I615" s="3634"/>
      <c r="J615" s="1815"/>
      <c r="K615" s="3722"/>
      <c r="L615" s="3723"/>
      <c r="M615" s="3724"/>
      <c r="N615" s="1638"/>
      <c r="P615" s="4588"/>
    </row>
    <row r="616" spans="1:16" s="485" customFormat="1" ht="13.5" customHeight="1" x14ac:dyDescent="0.25">
      <c r="A616" s="352"/>
      <c r="B616" s="1242"/>
      <c r="C616" s="3894"/>
      <c r="D616" s="1094"/>
      <c r="E616" s="1326"/>
      <c r="F616" s="852"/>
      <c r="G616" s="853"/>
      <c r="H616" s="940"/>
      <c r="I616" s="940"/>
      <c r="J616" s="1835"/>
      <c r="K616" s="2276"/>
      <c r="L616" s="2277"/>
      <c r="M616" s="1649"/>
      <c r="N616" s="535"/>
      <c r="P616" s="500"/>
    </row>
    <row r="617" spans="1:16" s="485" customFormat="1" ht="17.25" customHeight="1" x14ac:dyDescent="0.25">
      <c r="A617" s="352"/>
      <c r="B617" s="1305"/>
      <c r="C617" s="3858" t="s">
        <v>4653</v>
      </c>
      <c r="D617" s="669">
        <f>SUM(D618+D622+D626+D629)</f>
        <v>1594033000</v>
      </c>
      <c r="E617" s="1445">
        <f>D617/D426*100</f>
        <v>0.89058651053410454</v>
      </c>
      <c r="F617" s="832"/>
      <c r="G617" s="832"/>
      <c r="H617" s="765"/>
      <c r="I617" s="807"/>
      <c r="J617" s="1813"/>
      <c r="K617" s="1813"/>
      <c r="L617" s="1726"/>
      <c r="M617" s="1726"/>
      <c r="N617" s="535"/>
      <c r="P617" s="500"/>
    </row>
    <row r="618" spans="1:16" s="1639" customFormat="1" ht="18" customHeight="1" x14ac:dyDescent="0.25">
      <c r="A618" s="1637"/>
      <c r="B618" s="1242"/>
      <c r="C618" s="3854" t="s">
        <v>4654</v>
      </c>
      <c r="D618" s="667">
        <f>SUM(D619:D620)</f>
        <v>335503000</v>
      </c>
      <c r="E618" s="1453">
        <f>D618/D426*100</f>
        <v>0.1874455836508552</v>
      </c>
      <c r="F618" s="836"/>
      <c r="G618" s="795"/>
      <c r="H618" s="795"/>
      <c r="I618" s="795"/>
      <c r="J618" s="1816"/>
      <c r="K618" s="1771"/>
      <c r="L618" s="795"/>
      <c r="M618" s="795"/>
      <c r="N618" s="1638"/>
      <c r="P618" s="4588"/>
    </row>
    <row r="619" spans="1:16" s="1639" customFormat="1" ht="15.75" customHeight="1" x14ac:dyDescent="0.25">
      <c r="A619" s="1637"/>
      <c r="B619" s="1242"/>
      <c r="C619" s="3860" t="s">
        <v>4655</v>
      </c>
      <c r="D619" s="666">
        <v>251778000</v>
      </c>
      <c r="E619" s="864">
        <f>D619/D426*100</f>
        <v>0.14066841178900047</v>
      </c>
      <c r="F619" s="838"/>
      <c r="G619" s="755"/>
      <c r="H619" s="755"/>
      <c r="I619" s="755"/>
      <c r="J619" s="1818"/>
      <c r="K619" s="1965"/>
      <c r="L619" s="1380"/>
      <c r="M619" s="1380"/>
      <c r="N619" s="1638"/>
      <c r="P619" s="4588"/>
    </row>
    <row r="620" spans="1:16" s="1639" customFormat="1" ht="14.25" customHeight="1" x14ac:dyDescent="0.25">
      <c r="A620" s="1637"/>
      <c r="B620" s="1242"/>
      <c r="C620" s="3860" t="s">
        <v>4656</v>
      </c>
      <c r="D620" s="666">
        <v>83725000</v>
      </c>
      <c r="E620" s="864">
        <f>D620/D426*100</f>
        <v>4.6777171861854747E-2</v>
      </c>
      <c r="F620" s="838"/>
      <c r="G620" s="755"/>
      <c r="H620" s="802"/>
      <c r="I620" s="802"/>
      <c r="J620" s="1818"/>
      <c r="K620" s="1753"/>
      <c r="L620" s="1648"/>
      <c r="M620" s="1648"/>
      <c r="N620" s="1638"/>
      <c r="P620" s="4588"/>
    </row>
    <row r="621" spans="1:16" s="1639" customFormat="1" ht="10.5" customHeight="1" x14ac:dyDescent="0.25">
      <c r="A621" s="1637"/>
      <c r="B621" s="3623"/>
      <c r="C621" s="3860"/>
      <c r="D621" s="666"/>
      <c r="E621" s="864"/>
      <c r="F621" s="838"/>
      <c r="G621" s="3630"/>
      <c r="H621" s="3620"/>
      <c r="I621" s="3620"/>
      <c r="J621" s="1818"/>
      <c r="K621" s="1753"/>
      <c r="L621" s="1648"/>
      <c r="M621" s="1648"/>
      <c r="N621" s="1638"/>
      <c r="P621" s="4588"/>
    </row>
    <row r="622" spans="1:16" s="1639" customFormat="1" ht="16.5" customHeight="1" x14ac:dyDescent="0.25">
      <c r="A622" s="1637"/>
      <c r="B622" s="1242"/>
      <c r="C622" s="3882" t="s">
        <v>4657</v>
      </c>
      <c r="D622" s="673">
        <f>SUM(D623:D624)</f>
        <v>1047450000</v>
      </c>
      <c r="E622" s="1453">
        <f>D622/D426*100</f>
        <v>0.58521049467542252</v>
      </c>
      <c r="F622" s="839"/>
      <c r="G622" s="839"/>
      <c r="H622" s="753"/>
      <c r="I622" s="803"/>
      <c r="J622" s="1381"/>
      <c r="K622" s="1381"/>
      <c r="L622" s="803"/>
      <c r="M622" s="1706"/>
      <c r="N622" s="1638"/>
      <c r="P622" s="4588"/>
    </row>
    <row r="623" spans="1:16" s="1639" customFormat="1" ht="17.25" customHeight="1" x14ac:dyDescent="0.25">
      <c r="A623" s="1637"/>
      <c r="B623" s="1242"/>
      <c r="C623" s="3860" t="s">
        <v>4658</v>
      </c>
      <c r="D623" s="666">
        <v>337950000</v>
      </c>
      <c r="E623" s="864">
        <f>D623/D426*100</f>
        <v>0.18881272297060389</v>
      </c>
      <c r="F623" s="838"/>
      <c r="G623" s="755"/>
      <c r="H623" s="755"/>
      <c r="I623" s="755"/>
      <c r="J623" s="1818"/>
      <c r="K623" s="1238"/>
      <c r="L623" s="802"/>
      <c r="M623" s="1648"/>
      <c r="N623" s="1638"/>
      <c r="P623" s="4588"/>
    </row>
    <row r="624" spans="1:16" s="1639" customFormat="1" ht="17.25" customHeight="1" x14ac:dyDescent="0.25">
      <c r="A624" s="1637"/>
      <c r="B624" s="1242"/>
      <c r="C624" s="3860" t="s">
        <v>4659</v>
      </c>
      <c r="D624" s="666">
        <v>709500000</v>
      </c>
      <c r="E624" s="864">
        <f>D624/D426*100</f>
        <v>0.39639777170481871</v>
      </c>
      <c r="F624" s="838"/>
      <c r="G624" s="755"/>
      <c r="H624" s="755"/>
      <c r="I624" s="802"/>
      <c r="J624" s="1818"/>
      <c r="K624" s="1238"/>
      <c r="L624" s="802"/>
      <c r="M624" s="1648"/>
      <c r="N624" s="1638"/>
      <c r="P624" s="4588"/>
    </row>
    <row r="625" spans="1:16" s="1639" customFormat="1" ht="12.75" customHeight="1" x14ac:dyDescent="0.25">
      <c r="A625" s="1637"/>
      <c r="B625" s="1242"/>
      <c r="C625" s="3860"/>
      <c r="D625" s="666"/>
      <c r="E625" s="864"/>
      <c r="F625" s="838"/>
      <c r="G625" s="755"/>
      <c r="H625" s="802"/>
      <c r="I625" s="802"/>
      <c r="J625" s="1818"/>
      <c r="K625" s="1753"/>
      <c r="L625" s="1648"/>
      <c r="M625" s="1648"/>
      <c r="N625" s="1638"/>
      <c r="P625" s="4588"/>
    </row>
    <row r="626" spans="1:16" s="1639" customFormat="1" ht="15" customHeight="1" x14ac:dyDescent="0.25">
      <c r="A626" s="1637"/>
      <c r="B626" s="1242"/>
      <c r="C626" s="3882" t="s">
        <v>4660</v>
      </c>
      <c r="D626" s="673">
        <f>D627</f>
        <v>61080000</v>
      </c>
      <c r="E626" s="1453">
        <f>D626/D426*100</f>
        <v>3.4125406477421176E-2</v>
      </c>
      <c r="F626" s="839"/>
      <c r="G626" s="753"/>
      <c r="H626" s="753"/>
      <c r="I626" s="753"/>
      <c r="J626" s="1381"/>
      <c r="K626" s="1381"/>
      <c r="L626" s="803"/>
      <c r="M626" s="1706"/>
      <c r="N626" s="1638"/>
      <c r="P626" s="4588"/>
    </row>
    <row r="627" spans="1:16" s="1639" customFormat="1" ht="17.25" customHeight="1" x14ac:dyDescent="0.25">
      <c r="A627" s="1637"/>
      <c r="B627" s="1242"/>
      <c r="C627" s="3860" t="s">
        <v>4661</v>
      </c>
      <c r="D627" s="666">
        <v>61080000</v>
      </c>
      <c r="E627" s="864">
        <f>D627/D426*100</f>
        <v>3.4125406477421176E-2</v>
      </c>
      <c r="F627" s="838"/>
      <c r="G627" s="755"/>
      <c r="H627" s="755"/>
      <c r="I627" s="755"/>
      <c r="J627" s="1818"/>
      <c r="K627" s="1238"/>
      <c r="L627" s="802"/>
      <c r="M627" s="1648"/>
      <c r="N627" s="1638"/>
      <c r="P627" s="4588"/>
    </row>
    <row r="628" spans="1:16" s="1639" customFormat="1" ht="9" customHeight="1" x14ac:dyDescent="0.25">
      <c r="A628" s="1637"/>
      <c r="B628" s="1242"/>
      <c r="C628" s="3860"/>
      <c r="D628" s="666"/>
      <c r="E628" s="1126"/>
      <c r="F628" s="838"/>
      <c r="G628" s="755"/>
      <c r="H628" s="755"/>
      <c r="I628" s="755"/>
      <c r="J628" s="1818"/>
      <c r="K628" s="1753"/>
      <c r="L628" s="1648"/>
      <c r="M628" s="1648"/>
      <c r="N628" s="1638"/>
      <c r="P628" s="4588"/>
    </row>
    <row r="629" spans="1:16" s="1639" customFormat="1" ht="17.25" customHeight="1" x14ac:dyDescent="0.25">
      <c r="A629" s="1637"/>
      <c r="B629" s="1242"/>
      <c r="C629" s="3882" t="s">
        <v>4662</v>
      </c>
      <c r="D629" s="673">
        <f>D630</f>
        <v>150000000</v>
      </c>
      <c r="E629" s="1453">
        <f>D629/D426*100</f>
        <v>8.380502573040563E-2</v>
      </c>
      <c r="F629" s="839"/>
      <c r="G629" s="753"/>
      <c r="H629" s="753"/>
      <c r="I629" s="753"/>
      <c r="J629" s="1381"/>
      <c r="K629" s="1381"/>
      <c r="L629" s="803"/>
      <c r="M629" s="1706"/>
      <c r="N629" s="1638"/>
      <c r="P629" s="4588"/>
    </row>
    <row r="630" spans="1:16" s="1639" customFormat="1" ht="17.25" customHeight="1" x14ac:dyDescent="0.25">
      <c r="A630" s="1637"/>
      <c r="B630" s="1242"/>
      <c r="C630" s="3860" t="s">
        <v>4663</v>
      </c>
      <c r="D630" s="666">
        <v>150000000</v>
      </c>
      <c r="E630" s="1126">
        <f>D630/D426*100</f>
        <v>8.380502573040563E-2</v>
      </c>
      <c r="F630" s="838"/>
      <c r="G630" s="755"/>
      <c r="H630" s="755"/>
      <c r="I630" s="755"/>
      <c r="J630" s="1818"/>
      <c r="K630" s="1238"/>
      <c r="L630" s="802"/>
      <c r="M630" s="802"/>
      <c r="N630" s="1638"/>
      <c r="P630" s="4588"/>
    </row>
    <row r="631" spans="1:16" s="485" customFormat="1" ht="13.5" customHeight="1" x14ac:dyDescent="0.25">
      <c r="A631" s="352"/>
      <c r="B631" s="1242"/>
      <c r="C631" s="3892"/>
      <c r="D631" s="671"/>
      <c r="E631" s="1450"/>
      <c r="F631" s="840"/>
      <c r="G631" s="827"/>
      <c r="H631" s="804"/>
      <c r="I631" s="804"/>
      <c r="J631" s="1819"/>
      <c r="K631" s="2270"/>
      <c r="L631" s="1649"/>
      <c r="M631" s="2271"/>
      <c r="N631" s="535"/>
      <c r="P631" s="500"/>
    </row>
    <row r="632" spans="1:16" s="1639" customFormat="1" ht="30" customHeight="1" x14ac:dyDescent="0.25">
      <c r="A632" s="1637"/>
      <c r="B632" s="1305"/>
      <c r="C632" s="3858" t="s">
        <v>4664</v>
      </c>
      <c r="D632" s="669">
        <f>SUM(D633+D636+D642)</f>
        <v>779780000</v>
      </c>
      <c r="E632" s="1445">
        <f>D632/D426*100</f>
        <v>0.43566321976037137</v>
      </c>
      <c r="F632" s="832"/>
      <c r="G632" s="832"/>
      <c r="H632" s="765"/>
      <c r="I632" s="765"/>
      <c r="J632" s="1813"/>
      <c r="K632" s="1813"/>
      <c r="L632" s="1726"/>
      <c r="M632" s="1726"/>
      <c r="N632" s="1638"/>
      <c r="P632" s="4588"/>
    </row>
    <row r="633" spans="1:16" s="1639" customFormat="1" ht="28.5" customHeight="1" x14ac:dyDescent="0.25">
      <c r="A633" s="1637"/>
      <c r="B633" s="1242"/>
      <c r="C633" s="3881" t="s">
        <v>4665</v>
      </c>
      <c r="D633" s="889">
        <f>D634</f>
        <v>161250000</v>
      </c>
      <c r="E633" s="1453">
        <f>D633/D426*100</f>
        <v>9.0090402660186059E-2</v>
      </c>
      <c r="F633" s="854"/>
      <c r="G633" s="854"/>
      <c r="H633" s="753"/>
      <c r="I633" s="753"/>
      <c r="J633" s="1836"/>
      <c r="K633" s="1836"/>
      <c r="L633" s="753"/>
      <c r="M633" s="2118"/>
      <c r="N633" s="1638"/>
      <c r="P633" s="4588"/>
    </row>
    <row r="634" spans="1:16" s="1639" customFormat="1" ht="20.25" customHeight="1" x14ac:dyDescent="0.25">
      <c r="A634" s="1637"/>
      <c r="B634" s="1242"/>
      <c r="C634" s="3860" t="s">
        <v>4666</v>
      </c>
      <c r="D634" s="666">
        <v>161250000</v>
      </c>
      <c r="E634" s="864">
        <f>D634/D426*100</f>
        <v>9.0090402660186059E-2</v>
      </c>
      <c r="F634" s="838"/>
      <c r="G634" s="755"/>
      <c r="H634" s="755"/>
      <c r="I634" s="755"/>
      <c r="J634" s="1818"/>
      <c r="K634" s="1238"/>
      <c r="L634" s="802"/>
      <c r="M634" s="1648"/>
      <c r="N634" s="1638"/>
      <c r="P634" s="4588"/>
    </row>
    <row r="635" spans="1:16" s="1639" customFormat="1" ht="11.25" customHeight="1" x14ac:dyDescent="0.25">
      <c r="A635" s="1637"/>
      <c r="B635" s="3623"/>
      <c r="C635" s="3861"/>
      <c r="D635" s="868"/>
      <c r="E635" s="864"/>
      <c r="F635" s="835"/>
      <c r="G635" s="798"/>
      <c r="H635" s="3634"/>
      <c r="I635" s="3634"/>
      <c r="J635" s="1815"/>
      <c r="K635" s="3722"/>
      <c r="L635" s="3634"/>
      <c r="M635" s="3576"/>
      <c r="N635" s="1638"/>
      <c r="P635" s="4588"/>
    </row>
    <row r="636" spans="1:16" s="1639" customFormat="1" ht="17.25" customHeight="1" x14ac:dyDescent="0.25">
      <c r="A636" s="1637"/>
      <c r="B636" s="3623"/>
      <c r="C636" s="3873" t="s">
        <v>4667</v>
      </c>
      <c r="D636" s="3701">
        <f>SUM(D637:D640)</f>
        <v>530230000</v>
      </c>
      <c r="E636" s="1453">
        <f>D636/D426*100</f>
        <v>0.29623959195355321</v>
      </c>
      <c r="F636" s="835"/>
      <c r="G636" s="798"/>
      <c r="H636" s="3634"/>
      <c r="I636" s="3634"/>
      <c r="J636" s="1815"/>
      <c r="K636" s="3722"/>
      <c r="L636" s="3634"/>
      <c r="M636" s="3576"/>
      <c r="N636" s="1638"/>
      <c r="P636" s="4588"/>
    </row>
    <row r="637" spans="1:16" s="1639" customFormat="1" ht="15.75" customHeight="1" x14ac:dyDescent="0.25">
      <c r="A637" s="1637"/>
      <c r="B637" s="3623"/>
      <c r="C637" s="3861" t="s">
        <v>4668</v>
      </c>
      <c r="D637" s="868">
        <v>138900000</v>
      </c>
      <c r="E637" s="864">
        <f>D637/D426*100</f>
        <v>7.7603453826355626E-2</v>
      </c>
      <c r="F637" s="835"/>
      <c r="G637" s="798"/>
      <c r="H637" s="3634"/>
      <c r="I637" s="3634"/>
      <c r="J637" s="1815"/>
      <c r="K637" s="3722"/>
      <c r="L637" s="3634"/>
      <c r="M637" s="3576"/>
      <c r="N637" s="1638"/>
      <c r="P637" s="4588"/>
    </row>
    <row r="638" spans="1:16" s="1639" customFormat="1" ht="17.25" customHeight="1" x14ac:dyDescent="0.25">
      <c r="A638" s="1637"/>
      <c r="B638" s="3623"/>
      <c r="C638" s="3861" t="s">
        <v>4669</v>
      </c>
      <c r="D638" s="868">
        <v>145000000</v>
      </c>
      <c r="E638" s="864">
        <f>D638/D426*100</f>
        <v>8.1011524872725449E-2</v>
      </c>
      <c r="F638" s="835"/>
      <c r="G638" s="798"/>
      <c r="H638" s="3634"/>
      <c r="I638" s="3634"/>
      <c r="J638" s="1815"/>
      <c r="K638" s="3722"/>
      <c r="L638" s="3634"/>
      <c r="M638" s="3576"/>
      <c r="N638" s="1638"/>
      <c r="P638" s="4588"/>
    </row>
    <row r="639" spans="1:16" s="1639" customFormat="1" ht="32.25" customHeight="1" x14ac:dyDescent="0.25">
      <c r="A639" s="1637"/>
      <c r="B639" s="3623"/>
      <c r="C639" s="3861" t="s">
        <v>4670</v>
      </c>
      <c r="D639" s="868">
        <v>120450000</v>
      </c>
      <c r="E639" s="864">
        <f>D639/D426*100</f>
        <v>6.7295435661515718E-2</v>
      </c>
      <c r="F639" s="835"/>
      <c r="G639" s="798"/>
      <c r="H639" s="3634"/>
      <c r="I639" s="3634"/>
      <c r="J639" s="1815"/>
      <c r="K639" s="3722"/>
      <c r="L639" s="3634"/>
      <c r="M639" s="3576"/>
      <c r="N639" s="1638"/>
      <c r="P639" s="4588"/>
    </row>
    <row r="640" spans="1:16" s="1639" customFormat="1" ht="27.75" customHeight="1" x14ac:dyDescent="0.25">
      <c r="A640" s="1637"/>
      <c r="B640" s="3623"/>
      <c r="C640" s="3861" t="s">
        <v>4671</v>
      </c>
      <c r="D640" s="868">
        <v>125880000</v>
      </c>
      <c r="E640" s="864">
        <f>D640/D426*100</f>
        <v>7.0329177592956413E-2</v>
      </c>
      <c r="F640" s="835"/>
      <c r="G640" s="798"/>
      <c r="H640" s="3634"/>
      <c r="I640" s="3634"/>
      <c r="J640" s="1815"/>
      <c r="K640" s="3722"/>
      <c r="L640" s="3634"/>
      <c r="M640" s="3576"/>
      <c r="N640" s="1638"/>
      <c r="P640" s="4588"/>
    </row>
    <row r="641" spans="1:16" s="1639" customFormat="1" ht="10.5" customHeight="1" x14ac:dyDescent="0.25">
      <c r="A641" s="1637"/>
      <c r="B641" s="3623"/>
      <c r="C641" s="3861"/>
      <c r="D641" s="868"/>
      <c r="E641" s="864"/>
      <c r="F641" s="835"/>
      <c r="G641" s="798"/>
      <c r="H641" s="3634"/>
      <c r="I641" s="3634"/>
      <c r="J641" s="1815"/>
      <c r="K641" s="3722"/>
      <c r="L641" s="3634"/>
      <c r="M641" s="3576"/>
      <c r="N641" s="1638"/>
      <c r="P641" s="4588"/>
    </row>
    <row r="642" spans="1:16" s="1639" customFormat="1" ht="15.75" customHeight="1" x14ac:dyDescent="0.25">
      <c r="A642" s="1637"/>
      <c r="B642" s="3623"/>
      <c r="C642" s="3873" t="s">
        <v>4672</v>
      </c>
      <c r="D642" s="3701">
        <f>D643</f>
        <v>88300000</v>
      </c>
      <c r="E642" s="1453">
        <f>D642/D426*100</f>
        <v>4.9333225146632118E-2</v>
      </c>
      <c r="F642" s="835"/>
      <c r="G642" s="798"/>
      <c r="H642" s="3634"/>
      <c r="I642" s="3634"/>
      <c r="J642" s="1815"/>
      <c r="K642" s="3722"/>
      <c r="L642" s="3634"/>
      <c r="M642" s="3576"/>
      <c r="N642" s="1638"/>
      <c r="P642" s="4588"/>
    </row>
    <row r="643" spans="1:16" s="1639" customFormat="1" ht="18" customHeight="1" x14ac:dyDescent="0.25">
      <c r="A643" s="1637"/>
      <c r="B643" s="3623"/>
      <c r="C643" s="3861" t="s">
        <v>4673</v>
      </c>
      <c r="D643" s="868">
        <v>88300000</v>
      </c>
      <c r="E643" s="864">
        <f>D643/D426*100</f>
        <v>4.9333225146632118E-2</v>
      </c>
      <c r="F643" s="835"/>
      <c r="G643" s="798"/>
      <c r="H643" s="3634"/>
      <c r="I643" s="3634"/>
      <c r="J643" s="1815"/>
      <c r="K643" s="3722"/>
      <c r="L643" s="3634"/>
      <c r="M643" s="3576"/>
      <c r="N643" s="1638"/>
      <c r="P643" s="4588"/>
    </row>
    <row r="644" spans="1:16" s="485" customFormat="1" ht="13.5" customHeight="1" x14ac:dyDescent="0.25">
      <c r="A644" s="352"/>
      <c r="B644" s="1242"/>
      <c r="C644" s="3861"/>
      <c r="D644" s="868"/>
      <c r="E644" s="864"/>
      <c r="F644" s="835"/>
      <c r="G644" s="798"/>
      <c r="H644" s="805"/>
      <c r="I644" s="805"/>
      <c r="J644" s="1815"/>
      <c r="K644" s="2270"/>
      <c r="L644" s="2271"/>
      <c r="M644" s="2271"/>
      <c r="N644" s="535"/>
      <c r="P644" s="500"/>
    </row>
    <row r="645" spans="1:16" s="1639" customFormat="1" ht="17.25" customHeight="1" x14ac:dyDescent="0.25">
      <c r="A645" s="1637"/>
      <c r="B645" s="1305"/>
      <c r="C645" s="3858" t="s">
        <v>4674</v>
      </c>
      <c r="D645" s="669">
        <f>D646</f>
        <v>24337800000</v>
      </c>
      <c r="E645" s="1445">
        <f>D645/D426*100</f>
        <v>13.597533034809775</v>
      </c>
      <c r="F645" s="832"/>
      <c r="G645" s="832"/>
      <c r="H645" s="765"/>
      <c r="I645" s="807"/>
      <c r="J645" s="1813"/>
      <c r="K645" s="1813"/>
      <c r="L645" s="1726"/>
      <c r="M645" s="1726"/>
      <c r="N645" s="1638"/>
      <c r="P645" s="4588"/>
    </row>
    <row r="646" spans="1:16" s="1639" customFormat="1" ht="17.25" customHeight="1" x14ac:dyDescent="0.25">
      <c r="A646" s="1637"/>
      <c r="B646" s="1242"/>
      <c r="C646" s="3881" t="s">
        <v>4675</v>
      </c>
      <c r="D646" s="889">
        <f>D647</f>
        <v>24337800000</v>
      </c>
      <c r="E646" s="1453">
        <f>D646/D426*100</f>
        <v>13.597533034809775</v>
      </c>
      <c r="F646" s="854"/>
      <c r="G646" s="854"/>
      <c r="H646" s="753"/>
      <c r="I646" s="1012"/>
      <c r="J646" s="1836"/>
      <c r="K646" s="1836"/>
      <c r="L646" s="753"/>
      <c r="M646" s="2118"/>
      <c r="N646" s="1638"/>
      <c r="P646" s="4588"/>
    </row>
    <row r="647" spans="1:16" s="1639" customFormat="1" ht="15.75" customHeight="1" x14ac:dyDescent="0.25">
      <c r="A647" s="1637"/>
      <c r="B647" s="1242"/>
      <c r="C647" s="3860" t="s">
        <v>4676</v>
      </c>
      <c r="D647" s="666">
        <v>24337800000</v>
      </c>
      <c r="E647" s="864">
        <f>D647/D426*100</f>
        <v>13.597533034809775</v>
      </c>
      <c r="F647" s="838"/>
      <c r="G647" s="755"/>
      <c r="H647" s="755"/>
      <c r="I647" s="802"/>
      <c r="J647" s="1818"/>
      <c r="K647" s="1238"/>
      <c r="L647" s="802"/>
      <c r="M647" s="1648"/>
      <c r="N647" s="1638"/>
      <c r="P647" s="4588"/>
    </row>
    <row r="648" spans="1:16" s="1639" customFormat="1" ht="13.5" customHeight="1" x14ac:dyDescent="0.25">
      <c r="A648" s="1637"/>
      <c r="B648" s="1242"/>
      <c r="C648" s="3861"/>
      <c r="D648" s="868"/>
      <c r="E648" s="864"/>
      <c r="F648" s="835"/>
      <c r="G648" s="798"/>
      <c r="H648" s="805"/>
      <c r="I648" s="805"/>
      <c r="J648" s="1815"/>
      <c r="K648" s="2270"/>
      <c r="L648" s="2271"/>
      <c r="M648" s="2271"/>
      <c r="N648" s="1638"/>
      <c r="P648" s="4588"/>
    </row>
    <row r="649" spans="1:16" s="303" customFormat="1" ht="16.5" customHeight="1" x14ac:dyDescent="0.25">
      <c r="A649" s="2015"/>
      <c r="B649" s="1305"/>
      <c r="C649" s="3858" t="s">
        <v>4677</v>
      </c>
      <c r="D649" s="669">
        <f>SUM(D650+D653+D656+D659+D662+D665+D668)</f>
        <v>614950000</v>
      </c>
      <c r="E649" s="1445">
        <f>D649/D426*100</f>
        <v>0.34357267048608631</v>
      </c>
      <c r="F649" s="832"/>
      <c r="G649" s="832"/>
      <c r="H649" s="765"/>
      <c r="I649" s="807"/>
      <c r="J649" s="1813"/>
      <c r="K649" s="1813"/>
      <c r="L649" s="1726"/>
      <c r="M649" s="1726"/>
      <c r="N649" s="554"/>
      <c r="P649" s="500"/>
    </row>
    <row r="650" spans="1:16" s="1639" customFormat="1" ht="18.75" customHeight="1" x14ac:dyDescent="0.25">
      <c r="A650" s="1637"/>
      <c r="B650" s="1242"/>
      <c r="C650" s="3881" t="s">
        <v>4678</v>
      </c>
      <c r="D650" s="889">
        <f>D651</f>
        <v>125000000</v>
      </c>
      <c r="E650" s="1453">
        <f>D650/D426*100</f>
        <v>6.9837521442004696E-2</v>
      </c>
      <c r="F650" s="854"/>
      <c r="G650" s="854"/>
      <c r="H650" s="753"/>
      <c r="I650" s="1012"/>
      <c r="J650" s="1836"/>
      <c r="K650" s="1836"/>
      <c r="L650" s="753"/>
      <c r="M650" s="2118"/>
      <c r="N650" s="1638"/>
      <c r="P650" s="4588"/>
    </row>
    <row r="651" spans="1:16" s="1639" customFormat="1" ht="15.75" customHeight="1" x14ac:dyDescent="0.25">
      <c r="A651" s="1637"/>
      <c r="B651" s="1242"/>
      <c r="C651" s="3860" t="s">
        <v>4679</v>
      </c>
      <c r="D651" s="666">
        <v>125000000</v>
      </c>
      <c r="E651" s="864">
        <f>D651/D426*100</f>
        <v>6.9837521442004696E-2</v>
      </c>
      <c r="F651" s="838"/>
      <c r="G651" s="838"/>
      <c r="H651" s="755"/>
      <c r="I651" s="802"/>
      <c r="J651" s="1818"/>
      <c r="K651" s="1238"/>
      <c r="L651" s="802"/>
      <c r="M651" s="1648"/>
      <c r="N651" s="1638"/>
      <c r="P651" s="4588"/>
    </row>
    <row r="652" spans="1:16" s="303" customFormat="1" ht="10.5" customHeight="1" x14ac:dyDescent="0.25">
      <c r="A652" s="2015"/>
      <c r="B652" s="1242"/>
      <c r="C652" s="3860"/>
      <c r="D652" s="666"/>
      <c r="E652" s="864"/>
      <c r="F652" s="838"/>
      <c r="G652" s="755"/>
      <c r="H652" s="755"/>
      <c r="I652" s="755"/>
      <c r="J652" s="1818"/>
      <c r="K652" s="1753"/>
      <c r="L652" s="1648"/>
      <c r="M652" s="1648"/>
      <c r="N652" s="554"/>
      <c r="P652" s="500"/>
    </row>
    <row r="653" spans="1:16" s="1639" customFormat="1" ht="15.75" customHeight="1" x14ac:dyDescent="0.25">
      <c r="A653" s="1637"/>
      <c r="B653" s="1242"/>
      <c r="C653" s="3882" t="s">
        <v>4680</v>
      </c>
      <c r="D653" s="673">
        <f>D654</f>
        <v>60000000</v>
      </c>
      <c r="E653" s="1453">
        <f>D653/D426*100</f>
        <v>3.3522010292162258E-2</v>
      </c>
      <c r="F653" s="839"/>
      <c r="G653" s="753"/>
      <c r="H653" s="753"/>
      <c r="I653" s="753"/>
      <c r="J653" s="1381"/>
      <c r="K653" s="1381"/>
      <c r="L653" s="803"/>
      <c r="M653" s="1706"/>
      <c r="N653" s="1638"/>
      <c r="P653" s="4588"/>
    </row>
    <row r="654" spans="1:16" s="1639" customFormat="1" ht="19.5" customHeight="1" x14ac:dyDescent="0.25">
      <c r="A654" s="1637"/>
      <c r="B654" s="1242"/>
      <c r="C654" s="3860" t="s">
        <v>4681</v>
      </c>
      <c r="D654" s="666">
        <v>60000000</v>
      </c>
      <c r="E654" s="864">
        <f>D654/D426*100</f>
        <v>3.3522010292162258E-2</v>
      </c>
      <c r="F654" s="838"/>
      <c r="G654" s="755"/>
      <c r="H654" s="755"/>
      <c r="I654" s="755"/>
      <c r="J654" s="1818"/>
      <c r="K654" s="1238"/>
      <c r="L654" s="802"/>
      <c r="M654" s="1648"/>
      <c r="N654" s="1638"/>
      <c r="P654" s="4588"/>
    </row>
    <row r="655" spans="1:16" s="303" customFormat="1" ht="12" customHeight="1" x14ac:dyDescent="0.25">
      <c r="A655" s="2015"/>
      <c r="B655" s="1242"/>
      <c r="C655" s="3860"/>
      <c r="D655" s="666"/>
      <c r="E655" s="864"/>
      <c r="F655" s="838"/>
      <c r="G655" s="755"/>
      <c r="H655" s="755"/>
      <c r="I655" s="755"/>
      <c r="J655" s="1818"/>
      <c r="K655" s="2119"/>
      <c r="L655" s="1648"/>
      <c r="M655" s="1648"/>
      <c r="N655" s="554"/>
      <c r="P655" s="500"/>
    </row>
    <row r="656" spans="1:16" s="1639" customFormat="1" ht="15.75" customHeight="1" x14ac:dyDescent="0.25">
      <c r="A656" s="1637"/>
      <c r="B656" s="1242"/>
      <c r="C656" s="3882" t="s">
        <v>4682</v>
      </c>
      <c r="D656" s="673">
        <f>D657</f>
        <v>217500000</v>
      </c>
      <c r="E656" s="1453">
        <f>D656/D426*100</f>
        <v>0.12151728730908817</v>
      </c>
      <c r="F656" s="839"/>
      <c r="G656" s="753"/>
      <c r="H656" s="753"/>
      <c r="I656" s="753"/>
      <c r="J656" s="1381"/>
      <c r="K656" s="1772"/>
      <c r="L656" s="753"/>
      <c r="M656" s="753"/>
      <c r="N656" s="1638"/>
      <c r="P656" s="4588"/>
    </row>
    <row r="657" spans="1:16" s="1639" customFormat="1" ht="17.25" customHeight="1" x14ac:dyDescent="0.25">
      <c r="A657" s="1637"/>
      <c r="B657" s="1242"/>
      <c r="C657" s="3860" t="s">
        <v>4683</v>
      </c>
      <c r="D657" s="666">
        <v>217500000</v>
      </c>
      <c r="E657" s="864">
        <f>D657/D426*100</f>
        <v>0.12151728730908817</v>
      </c>
      <c r="F657" s="838"/>
      <c r="G657" s="755"/>
      <c r="H657" s="755"/>
      <c r="I657" s="755"/>
      <c r="J657" s="1818"/>
      <c r="K657" s="1014"/>
      <c r="L657" s="755"/>
      <c r="M657" s="755"/>
      <c r="N657" s="1638"/>
      <c r="P657" s="4588"/>
    </row>
    <row r="658" spans="1:16" s="1639" customFormat="1" ht="10.5" customHeight="1" x14ac:dyDescent="0.25">
      <c r="A658" s="1637"/>
      <c r="B658" s="3623"/>
      <c r="C658" s="3861"/>
      <c r="D658" s="868"/>
      <c r="E658" s="864"/>
      <c r="F658" s="835"/>
      <c r="G658" s="798"/>
      <c r="H658" s="3634"/>
      <c r="I658" s="3634"/>
      <c r="J658" s="1815"/>
      <c r="K658" s="3649"/>
      <c r="L658" s="3634"/>
      <c r="M658" s="3634"/>
      <c r="N658" s="1638"/>
      <c r="P658" s="4588"/>
    </row>
    <row r="659" spans="1:16" s="1639" customFormat="1" ht="17.25" customHeight="1" x14ac:dyDescent="0.25">
      <c r="A659" s="1637"/>
      <c r="B659" s="3623"/>
      <c r="C659" s="3873" t="s">
        <v>4684</v>
      </c>
      <c r="D659" s="3701">
        <f>D660</f>
        <v>44500000</v>
      </c>
      <c r="E659" s="1453">
        <f>D659/D426*100</f>
        <v>2.4862157633353671E-2</v>
      </c>
      <c r="F659" s="835"/>
      <c r="G659" s="798"/>
      <c r="H659" s="3634"/>
      <c r="I659" s="3634"/>
      <c r="J659" s="1815"/>
      <c r="K659" s="3649"/>
      <c r="L659" s="3634"/>
      <c r="M659" s="3634"/>
      <c r="N659" s="1638"/>
      <c r="P659" s="4588"/>
    </row>
    <row r="660" spans="1:16" s="1639" customFormat="1" ht="17.25" customHeight="1" x14ac:dyDescent="0.25">
      <c r="A660" s="1637"/>
      <c r="B660" s="3623"/>
      <c r="C660" s="3861" t="s">
        <v>4685</v>
      </c>
      <c r="D660" s="868">
        <v>44500000</v>
      </c>
      <c r="E660" s="864">
        <f>D660/D426*100</f>
        <v>2.4862157633353671E-2</v>
      </c>
      <c r="F660" s="835"/>
      <c r="G660" s="798"/>
      <c r="H660" s="3634"/>
      <c r="I660" s="3634"/>
      <c r="J660" s="1815"/>
      <c r="K660" s="3649"/>
      <c r="L660" s="3634"/>
      <c r="M660" s="3634"/>
      <c r="N660" s="1638"/>
      <c r="P660" s="4588"/>
    </row>
    <row r="661" spans="1:16" s="1639" customFormat="1" ht="7.5" customHeight="1" x14ac:dyDescent="0.25">
      <c r="A661" s="1637"/>
      <c r="B661" s="3623"/>
      <c r="C661" s="3861"/>
      <c r="D661" s="868"/>
      <c r="E661" s="864"/>
      <c r="F661" s="835"/>
      <c r="G661" s="798"/>
      <c r="H661" s="3634"/>
      <c r="I661" s="3634"/>
      <c r="J661" s="1815"/>
      <c r="K661" s="3649"/>
      <c r="L661" s="3634"/>
      <c r="M661" s="3634"/>
      <c r="N661" s="1638"/>
      <c r="P661" s="4588"/>
    </row>
    <row r="662" spans="1:16" s="1639" customFormat="1" ht="17.25" customHeight="1" x14ac:dyDescent="0.25">
      <c r="A662" s="1637"/>
      <c r="B662" s="3623"/>
      <c r="C662" s="3873" t="s">
        <v>4686</v>
      </c>
      <c r="D662" s="3701">
        <f>D663</f>
        <v>25000000</v>
      </c>
      <c r="E662" s="1453">
        <f>D662/D426*100</f>
        <v>1.3967504288400937E-2</v>
      </c>
      <c r="F662" s="835"/>
      <c r="G662" s="798"/>
      <c r="H662" s="3634"/>
      <c r="I662" s="3634"/>
      <c r="J662" s="1815"/>
      <c r="K662" s="3649"/>
      <c r="L662" s="3634"/>
      <c r="M662" s="3634"/>
      <c r="N662" s="1638"/>
      <c r="P662" s="4588"/>
    </row>
    <row r="663" spans="1:16" s="1639" customFormat="1" ht="27" customHeight="1" x14ac:dyDescent="0.25">
      <c r="A663" s="1637"/>
      <c r="B663" s="3623"/>
      <c r="C663" s="3861" t="s">
        <v>4687</v>
      </c>
      <c r="D663" s="868">
        <v>25000000</v>
      </c>
      <c r="E663" s="864">
        <f>D663/D426*100</f>
        <v>1.3967504288400937E-2</v>
      </c>
      <c r="F663" s="835"/>
      <c r="G663" s="798"/>
      <c r="H663" s="3634"/>
      <c r="I663" s="3634"/>
      <c r="J663" s="1815"/>
      <c r="K663" s="3649"/>
      <c r="L663" s="3634"/>
      <c r="M663" s="3634"/>
      <c r="N663" s="1638"/>
      <c r="P663" s="4588"/>
    </row>
    <row r="664" spans="1:16" s="1639" customFormat="1" ht="6.75" customHeight="1" x14ac:dyDescent="0.25">
      <c r="A664" s="1637"/>
      <c r="B664" s="3623"/>
      <c r="C664" s="3861"/>
      <c r="D664" s="868"/>
      <c r="E664" s="864"/>
      <c r="F664" s="835"/>
      <c r="G664" s="798"/>
      <c r="H664" s="3634"/>
      <c r="I664" s="3634"/>
      <c r="J664" s="1815"/>
      <c r="K664" s="3649"/>
      <c r="L664" s="3634"/>
      <c r="M664" s="3634"/>
      <c r="N664" s="1638"/>
      <c r="P664" s="4588"/>
    </row>
    <row r="665" spans="1:16" s="1639" customFormat="1" ht="17.25" customHeight="1" x14ac:dyDescent="0.25">
      <c r="A665" s="1637"/>
      <c r="B665" s="3623"/>
      <c r="C665" s="3873" t="s">
        <v>4688</v>
      </c>
      <c r="D665" s="3701">
        <f>D666</f>
        <v>116800000</v>
      </c>
      <c r="E665" s="1453">
        <f>D665/D426*100</f>
        <v>6.5256180035409186E-2</v>
      </c>
      <c r="F665" s="835"/>
      <c r="G665" s="798"/>
      <c r="H665" s="3634"/>
      <c r="I665" s="3634"/>
      <c r="J665" s="1815"/>
      <c r="K665" s="3649"/>
      <c r="L665" s="3634"/>
      <c r="M665" s="3634"/>
      <c r="N665" s="1638"/>
      <c r="P665" s="4588"/>
    </row>
    <row r="666" spans="1:16" s="1639" customFormat="1" ht="17.25" customHeight="1" x14ac:dyDescent="0.25">
      <c r="A666" s="1637"/>
      <c r="B666" s="3623"/>
      <c r="C666" s="3861" t="s">
        <v>4689</v>
      </c>
      <c r="D666" s="868">
        <v>116800000</v>
      </c>
      <c r="E666" s="864">
        <f>D666/D426*100</f>
        <v>6.5256180035409186E-2</v>
      </c>
      <c r="F666" s="835"/>
      <c r="G666" s="798"/>
      <c r="H666" s="3634"/>
      <c r="I666" s="3634"/>
      <c r="J666" s="1815"/>
      <c r="K666" s="3649"/>
      <c r="L666" s="3634"/>
      <c r="M666" s="3634"/>
      <c r="N666" s="1638"/>
      <c r="P666" s="4588"/>
    </row>
    <row r="667" spans="1:16" s="1639" customFormat="1" ht="9" customHeight="1" x14ac:dyDescent="0.25">
      <c r="A667" s="1637"/>
      <c r="B667" s="3623"/>
      <c r="C667" s="3861"/>
      <c r="D667" s="868"/>
      <c r="E667" s="864"/>
      <c r="F667" s="835"/>
      <c r="G667" s="798"/>
      <c r="H667" s="3634"/>
      <c r="I667" s="3634"/>
      <c r="J667" s="1815"/>
      <c r="K667" s="3649"/>
      <c r="L667" s="3634"/>
      <c r="M667" s="3634"/>
      <c r="N667" s="1638"/>
      <c r="P667" s="4588"/>
    </row>
    <row r="668" spans="1:16" s="1639" customFormat="1" ht="17.25" customHeight="1" x14ac:dyDescent="0.25">
      <c r="A668" s="1637"/>
      <c r="B668" s="3623"/>
      <c r="C668" s="3873" t="s">
        <v>4690</v>
      </c>
      <c r="D668" s="3701">
        <f>D669</f>
        <v>26150000</v>
      </c>
      <c r="E668" s="1453">
        <f>D668/D426*100</f>
        <v>1.4610009485667382E-2</v>
      </c>
      <c r="F668" s="835"/>
      <c r="G668" s="798"/>
      <c r="H668" s="3634"/>
      <c r="I668" s="3634"/>
      <c r="J668" s="1815"/>
      <c r="K668" s="3649"/>
      <c r="L668" s="3634"/>
      <c r="M668" s="3634"/>
      <c r="N668" s="1638"/>
      <c r="P668" s="4588"/>
    </row>
    <row r="669" spans="1:16" s="1639" customFormat="1" ht="17.25" customHeight="1" x14ac:dyDescent="0.25">
      <c r="A669" s="1637"/>
      <c r="B669" s="3623"/>
      <c r="C669" s="3861" t="s">
        <v>4691</v>
      </c>
      <c r="D669" s="868">
        <v>26150000</v>
      </c>
      <c r="E669" s="864">
        <f>D669/D426*100</f>
        <v>1.4610009485667382E-2</v>
      </c>
      <c r="F669" s="835"/>
      <c r="G669" s="798"/>
      <c r="H669" s="3634"/>
      <c r="I669" s="3634"/>
      <c r="J669" s="1815"/>
      <c r="K669" s="3649"/>
      <c r="L669" s="3634"/>
      <c r="M669" s="3634"/>
      <c r="N669" s="1638"/>
      <c r="P669" s="4588"/>
    </row>
    <row r="670" spans="1:16" s="1639" customFormat="1" ht="13.5" customHeight="1" x14ac:dyDescent="0.25">
      <c r="A670" s="1637"/>
      <c r="B670" s="1242"/>
      <c r="C670" s="3861"/>
      <c r="D670" s="868"/>
      <c r="E670" s="864"/>
      <c r="F670" s="835"/>
      <c r="G670" s="798"/>
      <c r="H670" s="805"/>
      <c r="I670" s="805"/>
      <c r="J670" s="1815"/>
      <c r="K670" s="2225"/>
      <c r="L670" s="2271"/>
      <c r="M670" s="2271"/>
      <c r="N670" s="1638"/>
      <c r="P670" s="4588"/>
    </row>
    <row r="671" spans="1:16" s="1639" customFormat="1" ht="17.25" customHeight="1" x14ac:dyDescent="0.25">
      <c r="A671" s="1637"/>
      <c r="B671" s="1305"/>
      <c r="C671" s="3858" t="s">
        <v>4692</v>
      </c>
      <c r="D671" s="669">
        <f>SUM(D672+D675+D678+D681+D684+D687)</f>
        <v>355348500</v>
      </c>
      <c r="E671" s="1445">
        <f>D671/D426*100</f>
        <v>0.19853326790507364</v>
      </c>
      <c r="F671" s="832"/>
      <c r="G671" s="832"/>
      <c r="H671" s="765"/>
      <c r="I671" s="807"/>
      <c r="J671" s="1813"/>
      <c r="K671" s="1813"/>
      <c r="L671" s="1726"/>
      <c r="M671" s="1726"/>
      <c r="N671" s="1638"/>
      <c r="P671" s="4588"/>
    </row>
    <row r="672" spans="1:16" s="1639" customFormat="1" ht="18" customHeight="1" x14ac:dyDescent="0.25">
      <c r="A672" s="1637"/>
      <c r="B672" s="1242"/>
      <c r="C672" s="3881" t="s">
        <v>4693</v>
      </c>
      <c r="D672" s="889">
        <f>D673</f>
        <v>30000000</v>
      </c>
      <c r="E672" s="1453">
        <f>D672/D426*100</f>
        <v>1.6761005146081129E-2</v>
      </c>
      <c r="F672" s="854"/>
      <c r="G672" s="854"/>
      <c r="H672" s="753"/>
      <c r="I672" s="937"/>
      <c r="J672" s="1836"/>
      <c r="K672" s="1836"/>
      <c r="L672" s="753"/>
      <c r="M672" s="2118"/>
      <c r="N672" s="1638"/>
      <c r="P672" s="4588"/>
    </row>
    <row r="673" spans="1:16" s="1639" customFormat="1" ht="17.25" customHeight="1" x14ac:dyDescent="0.25">
      <c r="A673" s="1637"/>
      <c r="B673" s="1242"/>
      <c r="C673" s="3860" t="s">
        <v>4694</v>
      </c>
      <c r="D673" s="666">
        <v>30000000</v>
      </c>
      <c r="E673" s="864">
        <f>D673/D426*100</f>
        <v>1.6761005146081129E-2</v>
      </c>
      <c r="F673" s="838"/>
      <c r="G673" s="755"/>
      <c r="H673" s="755"/>
      <c r="I673" s="802"/>
      <c r="J673" s="1818"/>
      <c r="K673" s="1238"/>
      <c r="L673" s="802"/>
      <c r="M673" s="1648"/>
      <c r="N673" s="1638"/>
      <c r="P673" s="4588"/>
    </row>
    <row r="674" spans="1:16" s="485" customFormat="1" ht="9" customHeight="1" x14ac:dyDescent="0.25">
      <c r="A674" s="352"/>
      <c r="B674" s="1242"/>
      <c r="C674" s="3861"/>
      <c r="D674" s="868"/>
      <c r="E674" s="864"/>
      <c r="F674" s="835"/>
      <c r="G674" s="798"/>
      <c r="H674" s="805"/>
      <c r="I674" s="805"/>
      <c r="J674" s="1815"/>
      <c r="K674" s="2270"/>
      <c r="L674" s="2271"/>
      <c r="M674" s="2271"/>
      <c r="N674" s="535"/>
      <c r="P674" s="500"/>
    </row>
    <row r="675" spans="1:16" s="3627" customFormat="1" ht="18.75" customHeight="1" x14ac:dyDescent="0.25">
      <c r="A675" s="3618"/>
      <c r="B675" s="3623"/>
      <c r="C675" s="3882" t="s">
        <v>4695</v>
      </c>
      <c r="D675" s="673">
        <f>D676</f>
        <v>96000000</v>
      </c>
      <c r="E675" s="1453">
        <f>D675/D426*100</f>
        <v>5.3635216467459605E-2</v>
      </c>
      <c r="F675" s="838"/>
      <c r="G675" s="3630"/>
      <c r="H675" s="3630"/>
      <c r="I675" s="3630"/>
      <c r="J675" s="1818"/>
      <c r="K675" s="1753"/>
      <c r="L675" s="3648"/>
      <c r="M675" s="3648"/>
      <c r="N675" s="3619"/>
      <c r="P675" s="500"/>
    </row>
    <row r="676" spans="1:16" s="3627" customFormat="1" ht="16.5" customHeight="1" x14ac:dyDescent="0.25">
      <c r="A676" s="3618"/>
      <c r="B676" s="3623"/>
      <c r="C676" s="3860" t="s">
        <v>4767</v>
      </c>
      <c r="D676" s="666">
        <v>96000000</v>
      </c>
      <c r="E676" s="864">
        <f>D676/D426*100</f>
        <v>5.3635216467459605E-2</v>
      </c>
      <c r="F676" s="838"/>
      <c r="G676" s="3630"/>
      <c r="H676" s="3630"/>
      <c r="I676" s="3630"/>
      <c r="J676" s="1818"/>
      <c r="K676" s="1753"/>
      <c r="L676" s="3648"/>
      <c r="M676" s="3648"/>
      <c r="N676" s="3619"/>
      <c r="P676" s="500"/>
    </row>
    <row r="677" spans="1:16" s="3627" customFormat="1" ht="13.5" customHeight="1" x14ac:dyDescent="0.25">
      <c r="A677" s="3618"/>
      <c r="B677" s="3623"/>
      <c r="C677" s="3860"/>
      <c r="D677" s="666"/>
      <c r="E677" s="864"/>
      <c r="F677" s="838"/>
      <c r="G677" s="3630"/>
      <c r="H677" s="3630"/>
      <c r="I677" s="3630"/>
      <c r="J677" s="1818"/>
      <c r="K677" s="1753"/>
      <c r="L677" s="3648"/>
      <c r="M677" s="3648"/>
      <c r="N677" s="3619"/>
      <c r="P677" s="500"/>
    </row>
    <row r="678" spans="1:16" s="3627" customFormat="1" ht="12.75" customHeight="1" x14ac:dyDescent="0.25">
      <c r="A678" s="3618"/>
      <c r="B678" s="3623"/>
      <c r="C678" s="3882" t="s">
        <v>4696</v>
      </c>
      <c r="D678" s="673">
        <f>D679</f>
        <v>67000000</v>
      </c>
      <c r="E678" s="1453">
        <f>D678/D426*100</f>
        <v>3.7432911492914514E-2</v>
      </c>
      <c r="F678" s="838"/>
      <c r="G678" s="3630"/>
      <c r="H678" s="3630"/>
      <c r="I678" s="3630"/>
      <c r="J678" s="1818"/>
      <c r="K678" s="1753"/>
      <c r="L678" s="3648"/>
      <c r="M678" s="3648"/>
      <c r="N678" s="3619"/>
      <c r="P678" s="500"/>
    </row>
    <row r="679" spans="1:16" s="3627" customFormat="1" ht="19.5" customHeight="1" x14ac:dyDescent="0.25">
      <c r="A679" s="3618"/>
      <c r="B679" s="3623"/>
      <c r="C679" s="3860" t="s">
        <v>4697</v>
      </c>
      <c r="D679" s="666">
        <v>67000000</v>
      </c>
      <c r="E679" s="864">
        <f>D679/D426*100</f>
        <v>3.7432911492914514E-2</v>
      </c>
      <c r="F679" s="838"/>
      <c r="G679" s="3630"/>
      <c r="H679" s="3630"/>
      <c r="I679" s="3630"/>
      <c r="J679" s="1818"/>
      <c r="K679" s="1753"/>
      <c r="L679" s="3648"/>
      <c r="M679" s="3648"/>
      <c r="N679" s="3619"/>
      <c r="P679" s="500"/>
    </row>
    <row r="680" spans="1:16" s="3627" customFormat="1" ht="11.25" customHeight="1" x14ac:dyDescent="0.25">
      <c r="A680" s="3618"/>
      <c r="B680" s="3623"/>
      <c r="C680" s="3860"/>
      <c r="D680" s="666"/>
      <c r="E680" s="864"/>
      <c r="F680" s="838"/>
      <c r="G680" s="3630"/>
      <c r="H680" s="3630"/>
      <c r="I680" s="3630"/>
      <c r="J680" s="1818"/>
      <c r="K680" s="1753"/>
      <c r="L680" s="3648"/>
      <c r="M680" s="3648"/>
      <c r="N680" s="3619"/>
      <c r="P680" s="500"/>
    </row>
    <row r="681" spans="1:16" s="3627" customFormat="1" ht="15.75" customHeight="1" x14ac:dyDescent="0.25">
      <c r="A681" s="3618"/>
      <c r="B681" s="3623"/>
      <c r="C681" s="3882" t="s">
        <v>4698</v>
      </c>
      <c r="D681" s="673">
        <f>D682</f>
        <v>60000000</v>
      </c>
      <c r="E681" s="1453">
        <f>D681/D426*100</f>
        <v>3.3522010292162258E-2</v>
      </c>
      <c r="F681" s="838"/>
      <c r="G681" s="3630"/>
      <c r="H681" s="3630"/>
      <c r="I681" s="3630"/>
      <c r="J681" s="1818"/>
      <c r="K681" s="1753"/>
      <c r="L681" s="3648"/>
      <c r="M681" s="3648"/>
      <c r="N681" s="3619"/>
      <c r="P681" s="500"/>
    </row>
    <row r="682" spans="1:16" s="3627" customFormat="1" ht="17.25" customHeight="1" x14ac:dyDescent="0.25">
      <c r="A682" s="3618"/>
      <c r="B682" s="3623"/>
      <c r="C682" s="3860" t="s">
        <v>4699</v>
      </c>
      <c r="D682" s="666">
        <v>60000000</v>
      </c>
      <c r="E682" s="864">
        <f>D682/D426*100</f>
        <v>3.3522010292162258E-2</v>
      </c>
      <c r="F682" s="838"/>
      <c r="G682" s="3630"/>
      <c r="H682" s="3630"/>
      <c r="I682" s="3630"/>
      <c r="J682" s="1818"/>
      <c r="K682" s="1753"/>
      <c r="L682" s="3648"/>
      <c r="M682" s="3648"/>
      <c r="N682" s="3619"/>
      <c r="P682" s="500"/>
    </row>
    <row r="683" spans="1:16" s="3627" customFormat="1" ht="12" customHeight="1" x14ac:dyDescent="0.25">
      <c r="A683" s="3618"/>
      <c r="B683" s="3623"/>
      <c r="C683" s="3860"/>
      <c r="D683" s="666"/>
      <c r="E683" s="864"/>
      <c r="F683" s="838"/>
      <c r="G683" s="3630"/>
      <c r="H683" s="3630"/>
      <c r="I683" s="3630"/>
      <c r="J683" s="1818"/>
      <c r="K683" s="1753"/>
      <c r="L683" s="3648"/>
      <c r="M683" s="3648"/>
      <c r="N683" s="3619"/>
      <c r="P683" s="500"/>
    </row>
    <row r="684" spans="1:16" s="3627" customFormat="1" ht="21.75" customHeight="1" x14ac:dyDescent="0.25">
      <c r="A684" s="3618"/>
      <c r="B684" s="3623"/>
      <c r="C684" s="3882" t="s">
        <v>4700</v>
      </c>
      <c r="D684" s="673">
        <f>D685</f>
        <v>50000000</v>
      </c>
      <c r="E684" s="1453">
        <f>D684/D426*100</f>
        <v>2.7935008576801874E-2</v>
      </c>
      <c r="F684" s="838"/>
      <c r="G684" s="3630"/>
      <c r="H684" s="3630"/>
      <c r="I684" s="3630"/>
      <c r="J684" s="1818"/>
      <c r="K684" s="1753"/>
      <c r="L684" s="3648"/>
      <c r="M684" s="3648"/>
      <c r="N684" s="3619"/>
      <c r="P684" s="500"/>
    </row>
    <row r="685" spans="1:16" s="3627" customFormat="1" ht="17.25" customHeight="1" x14ac:dyDescent="0.25">
      <c r="A685" s="3618"/>
      <c r="B685" s="3623"/>
      <c r="C685" s="3860" t="s">
        <v>4701</v>
      </c>
      <c r="D685" s="666">
        <v>50000000</v>
      </c>
      <c r="E685" s="864">
        <f>D685/D426*100</f>
        <v>2.7935008576801874E-2</v>
      </c>
      <c r="F685" s="838"/>
      <c r="G685" s="3630"/>
      <c r="H685" s="3630"/>
      <c r="I685" s="3630"/>
      <c r="J685" s="1818"/>
      <c r="K685" s="1753"/>
      <c r="L685" s="3648"/>
      <c r="M685" s="3648"/>
      <c r="N685" s="3619"/>
      <c r="P685" s="500"/>
    </row>
    <row r="686" spans="1:16" s="3627" customFormat="1" ht="9.75" customHeight="1" x14ac:dyDescent="0.25">
      <c r="A686" s="3618"/>
      <c r="B686" s="3623"/>
      <c r="C686" s="3860"/>
      <c r="D686" s="666"/>
      <c r="E686" s="864"/>
      <c r="F686" s="838"/>
      <c r="G686" s="3630"/>
      <c r="H686" s="3630"/>
      <c r="I686" s="3630"/>
      <c r="J686" s="1818"/>
      <c r="K686" s="1753"/>
      <c r="L686" s="3648"/>
      <c r="M686" s="3648"/>
      <c r="N686" s="3619"/>
      <c r="P686" s="500"/>
    </row>
    <row r="687" spans="1:16" s="3627" customFormat="1" ht="20.25" customHeight="1" x14ac:dyDescent="0.25">
      <c r="A687" s="3618"/>
      <c r="B687" s="3623"/>
      <c r="C687" s="3882" t="s">
        <v>4702</v>
      </c>
      <c r="D687" s="673">
        <f>SUM(D688:D689)</f>
        <v>52348500</v>
      </c>
      <c r="E687" s="1453">
        <f>D687/D426*100</f>
        <v>2.9247115929654264E-2</v>
      </c>
      <c r="F687" s="838"/>
      <c r="G687" s="3630"/>
      <c r="H687" s="3630"/>
      <c r="I687" s="3630"/>
      <c r="J687" s="1818"/>
      <c r="K687" s="1753"/>
      <c r="L687" s="3648"/>
      <c r="M687" s="3648"/>
      <c r="N687" s="3619"/>
      <c r="P687" s="500"/>
    </row>
    <row r="688" spans="1:16" s="3627" customFormat="1" ht="15.75" customHeight="1" x14ac:dyDescent="0.25">
      <c r="A688" s="3618"/>
      <c r="B688" s="3623"/>
      <c r="C688" s="3860" t="s">
        <v>4703</v>
      </c>
      <c r="D688" s="666">
        <v>46000000</v>
      </c>
      <c r="E688" s="864">
        <f>D688/D426*100</f>
        <v>2.5700207890657727E-2</v>
      </c>
      <c r="F688" s="838"/>
      <c r="G688" s="3630"/>
      <c r="H688" s="3630"/>
      <c r="I688" s="3630"/>
      <c r="J688" s="1818"/>
      <c r="K688" s="1753"/>
      <c r="L688" s="3648"/>
      <c r="M688" s="3648"/>
      <c r="N688" s="3619"/>
      <c r="P688" s="500"/>
    </row>
    <row r="689" spans="1:16" s="3627" customFormat="1" ht="17.25" customHeight="1" x14ac:dyDescent="0.25">
      <c r="A689" s="3618"/>
      <c r="B689" s="3623"/>
      <c r="C689" s="3860" t="s">
        <v>4704</v>
      </c>
      <c r="D689" s="666">
        <v>6348500</v>
      </c>
      <c r="E689" s="1126">
        <f>D689/D426*100</f>
        <v>3.5469080389965344E-3</v>
      </c>
      <c r="F689" s="838"/>
      <c r="G689" s="3630"/>
      <c r="H689" s="3630"/>
      <c r="I689" s="3630"/>
      <c r="J689" s="1818"/>
      <c r="K689" s="1753"/>
      <c r="L689" s="3648"/>
      <c r="M689" s="3648"/>
      <c r="N689" s="3619"/>
      <c r="P689" s="500"/>
    </row>
    <row r="690" spans="1:16" s="3627" customFormat="1" ht="13.5" customHeight="1" x14ac:dyDescent="0.25">
      <c r="A690" s="3618"/>
      <c r="B690" s="3623"/>
      <c r="C690" s="3892"/>
      <c r="D690" s="671"/>
      <c r="E690" s="1450"/>
      <c r="F690" s="840"/>
      <c r="G690" s="827"/>
      <c r="H690" s="804"/>
      <c r="I690" s="804"/>
      <c r="J690" s="1819"/>
      <c r="K690" s="2270"/>
      <c r="L690" s="1649"/>
      <c r="M690" s="1649"/>
      <c r="N690" s="3619"/>
      <c r="P690" s="500"/>
    </row>
    <row r="691" spans="1:16" s="1639" customFormat="1" ht="15.75" customHeight="1" x14ac:dyDescent="0.25">
      <c r="A691" s="1637"/>
      <c r="B691" s="1305"/>
      <c r="C691" s="3858" t="s">
        <v>4705</v>
      </c>
      <c r="D691" s="669">
        <f>SUM(D692+D695+D698+D701+D704+D707+D710)</f>
        <v>312378000</v>
      </c>
      <c r="E691" s="1445">
        <f>D691/D426*100</f>
        <v>0.17452564218408434</v>
      </c>
      <c r="F691" s="832"/>
      <c r="G691" s="832"/>
      <c r="H691" s="765"/>
      <c r="I691" s="807"/>
      <c r="J691" s="1813"/>
      <c r="K691" s="1813"/>
      <c r="L691" s="1726"/>
      <c r="M691" s="1726"/>
      <c r="N691" s="1638"/>
      <c r="P691" s="4588"/>
    </row>
    <row r="692" spans="1:16" s="1639" customFormat="1" ht="18" customHeight="1" x14ac:dyDescent="0.25">
      <c r="A692" s="1637"/>
      <c r="B692" s="1242"/>
      <c r="C692" s="3881" t="s">
        <v>4706</v>
      </c>
      <c r="D692" s="889">
        <f>D693</f>
        <v>20000000</v>
      </c>
      <c r="E692" s="1453">
        <f>D692/D426*100</f>
        <v>1.1174003430720753E-2</v>
      </c>
      <c r="F692" s="854"/>
      <c r="G692" s="854"/>
      <c r="H692" s="753"/>
      <c r="I692" s="1012"/>
      <c r="J692" s="1836"/>
      <c r="K692" s="1836"/>
      <c r="L692" s="753"/>
      <c r="M692" s="2118"/>
      <c r="N692" s="1638"/>
      <c r="P692" s="4588"/>
    </row>
    <row r="693" spans="1:16" s="1639" customFormat="1" ht="17.25" customHeight="1" x14ac:dyDescent="0.25">
      <c r="A693" s="1637"/>
      <c r="B693" s="1242"/>
      <c r="C693" s="3860" t="s">
        <v>4707</v>
      </c>
      <c r="D693" s="666">
        <v>20000000</v>
      </c>
      <c r="E693" s="864">
        <f>D693/D426*100</f>
        <v>1.1174003430720753E-2</v>
      </c>
      <c r="F693" s="839"/>
      <c r="G693" s="839"/>
      <c r="H693" s="753"/>
      <c r="I693" s="803"/>
      <c r="J693" s="1381"/>
      <c r="K693" s="1381"/>
      <c r="L693" s="802"/>
      <c r="M693" s="1648"/>
      <c r="N693" s="1638"/>
      <c r="P693" s="4588"/>
    </row>
    <row r="694" spans="1:16" s="1639" customFormat="1" ht="12" customHeight="1" x14ac:dyDescent="0.25">
      <c r="A694" s="1637"/>
      <c r="B694" s="1242"/>
      <c r="C694" s="3861"/>
      <c r="D694" s="666"/>
      <c r="E694" s="864"/>
      <c r="F694" s="838"/>
      <c r="G694" s="755"/>
      <c r="H694" s="755"/>
      <c r="I694" s="802"/>
      <c r="J694" s="1818"/>
      <c r="K694" s="1238"/>
      <c r="L694" s="802"/>
      <c r="M694" s="1648"/>
      <c r="N694" s="1638"/>
      <c r="P694" s="4588"/>
    </row>
    <row r="695" spans="1:16" s="1639" customFormat="1" ht="17.25" customHeight="1" x14ac:dyDescent="0.25">
      <c r="A695" s="1637"/>
      <c r="B695" s="3623"/>
      <c r="C695" s="3882" t="s">
        <v>4708</v>
      </c>
      <c r="D695" s="667">
        <f>D696</f>
        <v>60000000</v>
      </c>
      <c r="E695" s="1453">
        <f>D695/D426*100</f>
        <v>3.3522010292162258E-2</v>
      </c>
      <c r="F695" s="838"/>
      <c r="G695" s="3630"/>
      <c r="H695" s="3630"/>
      <c r="I695" s="3630"/>
      <c r="J695" s="1818"/>
      <c r="K695" s="1238"/>
      <c r="L695" s="3630"/>
      <c r="M695" s="3648"/>
      <c r="N695" s="1638"/>
      <c r="P695" s="4588"/>
    </row>
    <row r="696" spans="1:16" s="1639" customFormat="1" ht="16.5" customHeight="1" x14ac:dyDescent="0.25">
      <c r="A696" s="1637"/>
      <c r="B696" s="3623"/>
      <c r="C696" s="3860" t="s">
        <v>4709</v>
      </c>
      <c r="D696" s="666">
        <v>60000000</v>
      </c>
      <c r="E696" s="864">
        <f>D696/D426*100</f>
        <v>3.3522010292162258E-2</v>
      </c>
      <c r="F696" s="838"/>
      <c r="G696" s="3630"/>
      <c r="H696" s="3630"/>
      <c r="I696" s="3630"/>
      <c r="J696" s="1818"/>
      <c r="K696" s="1238"/>
      <c r="L696" s="3630"/>
      <c r="M696" s="3648"/>
      <c r="N696" s="1638"/>
      <c r="P696" s="4588"/>
    </row>
    <row r="697" spans="1:16" s="1639" customFormat="1" ht="10.5" customHeight="1" x14ac:dyDescent="0.25">
      <c r="A697" s="1637"/>
      <c r="B697" s="3623"/>
      <c r="C697" s="3892"/>
      <c r="D697" s="671"/>
      <c r="E697" s="864"/>
      <c r="F697" s="840"/>
      <c r="G697" s="827"/>
      <c r="H697" s="804"/>
      <c r="I697" s="804"/>
      <c r="J697" s="1819"/>
      <c r="K697" s="3722"/>
      <c r="L697" s="804"/>
      <c r="M697" s="1649"/>
      <c r="N697" s="1638"/>
      <c r="P697" s="4588"/>
    </row>
    <row r="698" spans="1:16" s="1639" customFormat="1" ht="15.75" customHeight="1" x14ac:dyDescent="0.25">
      <c r="A698" s="1637"/>
      <c r="B698" s="3623"/>
      <c r="C698" s="3882" t="s">
        <v>4710</v>
      </c>
      <c r="D698" s="673">
        <f>D699</f>
        <v>60000000</v>
      </c>
      <c r="E698" s="1453">
        <f>D698/D426*100</f>
        <v>3.3522010292162258E-2</v>
      </c>
      <c r="F698" s="838"/>
      <c r="G698" s="3630"/>
      <c r="H698" s="3630"/>
      <c r="I698" s="3630"/>
      <c r="J698" s="1818"/>
      <c r="K698" s="1238"/>
      <c r="L698" s="3630"/>
      <c r="M698" s="3648"/>
      <c r="N698" s="1638"/>
      <c r="P698" s="4588"/>
    </row>
    <row r="699" spans="1:16" s="1639" customFormat="1" ht="18" customHeight="1" x14ac:dyDescent="0.25">
      <c r="A699" s="1637"/>
      <c r="B699" s="3623"/>
      <c r="C699" s="3860" t="s">
        <v>4711</v>
      </c>
      <c r="D699" s="666">
        <v>60000000</v>
      </c>
      <c r="E699" s="864">
        <f>D699/D426*100</f>
        <v>3.3522010292162258E-2</v>
      </c>
      <c r="F699" s="838"/>
      <c r="G699" s="3630"/>
      <c r="H699" s="3630"/>
      <c r="I699" s="3630"/>
      <c r="J699" s="1818"/>
      <c r="K699" s="1238"/>
      <c r="L699" s="3630"/>
      <c r="M699" s="3648"/>
      <c r="N699" s="1638"/>
      <c r="P699" s="4588"/>
    </row>
    <row r="700" spans="1:16" s="1639" customFormat="1" ht="12" customHeight="1" x14ac:dyDescent="0.25">
      <c r="A700" s="1637"/>
      <c r="B700" s="3623"/>
      <c r="C700" s="3860"/>
      <c r="D700" s="666"/>
      <c r="E700" s="864"/>
      <c r="F700" s="838"/>
      <c r="G700" s="3630"/>
      <c r="H700" s="3630"/>
      <c r="I700" s="3630"/>
      <c r="J700" s="1818"/>
      <c r="K700" s="1238"/>
      <c r="L700" s="3630"/>
      <c r="M700" s="3648"/>
      <c r="N700" s="1638"/>
      <c r="P700" s="4588"/>
    </row>
    <row r="701" spans="1:16" s="1639" customFormat="1" x14ac:dyDescent="0.25">
      <c r="A701" s="1637"/>
      <c r="B701" s="3623"/>
      <c r="C701" s="3882" t="s">
        <v>4712</v>
      </c>
      <c r="D701" s="673">
        <f>D702</f>
        <v>50378000</v>
      </c>
      <c r="E701" s="1453">
        <f>D701/D426*100</f>
        <v>2.8146197241642499E-2</v>
      </c>
      <c r="F701" s="838"/>
      <c r="G701" s="3630"/>
      <c r="H701" s="3630"/>
      <c r="I701" s="3630"/>
      <c r="J701" s="1818"/>
      <c r="K701" s="1238"/>
      <c r="L701" s="3630"/>
      <c r="M701" s="3648"/>
      <c r="N701" s="1638"/>
      <c r="P701" s="4588"/>
    </row>
    <row r="702" spans="1:16" s="1639" customFormat="1" ht="18.75" customHeight="1" x14ac:dyDescent="0.25">
      <c r="A702" s="1637"/>
      <c r="B702" s="3623"/>
      <c r="C702" s="3860" t="s">
        <v>4713</v>
      </c>
      <c r="D702" s="666">
        <v>50378000</v>
      </c>
      <c r="E702" s="864">
        <f>D702/D426*100</f>
        <v>2.8146197241642499E-2</v>
      </c>
      <c r="F702" s="838"/>
      <c r="G702" s="3630"/>
      <c r="H702" s="3630"/>
      <c r="I702" s="3630"/>
      <c r="J702" s="1818"/>
      <c r="K702" s="1238"/>
      <c r="L702" s="3630"/>
      <c r="M702" s="3648"/>
      <c r="N702" s="1638"/>
      <c r="P702" s="4588"/>
    </row>
    <row r="703" spans="1:16" s="1639" customFormat="1" ht="10.5" customHeight="1" x14ac:dyDescent="0.25">
      <c r="A703" s="1637"/>
      <c r="B703" s="3623"/>
      <c r="C703" s="3860"/>
      <c r="D703" s="666"/>
      <c r="E703" s="864"/>
      <c r="F703" s="838"/>
      <c r="G703" s="3630"/>
      <c r="H703" s="3630"/>
      <c r="I703" s="3630"/>
      <c r="J703" s="1818"/>
      <c r="K703" s="1238"/>
      <c r="L703" s="3630"/>
      <c r="M703" s="3648"/>
      <c r="N703" s="1638"/>
      <c r="P703" s="4588"/>
    </row>
    <row r="704" spans="1:16" s="1639" customFormat="1" ht="18" customHeight="1" x14ac:dyDescent="0.25">
      <c r="A704" s="1637"/>
      <c r="B704" s="3623"/>
      <c r="C704" s="3882" t="s">
        <v>4714</v>
      </c>
      <c r="D704" s="673">
        <f>D705</f>
        <v>42000000</v>
      </c>
      <c r="E704" s="1453">
        <f>D704/D426*100</f>
        <v>2.3465407204513577E-2</v>
      </c>
      <c r="F704" s="838"/>
      <c r="G704" s="3630"/>
      <c r="H704" s="3630"/>
      <c r="I704" s="3630"/>
      <c r="J704" s="1818"/>
      <c r="K704" s="1238"/>
      <c r="L704" s="3630"/>
      <c r="M704" s="3648"/>
      <c r="N704" s="1638"/>
      <c r="P704" s="4588"/>
    </row>
    <row r="705" spans="1:16" s="1639" customFormat="1" ht="21" customHeight="1" x14ac:dyDescent="0.25">
      <c r="A705" s="1637"/>
      <c r="B705" s="3623"/>
      <c r="C705" s="3860" t="s">
        <v>4715</v>
      </c>
      <c r="D705" s="666">
        <v>42000000</v>
      </c>
      <c r="E705" s="864">
        <f>D705/D426*100</f>
        <v>2.3465407204513577E-2</v>
      </c>
      <c r="F705" s="838"/>
      <c r="G705" s="3630"/>
      <c r="H705" s="3630"/>
      <c r="I705" s="3630"/>
      <c r="J705" s="1818"/>
      <c r="K705" s="1238"/>
      <c r="L705" s="3630"/>
      <c r="M705" s="3648"/>
      <c r="N705" s="1638"/>
      <c r="P705" s="4588"/>
    </row>
    <row r="706" spans="1:16" s="1639" customFormat="1" ht="11.25" customHeight="1" x14ac:dyDescent="0.25">
      <c r="A706" s="1637"/>
      <c r="B706" s="3623"/>
      <c r="C706" s="3860"/>
      <c r="D706" s="666"/>
      <c r="E706" s="864"/>
      <c r="F706" s="838"/>
      <c r="G706" s="3630"/>
      <c r="H706" s="3630"/>
      <c r="I706" s="3630"/>
      <c r="J706" s="1818"/>
      <c r="K706" s="1238"/>
      <c r="L706" s="3630"/>
      <c r="M706" s="3648"/>
      <c r="N706" s="1638"/>
      <c r="P706" s="4588"/>
    </row>
    <row r="707" spans="1:16" s="1639" customFormat="1" ht="18.75" customHeight="1" x14ac:dyDescent="0.25">
      <c r="A707" s="1637"/>
      <c r="B707" s="3623"/>
      <c r="C707" s="3882" t="s">
        <v>4716</v>
      </c>
      <c r="D707" s="673">
        <f>D708</f>
        <v>40000000</v>
      </c>
      <c r="E707" s="1453">
        <f>D707/D426*100</f>
        <v>2.2348006861441505E-2</v>
      </c>
      <c r="F707" s="838"/>
      <c r="G707" s="3630"/>
      <c r="H707" s="3630"/>
      <c r="I707" s="3630"/>
      <c r="J707" s="1818"/>
      <c r="K707" s="1238"/>
      <c r="L707" s="3630"/>
      <c r="M707" s="3648"/>
      <c r="N707" s="1638"/>
      <c r="P707" s="4588"/>
    </row>
    <row r="708" spans="1:16" s="1639" customFormat="1" ht="26.25" customHeight="1" x14ac:dyDescent="0.25">
      <c r="A708" s="1637"/>
      <c r="B708" s="3623"/>
      <c r="C708" s="3860" t="s">
        <v>4717</v>
      </c>
      <c r="D708" s="666">
        <v>40000000</v>
      </c>
      <c r="E708" s="864">
        <f>D708/D426*100</f>
        <v>2.2348006861441505E-2</v>
      </c>
      <c r="F708" s="838"/>
      <c r="G708" s="3630"/>
      <c r="H708" s="3630"/>
      <c r="I708" s="3630"/>
      <c r="J708" s="1818"/>
      <c r="K708" s="1238"/>
      <c r="L708" s="3630"/>
      <c r="M708" s="3648"/>
      <c r="N708" s="1638"/>
      <c r="P708" s="4588"/>
    </row>
    <row r="709" spans="1:16" s="1639" customFormat="1" ht="10.5" customHeight="1" x14ac:dyDescent="0.25">
      <c r="A709" s="1637"/>
      <c r="B709" s="3623"/>
      <c r="C709" s="3860"/>
      <c r="D709" s="666"/>
      <c r="E709" s="864"/>
      <c r="F709" s="838"/>
      <c r="G709" s="3630"/>
      <c r="H709" s="3630"/>
      <c r="I709" s="3630"/>
      <c r="J709" s="1818"/>
      <c r="K709" s="1238"/>
      <c r="L709" s="3630"/>
      <c r="M709" s="3648"/>
      <c r="N709" s="1638"/>
      <c r="P709" s="4588"/>
    </row>
    <row r="710" spans="1:16" s="1639" customFormat="1" ht="18.75" customHeight="1" x14ac:dyDescent="0.25">
      <c r="A710" s="1637"/>
      <c r="B710" s="3623"/>
      <c r="C710" s="3882" t="s">
        <v>4718</v>
      </c>
      <c r="D710" s="673">
        <f>D711</f>
        <v>40000000</v>
      </c>
      <c r="E710" s="1453">
        <f>D710/D426*100</f>
        <v>2.2348006861441505E-2</v>
      </c>
      <c r="F710" s="838"/>
      <c r="G710" s="3630"/>
      <c r="H710" s="3630"/>
      <c r="I710" s="3630"/>
      <c r="J710" s="1818"/>
      <c r="K710" s="1238"/>
      <c r="L710" s="3630"/>
      <c r="M710" s="3648"/>
      <c r="N710" s="1638"/>
      <c r="P710" s="4588"/>
    </row>
    <row r="711" spans="1:16" s="1639" customFormat="1" ht="17.25" customHeight="1" x14ac:dyDescent="0.25">
      <c r="A711" s="1637"/>
      <c r="B711" s="3623"/>
      <c r="C711" s="3860" t="s">
        <v>4719</v>
      </c>
      <c r="D711" s="666">
        <v>40000000</v>
      </c>
      <c r="E711" s="864">
        <f>D711/D426*100</f>
        <v>2.2348006861441505E-2</v>
      </c>
      <c r="F711" s="838"/>
      <c r="G711" s="3630"/>
      <c r="H711" s="3630"/>
      <c r="I711" s="3630"/>
      <c r="J711" s="1818"/>
      <c r="K711" s="1238"/>
      <c r="L711" s="3630"/>
      <c r="M711" s="3648"/>
      <c r="N711" s="1638"/>
      <c r="P711" s="4588"/>
    </row>
    <row r="712" spans="1:16" s="485" customFormat="1" ht="13.5" customHeight="1" x14ac:dyDescent="0.25">
      <c r="A712" s="352"/>
      <c r="B712" s="1242"/>
      <c r="C712" s="3892"/>
      <c r="D712" s="671"/>
      <c r="E712" s="1326"/>
      <c r="F712" s="840"/>
      <c r="G712" s="827"/>
      <c r="H712" s="804"/>
      <c r="I712" s="804"/>
      <c r="J712" s="1819"/>
      <c r="K712" s="2270"/>
      <c r="L712" s="1649"/>
      <c r="M712" s="1649"/>
      <c r="N712" s="535"/>
      <c r="P712" s="500"/>
    </row>
    <row r="713" spans="1:16" s="1639" customFormat="1" ht="17.25" customHeight="1" x14ac:dyDescent="0.25">
      <c r="A713" s="1637"/>
      <c r="B713" s="1305"/>
      <c r="C713" s="3895" t="s">
        <v>4720</v>
      </c>
      <c r="D713" s="4201">
        <f>SUM(D714+D717+D720+D723+D727)</f>
        <v>440000000</v>
      </c>
      <c r="E713" s="1445">
        <f>D713/D426*100</f>
        <v>0.24582807547585653</v>
      </c>
      <c r="F713" s="855"/>
      <c r="G713" s="855"/>
      <c r="H713" s="765"/>
      <c r="I713" s="765"/>
      <c r="J713" s="855"/>
      <c r="K713" s="855"/>
      <c r="L713" s="1726"/>
      <c r="M713" s="1726"/>
      <c r="N713" s="1638"/>
      <c r="P713" s="4588"/>
    </row>
    <row r="714" spans="1:16" s="1639" customFormat="1" ht="19.5" customHeight="1" x14ac:dyDescent="0.25">
      <c r="A714" s="1637"/>
      <c r="B714" s="1242"/>
      <c r="C714" s="3893" t="s">
        <v>4721</v>
      </c>
      <c r="D714" s="4202">
        <f>D715</f>
        <v>60000000</v>
      </c>
      <c r="E714" s="1453">
        <f>D714/D426*100</f>
        <v>3.3522010292162258E-2</v>
      </c>
      <c r="F714" s="856"/>
      <c r="G714" s="795"/>
      <c r="H714" s="795"/>
      <c r="I714" s="795"/>
      <c r="J714" s="1837"/>
      <c r="K714" s="1771"/>
      <c r="L714" s="795"/>
      <c r="M714" s="795"/>
      <c r="N714" s="1638"/>
      <c r="P714" s="4588"/>
    </row>
    <row r="715" spans="1:16" s="1639" customFormat="1" ht="15.75" customHeight="1" x14ac:dyDescent="0.25">
      <c r="A715" s="1637"/>
      <c r="B715" s="1242"/>
      <c r="C715" s="3861" t="s">
        <v>4722</v>
      </c>
      <c r="D715" s="4179">
        <v>60000000</v>
      </c>
      <c r="E715" s="864">
        <f>D715/D426*100</f>
        <v>3.3522010292162258E-2</v>
      </c>
      <c r="F715" s="813"/>
      <c r="G715" s="798"/>
      <c r="H715" s="798"/>
      <c r="I715" s="798"/>
      <c r="J715" s="1786"/>
      <c r="K715" s="865"/>
      <c r="L715" s="798"/>
      <c r="M715" s="798"/>
      <c r="N715" s="1638"/>
      <c r="P715" s="4588"/>
    </row>
    <row r="716" spans="1:16" s="485" customFormat="1" ht="9" customHeight="1" x14ac:dyDescent="0.25">
      <c r="A716" s="352"/>
      <c r="B716" s="1242"/>
      <c r="C716" s="3861"/>
      <c r="D716" s="4179"/>
      <c r="E716" s="864"/>
      <c r="F716" s="813"/>
      <c r="G716" s="798"/>
      <c r="H716" s="798"/>
      <c r="I716" s="798"/>
      <c r="J716" s="1786"/>
      <c r="K716" s="2225"/>
      <c r="L716" s="2271"/>
      <c r="M716" s="2271"/>
      <c r="N716" s="535"/>
      <c r="P716" s="500"/>
    </row>
    <row r="717" spans="1:16" s="1639" customFormat="1" ht="18.75" customHeight="1" x14ac:dyDescent="0.25">
      <c r="A717" s="1637"/>
      <c r="B717" s="1242"/>
      <c r="C717" s="3873" t="s">
        <v>4723</v>
      </c>
      <c r="D717" s="4177">
        <f>D718</f>
        <v>120000000</v>
      </c>
      <c r="E717" s="1453">
        <f>D717/D426*100</f>
        <v>6.7044020584324515E-2</v>
      </c>
      <c r="F717" s="816"/>
      <c r="G717" s="857"/>
      <c r="H717" s="857"/>
      <c r="I717" s="857"/>
      <c r="J717" s="1789"/>
      <c r="K717" s="1945"/>
      <c r="L717" s="857"/>
      <c r="M717" s="857"/>
      <c r="N717" s="1638"/>
      <c r="P717" s="4588"/>
    </row>
    <row r="718" spans="1:16" s="1639" customFormat="1" ht="15.75" customHeight="1" x14ac:dyDescent="0.25">
      <c r="A718" s="1637"/>
      <c r="B718" s="1242"/>
      <c r="C718" s="3861" t="s">
        <v>4724</v>
      </c>
      <c r="D718" s="4179">
        <v>120000000</v>
      </c>
      <c r="E718" s="864">
        <f>D718/D426*100</f>
        <v>6.7044020584324515E-2</v>
      </c>
      <c r="F718" s="813"/>
      <c r="G718" s="798"/>
      <c r="H718" s="798"/>
      <c r="I718" s="798"/>
      <c r="J718" s="1786"/>
      <c r="K718" s="865"/>
      <c r="L718" s="798"/>
      <c r="M718" s="798"/>
      <c r="N718" s="1638"/>
      <c r="P718" s="4588"/>
    </row>
    <row r="719" spans="1:16" s="1639" customFormat="1" ht="9.75" customHeight="1" x14ac:dyDescent="0.25">
      <c r="A719" s="1637"/>
      <c r="B719" s="1242"/>
      <c r="C719" s="3861"/>
      <c r="D719" s="4179"/>
      <c r="E719" s="864"/>
      <c r="F719" s="813"/>
      <c r="G719" s="798"/>
      <c r="H719" s="798"/>
      <c r="I719" s="798"/>
      <c r="J719" s="1786"/>
      <c r="K719" s="865"/>
      <c r="L719" s="798"/>
      <c r="M719" s="798"/>
      <c r="N719" s="1638"/>
      <c r="P719" s="4588"/>
    </row>
    <row r="720" spans="1:16" s="1639" customFormat="1" ht="14.25" customHeight="1" x14ac:dyDescent="0.25">
      <c r="A720" s="1637"/>
      <c r="B720" s="1242"/>
      <c r="C720" s="3873" t="s">
        <v>4725</v>
      </c>
      <c r="D720" s="4177">
        <f>D721</f>
        <v>70000000</v>
      </c>
      <c r="E720" s="1453">
        <f>D720/D426*100</f>
        <v>3.9109012007522634E-2</v>
      </c>
      <c r="F720" s="816"/>
      <c r="G720" s="857"/>
      <c r="H720" s="857"/>
      <c r="I720" s="857"/>
      <c r="J720" s="1789"/>
      <c r="K720" s="1945"/>
      <c r="L720" s="857"/>
      <c r="M720" s="857"/>
      <c r="N720" s="1638"/>
      <c r="P720" s="4588"/>
    </row>
    <row r="721" spans="1:16" s="1639" customFormat="1" ht="15.75" customHeight="1" x14ac:dyDescent="0.25">
      <c r="A721" s="1637"/>
      <c r="B721" s="1242"/>
      <c r="C721" s="3861" t="s">
        <v>4726</v>
      </c>
      <c r="D721" s="4187">
        <v>70000000</v>
      </c>
      <c r="E721" s="864">
        <f>D721/D426*100</f>
        <v>3.9109012007522634E-2</v>
      </c>
      <c r="F721" s="824"/>
      <c r="G721" s="798"/>
      <c r="H721" s="798"/>
      <c r="I721" s="798"/>
      <c r="J721" s="1802"/>
      <c r="K721" s="865"/>
      <c r="L721" s="798"/>
      <c r="M721" s="798"/>
      <c r="N721" s="1638"/>
      <c r="P721" s="4588"/>
    </row>
    <row r="722" spans="1:16" s="1639" customFormat="1" ht="10.5" customHeight="1" x14ac:dyDescent="0.25">
      <c r="A722" s="1637"/>
      <c r="B722" s="1242"/>
      <c r="C722" s="3860"/>
      <c r="D722" s="4189"/>
      <c r="E722" s="864"/>
      <c r="F722" s="826"/>
      <c r="G722" s="755"/>
      <c r="H722" s="755"/>
      <c r="I722" s="755"/>
      <c r="J722" s="1804"/>
      <c r="K722" s="2180"/>
      <c r="L722" s="1648"/>
      <c r="M722" s="1648"/>
      <c r="N722" s="1638"/>
      <c r="P722" s="4588"/>
    </row>
    <row r="723" spans="1:16" s="1639" customFormat="1" ht="15.75" customHeight="1" x14ac:dyDescent="0.25">
      <c r="A723" s="1637"/>
      <c r="B723" s="1242"/>
      <c r="C723" s="3882" t="s">
        <v>4727</v>
      </c>
      <c r="D723" s="4188">
        <f>SUM(D724:D725)</f>
        <v>130000000</v>
      </c>
      <c r="E723" s="1453">
        <f>D723/D426*100</f>
        <v>7.2631022299684878E-2</v>
      </c>
      <c r="F723" s="825"/>
      <c r="G723" s="753"/>
      <c r="H723" s="753"/>
      <c r="I723" s="753"/>
      <c r="J723" s="1803"/>
      <c r="K723" s="1803"/>
      <c r="L723" s="753"/>
      <c r="M723" s="1706"/>
      <c r="N723" s="1638"/>
      <c r="P723" s="4588"/>
    </row>
    <row r="724" spans="1:16" s="1639" customFormat="1" ht="17.25" customHeight="1" x14ac:dyDescent="0.25">
      <c r="A724" s="1637"/>
      <c r="B724" s="1242"/>
      <c r="C724" s="3860" t="s">
        <v>4728</v>
      </c>
      <c r="D724" s="4189">
        <v>80000000</v>
      </c>
      <c r="E724" s="864">
        <f>D724/D426*100</f>
        <v>4.469601372288301E-2</v>
      </c>
      <c r="F724" s="826"/>
      <c r="G724" s="755"/>
      <c r="H724" s="755"/>
      <c r="I724" s="755"/>
      <c r="J724" s="1804"/>
      <c r="K724" s="1238"/>
      <c r="L724" s="802"/>
      <c r="M724" s="1648"/>
      <c r="N724" s="1638"/>
      <c r="P724" s="4588"/>
    </row>
    <row r="725" spans="1:16" s="1639" customFormat="1" ht="27.75" customHeight="1" x14ac:dyDescent="0.25">
      <c r="A725" s="1637"/>
      <c r="B725" s="1242"/>
      <c r="C725" s="3860" t="s">
        <v>4729</v>
      </c>
      <c r="D725" s="4189">
        <v>50000000</v>
      </c>
      <c r="E725" s="864">
        <f>D725/D426*100</f>
        <v>2.7935008576801874E-2</v>
      </c>
      <c r="F725" s="826"/>
      <c r="G725" s="755"/>
      <c r="H725" s="755"/>
      <c r="I725" s="755"/>
      <c r="J725" s="1804"/>
      <c r="K725" s="1753"/>
      <c r="L725" s="1648"/>
      <c r="M725" s="1648"/>
      <c r="N725" s="1638"/>
      <c r="P725" s="4588"/>
    </row>
    <row r="726" spans="1:16" s="1639" customFormat="1" ht="8.25" customHeight="1" x14ac:dyDescent="0.25">
      <c r="A726" s="1637"/>
      <c r="B726" s="3623"/>
      <c r="C726" s="3860"/>
      <c r="D726" s="4189"/>
      <c r="E726" s="864"/>
      <c r="F726" s="826"/>
      <c r="G726" s="3630"/>
      <c r="H726" s="3630"/>
      <c r="I726" s="3630"/>
      <c r="J726" s="1804"/>
      <c r="K726" s="2180"/>
      <c r="L726" s="1648"/>
      <c r="M726" s="1648"/>
      <c r="N726" s="1638"/>
      <c r="P726" s="4588"/>
    </row>
    <row r="727" spans="1:16" s="1639" customFormat="1" ht="18.75" customHeight="1" x14ac:dyDescent="0.25">
      <c r="A727" s="1637"/>
      <c r="B727" s="1242"/>
      <c r="C727" s="3882" t="s">
        <v>4730</v>
      </c>
      <c r="D727" s="4188">
        <f>D728</f>
        <v>60000000</v>
      </c>
      <c r="E727" s="1453">
        <f>D727/D426*100</f>
        <v>3.3522010292162258E-2</v>
      </c>
      <c r="F727" s="825"/>
      <c r="G727" s="753"/>
      <c r="H727" s="753"/>
      <c r="I727" s="753"/>
      <c r="J727" s="1803"/>
      <c r="K727" s="1803"/>
      <c r="L727" s="753"/>
      <c r="M727" s="1706"/>
      <c r="N727" s="1638"/>
      <c r="P727" s="4588"/>
    </row>
    <row r="728" spans="1:16" s="1639" customFormat="1" ht="15.75" customHeight="1" x14ac:dyDescent="0.25">
      <c r="A728" s="1637"/>
      <c r="B728" s="1242"/>
      <c r="C728" s="3860" t="s">
        <v>4731</v>
      </c>
      <c r="D728" s="4189">
        <v>60000000</v>
      </c>
      <c r="E728" s="1126">
        <f>D728/D426*100</f>
        <v>3.3522010292162258E-2</v>
      </c>
      <c r="F728" s="826"/>
      <c r="G728" s="755"/>
      <c r="H728" s="755"/>
      <c r="I728" s="755"/>
      <c r="J728" s="1804"/>
      <c r="K728" s="1238"/>
      <c r="L728" s="802"/>
      <c r="M728" s="1648"/>
      <c r="N728" s="1638"/>
      <c r="P728" s="4588"/>
    </row>
    <row r="729" spans="1:16" s="485" customFormat="1" ht="15.75" customHeight="1" x14ac:dyDescent="0.25">
      <c r="A729" s="352"/>
      <c r="B729" s="1242"/>
      <c r="C729" s="3892"/>
      <c r="D729" s="4187"/>
      <c r="E729" s="1450"/>
      <c r="F729" s="824"/>
      <c r="G729" s="827"/>
      <c r="H729" s="804"/>
      <c r="I729" s="804"/>
      <c r="J729" s="1802"/>
      <c r="K729" s="2270"/>
      <c r="L729" s="1649"/>
      <c r="M729" s="1649"/>
      <c r="N729" s="535"/>
      <c r="P729" s="500"/>
    </row>
    <row r="730" spans="1:16" s="1639" customFormat="1" ht="16.5" customHeight="1" x14ac:dyDescent="0.25">
      <c r="A730" s="1637"/>
      <c r="B730" s="1305"/>
      <c r="C730" s="3858" t="s">
        <v>4732</v>
      </c>
      <c r="D730" s="4203">
        <f>SUM(D731+D734+D737+D740+D743)</f>
        <v>366278000</v>
      </c>
      <c r="E730" s="1445">
        <f>D730/D426*100</f>
        <v>0.20463958142987676</v>
      </c>
      <c r="F730" s="858"/>
      <c r="G730" s="858"/>
      <c r="H730" s="765"/>
      <c r="I730" s="765"/>
      <c r="J730" s="1838"/>
      <c r="K730" s="1838"/>
      <c r="L730" s="1726"/>
      <c r="M730" s="1726"/>
      <c r="N730" s="1638"/>
      <c r="P730" s="4588"/>
    </row>
    <row r="731" spans="1:16" s="1639" customFormat="1" ht="15.75" customHeight="1" x14ac:dyDescent="0.25">
      <c r="A731" s="1637"/>
      <c r="B731" s="1242"/>
      <c r="C731" s="3893" t="s">
        <v>1596</v>
      </c>
      <c r="D731" s="4202">
        <f>D732</f>
        <v>85000000</v>
      </c>
      <c r="E731" s="1453">
        <f>D731/D426*100</f>
        <v>4.7489514580563191E-2</v>
      </c>
      <c r="F731" s="856"/>
      <c r="G731" s="859"/>
      <c r="H731" s="859"/>
      <c r="I731" s="859"/>
      <c r="J731" s="1837"/>
      <c r="K731" s="1837"/>
      <c r="L731" s="753"/>
      <c r="M731" s="753"/>
      <c r="N731" s="1638"/>
      <c r="P731" s="4588"/>
    </row>
    <row r="732" spans="1:16" s="1639" customFormat="1" ht="17.25" customHeight="1" x14ac:dyDescent="0.25">
      <c r="A732" s="1637"/>
      <c r="B732" s="1242"/>
      <c r="C732" s="3861" t="s">
        <v>1597</v>
      </c>
      <c r="D732" s="4179">
        <v>85000000</v>
      </c>
      <c r="E732" s="864">
        <f>D732/D426*100</f>
        <v>4.7489514580563191E-2</v>
      </c>
      <c r="F732" s="813"/>
      <c r="G732" s="798"/>
      <c r="H732" s="798"/>
      <c r="I732" s="798"/>
      <c r="J732" s="1786"/>
      <c r="K732" s="1238"/>
      <c r="L732" s="802"/>
      <c r="M732" s="802"/>
      <c r="N732" s="1638"/>
      <c r="P732" s="4588"/>
    </row>
    <row r="733" spans="1:16" s="485" customFormat="1" ht="12" customHeight="1" x14ac:dyDescent="0.25">
      <c r="A733" s="352"/>
      <c r="B733" s="1242"/>
      <c r="C733" s="3861"/>
      <c r="D733" s="4179"/>
      <c r="E733" s="864"/>
      <c r="F733" s="813"/>
      <c r="G733" s="798"/>
      <c r="H733" s="798"/>
      <c r="I733" s="798"/>
      <c r="J733" s="1786"/>
      <c r="K733" s="1753"/>
      <c r="L733" s="2271"/>
      <c r="M733" s="2271"/>
      <c r="N733" s="535"/>
      <c r="P733" s="500"/>
    </row>
    <row r="734" spans="1:16" s="1639" customFormat="1" ht="15" customHeight="1" x14ac:dyDescent="0.25">
      <c r="A734" s="1637"/>
      <c r="B734" s="1242"/>
      <c r="C734" s="3873" t="s">
        <v>4733</v>
      </c>
      <c r="D734" s="4177">
        <f>D735</f>
        <v>62000000</v>
      </c>
      <c r="E734" s="1453">
        <f>D734/D426*100</f>
        <v>3.4639410635234333E-2</v>
      </c>
      <c r="F734" s="816"/>
      <c r="G734" s="816"/>
      <c r="H734" s="753"/>
      <c r="I734" s="1018"/>
      <c r="J734" s="1789"/>
      <c r="K734" s="1789"/>
      <c r="L734" s="753"/>
      <c r="M734" s="753"/>
      <c r="N734" s="1638"/>
      <c r="P734" s="4588"/>
    </row>
    <row r="735" spans="1:16" s="1639" customFormat="1" ht="18" customHeight="1" x14ac:dyDescent="0.25">
      <c r="A735" s="1637"/>
      <c r="B735" s="1242"/>
      <c r="C735" s="3861" t="s">
        <v>4734</v>
      </c>
      <c r="D735" s="4179">
        <v>62000000</v>
      </c>
      <c r="E735" s="864">
        <f>D735/D426*100</f>
        <v>3.4639410635234333E-2</v>
      </c>
      <c r="F735" s="813"/>
      <c r="G735" s="798"/>
      <c r="H735" s="755"/>
      <c r="I735" s="805"/>
      <c r="J735" s="1786"/>
      <c r="K735" s="1238"/>
      <c r="L735" s="802"/>
      <c r="M735" s="802"/>
      <c r="N735" s="1638"/>
      <c r="P735" s="4588"/>
    </row>
    <row r="736" spans="1:16" s="1639" customFormat="1" ht="11.25" customHeight="1" x14ac:dyDescent="0.25">
      <c r="A736" s="1637"/>
      <c r="B736" s="1242"/>
      <c r="C736" s="3861"/>
      <c r="D736" s="4179"/>
      <c r="E736" s="864"/>
      <c r="F736" s="813"/>
      <c r="G736" s="798"/>
      <c r="H736" s="805"/>
      <c r="I736" s="805"/>
      <c r="J736" s="1786"/>
      <c r="K736" s="1753"/>
      <c r="L736" s="2271"/>
      <c r="M736" s="2271"/>
      <c r="N736" s="1638"/>
      <c r="P736" s="4588"/>
    </row>
    <row r="737" spans="1:16" s="1639" customFormat="1" ht="15" customHeight="1" x14ac:dyDescent="0.25">
      <c r="A737" s="1637"/>
      <c r="B737" s="1242"/>
      <c r="C737" s="3873" t="s">
        <v>4735</v>
      </c>
      <c r="D737" s="4177">
        <f>D738</f>
        <v>136000000</v>
      </c>
      <c r="E737" s="1453">
        <f>D737/D426*100</f>
        <v>7.5983223328901103E-2</v>
      </c>
      <c r="F737" s="816"/>
      <c r="G737" s="857"/>
      <c r="H737" s="857"/>
      <c r="I737" s="857"/>
      <c r="J737" s="1789"/>
      <c r="K737" s="1789"/>
      <c r="L737" s="753"/>
      <c r="M737" s="753"/>
      <c r="N737" s="1638"/>
      <c r="P737" s="4588"/>
    </row>
    <row r="738" spans="1:16" s="1639" customFormat="1" ht="17.25" customHeight="1" x14ac:dyDescent="0.25">
      <c r="A738" s="1637"/>
      <c r="B738" s="1242"/>
      <c r="C738" s="3861" t="s">
        <v>4736</v>
      </c>
      <c r="D738" s="4179">
        <v>136000000</v>
      </c>
      <c r="E738" s="864">
        <f>D738/D426*100</f>
        <v>7.5983223328901103E-2</v>
      </c>
      <c r="F738" s="813"/>
      <c r="G738" s="798"/>
      <c r="H738" s="798"/>
      <c r="I738" s="798"/>
      <c r="J738" s="1786"/>
      <c r="K738" s="1238"/>
      <c r="L738" s="802"/>
      <c r="M738" s="802"/>
      <c r="N738" s="1638"/>
      <c r="P738" s="4588"/>
    </row>
    <row r="739" spans="1:16" s="1639" customFormat="1" ht="10.5" customHeight="1" x14ac:dyDescent="0.25">
      <c r="A739" s="1637"/>
      <c r="B739" s="1242"/>
      <c r="C739" s="3861"/>
      <c r="D739" s="4179"/>
      <c r="E739" s="864"/>
      <c r="F739" s="813"/>
      <c r="G739" s="798"/>
      <c r="H739" s="798"/>
      <c r="I739" s="798"/>
      <c r="J739" s="1786"/>
      <c r="K739" s="1753"/>
      <c r="L739" s="2271"/>
      <c r="M739" s="2271"/>
      <c r="N739" s="1638"/>
      <c r="P739" s="4588"/>
    </row>
    <row r="740" spans="1:16" s="1639" customFormat="1" ht="15.75" customHeight="1" x14ac:dyDescent="0.25">
      <c r="A740" s="1637"/>
      <c r="B740" s="1242"/>
      <c r="C740" s="3873" t="s">
        <v>4737</v>
      </c>
      <c r="D740" s="4177">
        <f>D741</f>
        <v>48878000</v>
      </c>
      <c r="E740" s="1453">
        <f>D740/D426*100</f>
        <v>2.7308146984338446E-2</v>
      </c>
      <c r="F740" s="816"/>
      <c r="G740" s="857"/>
      <c r="H740" s="857"/>
      <c r="I740" s="857"/>
      <c r="J740" s="1789"/>
      <c r="K740" s="1789"/>
      <c r="L740" s="753"/>
      <c r="M740" s="753"/>
      <c r="N740" s="1638"/>
      <c r="P740" s="4588"/>
    </row>
    <row r="741" spans="1:16" s="1639" customFormat="1" ht="18" customHeight="1" x14ac:dyDescent="0.25">
      <c r="A741" s="1637"/>
      <c r="B741" s="1242"/>
      <c r="C741" s="3861" t="s">
        <v>4738</v>
      </c>
      <c r="D741" s="4179">
        <v>48878000</v>
      </c>
      <c r="E741" s="864">
        <f>D741/D426*100</f>
        <v>2.7308146984338446E-2</v>
      </c>
      <c r="F741" s="813"/>
      <c r="G741" s="798"/>
      <c r="H741" s="798"/>
      <c r="I741" s="798"/>
      <c r="J741" s="1786"/>
      <c r="K741" s="1238"/>
      <c r="L741" s="802"/>
      <c r="M741" s="802"/>
      <c r="N741" s="1638"/>
      <c r="P741" s="4588"/>
    </row>
    <row r="742" spans="1:16" s="1639" customFormat="1" ht="9" customHeight="1" x14ac:dyDescent="0.25">
      <c r="A742" s="1637"/>
      <c r="B742" s="1242"/>
      <c r="C742" s="3861"/>
      <c r="D742" s="4179"/>
      <c r="E742" s="864"/>
      <c r="F742" s="813"/>
      <c r="G742" s="798"/>
      <c r="H742" s="798"/>
      <c r="I742" s="798"/>
      <c r="J742" s="1786"/>
      <c r="K742" s="1753"/>
      <c r="L742" s="2271"/>
      <c r="M742" s="2271"/>
      <c r="N742" s="1638"/>
      <c r="P742" s="4588"/>
    </row>
    <row r="743" spans="1:16" s="1639" customFormat="1" ht="14.25" customHeight="1" x14ac:dyDescent="0.25">
      <c r="A743" s="1637"/>
      <c r="B743" s="1242"/>
      <c r="C743" s="3882" t="s">
        <v>4739</v>
      </c>
      <c r="D743" s="4188">
        <f>D744</f>
        <v>34400000</v>
      </c>
      <c r="E743" s="1453">
        <f>D743/D426*100</f>
        <v>1.9219285900839694E-2</v>
      </c>
      <c r="F743" s="825"/>
      <c r="G743" s="753"/>
      <c r="H743" s="753"/>
      <c r="I743" s="753"/>
      <c r="J743" s="1803"/>
      <c r="K743" s="1772"/>
      <c r="L743" s="753"/>
      <c r="M743" s="753"/>
      <c r="N743" s="1638"/>
      <c r="P743" s="4588"/>
    </row>
    <row r="744" spans="1:16" s="1639" customFormat="1" ht="18.75" customHeight="1" x14ac:dyDescent="0.25">
      <c r="A744" s="1637"/>
      <c r="B744" s="1242"/>
      <c r="C744" s="3860" t="s">
        <v>4740</v>
      </c>
      <c r="D744" s="4189">
        <v>34400000</v>
      </c>
      <c r="E744" s="1126">
        <f>D744/D426*100</f>
        <v>1.9219285900839694E-2</v>
      </c>
      <c r="F744" s="826"/>
      <c r="G744" s="755"/>
      <c r="H744" s="755"/>
      <c r="I744" s="755"/>
      <c r="J744" s="1804"/>
      <c r="K744" s="1238"/>
      <c r="L744" s="971"/>
      <c r="M744" s="971"/>
      <c r="N744" s="1638"/>
      <c r="P744" s="4588"/>
    </row>
    <row r="745" spans="1:16" s="485" customFormat="1" ht="12.75" customHeight="1" x14ac:dyDescent="0.25">
      <c r="A745" s="352"/>
      <c r="B745" s="1242"/>
      <c r="C745" s="3896"/>
      <c r="D745" s="4187"/>
      <c r="E745" s="1450"/>
      <c r="F745" s="824"/>
      <c r="G745" s="827"/>
      <c r="H745" s="804"/>
      <c r="I745" s="804"/>
      <c r="J745" s="1802"/>
      <c r="K745" s="2270"/>
      <c r="L745" s="1649"/>
      <c r="M745" s="1649"/>
      <c r="N745" s="535"/>
      <c r="P745" s="500"/>
    </row>
    <row r="746" spans="1:16" s="478" customFormat="1" ht="16.5" customHeight="1" x14ac:dyDescent="0.25">
      <c r="A746" s="352"/>
      <c r="B746" s="1305"/>
      <c r="C746" s="3858" t="s">
        <v>4741</v>
      </c>
      <c r="D746" s="4203">
        <f>SUM(D747+D750+D753+D756+D759+D762+D765+D768)</f>
        <v>358378000</v>
      </c>
      <c r="E746" s="1445">
        <f>D746/D426*100</f>
        <v>0.20022585007474208</v>
      </c>
      <c r="F746" s="858"/>
      <c r="G746" s="858"/>
      <c r="H746" s="765"/>
      <c r="I746" s="765"/>
      <c r="J746" s="1838"/>
      <c r="K746" s="1838"/>
      <c r="L746" s="1726"/>
      <c r="M746" s="1726"/>
      <c r="N746" s="535"/>
      <c r="P746" s="500"/>
    </row>
    <row r="747" spans="1:16" s="1639" customFormat="1" ht="19.5" customHeight="1" x14ac:dyDescent="0.25">
      <c r="A747" s="1637"/>
      <c r="B747" s="1242"/>
      <c r="C747" s="3893" t="s">
        <v>1601</v>
      </c>
      <c r="D747" s="4204">
        <f>D748</f>
        <v>50000000</v>
      </c>
      <c r="E747" s="1453">
        <f>D747/D426*100</f>
        <v>2.7935008576801874E-2</v>
      </c>
      <c r="F747" s="860"/>
      <c r="G747" s="860"/>
      <c r="H747" s="753"/>
      <c r="I747" s="793"/>
      <c r="J747" s="1839"/>
      <c r="K747" s="1839"/>
      <c r="L747" s="753"/>
      <c r="M747" s="2264"/>
      <c r="N747" s="1638"/>
      <c r="P747" s="4588"/>
    </row>
    <row r="748" spans="1:16" s="1639" customFormat="1" ht="16.5" customHeight="1" x14ac:dyDescent="0.25">
      <c r="A748" s="1637"/>
      <c r="B748" s="1242"/>
      <c r="C748" s="3861" t="s">
        <v>1602</v>
      </c>
      <c r="D748" s="666">
        <v>50000000</v>
      </c>
      <c r="E748" s="864">
        <f>D748/D426*100</f>
        <v>2.7935008576801874E-2</v>
      </c>
      <c r="F748" s="813"/>
      <c r="G748" s="798"/>
      <c r="H748" s="755"/>
      <c r="I748" s="805"/>
      <c r="J748" s="1786"/>
      <c r="K748" s="1238"/>
      <c r="L748" s="802"/>
      <c r="M748" s="2271"/>
      <c r="N748" s="1638"/>
      <c r="P748" s="4588"/>
    </row>
    <row r="749" spans="1:16" s="497" customFormat="1" ht="10.5" customHeight="1" x14ac:dyDescent="0.25">
      <c r="A749" s="352"/>
      <c r="B749" s="1242"/>
      <c r="C749" s="3861"/>
      <c r="D749" s="4205"/>
      <c r="E749" s="1126"/>
      <c r="F749" s="813"/>
      <c r="G749" s="798"/>
      <c r="H749" s="805"/>
      <c r="I749" s="805"/>
      <c r="J749" s="1786"/>
      <c r="K749" s="1753"/>
      <c r="L749" s="2271"/>
      <c r="M749" s="2271"/>
      <c r="N749" s="535"/>
      <c r="P749" s="500"/>
    </row>
    <row r="750" spans="1:16" s="1639" customFormat="1" ht="15" customHeight="1" x14ac:dyDescent="0.25">
      <c r="A750" s="1637"/>
      <c r="B750" s="1242"/>
      <c r="C750" s="3873" t="s">
        <v>1603</v>
      </c>
      <c r="D750" s="4177">
        <f>D751</f>
        <v>105000000</v>
      </c>
      <c r="E750" s="1453">
        <f>D750/D426*100</f>
        <v>5.8663518011283944E-2</v>
      </c>
      <c r="F750" s="816"/>
      <c r="G750" s="857"/>
      <c r="H750" s="857"/>
      <c r="I750" s="857"/>
      <c r="J750" s="1789"/>
      <c r="K750" s="1789"/>
      <c r="L750" s="753"/>
      <c r="M750" s="2278"/>
      <c r="N750" s="1638"/>
      <c r="P750" s="4588"/>
    </row>
    <row r="751" spans="1:16" s="1639" customFormat="1" ht="15" customHeight="1" x14ac:dyDescent="0.25">
      <c r="A751" s="1637"/>
      <c r="B751" s="1242"/>
      <c r="C751" s="3861" t="s">
        <v>1608</v>
      </c>
      <c r="D751" s="4179">
        <v>105000000</v>
      </c>
      <c r="E751" s="864">
        <f>D751/D426*100</f>
        <v>5.8663518011283944E-2</v>
      </c>
      <c r="F751" s="813"/>
      <c r="G751" s="798"/>
      <c r="H751" s="798"/>
      <c r="I751" s="798"/>
      <c r="J751" s="1786"/>
      <c r="K751" s="1238"/>
      <c r="L751" s="802"/>
      <c r="M751" s="2271"/>
      <c r="N751" s="1638"/>
      <c r="P751" s="4588"/>
    </row>
    <row r="752" spans="1:16" s="1639" customFormat="1" ht="11.25" customHeight="1" x14ac:dyDescent="0.25">
      <c r="A752" s="1637"/>
      <c r="B752" s="1242"/>
      <c r="C752" s="3861"/>
      <c r="D752" s="4179"/>
      <c r="E752" s="1126"/>
      <c r="F752" s="813"/>
      <c r="G752" s="798"/>
      <c r="H752" s="798"/>
      <c r="I752" s="798"/>
      <c r="J752" s="1786"/>
      <c r="K752" s="1753"/>
      <c r="L752" s="2271"/>
      <c r="M752" s="2271"/>
      <c r="N752" s="1638"/>
      <c r="P752" s="4588"/>
    </row>
    <row r="753" spans="1:16" s="1639" customFormat="1" ht="18.75" customHeight="1" x14ac:dyDescent="0.25">
      <c r="A753" s="1637"/>
      <c r="B753" s="1242"/>
      <c r="C753" s="3873" t="s">
        <v>1604</v>
      </c>
      <c r="D753" s="4177">
        <f>D754</f>
        <v>40000000</v>
      </c>
      <c r="E753" s="1453">
        <f>D753/D426*100</f>
        <v>2.2348006861441505E-2</v>
      </c>
      <c r="F753" s="816"/>
      <c r="G753" s="857"/>
      <c r="H753" s="857"/>
      <c r="I753" s="857"/>
      <c r="J753" s="1789"/>
      <c r="K753" s="1945"/>
      <c r="L753" s="857"/>
      <c r="M753" s="857"/>
      <c r="N753" s="1638"/>
      <c r="P753" s="4588"/>
    </row>
    <row r="754" spans="1:16" s="1639" customFormat="1" ht="17.25" customHeight="1" x14ac:dyDescent="0.25">
      <c r="A754" s="1637"/>
      <c r="B754" s="1242"/>
      <c r="C754" s="3861" t="s">
        <v>1605</v>
      </c>
      <c r="D754" s="4179">
        <v>40000000</v>
      </c>
      <c r="E754" s="864">
        <f>D754/D426*100</f>
        <v>2.2348006861441505E-2</v>
      </c>
      <c r="F754" s="813"/>
      <c r="G754" s="798"/>
      <c r="H754" s="798"/>
      <c r="I754" s="798"/>
      <c r="J754" s="1786"/>
      <c r="K754" s="1238"/>
      <c r="L754" s="971"/>
      <c r="M754" s="971"/>
      <c r="N754" s="1638"/>
      <c r="P754" s="4588"/>
    </row>
    <row r="755" spans="1:16" s="1639" customFormat="1" ht="9" customHeight="1" x14ac:dyDescent="0.25">
      <c r="A755" s="1637"/>
      <c r="B755" s="1242"/>
      <c r="C755" s="3861"/>
      <c r="D755" s="4179"/>
      <c r="E755" s="864"/>
      <c r="F755" s="813"/>
      <c r="G755" s="798"/>
      <c r="H755" s="798"/>
      <c r="I755" s="798"/>
      <c r="J755" s="1786"/>
      <c r="K755" s="1753"/>
      <c r="L755" s="2271"/>
      <c r="M755" s="2271"/>
      <c r="N755" s="1638"/>
      <c r="P755" s="4588"/>
    </row>
    <row r="756" spans="1:16" s="1639" customFormat="1" ht="16.5" customHeight="1" x14ac:dyDescent="0.25">
      <c r="A756" s="1637"/>
      <c r="B756" s="1242"/>
      <c r="C756" s="3873" t="s">
        <v>1656</v>
      </c>
      <c r="D756" s="4177">
        <f>D757</f>
        <v>40000000</v>
      </c>
      <c r="E756" s="1453">
        <f>D756/D426*100</f>
        <v>2.2348006861441505E-2</v>
      </c>
      <c r="F756" s="816"/>
      <c r="G756" s="857"/>
      <c r="H756" s="857"/>
      <c r="I756" s="857"/>
      <c r="J756" s="1789"/>
      <c r="K756" s="1789"/>
      <c r="L756" s="753"/>
      <c r="M756" s="2278"/>
      <c r="N756" s="1638"/>
      <c r="P756" s="4588"/>
    </row>
    <row r="757" spans="1:16" s="1639" customFormat="1" ht="17.25" customHeight="1" x14ac:dyDescent="0.25">
      <c r="A757" s="1637"/>
      <c r="B757" s="1242"/>
      <c r="C757" s="3861" t="s">
        <v>4742</v>
      </c>
      <c r="D757" s="4179">
        <v>40000000</v>
      </c>
      <c r="E757" s="864">
        <f>D757/D426*100</f>
        <v>2.2348006861441505E-2</v>
      </c>
      <c r="F757" s="813"/>
      <c r="G757" s="798"/>
      <c r="H757" s="798"/>
      <c r="I757" s="798"/>
      <c r="J757" s="1786"/>
      <c r="K757" s="1238"/>
      <c r="L757" s="802"/>
      <c r="M757" s="2271"/>
      <c r="N757" s="1638"/>
      <c r="P757" s="4588"/>
    </row>
    <row r="758" spans="1:16" s="1639" customFormat="1" ht="10.5" customHeight="1" x14ac:dyDescent="0.25">
      <c r="A758" s="1637"/>
      <c r="B758" s="1242"/>
      <c r="C758" s="3861"/>
      <c r="D758" s="4187"/>
      <c r="E758" s="864"/>
      <c r="F758" s="824"/>
      <c r="G758" s="798"/>
      <c r="H758" s="805"/>
      <c r="I758" s="805"/>
      <c r="J758" s="1802"/>
      <c r="K758" s="1753"/>
      <c r="L758" s="2271"/>
      <c r="M758" s="2271"/>
      <c r="N758" s="1638"/>
      <c r="P758" s="4588"/>
    </row>
    <row r="759" spans="1:16" s="1639" customFormat="1" ht="17.25" customHeight="1" x14ac:dyDescent="0.25">
      <c r="A759" s="1637"/>
      <c r="B759" s="1242"/>
      <c r="C759" s="3873" t="s">
        <v>1658</v>
      </c>
      <c r="D759" s="4177">
        <f>D760</f>
        <v>40000000</v>
      </c>
      <c r="E759" s="1453">
        <f>D759/D426*100</f>
        <v>2.2348006861441505E-2</v>
      </c>
      <c r="F759" s="825"/>
      <c r="G759" s="856"/>
      <c r="H759" s="753"/>
      <c r="I759" s="1018"/>
      <c r="J759" s="1803"/>
      <c r="K759" s="1803"/>
      <c r="L759" s="753"/>
      <c r="M759" s="2278"/>
      <c r="N759" s="1638"/>
      <c r="P759" s="4588"/>
    </row>
    <row r="760" spans="1:16" s="1639" customFormat="1" ht="18.75" customHeight="1" x14ac:dyDescent="0.25">
      <c r="A760" s="1637"/>
      <c r="B760" s="1242"/>
      <c r="C760" s="3861" t="s">
        <v>4744</v>
      </c>
      <c r="D760" s="4179">
        <v>40000000</v>
      </c>
      <c r="E760" s="1126">
        <f>D760/D426*100</f>
        <v>2.2348006861441505E-2</v>
      </c>
      <c r="F760" s="826"/>
      <c r="G760" s="798"/>
      <c r="H760" s="755"/>
      <c r="I760" s="805"/>
      <c r="J760" s="1804"/>
      <c r="K760" s="1238"/>
      <c r="L760" s="802"/>
      <c r="M760" s="2271"/>
      <c r="N760" s="1638"/>
      <c r="P760" s="4588"/>
    </row>
    <row r="761" spans="1:16" s="1639" customFormat="1" ht="9.75" customHeight="1" x14ac:dyDescent="0.25">
      <c r="A761" s="1637"/>
      <c r="B761" s="3623"/>
      <c r="C761" s="3861"/>
      <c r="D761" s="4187"/>
      <c r="E761" s="1126"/>
      <c r="F761" s="824"/>
      <c r="G761" s="798"/>
      <c r="H761" s="3634"/>
      <c r="I761" s="3634"/>
      <c r="J761" s="1802"/>
      <c r="K761" s="3722"/>
      <c r="L761" s="3634"/>
      <c r="M761" s="3576"/>
      <c r="N761" s="1638"/>
      <c r="P761" s="4588"/>
    </row>
    <row r="762" spans="1:16" s="1639" customFormat="1" ht="15.75" customHeight="1" x14ac:dyDescent="0.25">
      <c r="A762" s="1637"/>
      <c r="B762" s="3623"/>
      <c r="C762" s="3873" t="s">
        <v>1659</v>
      </c>
      <c r="D762" s="4177">
        <f>D763</f>
        <v>48378000</v>
      </c>
      <c r="E762" s="1447">
        <f>D762/D426*100</f>
        <v>2.7028796898570424E-2</v>
      </c>
      <c r="F762" s="813"/>
      <c r="G762" s="3630"/>
      <c r="H762" s="3634"/>
      <c r="I762" s="3634"/>
      <c r="J762" s="1802"/>
      <c r="K762" s="3722"/>
      <c r="L762" s="3634"/>
      <c r="M762" s="3576"/>
      <c r="N762" s="1638"/>
      <c r="P762" s="4588"/>
    </row>
    <row r="763" spans="1:16" s="1639" customFormat="1" ht="18.75" customHeight="1" x14ac:dyDescent="0.25">
      <c r="A763" s="1637"/>
      <c r="B763" s="3623"/>
      <c r="C763" s="3861" t="s">
        <v>4743</v>
      </c>
      <c r="D763" s="4179">
        <v>48378000</v>
      </c>
      <c r="E763" s="1126">
        <f>D763/D426*100</f>
        <v>2.7028796898570424E-2</v>
      </c>
      <c r="F763" s="813"/>
      <c r="G763" s="3630"/>
      <c r="H763" s="3634"/>
      <c r="I763" s="3634"/>
      <c r="J763" s="1802"/>
      <c r="K763" s="3722"/>
      <c r="L763" s="3634"/>
      <c r="M763" s="3576"/>
      <c r="N763" s="1638"/>
      <c r="P763" s="4588"/>
    </row>
    <row r="764" spans="1:16" s="1639" customFormat="1" ht="10.5" customHeight="1" x14ac:dyDescent="0.25">
      <c r="A764" s="1637"/>
      <c r="B764" s="3623"/>
      <c r="C764" s="3861"/>
      <c r="D764" s="4179"/>
      <c r="E764" s="1126"/>
      <c r="F764" s="813"/>
      <c r="G764" s="3630"/>
      <c r="H764" s="3634"/>
      <c r="I764" s="3634"/>
      <c r="J764" s="1802"/>
      <c r="K764" s="3722"/>
      <c r="L764" s="3634"/>
      <c r="M764" s="3576"/>
      <c r="N764" s="1638"/>
      <c r="P764" s="4588"/>
    </row>
    <row r="765" spans="1:16" s="1639" customFormat="1" ht="15.75" customHeight="1" x14ac:dyDescent="0.25">
      <c r="A765" s="1637"/>
      <c r="B765" s="3623"/>
      <c r="C765" s="3873" t="s">
        <v>1660</v>
      </c>
      <c r="D765" s="4177">
        <f>D766</f>
        <v>20000000</v>
      </c>
      <c r="E765" s="1447">
        <f>D765/D426*100</f>
        <v>1.1174003430720753E-2</v>
      </c>
      <c r="F765" s="813"/>
      <c r="G765" s="3630"/>
      <c r="H765" s="3634"/>
      <c r="I765" s="3634"/>
      <c r="J765" s="1802"/>
      <c r="K765" s="3722"/>
      <c r="L765" s="3634"/>
      <c r="M765" s="3576"/>
      <c r="N765" s="1638"/>
      <c r="P765" s="4588"/>
    </row>
    <row r="766" spans="1:16" s="1639" customFormat="1" ht="27" customHeight="1" x14ac:dyDescent="0.25">
      <c r="A766" s="1637"/>
      <c r="B766" s="3623"/>
      <c r="C766" s="3861" t="s">
        <v>4745</v>
      </c>
      <c r="D766" s="4179">
        <v>20000000</v>
      </c>
      <c r="E766" s="1126">
        <f>D766/D426*100</f>
        <v>1.1174003430720753E-2</v>
      </c>
      <c r="F766" s="813"/>
      <c r="G766" s="3630"/>
      <c r="H766" s="3634"/>
      <c r="I766" s="3634"/>
      <c r="J766" s="1802"/>
      <c r="K766" s="3722"/>
      <c r="L766" s="3634"/>
      <c r="M766" s="3576"/>
      <c r="N766" s="1638"/>
      <c r="P766" s="4588"/>
    </row>
    <row r="767" spans="1:16" s="1639" customFormat="1" ht="10.5" customHeight="1" x14ac:dyDescent="0.25">
      <c r="A767" s="1637"/>
      <c r="B767" s="3623"/>
      <c r="C767" s="3861"/>
      <c r="D767" s="4179"/>
      <c r="E767" s="1126"/>
      <c r="F767" s="813"/>
      <c r="G767" s="3630"/>
      <c r="H767" s="3634"/>
      <c r="I767" s="3634"/>
      <c r="J767" s="1802"/>
      <c r="K767" s="3722"/>
      <c r="L767" s="3634"/>
      <c r="M767" s="3576"/>
      <c r="N767" s="1638"/>
      <c r="P767" s="4588"/>
    </row>
    <row r="768" spans="1:16" s="1639" customFormat="1" ht="15.75" customHeight="1" x14ac:dyDescent="0.25">
      <c r="A768" s="1637"/>
      <c r="B768" s="3623"/>
      <c r="C768" s="3873" t="s">
        <v>1661</v>
      </c>
      <c r="D768" s="4177">
        <f>D769</f>
        <v>15000000</v>
      </c>
      <c r="E768" s="1447">
        <f>D768/D426*100</f>
        <v>8.3805025730405644E-3</v>
      </c>
      <c r="F768" s="813"/>
      <c r="G768" s="3630"/>
      <c r="H768" s="3634"/>
      <c r="I768" s="3634"/>
      <c r="J768" s="1802"/>
      <c r="K768" s="3722"/>
      <c r="L768" s="3634"/>
      <c r="M768" s="3576"/>
      <c r="N768" s="1638"/>
      <c r="P768" s="4588"/>
    </row>
    <row r="769" spans="1:16" s="1639" customFormat="1" ht="17.25" customHeight="1" x14ac:dyDescent="0.25">
      <c r="A769" s="1637"/>
      <c r="B769" s="3623"/>
      <c r="C769" s="3861" t="s">
        <v>4746</v>
      </c>
      <c r="D769" s="4179">
        <v>15000000</v>
      </c>
      <c r="E769" s="1126">
        <f>D769/D426*100</f>
        <v>8.3805025730405644E-3</v>
      </c>
      <c r="F769" s="813"/>
      <c r="G769" s="3630"/>
      <c r="H769" s="3634"/>
      <c r="I769" s="3634"/>
      <c r="J769" s="1802"/>
      <c r="K769" s="3722"/>
      <c r="L769" s="3634"/>
      <c r="M769" s="3576"/>
      <c r="N769" s="1638"/>
      <c r="P769" s="4588"/>
    </row>
    <row r="770" spans="1:16" s="478" customFormat="1" ht="11.25" customHeight="1" x14ac:dyDescent="0.25">
      <c r="A770" s="352"/>
      <c r="B770" s="1242"/>
      <c r="C770" s="3861"/>
      <c r="D770" s="4187"/>
      <c r="E770" s="1450"/>
      <c r="F770" s="824"/>
      <c r="G770" s="827"/>
      <c r="H770" s="805"/>
      <c r="I770" s="805"/>
      <c r="J770" s="1802"/>
      <c r="K770" s="2270"/>
      <c r="L770" s="2271"/>
      <c r="M770" s="2271"/>
      <c r="N770" s="535"/>
      <c r="P770" s="500"/>
    </row>
    <row r="771" spans="1:16" s="478" customFormat="1" ht="18" customHeight="1" x14ac:dyDescent="0.25">
      <c r="A771" s="352"/>
      <c r="B771" s="1305"/>
      <c r="C771" s="3858" t="s">
        <v>4747</v>
      </c>
      <c r="D771" s="4203">
        <f>SUM(D772+D775+D778+D781+D784+D787+D791)</f>
        <v>497750000</v>
      </c>
      <c r="E771" s="1445">
        <f>D771/D426*100</f>
        <v>0.27809301038206269</v>
      </c>
      <c r="F771" s="858"/>
      <c r="G771" s="858"/>
      <c r="H771" s="765"/>
      <c r="I771" s="765"/>
      <c r="J771" s="1838"/>
      <c r="K771" s="1838"/>
      <c r="L771" s="1726"/>
      <c r="M771" s="1726"/>
      <c r="N771" s="535"/>
      <c r="P771" s="500"/>
    </row>
    <row r="772" spans="1:16" s="1639" customFormat="1" ht="18.75" customHeight="1" x14ac:dyDescent="0.25">
      <c r="A772" s="1637"/>
      <c r="B772" s="1242"/>
      <c r="C772" s="3893" t="s">
        <v>1606</v>
      </c>
      <c r="D772" s="4202">
        <f>D773</f>
        <v>60000000</v>
      </c>
      <c r="E772" s="1453">
        <f>D772/D426*100</f>
        <v>3.3522010292162258E-2</v>
      </c>
      <c r="F772" s="856"/>
      <c r="G772" s="795"/>
      <c r="H772" s="795"/>
      <c r="I772" s="795"/>
      <c r="J772" s="1837"/>
      <c r="K772" s="1837"/>
      <c r="L772" s="753"/>
      <c r="M772" s="2264"/>
      <c r="N772" s="1638"/>
      <c r="P772" s="4588"/>
    </row>
    <row r="773" spans="1:16" s="1639" customFormat="1" ht="16.5" customHeight="1" x14ac:dyDescent="0.25">
      <c r="A773" s="1637"/>
      <c r="B773" s="1242"/>
      <c r="C773" s="3861" t="s">
        <v>4748</v>
      </c>
      <c r="D773" s="4179">
        <v>60000000</v>
      </c>
      <c r="E773" s="864">
        <f>D773/D426*100</f>
        <v>3.3522010292162258E-2</v>
      </c>
      <c r="F773" s="813"/>
      <c r="G773" s="798"/>
      <c r="H773" s="798"/>
      <c r="I773" s="798"/>
      <c r="J773" s="1786"/>
      <c r="K773" s="1238"/>
      <c r="L773" s="802"/>
      <c r="M773" s="2271"/>
      <c r="N773" s="1638"/>
      <c r="P773" s="4588"/>
    </row>
    <row r="774" spans="1:16" s="497" customFormat="1" ht="9.75" customHeight="1" x14ac:dyDescent="0.25">
      <c r="A774" s="352"/>
      <c r="B774" s="1242"/>
      <c r="C774" s="3861"/>
      <c r="D774" s="4187"/>
      <c r="E774" s="1126"/>
      <c r="F774" s="824"/>
      <c r="G774" s="798"/>
      <c r="H774" s="805"/>
      <c r="I774" s="805"/>
      <c r="J774" s="1802"/>
      <c r="K774" s="1753"/>
      <c r="L774" s="2271"/>
      <c r="M774" s="2271"/>
      <c r="N774" s="535"/>
      <c r="P774" s="500"/>
    </row>
    <row r="775" spans="1:16" s="1639" customFormat="1" ht="17.25" customHeight="1" x14ac:dyDescent="0.25">
      <c r="A775" s="1637"/>
      <c r="B775" s="1242"/>
      <c r="C775" s="3873" t="s">
        <v>1607</v>
      </c>
      <c r="D775" s="4177">
        <f>D776</f>
        <v>100000000</v>
      </c>
      <c r="E775" s="1453">
        <f>D775/D426*100</f>
        <v>5.5870017153603749E-2</v>
      </c>
      <c r="F775" s="816"/>
      <c r="G775" s="816"/>
      <c r="H775" s="753"/>
      <c r="I775" s="1018"/>
      <c r="J775" s="1789"/>
      <c r="K775" s="1789"/>
      <c r="L775" s="753"/>
      <c r="M775" s="2278"/>
      <c r="N775" s="1638"/>
      <c r="P775" s="4588"/>
    </row>
    <row r="776" spans="1:16" s="1639" customFormat="1" ht="15.75" customHeight="1" x14ac:dyDescent="0.25">
      <c r="A776" s="1637"/>
      <c r="B776" s="1242"/>
      <c r="C776" s="3861" t="s">
        <v>1608</v>
      </c>
      <c r="D776" s="4179">
        <v>100000000</v>
      </c>
      <c r="E776" s="864">
        <f>D776/D426*100</f>
        <v>5.5870017153603749E-2</v>
      </c>
      <c r="F776" s="813"/>
      <c r="G776" s="798"/>
      <c r="H776" s="755"/>
      <c r="I776" s="805"/>
      <c r="J776" s="1786"/>
      <c r="K776" s="1238"/>
      <c r="L776" s="802"/>
      <c r="M776" s="2271"/>
      <c r="N776" s="1638"/>
      <c r="P776" s="4588"/>
    </row>
    <row r="777" spans="1:16" s="1639" customFormat="1" ht="7.5" customHeight="1" x14ac:dyDescent="0.25">
      <c r="A777" s="1637"/>
      <c r="B777" s="1242"/>
      <c r="C777" s="3861"/>
      <c r="D777" s="4179"/>
      <c r="E777" s="1126"/>
      <c r="F777" s="813"/>
      <c r="G777" s="798"/>
      <c r="H777" s="805"/>
      <c r="I777" s="805"/>
      <c r="J777" s="1786"/>
      <c r="K777" s="1753"/>
      <c r="L777" s="2271"/>
      <c r="M777" s="2271"/>
      <c r="N777" s="1638"/>
      <c r="P777" s="4588"/>
    </row>
    <row r="778" spans="1:16" s="1639" customFormat="1" ht="17.25" customHeight="1" x14ac:dyDescent="0.25">
      <c r="A778" s="1637"/>
      <c r="B778" s="1242"/>
      <c r="C778" s="3873" t="s">
        <v>1609</v>
      </c>
      <c r="D778" s="4177">
        <f>D779</f>
        <v>60000000</v>
      </c>
      <c r="E778" s="1453">
        <f>D778/D426*100</f>
        <v>3.3522010292162258E-2</v>
      </c>
      <c r="F778" s="816"/>
      <c r="G778" s="816"/>
      <c r="H778" s="753"/>
      <c r="I778" s="1018"/>
      <c r="J778" s="1789"/>
      <c r="K778" s="1789"/>
      <c r="L778" s="753"/>
      <c r="M778" s="2278"/>
      <c r="N778" s="1638"/>
      <c r="P778" s="4588"/>
    </row>
    <row r="779" spans="1:16" s="1639" customFormat="1" ht="16.5" customHeight="1" x14ac:dyDescent="0.25">
      <c r="A779" s="1637"/>
      <c r="B779" s="1242"/>
      <c r="C779" s="3861" t="s">
        <v>1610</v>
      </c>
      <c r="D779" s="4179">
        <v>60000000</v>
      </c>
      <c r="E779" s="864">
        <f>D779/D426*100</f>
        <v>3.3522010292162258E-2</v>
      </c>
      <c r="F779" s="813"/>
      <c r="G779" s="798"/>
      <c r="H779" s="755"/>
      <c r="I779" s="805"/>
      <c r="J779" s="1786"/>
      <c r="K779" s="1238"/>
      <c r="L779" s="802"/>
      <c r="M779" s="2271"/>
      <c r="N779" s="1638"/>
      <c r="P779" s="4588"/>
    </row>
    <row r="780" spans="1:16" s="1639" customFormat="1" ht="9.75" customHeight="1" x14ac:dyDescent="0.25">
      <c r="A780" s="1637"/>
      <c r="B780" s="1242"/>
      <c r="C780" s="3873"/>
      <c r="D780" s="4177"/>
      <c r="E780" s="1126"/>
      <c r="F780" s="816"/>
      <c r="G780" s="798"/>
      <c r="H780" s="805"/>
      <c r="I780" s="805"/>
      <c r="J780" s="1789"/>
      <c r="K780" s="1753"/>
      <c r="L780" s="2271"/>
      <c r="M780" s="2271"/>
      <c r="N780" s="1638"/>
      <c r="P780" s="4588"/>
    </row>
    <row r="781" spans="1:16" s="1639" customFormat="1" ht="15.75" customHeight="1" x14ac:dyDescent="0.25">
      <c r="A781" s="1637"/>
      <c r="B781" s="1242"/>
      <c r="C781" s="3873" t="s">
        <v>4749</v>
      </c>
      <c r="D781" s="4177">
        <f>D782</f>
        <v>75000000</v>
      </c>
      <c r="E781" s="1453">
        <f>D781/D426*100</f>
        <v>4.1902512865202815E-2</v>
      </c>
      <c r="F781" s="816"/>
      <c r="G781" s="857"/>
      <c r="H781" s="857"/>
      <c r="I781" s="857"/>
      <c r="J781" s="1789"/>
      <c r="K781" s="1789"/>
      <c r="L781" s="753"/>
      <c r="M781" s="2278"/>
      <c r="N781" s="1638"/>
      <c r="P781" s="4588"/>
    </row>
    <row r="782" spans="1:16" s="1639" customFormat="1" ht="16.5" customHeight="1" x14ac:dyDescent="0.25">
      <c r="A782" s="1637"/>
      <c r="B782" s="1242"/>
      <c r="C782" s="3861" t="s">
        <v>1620</v>
      </c>
      <c r="D782" s="4179">
        <v>75000000</v>
      </c>
      <c r="E782" s="864">
        <f>D782/D426*100</f>
        <v>4.1902512865202815E-2</v>
      </c>
      <c r="F782" s="813"/>
      <c r="G782" s="798"/>
      <c r="H782" s="798"/>
      <c r="I782" s="798"/>
      <c r="J782" s="1786"/>
      <c r="K782" s="1753"/>
      <c r="L782" s="802"/>
      <c r="M782" s="2271"/>
      <c r="N782" s="1638"/>
      <c r="P782" s="4588"/>
    </row>
    <row r="783" spans="1:16" s="1639" customFormat="1" ht="10.5" customHeight="1" x14ac:dyDescent="0.25">
      <c r="A783" s="1637"/>
      <c r="B783" s="1242"/>
      <c r="C783" s="3861"/>
      <c r="D783" s="4179"/>
      <c r="E783" s="864"/>
      <c r="F783" s="813"/>
      <c r="G783" s="798"/>
      <c r="H783" s="805"/>
      <c r="I783" s="805"/>
      <c r="J783" s="1786"/>
      <c r="K783" s="1753"/>
      <c r="L783" s="2271"/>
      <c r="M783" s="2271"/>
      <c r="N783" s="1638"/>
      <c r="P783" s="4588"/>
    </row>
    <row r="784" spans="1:16" s="1639" customFormat="1" ht="18" customHeight="1" x14ac:dyDescent="0.25">
      <c r="A784" s="1637"/>
      <c r="B784" s="1242"/>
      <c r="C784" s="3873" t="s">
        <v>4750</v>
      </c>
      <c r="D784" s="4177">
        <f>D785</f>
        <v>87500000</v>
      </c>
      <c r="E784" s="1453">
        <f>D784/D426*100</f>
        <v>4.8886265009403296E-2</v>
      </c>
      <c r="F784" s="816"/>
      <c r="G784" s="816"/>
      <c r="H784" s="753"/>
      <c r="I784" s="1018"/>
      <c r="J784" s="1789"/>
      <c r="K784" s="1789"/>
      <c r="L784" s="753"/>
      <c r="M784" s="2278"/>
      <c r="N784" s="1638"/>
      <c r="P784" s="4588"/>
    </row>
    <row r="785" spans="1:16" s="1639" customFormat="1" ht="17.25" customHeight="1" x14ac:dyDescent="0.25">
      <c r="A785" s="1637"/>
      <c r="B785" s="1242"/>
      <c r="C785" s="3861" t="s">
        <v>4751</v>
      </c>
      <c r="D785" s="4179">
        <v>87500000</v>
      </c>
      <c r="E785" s="864">
        <f>D785/D426*100</f>
        <v>4.8886265009403296E-2</v>
      </c>
      <c r="F785" s="813"/>
      <c r="G785" s="798"/>
      <c r="H785" s="755"/>
      <c r="I785" s="805"/>
      <c r="J785" s="1786"/>
      <c r="K785" s="1238"/>
      <c r="L785" s="802"/>
      <c r="M785" s="2271"/>
      <c r="N785" s="1638"/>
      <c r="P785" s="4588"/>
    </row>
    <row r="786" spans="1:16" s="1639" customFormat="1" ht="10.5" customHeight="1" x14ac:dyDescent="0.25">
      <c r="A786" s="1637"/>
      <c r="B786" s="1242"/>
      <c r="C786" s="3873"/>
      <c r="D786" s="4179"/>
      <c r="E786" s="864"/>
      <c r="F786" s="813"/>
      <c r="G786" s="798"/>
      <c r="H786" s="805"/>
      <c r="I786" s="805"/>
      <c r="J786" s="1786"/>
      <c r="K786" s="1753"/>
      <c r="L786" s="2271"/>
      <c r="M786" s="2271"/>
      <c r="N786" s="1638"/>
      <c r="P786" s="4588"/>
    </row>
    <row r="787" spans="1:16" s="1639" customFormat="1" ht="15.75" customHeight="1" x14ac:dyDescent="0.25">
      <c r="A787" s="1637"/>
      <c r="B787" s="1242"/>
      <c r="C787" s="3873" t="s">
        <v>4752</v>
      </c>
      <c r="D787" s="4177">
        <f>SUM(D788:D789)</f>
        <v>93000000</v>
      </c>
      <c r="E787" s="1453">
        <f>D787/D426*100</f>
        <v>5.1959115952851499E-2</v>
      </c>
      <c r="F787" s="816"/>
      <c r="G787" s="816"/>
      <c r="H787" s="753"/>
      <c r="I787" s="1018"/>
      <c r="J787" s="1789"/>
      <c r="K787" s="1789"/>
      <c r="L787" s="753"/>
      <c r="M787" s="2278"/>
      <c r="N787" s="1638"/>
      <c r="P787" s="4588"/>
    </row>
    <row r="788" spans="1:16" s="1639" customFormat="1" ht="27" customHeight="1" x14ac:dyDescent="0.25">
      <c r="A788" s="1637"/>
      <c r="B788" s="1242"/>
      <c r="C788" s="3861" t="s">
        <v>4753</v>
      </c>
      <c r="D788" s="4179">
        <v>20000000</v>
      </c>
      <c r="E788" s="864">
        <f>D788/D426*100</f>
        <v>1.1174003430720753E-2</v>
      </c>
      <c r="F788" s="813"/>
      <c r="G788" s="798"/>
      <c r="H788" s="755"/>
      <c r="I788" s="805"/>
      <c r="J788" s="1786"/>
      <c r="K788" s="1238"/>
      <c r="L788" s="802"/>
      <c r="M788" s="2271"/>
      <c r="N788" s="1638"/>
      <c r="P788" s="4588"/>
    </row>
    <row r="789" spans="1:16" s="1639" customFormat="1" ht="16.5" customHeight="1" x14ac:dyDescent="0.25">
      <c r="A789" s="1637"/>
      <c r="B789" s="1242"/>
      <c r="C789" s="3861" t="s">
        <v>4754</v>
      </c>
      <c r="D789" s="4179">
        <v>73000000</v>
      </c>
      <c r="E789" s="864">
        <f>D789/D426*100</f>
        <v>4.078511252213074E-2</v>
      </c>
      <c r="F789" s="813"/>
      <c r="G789" s="798"/>
      <c r="H789" s="805"/>
      <c r="I789" s="805"/>
      <c r="J789" s="1786"/>
      <c r="K789" s="1753"/>
      <c r="L789" s="2271"/>
      <c r="M789" s="2271"/>
      <c r="N789" s="1638"/>
      <c r="P789" s="4588"/>
    </row>
    <row r="790" spans="1:16" s="1639" customFormat="1" ht="9.75" customHeight="1" x14ac:dyDescent="0.25">
      <c r="A790" s="1637"/>
      <c r="B790" s="3623"/>
      <c r="C790" s="3861"/>
      <c r="D790" s="4179"/>
      <c r="E790" s="864"/>
      <c r="F790" s="813"/>
      <c r="G790" s="798"/>
      <c r="H790" s="3634"/>
      <c r="I790" s="3634"/>
      <c r="J790" s="1786"/>
      <c r="K790" s="1962"/>
      <c r="L790" s="3576"/>
      <c r="M790" s="3576"/>
      <c r="N790" s="1638"/>
      <c r="P790" s="4588"/>
    </row>
    <row r="791" spans="1:16" s="1639" customFormat="1" ht="15" customHeight="1" x14ac:dyDescent="0.25">
      <c r="A791" s="1637"/>
      <c r="B791" s="1242"/>
      <c r="C791" s="3873" t="s">
        <v>4755</v>
      </c>
      <c r="D791" s="4177">
        <f>D792</f>
        <v>22250000</v>
      </c>
      <c r="E791" s="1453">
        <f>D791/D426*100</f>
        <v>1.2431078816676835E-2</v>
      </c>
      <c r="F791" s="816"/>
      <c r="G791" s="816"/>
      <c r="H791" s="753"/>
      <c r="I791" s="1018"/>
      <c r="J791" s="1789"/>
      <c r="K791" s="1789"/>
      <c r="L791" s="753"/>
      <c r="M791" s="2278"/>
      <c r="N791" s="1638"/>
      <c r="P791" s="4588"/>
    </row>
    <row r="792" spans="1:16" s="1639" customFormat="1" ht="15.75" customHeight="1" x14ac:dyDescent="0.25">
      <c r="A792" s="1637"/>
      <c r="B792" s="1242"/>
      <c r="C792" s="3861" t="s">
        <v>4756</v>
      </c>
      <c r="D792" s="4179">
        <v>22250000</v>
      </c>
      <c r="E792" s="864">
        <f>D792/D426*100</f>
        <v>1.2431078816676835E-2</v>
      </c>
      <c r="F792" s="813"/>
      <c r="G792" s="813"/>
      <c r="H792" s="755"/>
      <c r="I792" s="805"/>
      <c r="J792" s="1786"/>
      <c r="K792" s="1238"/>
      <c r="L792" s="802"/>
      <c r="M792" s="2271"/>
      <c r="N792" s="1638"/>
      <c r="P792" s="4588"/>
    </row>
    <row r="793" spans="1:16" s="478" customFormat="1" ht="14.25" customHeight="1" x14ac:dyDescent="0.25">
      <c r="A793" s="352"/>
      <c r="B793" s="1242"/>
      <c r="C793" s="3861"/>
      <c r="D793" s="4187"/>
      <c r="E793" s="1326"/>
      <c r="F793" s="824"/>
      <c r="G793" s="798"/>
      <c r="H793" s="805"/>
      <c r="I793" s="805"/>
      <c r="J793" s="1802"/>
      <c r="K793" s="2270"/>
      <c r="L793" s="2271"/>
      <c r="M793" s="2271"/>
      <c r="N793" s="535"/>
      <c r="P793" s="500"/>
    </row>
    <row r="794" spans="1:16" s="478" customFormat="1" ht="18" customHeight="1" x14ac:dyDescent="0.25">
      <c r="A794" s="352"/>
      <c r="B794" s="1305"/>
      <c r="C794" s="3858" t="s">
        <v>4757</v>
      </c>
      <c r="D794" s="4203">
        <f>D795</f>
        <v>24663596788</v>
      </c>
      <c r="E794" s="1445">
        <f>D794/D426*100</f>
        <v>13.779555756151266</v>
      </c>
      <c r="F794" s="858"/>
      <c r="G794" s="858"/>
      <c r="H794" s="765"/>
      <c r="I794" s="765"/>
      <c r="J794" s="1838"/>
      <c r="K794" s="1838"/>
      <c r="L794" s="1726"/>
      <c r="M794" s="1726"/>
      <c r="N794" s="535"/>
      <c r="P794" s="500"/>
    </row>
    <row r="795" spans="1:16" s="3627" customFormat="1" ht="18" customHeight="1" x14ac:dyDescent="0.25">
      <c r="A795" s="3618"/>
      <c r="B795" s="3623"/>
      <c r="C795" s="3893" t="s">
        <v>4758</v>
      </c>
      <c r="D795" s="4080">
        <f>SUM(D796:D797)</f>
        <v>24663596788</v>
      </c>
      <c r="E795" s="1453">
        <f>D795/D426*100</f>
        <v>13.779555756151266</v>
      </c>
      <c r="F795" s="3726"/>
      <c r="G795" s="3726"/>
      <c r="H795" s="3633"/>
      <c r="I795" s="3633"/>
      <c r="J795" s="1967"/>
      <c r="K795" s="1967"/>
      <c r="L795" s="2380"/>
      <c r="M795" s="2264"/>
      <c r="N795" s="3619"/>
      <c r="P795" s="500"/>
    </row>
    <row r="796" spans="1:16" s="1639" customFormat="1" ht="18" customHeight="1" x14ac:dyDescent="0.25">
      <c r="A796" s="1637"/>
      <c r="B796" s="2901"/>
      <c r="C796" s="4104" t="s">
        <v>4759</v>
      </c>
      <c r="D796" s="780">
        <f>7075700000+3576094000</f>
        <v>10651794000</v>
      </c>
      <c r="E796" s="864">
        <f>D796/D426*100</f>
        <v>5.9511591349665354</v>
      </c>
      <c r="F796" s="761"/>
      <c r="G796" s="857"/>
      <c r="H796" s="857"/>
      <c r="I796" s="857"/>
      <c r="J796" s="1805"/>
      <c r="K796" s="1805"/>
      <c r="L796" s="753"/>
      <c r="M796" s="1671"/>
      <c r="N796" s="1638"/>
      <c r="P796" s="4588"/>
    </row>
    <row r="797" spans="1:16" s="1639" customFormat="1" ht="18" customHeight="1" x14ac:dyDescent="0.25">
      <c r="A797" s="1637"/>
      <c r="B797" s="2904"/>
      <c r="C797" s="3861" t="s">
        <v>4760</v>
      </c>
      <c r="D797" s="780">
        <f>3944552164+3576094000+7000000000-508843376</f>
        <v>14011802788</v>
      </c>
      <c r="E797" s="1126">
        <f>D797/D426*100</f>
        <v>7.82839662118473</v>
      </c>
      <c r="F797" s="760"/>
      <c r="G797" s="798"/>
      <c r="H797" s="798"/>
      <c r="I797" s="798"/>
      <c r="J797" s="1792"/>
      <c r="K797" s="1238"/>
      <c r="L797" s="802"/>
      <c r="M797" s="1703"/>
      <c r="N797" s="1638"/>
      <c r="P797" s="4588"/>
    </row>
    <row r="798" spans="1:16" ht="9" customHeight="1" x14ac:dyDescent="0.25">
      <c r="B798" s="1242"/>
      <c r="C798" s="3873"/>
      <c r="D798" s="788"/>
      <c r="E798" s="1455"/>
      <c r="F798" s="873"/>
      <c r="G798" s="868"/>
      <c r="H798" s="2174"/>
      <c r="I798" s="1651"/>
      <c r="J798" s="1113"/>
      <c r="K798" s="2285"/>
      <c r="L798" s="1323"/>
      <c r="M798" s="2175"/>
      <c r="N798" s="535"/>
    </row>
    <row r="799" spans="1:16" ht="19.5" customHeight="1" x14ac:dyDescent="0.25">
      <c r="B799" s="1305"/>
      <c r="C799" s="3858" t="s">
        <v>4761</v>
      </c>
      <c r="D799" s="669">
        <f>SUM(D800+D803)</f>
        <v>3141485376</v>
      </c>
      <c r="E799" s="1445">
        <f>D799/D426*100</f>
        <v>1.7551484184491535</v>
      </c>
      <c r="F799" s="847"/>
      <c r="G799" s="847"/>
      <c r="H799" s="807"/>
      <c r="I799" s="807"/>
      <c r="J799" s="1824"/>
      <c r="K799" s="1824"/>
      <c r="L799" s="1726"/>
      <c r="M799" s="1307"/>
      <c r="N799" s="535"/>
    </row>
    <row r="800" spans="1:16" s="497" customFormat="1" ht="20.25" customHeight="1" x14ac:dyDescent="0.25">
      <c r="A800" s="352"/>
      <c r="B800" s="1242"/>
      <c r="C800" s="3893" t="s">
        <v>4762</v>
      </c>
      <c r="D800" s="667">
        <f>D801</f>
        <v>1196600000</v>
      </c>
      <c r="E800" s="1453">
        <f>D800/D426*100</f>
        <v>0.66854062526002256</v>
      </c>
      <c r="F800" s="867"/>
      <c r="G800" s="867"/>
      <c r="H800" s="793"/>
      <c r="I800" s="793"/>
      <c r="J800" s="1840"/>
      <c r="K800" s="1840"/>
      <c r="L800" s="1730"/>
      <c r="M800" s="1671"/>
      <c r="N800" s="535"/>
      <c r="P800" s="500"/>
    </row>
    <row r="801" spans="1:16" s="1639" customFormat="1" ht="16.5" customHeight="1" x14ac:dyDescent="0.25">
      <c r="A801" s="1637"/>
      <c r="B801" s="1242"/>
      <c r="C801" s="3860" t="s">
        <v>4763</v>
      </c>
      <c r="D801" s="780">
        <v>1196600000</v>
      </c>
      <c r="E801" s="1454">
        <f>D801/D426*100</f>
        <v>0.66854062526002256</v>
      </c>
      <c r="F801" s="513"/>
      <c r="G801" s="755"/>
      <c r="H801" s="804"/>
      <c r="I801" s="802"/>
      <c r="J801" s="1842"/>
      <c r="K801" s="1238"/>
      <c r="L801" s="1716"/>
      <c r="M801" s="1312"/>
      <c r="N801" s="1638"/>
      <c r="P801" s="4588"/>
    </row>
    <row r="802" spans="1:16" s="497" customFormat="1" ht="10.5" customHeight="1" x14ac:dyDescent="0.25">
      <c r="A802" s="352"/>
      <c r="B802" s="1242"/>
      <c r="C802" s="3899"/>
      <c r="D802" s="1855"/>
      <c r="E802" s="1454"/>
      <c r="F802" s="514"/>
      <c r="G802" s="755"/>
      <c r="H802" s="802"/>
      <c r="I802" s="802"/>
      <c r="J802" s="1843"/>
      <c r="K802" s="2287"/>
      <c r="L802" s="2281"/>
      <c r="M802" s="1312"/>
      <c r="N802" s="535"/>
      <c r="P802" s="500"/>
    </row>
    <row r="803" spans="1:16" s="497" customFormat="1" ht="16.5" customHeight="1" x14ac:dyDescent="0.25">
      <c r="A803" s="352"/>
      <c r="B803" s="1242"/>
      <c r="C803" s="3881" t="s">
        <v>4764</v>
      </c>
      <c r="D803" s="889">
        <f>SUM(D804:D805)</f>
        <v>1944885376</v>
      </c>
      <c r="E803" s="1394">
        <f>D803/D426*100</f>
        <v>1.0866077931891309</v>
      </c>
      <c r="F803" s="874"/>
      <c r="G803" s="874"/>
      <c r="H803" s="793"/>
      <c r="I803" s="803"/>
      <c r="J803" s="871"/>
      <c r="K803" s="871"/>
      <c r="L803" s="1729"/>
      <c r="M803" s="1650"/>
      <c r="N803" s="535"/>
      <c r="P803" s="500"/>
    </row>
    <row r="804" spans="1:16" s="1639" customFormat="1" ht="21.75" customHeight="1" x14ac:dyDescent="0.25">
      <c r="A804" s="1637"/>
      <c r="B804" s="1640"/>
      <c r="C804" s="4104" t="s">
        <v>4765</v>
      </c>
      <c r="D804" s="666">
        <v>36042000</v>
      </c>
      <c r="E804" s="1454">
        <f>D804/D426*100</f>
        <v>2.0136671582501868E-2</v>
      </c>
      <c r="F804" s="3734"/>
      <c r="G804" s="2075"/>
      <c r="H804" s="3735"/>
      <c r="I804" s="2100"/>
      <c r="J804" s="3736"/>
      <c r="K804" s="3737"/>
      <c r="L804" s="2083"/>
      <c r="M804" s="2081"/>
      <c r="N804" s="1638"/>
      <c r="P804" s="4588"/>
    </row>
    <row r="805" spans="1:16" s="1639" customFormat="1" ht="15" customHeight="1" x14ac:dyDescent="0.25">
      <c r="A805" s="1637"/>
      <c r="B805" s="1242"/>
      <c r="C805" s="3860" t="s">
        <v>4766</v>
      </c>
      <c r="D805" s="666">
        <f>1400000000+508843376</f>
        <v>1908843376</v>
      </c>
      <c r="E805" s="1454">
        <f>D805/D426*100</f>
        <v>1.0664711216066289</v>
      </c>
      <c r="F805" s="542"/>
      <c r="G805" s="666"/>
      <c r="H805" s="804"/>
      <c r="I805" s="1111"/>
      <c r="J805" s="663"/>
      <c r="K805" s="1238"/>
      <c r="L805" s="1716"/>
      <c r="M805" s="1312"/>
      <c r="N805" s="1638"/>
      <c r="P805" s="4588"/>
    </row>
    <row r="806" spans="1:16" ht="12" customHeight="1" x14ac:dyDescent="0.25">
      <c r="B806" s="1242"/>
      <c r="C806" s="3861"/>
      <c r="D806" s="868"/>
      <c r="E806" s="1342"/>
      <c r="F806" s="875"/>
      <c r="G806" s="798"/>
      <c r="H806" s="805"/>
      <c r="I806" s="805"/>
      <c r="J806" s="2288"/>
      <c r="K806" s="2283"/>
      <c r="L806" s="1312"/>
      <c r="M806" s="1312"/>
      <c r="N806" s="535"/>
    </row>
    <row r="807" spans="1:16" s="266" customFormat="1" ht="19.5" customHeight="1" x14ac:dyDescent="0.25">
      <c r="A807" s="353"/>
      <c r="B807" s="5070"/>
      <c r="C807" s="4037" t="s">
        <v>601</v>
      </c>
      <c r="D807" s="2530">
        <f>SUM(D809+D881+D952+D959+D975+D989+D993+D1019+D1035+D1080+D1097+D1102+D1122+D1133+D1148+D1160+D1191+D1214+D1245+D1257+D1264+D1275+D1279+D1283+D1287+D1291+D1295+D1299+D1303+D1307+D1311+D1315+D1319+D1323+D1327+D1331+D1335+D1339+D1343+D1347+D1356)</f>
        <v>165355445000</v>
      </c>
      <c r="E807" s="5071">
        <f>D807/2507241496000*100</f>
        <v>6.5951144021748442</v>
      </c>
      <c r="F807" s="3403"/>
      <c r="G807" s="2699"/>
      <c r="H807" s="2505"/>
      <c r="I807" s="3035"/>
      <c r="J807" s="1943"/>
      <c r="K807" s="1943"/>
      <c r="L807" s="2505"/>
      <c r="M807" s="2701"/>
      <c r="N807" s="354"/>
      <c r="P807" s="4596"/>
    </row>
    <row r="808" spans="1:16" s="2017" customFormat="1" ht="6.75" customHeight="1" x14ac:dyDescent="0.25">
      <c r="A808" s="4522"/>
      <c r="B808" s="4523"/>
      <c r="C808" s="3977"/>
      <c r="D808" s="2792"/>
      <c r="E808" s="4622"/>
      <c r="F808" s="5072"/>
      <c r="G808" s="5073"/>
      <c r="H808" s="2403"/>
      <c r="I808" s="5074"/>
      <c r="J808" s="5075"/>
      <c r="K808" s="5075"/>
      <c r="L808" s="2403"/>
      <c r="M808" s="4525"/>
      <c r="N808" s="5076"/>
      <c r="P808" s="5077"/>
    </row>
    <row r="809" spans="1:16" s="2074" customFormat="1" ht="17.25" customHeight="1" x14ac:dyDescent="0.25">
      <c r="B809" s="2909"/>
      <c r="C809" s="3900" t="s">
        <v>238</v>
      </c>
      <c r="D809" s="4147">
        <f>SUM(D810+D813+D830+D853+D860+D865+D869+D875+D878)</f>
        <v>32845725035</v>
      </c>
      <c r="E809" s="1456">
        <f>D809/D807*100</f>
        <v>19.863709377698449</v>
      </c>
      <c r="F809" s="876"/>
      <c r="G809" s="876"/>
      <c r="H809" s="2289"/>
      <c r="I809" s="2290"/>
      <c r="J809" s="1844"/>
      <c r="K809" s="1844"/>
      <c r="L809" s="2291"/>
      <c r="M809" s="2292"/>
      <c r="N809" s="2076"/>
      <c r="P809" s="4587"/>
    </row>
    <row r="810" spans="1:16" s="2074" customFormat="1" ht="18" customHeight="1" x14ac:dyDescent="0.25">
      <c r="B810" s="2910"/>
      <c r="C810" s="3854" t="s">
        <v>236</v>
      </c>
      <c r="D810" s="889">
        <f>D811</f>
        <v>535000000</v>
      </c>
      <c r="E810" s="1159">
        <f>D810/D807*100</f>
        <v>0.32354543873653513</v>
      </c>
      <c r="F810" s="854"/>
      <c r="G810" s="877"/>
      <c r="H810" s="1166"/>
      <c r="I810" s="877"/>
      <c r="J810" s="1836"/>
      <c r="K810" s="877"/>
      <c r="L810" s="877"/>
      <c r="M810" s="877"/>
      <c r="N810" s="2076"/>
      <c r="P810" s="4587"/>
    </row>
    <row r="811" spans="1:16" s="2074" customFormat="1" ht="16.5" customHeight="1" x14ac:dyDescent="0.25">
      <c r="B811" s="2910"/>
      <c r="C811" s="3856" t="s">
        <v>6186</v>
      </c>
      <c r="D811" s="780">
        <v>535000000</v>
      </c>
      <c r="E811" s="1162">
        <f>D811/D807*100</f>
        <v>0.32354543873653513</v>
      </c>
      <c r="F811" s="780"/>
      <c r="G811" s="878"/>
      <c r="H811" s="1167"/>
      <c r="I811" s="878"/>
      <c r="J811" s="780"/>
      <c r="K811" s="878"/>
      <c r="L811" s="878"/>
      <c r="M811" s="878"/>
      <c r="N811" s="2076"/>
      <c r="P811" s="4587"/>
    </row>
    <row r="812" spans="1:16" s="2074" customFormat="1" ht="10.5" customHeight="1" x14ac:dyDescent="0.25">
      <c r="B812" s="2910"/>
      <c r="C812" s="3860"/>
      <c r="D812" s="666"/>
      <c r="E812" s="1162"/>
      <c r="F812" s="838"/>
      <c r="G812" s="878"/>
      <c r="H812" s="1310"/>
      <c r="I812" s="1109"/>
      <c r="J812" s="1818"/>
      <c r="K812" s="2293"/>
      <c r="L812" s="1312"/>
      <c r="M812" s="2230"/>
      <c r="N812" s="2076"/>
      <c r="P812" s="4587"/>
    </row>
    <row r="813" spans="1:16" s="2074" customFormat="1" ht="19.5" customHeight="1" x14ac:dyDescent="0.25">
      <c r="B813" s="2910"/>
      <c r="C813" s="3855" t="s">
        <v>1030</v>
      </c>
      <c r="D813" s="673">
        <f>SUM(D814:D828)</f>
        <v>2897531100</v>
      </c>
      <c r="E813" s="1052">
        <f>D813/D807*100</f>
        <v>1.752304618695804</v>
      </c>
      <c r="F813" s="839"/>
      <c r="G813" s="839"/>
      <c r="H813" s="1308"/>
      <c r="I813" s="1110"/>
      <c r="J813" s="1381"/>
      <c r="K813" s="1381"/>
      <c r="L813" s="1308"/>
      <c r="M813" s="2006"/>
      <c r="N813" s="2076"/>
      <c r="P813" s="4587"/>
    </row>
    <row r="814" spans="1:16" s="2074" customFormat="1" ht="14.25" customHeight="1" x14ac:dyDescent="0.25">
      <c r="B814" s="2910"/>
      <c r="C814" s="3856" t="s">
        <v>6187</v>
      </c>
      <c r="D814" s="780">
        <v>110365000</v>
      </c>
      <c r="E814" s="1162">
        <f>D814/D807*100</f>
        <v>6.6744097843285416E-2</v>
      </c>
      <c r="F814" s="780"/>
      <c r="G814" s="878"/>
      <c r="H814" s="1167"/>
      <c r="I814" s="878"/>
      <c r="J814" s="780"/>
      <c r="K814" s="2293"/>
      <c r="L814" s="1310"/>
      <c r="M814" s="2230"/>
      <c r="N814" s="2076"/>
      <c r="P814" s="4587"/>
    </row>
    <row r="815" spans="1:16" s="2074" customFormat="1" ht="17.25" customHeight="1" x14ac:dyDescent="0.25">
      <c r="B815" s="2910"/>
      <c r="C815" s="3856" t="s">
        <v>6188</v>
      </c>
      <c r="D815" s="780">
        <v>373300000</v>
      </c>
      <c r="E815" s="1162">
        <f>D815/D807*100</f>
        <v>0.22575609772027766</v>
      </c>
      <c r="F815" s="780"/>
      <c r="G815" s="878"/>
      <c r="H815" s="1167"/>
      <c r="I815" s="878"/>
      <c r="J815" s="780"/>
      <c r="K815" s="878"/>
      <c r="L815" s="878"/>
      <c r="M815" s="878"/>
      <c r="N815" s="2076"/>
      <c r="P815" s="4587"/>
    </row>
    <row r="816" spans="1:16" s="2074" customFormat="1" ht="16.5" customHeight="1" x14ac:dyDescent="0.25">
      <c r="B816" s="2910"/>
      <c r="C816" s="3856" t="s">
        <v>6189</v>
      </c>
      <c r="D816" s="780">
        <v>247540000</v>
      </c>
      <c r="E816" s="1162">
        <f>D816/D807*100</f>
        <v>0.14970175309316242</v>
      </c>
      <c r="F816" s="780"/>
      <c r="G816" s="878"/>
      <c r="H816" s="1310"/>
      <c r="I816" s="1109"/>
      <c r="J816" s="780"/>
      <c r="K816" s="2293"/>
      <c r="L816" s="1310"/>
      <c r="M816" s="2230"/>
      <c r="N816" s="2076"/>
      <c r="P816" s="4587"/>
    </row>
    <row r="817" spans="2:16" s="2074" customFormat="1" ht="27.75" customHeight="1" x14ac:dyDescent="0.25">
      <c r="B817" s="2910"/>
      <c r="C817" s="3856" t="s">
        <v>1033</v>
      </c>
      <c r="D817" s="780">
        <v>72600000</v>
      </c>
      <c r="E817" s="1162">
        <f>D817/D807*100</f>
        <v>4.390541841546252E-2</v>
      </c>
      <c r="F817" s="780"/>
      <c r="G817" s="878"/>
      <c r="H817" s="1167"/>
      <c r="I817" s="878"/>
      <c r="J817" s="780"/>
      <c r="K817" s="2293"/>
      <c r="L817" s="1310"/>
      <c r="M817" s="2230"/>
      <c r="N817" s="2076"/>
      <c r="P817" s="4587"/>
    </row>
    <row r="818" spans="2:16" s="2074" customFormat="1" ht="21" customHeight="1" x14ac:dyDescent="0.25">
      <c r="B818" s="2910"/>
      <c r="C818" s="3856" t="s">
        <v>6190</v>
      </c>
      <c r="D818" s="780">
        <v>228227000</v>
      </c>
      <c r="E818" s="1162">
        <f>D818/D807*100</f>
        <v>0.13802206513368823</v>
      </c>
      <c r="F818" s="780"/>
      <c r="G818" s="878"/>
      <c r="H818" s="1167"/>
      <c r="I818" s="3047"/>
      <c r="J818" s="780"/>
      <c r="K818" s="2293"/>
      <c r="L818" s="1310"/>
      <c r="M818" s="2230"/>
      <c r="N818" s="2076"/>
      <c r="P818" s="4587"/>
    </row>
    <row r="819" spans="2:16" s="2074" customFormat="1" ht="27.75" customHeight="1" x14ac:dyDescent="0.25">
      <c r="B819" s="2910"/>
      <c r="C819" s="3856" t="s">
        <v>6191</v>
      </c>
      <c r="D819" s="780">
        <v>56880000</v>
      </c>
      <c r="E819" s="1162">
        <f>D819/D807*100</f>
        <v>3.4398625337073115E-2</v>
      </c>
      <c r="F819" s="780"/>
      <c r="G819" s="878"/>
      <c r="H819" s="1167"/>
      <c r="I819" s="3047"/>
      <c r="J819" s="780"/>
      <c r="K819" s="2293"/>
      <c r="L819" s="1310"/>
      <c r="M819" s="2230"/>
      <c r="N819" s="2076"/>
      <c r="P819" s="4587"/>
    </row>
    <row r="820" spans="2:16" s="2074" customFormat="1" ht="30.75" customHeight="1" x14ac:dyDescent="0.25">
      <c r="B820" s="2910"/>
      <c r="C820" s="3856" t="s">
        <v>6192</v>
      </c>
      <c r="D820" s="780">
        <v>187880000</v>
      </c>
      <c r="E820" s="1162">
        <f>D820/D807*100</f>
        <v>0.11362190099031816</v>
      </c>
      <c r="F820" s="780"/>
      <c r="G820" s="878"/>
      <c r="H820" s="1167"/>
      <c r="I820" s="3047"/>
      <c r="J820" s="780"/>
      <c r="K820" s="2293"/>
      <c r="L820" s="1310"/>
      <c r="M820" s="2230"/>
      <c r="N820" s="2076"/>
      <c r="P820" s="4587"/>
    </row>
    <row r="821" spans="2:16" s="2074" customFormat="1" ht="30" customHeight="1" x14ac:dyDescent="0.25">
      <c r="B821" s="2910"/>
      <c r="C821" s="3856" t="s">
        <v>6193</v>
      </c>
      <c r="D821" s="780">
        <v>228965000</v>
      </c>
      <c r="E821" s="1162">
        <f>D821/D807*100</f>
        <v>0.13846837641179582</v>
      </c>
      <c r="F821" s="780"/>
      <c r="G821" s="878"/>
      <c r="H821" s="1167"/>
      <c r="I821" s="3047"/>
      <c r="J821" s="780"/>
      <c r="K821" s="2293"/>
      <c r="L821" s="1310"/>
      <c r="M821" s="2230"/>
      <c r="N821" s="2076"/>
      <c r="P821" s="4587"/>
    </row>
    <row r="822" spans="2:16" s="2074" customFormat="1" ht="16.5" customHeight="1" x14ac:dyDescent="0.25">
      <c r="B822" s="2910"/>
      <c r="C822" s="3856" t="s">
        <v>6194</v>
      </c>
      <c r="D822" s="780">
        <v>177805000</v>
      </c>
      <c r="E822" s="1162">
        <f>D822/D807*100</f>
        <v>0.10752896585897126</v>
      </c>
      <c r="F822" s="780"/>
      <c r="G822" s="878"/>
      <c r="H822" s="1167"/>
      <c r="I822" s="3047"/>
      <c r="J822" s="780"/>
      <c r="K822" s="2293"/>
      <c r="L822" s="1310"/>
      <c r="M822" s="2230"/>
      <c r="N822" s="2076"/>
      <c r="P822" s="4587"/>
    </row>
    <row r="823" spans="2:16" s="2074" customFormat="1" ht="18" customHeight="1" x14ac:dyDescent="0.25">
      <c r="B823" s="2910"/>
      <c r="C823" s="3856" t="s">
        <v>6195</v>
      </c>
      <c r="D823" s="780">
        <v>71387100</v>
      </c>
      <c r="E823" s="1162">
        <f>D823/D807*100</f>
        <v>4.3171907644166174E-2</v>
      </c>
      <c r="F823" s="780"/>
      <c r="G823" s="878"/>
      <c r="H823" s="1167"/>
      <c r="I823" s="3047"/>
      <c r="J823" s="780"/>
      <c r="K823" s="2293"/>
      <c r="L823" s="1310"/>
      <c r="M823" s="2230"/>
      <c r="N823" s="2076"/>
      <c r="P823" s="4587"/>
    </row>
    <row r="824" spans="2:16" s="2074" customFormat="1" ht="17.25" customHeight="1" x14ac:dyDescent="0.25">
      <c r="B824" s="2910"/>
      <c r="C824" s="3856" t="s">
        <v>6196</v>
      </c>
      <c r="D824" s="780">
        <v>196415000</v>
      </c>
      <c r="E824" s="1162">
        <f>D824/D807*100</f>
        <v>0.11878350906436737</v>
      </c>
      <c r="F824" s="780"/>
      <c r="G824" s="878"/>
      <c r="H824" s="1167"/>
      <c r="I824" s="3047"/>
      <c r="J824" s="780"/>
      <c r="K824" s="2293"/>
      <c r="L824" s="1310"/>
      <c r="M824" s="2230"/>
      <c r="N824" s="2076"/>
      <c r="P824" s="4587"/>
    </row>
    <row r="825" spans="2:16" s="2074" customFormat="1" ht="16.5" customHeight="1" x14ac:dyDescent="0.25">
      <c r="B825" s="2910"/>
      <c r="C825" s="3856" t="s">
        <v>6197</v>
      </c>
      <c r="D825" s="780">
        <v>207277000</v>
      </c>
      <c r="E825" s="1162">
        <f>D825/D807*100</f>
        <v>0.12535238860746314</v>
      </c>
      <c r="F825" s="780"/>
      <c r="G825" s="878"/>
      <c r="H825" s="1167"/>
      <c r="I825" s="3047"/>
      <c r="J825" s="780"/>
      <c r="K825" s="2293"/>
      <c r="L825" s="1310"/>
      <c r="M825" s="2230"/>
      <c r="N825" s="2076"/>
      <c r="P825" s="4587"/>
    </row>
    <row r="826" spans="2:16" s="2074" customFormat="1" ht="18" customHeight="1" x14ac:dyDescent="0.25">
      <c r="B826" s="2910"/>
      <c r="C826" s="3856" t="s">
        <v>6198</v>
      </c>
      <c r="D826" s="780">
        <v>217690000</v>
      </c>
      <c r="E826" s="1162">
        <f>D826/D807*100</f>
        <v>0.131649731885152</v>
      </c>
      <c r="F826" s="780"/>
      <c r="G826" s="878"/>
      <c r="H826" s="1167"/>
      <c r="I826" s="3047"/>
      <c r="J826" s="780"/>
      <c r="K826" s="2293"/>
      <c r="L826" s="1310"/>
      <c r="M826" s="2230"/>
      <c r="N826" s="2076"/>
      <c r="P826" s="4587"/>
    </row>
    <row r="827" spans="2:16" s="2074" customFormat="1" ht="17.25" customHeight="1" x14ac:dyDescent="0.25">
      <c r="B827" s="2910"/>
      <c r="C827" s="3856" t="s">
        <v>6199</v>
      </c>
      <c r="D827" s="780">
        <v>146200000</v>
      </c>
      <c r="E827" s="1162">
        <f>D827/D807*100</f>
        <v>8.8415594660339117E-2</v>
      </c>
      <c r="F827" s="780"/>
      <c r="G827" s="878"/>
      <c r="H827" s="1167"/>
      <c r="I827" s="3047"/>
      <c r="J827" s="780"/>
      <c r="K827" s="2293"/>
      <c r="L827" s="1310"/>
      <c r="M827" s="2230"/>
      <c r="N827" s="2076"/>
      <c r="P827" s="4587"/>
    </row>
    <row r="828" spans="2:16" s="2074" customFormat="1" ht="29.25" customHeight="1" x14ac:dyDescent="0.25">
      <c r="B828" s="2910"/>
      <c r="C828" s="4111" t="s">
        <v>6200</v>
      </c>
      <c r="D828" s="780">
        <v>375000000</v>
      </c>
      <c r="E828" s="1162">
        <f>D828/D807*100</f>
        <v>0.22678418603028161</v>
      </c>
      <c r="F828" s="780"/>
      <c r="G828" s="878"/>
      <c r="H828" s="1167"/>
      <c r="I828" s="3047"/>
      <c r="J828" s="780"/>
      <c r="K828" s="2293"/>
      <c r="L828" s="1310"/>
      <c r="M828" s="2230"/>
      <c r="N828" s="2076"/>
      <c r="P828" s="4587"/>
    </row>
    <row r="829" spans="2:16" s="2074" customFormat="1" ht="11.25" customHeight="1" x14ac:dyDescent="0.25">
      <c r="B829" s="2910"/>
      <c r="C829" s="3860"/>
      <c r="D829" s="666"/>
      <c r="E829" s="1162"/>
      <c r="F829" s="838"/>
      <c r="G829" s="878"/>
      <c r="H829" s="1167"/>
      <c r="I829" s="1109"/>
      <c r="J829" s="1818"/>
      <c r="K829" s="2293"/>
      <c r="L829" s="1312"/>
      <c r="M829" s="2230"/>
      <c r="N829" s="2076"/>
      <c r="P829" s="4587"/>
    </row>
    <row r="830" spans="2:16" s="2074" customFormat="1" ht="17.25" customHeight="1" x14ac:dyDescent="0.25">
      <c r="B830" s="2910"/>
      <c r="C830" s="3854" t="s">
        <v>366</v>
      </c>
      <c r="D830" s="673">
        <f>SUM(D831:D851)</f>
        <v>21061464400</v>
      </c>
      <c r="E830" s="1052">
        <f>D830/D807*100</f>
        <v>12.737085494826008</v>
      </c>
      <c r="F830" s="839"/>
      <c r="G830" s="839"/>
      <c r="H830" s="1308"/>
      <c r="I830" s="1110"/>
      <c r="J830" s="1381"/>
      <c r="K830" s="1381"/>
      <c r="L830" s="1308"/>
      <c r="M830" s="2006"/>
      <c r="N830" s="2076"/>
      <c r="P830" s="4587"/>
    </row>
    <row r="831" spans="2:16" s="2074" customFormat="1" ht="18" customHeight="1" x14ac:dyDescent="0.25">
      <c r="B831" s="2910"/>
      <c r="C831" s="3860" t="s">
        <v>6201</v>
      </c>
      <c r="D831" s="666">
        <v>3651780000</v>
      </c>
      <c r="E831" s="1162">
        <f>D831/D807*100</f>
        <v>2.2084425462977646</v>
      </c>
      <c r="F831" s="879"/>
      <c r="G831" s="878"/>
      <c r="H831" s="1167"/>
      <c r="I831" s="878"/>
      <c r="J831" s="1616"/>
      <c r="K831" s="2293"/>
      <c r="L831" s="1310"/>
      <c r="M831" s="2230"/>
      <c r="N831" s="2076"/>
      <c r="P831" s="4587"/>
    </row>
    <row r="832" spans="2:16" s="2074" customFormat="1" ht="16.5" customHeight="1" x14ac:dyDescent="0.25">
      <c r="B832" s="2910"/>
      <c r="C832" s="3874" t="s">
        <v>6202</v>
      </c>
      <c r="D832" s="666">
        <v>123560000</v>
      </c>
      <c r="E832" s="1162">
        <f>D832/D807*100</f>
        <v>7.4723877402404257E-2</v>
      </c>
      <c r="F832" s="880"/>
      <c r="G832" s="878"/>
      <c r="H832" s="1167"/>
      <c r="I832" s="878"/>
      <c r="J832" s="666"/>
      <c r="K832" s="2293"/>
      <c r="L832" s="1310"/>
      <c r="M832" s="2230"/>
      <c r="N832" s="2076"/>
      <c r="P832" s="4587"/>
    </row>
    <row r="833" spans="2:16" s="2074" customFormat="1" ht="15.75" customHeight="1" x14ac:dyDescent="0.25">
      <c r="B833" s="2910"/>
      <c r="C833" s="3860" t="s">
        <v>6203</v>
      </c>
      <c r="D833" s="666">
        <v>3440500000</v>
      </c>
      <c r="E833" s="1162">
        <f>D833/D807*100</f>
        <v>2.0806693120991571</v>
      </c>
      <c r="F833" s="880"/>
      <c r="G833" s="878"/>
      <c r="H833" s="1167"/>
      <c r="I833" s="878"/>
      <c r="J833" s="666"/>
      <c r="K833" s="2293"/>
      <c r="L833" s="1310"/>
      <c r="M833" s="2230"/>
      <c r="N833" s="2076"/>
      <c r="P833" s="4587"/>
    </row>
    <row r="834" spans="2:16" s="2074" customFormat="1" ht="13.5" customHeight="1" x14ac:dyDescent="0.25">
      <c r="B834" s="2910"/>
      <c r="C834" s="3874" t="s">
        <v>6204</v>
      </c>
      <c r="D834" s="666">
        <v>3551160000</v>
      </c>
      <c r="E834" s="1162">
        <f>D834/D807*100</f>
        <v>2.1475918135021197</v>
      </c>
      <c r="F834" s="880"/>
      <c r="G834" s="878"/>
      <c r="H834" s="1167"/>
      <c r="I834" s="878"/>
      <c r="J834" s="666"/>
      <c r="K834" s="878"/>
      <c r="L834" s="878"/>
      <c r="M834" s="878"/>
      <c r="N834" s="2076"/>
      <c r="P834" s="4587"/>
    </row>
    <row r="835" spans="2:16" s="2074" customFormat="1" ht="15.75" customHeight="1" x14ac:dyDescent="0.25">
      <c r="B835" s="2910"/>
      <c r="C835" s="3860" t="s">
        <v>7112</v>
      </c>
      <c r="D835" s="666">
        <v>1923982000</v>
      </c>
      <c r="E835" s="1162">
        <f>D835/D807*100</f>
        <v>1.1635431781517687</v>
      </c>
      <c r="F835" s="879"/>
      <c r="G835" s="878"/>
      <c r="H835" s="1167"/>
      <c r="I835" s="878"/>
      <c r="J835" s="1616"/>
      <c r="K835" s="878"/>
      <c r="L835" s="878"/>
      <c r="M835" s="878"/>
      <c r="N835" s="2076"/>
      <c r="P835" s="4587"/>
    </row>
    <row r="836" spans="2:16" s="2074" customFormat="1" ht="13.5" customHeight="1" x14ac:dyDescent="0.25">
      <c r="B836" s="2910"/>
      <c r="C836" s="3860" t="s">
        <v>1039</v>
      </c>
      <c r="D836" s="666">
        <v>867841000</v>
      </c>
      <c r="E836" s="1162">
        <f>D836/D807*100</f>
        <v>0.52483363943654826</v>
      </c>
      <c r="F836" s="879"/>
      <c r="G836" s="878"/>
      <c r="H836" s="1167"/>
      <c r="I836" s="878"/>
      <c r="J836" s="1616"/>
      <c r="K836" s="2293"/>
      <c r="L836" s="1310"/>
      <c r="M836" s="2230"/>
      <c r="N836" s="2076"/>
      <c r="P836" s="4587"/>
    </row>
    <row r="837" spans="2:16" s="2074" customFormat="1" ht="17.25" customHeight="1" x14ac:dyDescent="0.25">
      <c r="B837" s="2910"/>
      <c r="C837" s="3860" t="s">
        <v>1040</v>
      </c>
      <c r="D837" s="666">
        <v>607992000</v>
      </c>
      <c r="E837" s="1162">
        <f>D837/D807*100</f>
        <v>0.36768792222112795</v>
      </c>
      <c r="F837" s="879"/>
      <c r="G837" s="878"/>
      <c r="H837" s="1310"/>
      <c r="I837" s="1109"/>
      <c r="J837" s="1616"/>
      <c r="K837" s="2293"/>
      <c r="L837" s="1310"/>
      <c r="M837" s="2230"/>
      <c r="N837" s="2076"/>
      <c r="P837" s="4587"/>
    </row>
    <row r="838" spans="2:16" s="2074" customFormat="1" ht="13.5" customHeight="1" x14ac:dyDescent="0.25">
      <c r="B838" s="2910"/>
      <c r="C838" s="3860" t="s">
        <v>1041</v>
      </c>
      <c r="D838" s="666">
        <v>455950000</v>
      </c>
      <c r="E838" s="1162">
        <f>D838/D807*100</f>
        <v>0.27573933232135173</v>
      </c>
      <c r="F838" s="879"/>
      <c r="G838" s="878"/>
      <c r="H838" s="1310"/>
      <c r="I838" s="1109"/>
      <c r="J838" s="1616"/>
      <c r="K838" s="2293"/>
      <c r="L838" s="1310"/>
      <c r="M838" s="2230"/>
      <c r="N838" s="2076"/>
      <c r="P838" s="4587"/>
    </row>
    <row r="839" spans="2:16" s="2074" customFormat="1" ht="15" customHeight="1" x14ac:dyDescent="0.25">
      <c r="B839" s="2910"/>
      <c r="C839" s="3860" t="s">
        <v>6205</v>
      </c>
      <c r="D839" s="666">
        <v>50175000</v>
      </c>
      <c r="E839" s="1162">
        <f>D839/D807*100</f>
        <v>3.0343724090851683E-2</v>
      </c>
      <c r="F839" s="879"/>
      <c r="G839" s="878"/>
      <c r="H839" s="1167"/>
      <c r="I839" s="878"/>
      <c r="J839" s="1616"/>
      <c r="K839" s="2293"/>
      <c r="L839" s="1310"/>
      <c r="M839" s="2230"/>
      <c r="N839" s="2076"/>
      <c r="P839" s="4587"/>
    </row>
    <row r="840" spans="2:16" s="2074" customFormat="1" ht="15.75" customHeight="1" x14ac:dyDescent="0.25">
      <c r="B840" s="2910"/>
      <c r="C840" s="3860" t="s">
        <v>6206</v>
      </c>
      <c r="D840" s="666">
        <v>5325000</v>
      </c>
      <c r="E840" s="1162">
        <f>D840/D807*100</f>
        <v>3.220335441629999E-3</v>
      </c>
      <c r="F840" s="879"/>
      <c r="G840" s="878"/>
      <c r="H840" s="1167"/>
      <c r="I840" s="878"/>
      <c r="J840" s="1616"/>
      <c r="K840" s="1616"/>
      <c r="L840" s="1310"/>
      <c r="M840" s="2230"/>
      <c r="N840" s="2076"/>
      <c r="P840" s="4587"/>
    </row>
    <row r="841" spans="2:16" s="2074" customFormat="1" ht="14.25" customHeight="1" x14ac:dyDescent="0.25">
      <c r="B841" s="2910"/>
      <c r="C841" s="3860" t="s">
        <v>1044</v>
      </c>
      <c r="D841" s="666">
        <v>1266858800</v>
      </c>
      <c r="E841" s="1162">
        <f>D841/D807*100</f>
        <v>0.76614277806213149</v>
      </c>
      <c r="F841" s="879"/>
      <c r="G841" s="878"/>
      <c r="H841" s="1310"/>
      <c r="I841" s="1109"/>
      <c r="J841" s="1616"/>
      <c r="K841" s="2293"/>
      <c r="L841" s="1310"/>
      <c r="M841" s="2230"/>
      <c r="N841" s="2076"/>
      <c r="P841" s="4587"/>
    </row>
    <row r="842" spans="2:16" s="2074" customFormat="1" ht="13.5" customHeight="1" x14ac:dyDescent="0.25">
      <c r="B842" s="2910"/>
      <c r="C842" s="3860" t="s">
        <v>1045</v>
      </c>
      <c r="D842" s="666">
        <v>1910327000</v>
      </c>
      <c r="E842" s="1162">
        <f>D842/D807*100</f>
        <v>1.1552852099911195</v>
      </c>
      <c r="F842" s="879"/>
      <c r="G842" s="878"/>
      <c r="H842" s="1310"/>
      <c r="I842" s="1109"/>
      <c r="J842" s="1616"/>
      <c r="K842" s="2293"/>
      <c r="L842" s="1310"/>
      <c r="M842" s="2230"/>
      <c r="N842" s="2076"/>
      <c r="P842" s="4587"/>
    </row>
    <row r="843" spans="2:16" s="2074" customFormat="1" ht="13.5" customHeight="1" x14ac:dyDescent="0.25">
      <c r="B843" s="2910"/>
      <c r="C843" s="3860" t="s">
        <v>6207</v>
      </c>
      <c r="D843" s="666">
        <v>112200000</v>
      </c>
      <c r="E843" s="1162">
        <f>D843/D807*100</f>
        <v>6.7853828460260251E-2</v>
      </c>
      <c r="F843" s="879"/>
      <c r="G843" s="878"/>
      <c r="H843" s="1310"/>
      <c r="I843" s="1109"/>
      <c r="J843" s="1616"/>
      <c r="K843" s="2293"/>
      <c r="L843" s="1310"/>
      <c r="M843" s="2230"/>
      <c r="N843" s="2076"/>
      <c r="P843" s="4587"/>
    </row>
    <row r="844" spans="2:16" s="2074" customFormat="1" ht="15.75" customHeight="1" x14ac:dyDescent="0.25">
      <c r="B844" s="2910"/>
      <c r="C844" s="3874" t="s">
        <v>6208</v>
      </c>
      <c r="D844" s="666">
        <v>256738000</v>
      </c>
      <c r="E844" s="1162">
        <f>D844/D807*100</f>
        <v>0.15526431560811318</v>
      </c>
      <c r="F844" s="880"/>
      <c r="G844" s="878"/>
      <c r="H844" s="1167"/>
      <c r="I844" s="878"/>
      <c r="J844" s="666"/>
      <c r="K844" s="2293"/>
      <c r="L844" s="1310"/>
      <c r="M844" s="2230"/>
      <c r="N844" s="2076"/>
      <c r="P844" s="4587"/>
    </row>
    <row r="845" spans="2:16" s="2074" customFormat="1" ht="15.75" customHeight="1" x14ac:dyDescent="0.25">
      <c r="B845" s="2910"/>
      <c r="C845" s="3856" t="s">
        <v>6209</v>
      </c>
      <c r="D845" s="666">
        <v>395750000</v>
      </c>
      <c r="E845" s="1162">
        <f>D845/D807*100</f>
        <v>0.23933291099062387</v>
      </c>
      <c r="F845" s="880"/>
      <c r="G845" s="878"/>
      <c r="H845" s="1167"/>
      <c r="I845" s="878"/>
      <c r="J845" s="666"/>
      <c r="K845" s="2293"/>
      <c r="L845" s="1310"/>
      <c r="M845" s="2230"/>
      <c r="N845" s="2076"/>
      <c r="P845" s="4587"/>
    </row>
    <row r="846" spans="2:16" s="2074" customFormat="1" ht="15.75" customHeight="1" x14ac:dyDescent="0.25">
      <c r="B846" s="2910"/>
      <c r="C846" s="3874" t="s">
        <v>6210</v>
      </c>
      <c r="D846" s="666">
        <v>84045600</v>
      </c>
      <c r="E846" s="1162">
        <f>D846/D807*100</f>
        <v>5.0827234627804363E-2</v>
      </c>
      <c r="F846" s="880"/>
      <c r="G846" s="878"/>
      <c r="H846" s="1167"/>
      <c r="I846" s="878"/>
      <c r="J846" s="666"/>
      <c r="K846" s="878"/>
      <c r="L846" s="878"/>
      <c r="M846" s="878"/>
      <c r="N846" s="2076"/>
      <c r="P846" s="4587"/>
    </row>
    <row r="847" spans="2:16" s="2074" customFormat="1" ht="13.5" customHeight="1" x14ac:dyDescent="0.25">
      <c r="B847" s="2910"/>
      <c r="C847" s="3863" t="s">
        <v>6211</v>
      </c>
      <c r="D847" s="666">
        <v>212775000</v>
      </c>
      <c r="E847" s="1162">
        <f>D847/D807*100</f>
        <v>0.12867734715358178</v>
      </c>
      <c r="F847" s="881"/>
      <c r="G847" s="878"/>
      <c r="H847" s="1310"/>
      <c r="I847" s="1109"/>
      <c r="J847" s="666"/>
      <c r="K847" s="2293"/>
      <c r="L847" s="1312"/>
      <c r="M847" s="2230"/>
      <c r="N847" s="2076"/>
      <c r="P847" s="4587"/>
    </row>
    <row r="848" spans="2:16" s="2074" customFormat="1" ht="15" customHeight="1" x14ac:dyDescent="0.25">
      <c r="B848" s="2910"/>
      <c r="C848" s="3964" t="s">
        <v>6212</v>
      </c>
      <c r="D848" s="868">
        <v>213575000</v>
      </c>
      <c r="E848" s="1162">
        <f>D848/D807*100</f>
        <v>0.12916115341711304</v>
      </c>
      <c r="F848" s="891"/>
      <c r="G848" s="882"/>
      <c r="H848" s="1310"/>
      <c r="I848" s="1109"/>
      <c r="J848" s="868"/>
      <c r="K848" s="2296"/>
      <c r="L848" s="1312"/>
      <c r="M848" s="2230"/>
      <c r="N848" s="2076"/>
      <c r="P848" s="4587"/>
    </row>
    <row r="849" spans="2:16" s="2074" customFormat="1" ht="15.75" customHeight="1" x14ac:dyDescent="0.25">
      <c r="B849" s="2910"/>
      <c r="C849" s="4104" t="s">
        <v>6213</v>
      </c>
      <c r="D849" s="868">
        <v>286270000</v>
      </c>
      <c r="E849" s="1162">
        <f>D849/D807*100</f>
        <v>0.1731240238263699</v>
      </c>
      <c r="F849" s="891"/>
      <c r="G849" s="882"/>
      <c r="H849" s="1310"/>
      <c r="I849" s="1109"/>
      <c r="J849" s="868"/>
      <c r="K849" s="2296"/>
      <c r="L849" s="1312"/>
      <c r="M849" s="2230"/>
      <c r="N849" s="2076"/>
      <c r="P849" s="4587"/>
    </row>
    <row r="850" spans="2:16" s="2074" customFormat="1" ht="15" customHeight="1" x14ac:dyDescent="0.25">
      <c r="B850" s="2910"/>
      <c r="C850" s="4104" t="s">
        <v>6214</v>
      </c>
      <c r="D850" s="868">
        <v>500400000</v>
      </c>
      <c r="E850" s="1162">
        <f>D850/D807*100</f>
        <v>0.30262081783880779</v>
      </c>
      <c r="F850" s="891"/>
      <c r="G850" s="882"/>
      <c r="H850" s="1310"/>
      <c r="I850" s="1109"/>
      <c r="J850" s="868"/>
      <c r="K850" s="2296"/>
      <c r="L850" s="1312"/>
      <c r="M850" s="2230"/>
      <c r="N850" s="2076"/>
      <c r="P850" s="4587"/>
    </row>
    <row r="851" spans="2:16" s="2074" customFormat="1" ht="15.75" customHeight="1" x14ac:dyDescent="0.25">
      <c r="B851" s="2910"/>
      <c r="C851" s="4104" t="s">
        <v>6215</v>
      </c>
      <c r="D851" s="868">
        <v>1144260000</v>
      </c>
      <c r="E851" s="1162">
        <f>D851/D807*100</f>
        <v>0.69200019388536016</v>
      </c>
      <c r="F851" s="891"/>
      <c r="G851" s="882"/>
      <c r="H851" s="1310"/>
      <c r="I851" s="1109"/>
      <c r="J851" s="868"/>
      <c r="K851" s="2296"/>
      <c r="L851" s="1312"/>
      <c r="M851" s="2230"/>
      <c r="N851" s="2076"/>
      <c r="P851" s="4587"/>
    </row>
    <row r="852" spans="2:16" s="2074" customFormat="1" ht="9.75" customHeight="1" x14ac:dyDescent="0.25">
      <c r="B852" s="2910"/>
      <c r="C852" s="4104"/>
      <c r="D852" s="868"/>
      <c r="E852" s="1162"/>
      <c r="F852" s="891"/>
      <c r="G852" s="882"/>
      <c r="H852" s="1310"/>
      <c r="I852" s="1109"/>
      <c r="J852" s="868"/>
      <c r="K852" s="2296"/>
      <c r="L852" s="1312"/>
      <c r="M852" s="2230"/>
      <c r="N852" s="2076"/>
      <c r="P852" s="4587"/>
    </row>
    <row r="853" spans="2:16" s="2074" customFormat="1" ht="14.25" customHeight="1" x14ac:dyDescent="0.25">
      <c r="B853" s="2910"/>
      <c r="C853" s="3854" t="s">
        <v>367</v>
      </c>
      <c r="D853" s="1845">
        <f>SUM(D854:D858)</f>
        <v>2763545000</v>
      </c>
      <c r="E853" s="1052">
        <f>D853/D807*100</f>
        <v>1.6712754756881456</v>
      </c>
      <c r="F853" s="664"/>
      <c r="G853" s="664"/>
      <c r="H853" s="1308"/>
      <c r="I853" s="1110"/>
      <c r="J853" s="1845"/>
      <c r="K853" s="1845"/>
      <c r="L853" s="1308"/>
      <c r="M853" s="2006"/>
      <c r="N853" s="2076"/>
      <c r="P853" s="4587"/>
    </row>
    <row r="854" spans="2:16" s="2074" customFormat="1" ht="15" customHeight="1" x14ac:dyDescent="0.25">
      <c r="B854" s="2910"/>
      <c r="C854" s="3876" t="s">
        <v>6216</v>
      </c>
      <c r="D854" s="1846">
        <v>206840000</v>
      </c>
      <c r="E854" s="1162">
        <f>D854/D807*100</f>
        <v>0.1250881094360092</v>
      </c>
      <c r="F854" s="386"/>
      <c r="G854" s="878"/>
      <c r="H854" s="1167"/>
      <c r="I854" s="878"/>
      <c r="J854" s="1846"/>
      <c r="K854" s="2293"/>
      <c r="L854" s="1310"/>
      <c r="M854" s="2230"/>
      <c r="N854" s="2076"/>
      <c r="P854" s="4587"/>
    </row>
    <row r="855" spans="2:16" s="2074" customFormat="1" ht="13.5" customHeight="1" x14ac:dyDescent="0.25">
      <c r="B855" s="2910"/>
      <c r="C855" s="3876" t="s">
        <v>6217</v>
      </c>
      <c r="D855" s="1846">
        <v>223275000</v>
      </c>
      <c r="E855" s="1162">
        <f>D855/D807*100</f>
        <v>0.13502730436242968</v>
      </c>
      <c r="F855" s="386"/>
      <c r="G855" s="878"/>
      <c r="H855" s="1310"/>
      <c r="I855" s="1109"/>
      <c r="J855" s="1846"/>
      <c r="K855" s="2293"/>
      <c r="L855" s="1310"/>
      <c r="M855" s="2230"/>
      <c r="N855" s="2076"/>
      <c r="P855" s="4587"/>
    </row>
    <row r="856" spans="2:16" s="2074" customFormat="1" ht="13.5" customHeight="1" x14ac:dyDescent="0.25">
      <c r="B856" s="2910"/>
      <c r="C856" s="3876" t="s">
        <v>6218</v>
      </c>
      <c r="D856" s="1846">
        <v>578700000</v>
      </c>
      <c r="E856" s="1162">
        <f>D856/D807*100</f>
        <v>0.34997335588193063</v>
      </c>
      <c r="F856" s="386"/>
      <c r="G856" s="878"/>
      <c r="H856" s="1310"/>
      <c r="I856" s="1109"/>
      <c r="J856" s="1846"/>
      <c r="K856" s="2293"/>
      <c r="L856" s="1310"/>
      <c r="M856" s="2230"/>
      <c r="N856" s="2076"/>
      <c r="P856" s="4587"/>
    </row>
    <row r="857" spans="2:16" s="2074" customFormat="1" ht="15.75" customHeight="1" x14ac:dyDescent="0.25">
      <c r="B857" s="2910"/>
      <c r="C857" s="3876" t="s">
        <v>6219</v>
      </c>
      <c r="D857" s="1846">
        <v>789240000</v>
      </c>
      <c r="E857" s="1162">
        <f>D857/D807*100</f>
        <v>0.4772990692867719</v>
      </c>
      <c r="F857" s="386"/>
      <c r="G857" s="878"/>
      <c r="H857" s="1310"/>
      <c r="I857" s="1109"/>
      <c r="J857" s="1846"/>
      <c r="K857" s="2293"/>
      <c r="L857" s="1310"/>
      <c r="M857" s="2230"/>
      <c r="N857" s="2076"/>
      <c r="P857" s="4587"/>
    </row>
    <row r="858" spans="2:16" s="2074" customFormat="1" ht="14.25" customHeight="1" x14ac:dyDescent="0.25">
      <c r="B858" s="2910"/>
      <c r="C858" s="3876" t="s">
        <v>6220</v>
      </c>
      <c r="D858" s="1846">
        <v>965490000</v>
      </c>
      <c r="E858" s="1162">
        <f>D858/D807*100</f>
        <v>0.5838876367210043</v>
      </c>
      <c r="F858" s="386"/>
      <c r="G858" s="878"/>
      <c r="H858" s="1310"/>
      <c r="I858" s="1109"/>
      <c r="J858" s="1846"/>
      <c r="K858" s="2293"/>
      <c r="L858" s="1310"/>
      <c r="M858" s="2230"/>
      <c r="N858" s="2076"/>
      <c r="P858" s="4587"/>
    </row>
    <row r="859" spans="2:16" s="2074" customFormat="1" ht="9.75" customHeight="1" x14ac:dyDescent="0.25">
      <c r="B859" s="2910"/>
      <c r="C859" s="3863"/>
      <c r="D859" s="666"/>
      <c r="E859" s="1162"/>
      <c r="F859" s="881"/>
      <c r="G859" s="878"/>
      <c r="H859" s="1310"/>
      <c r="I859" s="1109"/>
      <c r="J859" s="666"/>
      <c r="K859" s="2293"/>
      <c r="L859" s="1312"/>
      <c r="M859" s="2230"/>
      <c r="N859" s="2076"/>
      <c r="P859" s="4587"/>
    </row>
    <row r="860" spans="2:16" s="2074" customFormat="1" ht="19.5" customHeight="1" x14ac:dyDescent="0.25">
      <c r="B860" s="2910"/>
      <c r="C860" s="3854" t="s">
        <v>5712</v>
      </c>
      <c r="D860" s="1847">
        <f>SUM(D861:D863)</f>
        <v>745481306</v>
      </c>
      <c r="E860" s="1047">
        <f>D860/D807*100</f>
        <v>0.4508356564853368</v>
      </c>
      <c r="F860" s="665"/>
      <c r="G860" s="877"/>
      <c r="H860" s="1166"/>
      <c r="I860" s="877"/>
      <c r="J860" s="1847"/>
      <c r="K860" s="877"/>
      <c r="L860" s="877"/>
      <c r="M860" s="877"/>
      <c r="N860" s="2076"/>
      <c r="P860" s="4587"/>
    </row>
    <row r="861" spans="2:16" s="2074" customFormat="1" ht="17.25" customHeight="1" x14ac:dyDescent="0.25">
      <c r="B861" s="2910"/>
      <c r="C861" s="3856" t="s">
        <v>6221</v>
      </c>
      <c r="D861" s="1846">
        <v>362106306</v>
      </c>
      <c r="E861" s="1162">
        <f>D861/D807*100</f>
        <v>0.21898662363371221</v>
      </c>
      <c r="F861" s="386"/>
      <c r="G861" s="878"/>
      <c r="H861" s="1167"/>
      <c r="I861" s="878"/>
      <c r="J861" s="1848"/>
      <c r="K861" s="2293"/>
      <c r="L861" s="2293"/>
      <c r="M861" s="2293"/>
      <c r="N861" s="2076"/>
      <c r="P861" s="4587"/>
    </row>
    <row r="862" spans="2:16" s="2074" customFormat="1" ht="16.5" customHeight="1" x14ac:dyDescent="0.25">
      <c r="B862" s="2910"/>
      <c r="C862" s="3876" t="s">
        <v>6222</v>
      </c>
      <c r="D862" s="1846">
        <v>195300000</v>
      </c>
      <c r="E862" s="1162">
        <f>D862/D801*100</f>
        <v>16.321243523316063</v>
      </c>
      <c r="F862" s="389"/>
      <c r="G862" s="877"/>
      <c r="H862" s="1166"/>
      <c r="I862" s="877"/>
      <c r="J862" s="1849"/>
      <c r="K862" s="2176"/>
      <c r="L862" s="2176"/>
      <c r="M862" s="2176"/>
      <c r="N862" s="2076"/>
      <c r="P862" s="4587"/>
    </row>
    <row r="863" spans="2:16" s="2074" customFormat="1" ht="27.75" customHeight="1" x14ac:dyDescent="0.25">
      <c r="B863" s="2910"/>
      <c r="C863" s="3876" t="s">
        <v>6223</v>
      </c>
      <c r="D863" s="666">
        <v>188075000</v>
      </c>
      <c r="E863" s="1162">
        <f>D863/D801*100</f>
        <v>15.717449440080228</v>
      </c>
      <c r="F863" s="389"/>
      <c r="G863" s="877"/>
      <c r="H863" s="4447"/>
      <c r="I863" s="877"/>
      <c r="J863" s="1849"/>
      <c r="K863" s="2176"/>
      <c r="L863" s="3155"/>
      <c r="M863" s="2176"/>
      <c r="N863" s="2076"/>
      <c r="P863" s="4587"/>
    </row>
    <row r="864" spans="2:16" s="2074" customFormat="1" ht="8.25" customHeight="1" x14ac:dyDescent="0.25">
      <c r="B864" s="2910"/>
      <c r="C864" s="3986"/>
      <c r="D864" s="1849"/>
      <c r="E864" s="1052"/>
      <c r="F864" s="389"/>
      <c r="G864" s="877"/>
      <c r="H864" s="4447"/>
      <c r="I864" s="877"/>
      <c r="J864" s="1849"/>
      <c r="K864" s="2176"/>
      <c r="L864" s="3155"/>
      <c r="M864" s="2176"/>
      <c r="N864" s="2076"/>
      <c r="P864" s="4587"/>
    </row>
    <row r="865" spans="2:16" s="2074" customFormat="1" ht="16.5" customHeight="1" x14ac:dyDescent="0.25">
      <c r="B865" s="2910"/>
      <c r="C865" s="3901" t="s">
        <v>6224</v>
      </c>
      <c r="D865" s="673">
        <f>SUM(D866:D867)</f>
        <v>757500000</v>
      </c>
      <c r="E865" s="1052">
        <f>D865/D807*100</f>
        <v>0.45810405578116892</v>
      </c>
      <c r="F865" s="673"/>
      <c r="G865" s="673"/>
      <c r="H865" s="1308"/>
      <c r="I865" s="877"/>
      <c r="J865" s="673"/>
      <c r="K865" s="673"/>
      <c r="L865" s="1308"/>
      <c r="M865" s="2176"/>
      <c r="N865" s="2076"/>
      <c r="P865" s="4587"/>
    </row>
    <row r="866" spans="2:16" s="2074" customFormat="1" ht="15" customHeight="1" x14ac:dyDescent="0.25">
      <c r="B866" s="2910"/>
      <c r="C866" s="3902" t="s">
        <v>6225</v>
      </c>
      <c r="D866" s="666">
        <v>1500000</v>
      </c>
      <c r="E866" s="1162">
        <f>D866/D807*100</f>
        <v>9.0713674412112649E-4</v>
      </c>
      <c r="F866" s="666"/>
      <c r="G866" s="878"/>
      <c r="H866" s="1167"/>
      <c r="I866" s="878"/>
      <c r="J866" s="666"/>
      <c r="K866" s="2293"/>
      <c r="L866" s="1310"/>
      <c r="M866" s="2230"/>
      <c r="N866" s="2076"/>
      <c r="P866" s="4587"/>
    </row>
    <row r="867" spans="2:16" s="2074" customFormat="1" ht="25.5" customHeight="1" x14ac:dyDescent="0.25">
      <c r="B867" s="2910"/>
      <c r="C867" s="3902" t="s">
        <v>6226</v>
      </c>
      <c r="D867" s="666">
        <v>756000000</v>
      </c>
      <c r="E867" s="1162">
        <f>D867/D807*100</f>
        <v>0.45719691903704773</v>
      </c>
      <c r="F867" s="666"/>
      <c r="G867" s="838"/>
      <c r="H867" s="1310"/>
      <c r="I867" s="1109"/>
      <c r="J867" s="666"/>
      <c r="K867" s="1951"/>
      <c r="L867" s="1310"/>
      <c r="M867" s="2230"/>
      <c r="N867" s="2076"/>
      <c r="P867" s="4587"/>
    </row>
    <row r="868" spans="2:16" s="2074" customFormat="1" ht="12" customHeight="1" x14ac:dyDescent="0.25">
      <c r="B868" s="2910"/>
      <c r="C868" s="3852"/>
      <c r="D868" s="1858"/>
      <c r="E868" s="1162"/>
      <c r="F868" s="651"/>
      <c r="G868" s="878"/>
      <c r="H868" s="1310"/>
      <c r="I868" s="1109"/>
      <c r="J868" s="1850"/>
      <c r="K868" s="2293"/>
      <c r="L868" s="1312"/>
      <c r="M868" s="2230"/>
      <c r="N868" s="2076"/>
      <c r="P868" s="4587"/>
    </row>
    <row r="869" spans="2:16" s="2074" customFormat="1" ht="17.25" customHeight="1" x14ac:dyDescent="0.25">
      <c r="B869" s="2910"/>
      <c r="C869" s="3878" t="s">
        <v>3052</v>
      </c>
      <c r="D869" s="1851">
        <f>SUM(D870:D873)</f>
        <v>3052765794</v>
      </c>
      <c r="E869" s="1052">
        <f>D869/D807*100</f>
        <v>1.8461840152890037</v>
      </c>
      <c r="F869" s="390"/>
      <c r="G869" s="390"/>
      <c r="H869" s="1308"/>
      <c r="I869" s="1110"/>
      <c r="J869" s="1851"/>
      <c r="K869" s="1851"/>
      <c r="L869" s="1308"/>
      <c r="M869" s="2006"/>
      <c r="N869" s="2076"/>
      <c r="P869" s="4587"/>
    </row>
    <row r="870" spans="2:16" s="2074" customFormat="1" ht="16.5" customHeight="1" x14ac:dyDescent="0.25">
      <c r="B870" s="2910"/>
      <c r="C870" s="3876" t="s">
        <v>6227</v>
      </c>
      <c r="D870" s="1846">
        <v>693322000</v>
      </c>
      <c r="E870" s="1162">
        <f>D870/D807*100</f>
        <v>0.41929190780503178</v>
      </c>
      <c r="F870" s="386"/>
      <c r="G870" s="878"/>
      <c r="H870" s="1310"/>
      <c r="I870" s="1109"/>
      <c r="J870" s="1846"/>
      <c r="K870" s="2293"/>
      <c r="L870" s="1310"/>
      <c r="M870" s="2230"/>
      <c r="N870" s="2076"/>
      <c r="P870" s="4587"/>
    </row>
    <row r="871" spans="2:16" s="2074" customFormat="1" ht="16.5" customHeight="1" x14ac:dyDescent="0.25">
      <c r="B871" s="2910"/>
      <c r="C871" s="3876" t="s">
        <v>6228</v>
      </c>
      <c r="D871" s="1846">
        <v>248993794</v>
      </c>
      <c r="E871" s="1162">
        <f>D871/D807*100</f>
        <v>0.15058094639701763</v>
      </c>
      <c r="F871" s="386"/>
      <c r="G871" s="878"/>
      <c r="H871" s="1167"/>
      <c r="I871" s="878"/>
      <c r="J871" s="1846"/>
      <c r="K871" s="2293"/>
      <c r="L871" s="1310"/>
      <c r="M871" s="2230"/>
      <c r="N871" s="2076"/>
      <c r="P871" s="4587"/>
    </row>
    <row r="872" spans="2:16" s="2074" customFormat="1" ht="16.5" customHeight="1" x14ac:dyDescent="0.25">
      <c r="B872" s="2910"/>
      <c r="C872" s="3876" t="s">
        <v>6229</v>
      </c>
      <c r="D872" s="1846">
        <v>163600000</v>
      </c>
      <c r="E872" s="1162">
        <f>D872/D807*100</f>
        <v>9.8938380892144184E-2</v>
      </c>
      <c r="F872" s="386"/>
      <c r="G872" s="878"/>
      <c r="H872" s="1310"/>
      <c r="I872" s="878"/>
      <c r="J872" s="1846"/>
      <c r="K872" s="2293"/>
      <c r="L872" s="1310"/>
      <c r="M872" s="2293"/>
      <c r="N872" s="2076"/>
      <c r="P872" s="4587"/>
    </row>
    <row r="873" spans="2:16" s="2074" customFormat="1" ht="16.5" customHeight="1" x14ac:dyDescent="0.25">
      <c r="B873" s="2910"/>
      <c r="C873" s="3876" t="s">
        <v>6230</v>
      </c>
      <c r="D873" s="1846">
        <v>1946850000</v>
      </c>
      <c r="E873" s="1162">
        <f>D873/D807*100</f>
        <v>1.1773727801948102</v>
      </c>
      <c r="F873" s="386"/>
      <c r="G873" s="878"/>
      <c r="H873" s="1310"/>
      <c r="I873" s="1109"/>
      <c r="J873" s="1846"/>
      <c r="K873" s="2293"/>
      <c r="L873" s="1310"/>
      <c r="M873" s="2230"/>
      <c r="N873" s="2076"/>
      <c r="P873" s="4587"/>
    </row>
    <row r="874" spans="2:16" s="2074" customFormat="1" ht="8.25" customHeight="1" x14ac:dyDescent="0.25">
      <c r="B874" s="2910"/>
      <c r="C874" s="3986"/>
      <c r="D874" s="1849"/>
      <c r="E874" s="1457"/>
      <c r="F874" s="389"/>
      <c r="G874" s="839"/>
      <c r="H874" s="1310"/>
      <c r="I874" s="2294"/>
      <c r="J874" s="1849"/>
      <c r="K874" s="1988"/>
      <c r="L874" s="1650"/>
      <c r="M874" s="2006"/>
      <c r="N874" s="2076"/>
      <c r="P874" s="4587"/>
    </row>
    <row r="875" spans="2:16" s="2074" customFormat="1" ht="18.75" customHeight="1" x14ac:dyDescent="0.25">
      <c r="B875" s="2910"/>
      <c r="C875" s="3878" t="s">
        <v>6231</v>
      </c>
      <c r="D875" s="1851">
        <f>D876</f>
        <v>596457435</v>
      </c>
      <c r="E875" s="1052">
        <f>D875/D807*100</f>
        <v>0.36071230372849228</v>
      </c>
      <c r="F875" s="390"/>
      <c r="G875" s="390"/>
      <c r="H875" s="1308"/>
      <c r="I875" s="1110"/>
      <c r="J875" s="1851"/>
      <c r="K875" s="1851"/>
      <c r="L875" s="1308"/>
      <c r="M875" s="2006"/>
      <c r="N875" s="2076"/>
      <c r="P875" s="4587"/>
    </row>
    <row r="876" spans="2:16" s="2074" customFormat="1" ht="16.5" customHeight="1" x14ac:dyDescent="0.25">
      <c r="B876" s="2910"/>
      <c r="C876" s="3987" t="s">
        <v>6232</v>
      </c>
      <c r="D876" s="1852">
        <v>596457435</v>
      </c>
      <c r="E876" s="1053">
        <f>D876/D807*100</f>
        <v>0.36071230372849228</v>
      </c>
      <c r="F876" s="611"/>
      <c r="G876" s="878"/>
      <c r="H876" s="1167"/>
      <c r="I876" s="878"/>
      <c r="J876" s="1852"/>
      <c r="K876" s="2293"/>
      <c r="L876" s="1310"/>
      <c r="M876" s="2230"/>
      <c r="N876" s="2076"/>
      <c r="P876" s="4587"/>
    </row>
    <row r="877" spans="2:16" s="2074" customFormat="1" ht="11.25" customHeight="1" x14ac:dyDescent="0.25">
      <c r="B877" s="2910"/>
      <c r="C877" s="3863"/>
      <c r="D877" s="666"/>
      <c r="E877" s="1162"/>
      <c r="F877" s="881"/>
      <c r="G877" s="878"/>
      <c r="H877" s="1167"/>
      <c r="I877" s="878"/>
      <c r="J877" s="666"/>
      <c r="K877" s="2293"/>
      <c r="L877" s="2293"/>
      <c r="M877" s="2293"/>
      <c r="N877" s="2076"/>
      <c r="P877" s="4587"/>
    </row>
    <row r="878" spans="2:16" s="2074" customFormat="1" ht="15.75" customHeight="1" x14ac:dyDescent="0.25">
      <c r="B878" s="2910"/>
      <c r="C878" s="3854" t="s">
        <v>6233</v>
      </c>
      <c r="D878" s="1847">
        <f>D879</f>
        <v>435980000</v>
      </c>
      <c r="E878" s="1052">
        <f>D878/D807*100</f>
        <v>0.26366231846795252</v>
      </c>
      <c r="F878" s="665"/>
      <c r="G878" s="665"/>
      <c r="H878" s="1308"/>
      <c r="I878" s="877"/>
      <c r="J878" s="1847"/>
      <c r="K878" s="1847"/>
      <c r="L878" s="1308"/>
      <c r="M878" s="2176"/>
      <c r="N878" s="2076"/>
      <c r="P878" s="4587"/>
    </row>
    <row r="879" spans="2:16" s="2074" customFormat="1" ht="18" customHeight="1" x14ac:dyDescent="0.25">
      <c r="B879" s="2910"/>
      <c r="C879" s="3902" t="s">
        <v>6234</v>
      </c>
      <c r="D879" s="1846">
        <v>435980000</v>
      </c>
      <c r="E879" s="1162">
        <f>D879/D807*100</f>
        <v>0.26366231846795252</v>
      </c>
      <c r="F879" s="386"/>
      <c r="G879" s="878"/>
      <c r="H879" s="1167"/>
      <c r="I879" s="878"/>
      <c r="J879" s="1846"/>
      <c r="K879" s="2293"/>
      <c r="L879" s="1310"/>
      <c r="M879" s="2293"/>
      <c r="N879" s="2076"/>
      <c r="P879" s="4587"/>
    </row>
    <row r="880" spans="2:16" s="2074" customFormat="1" ht="12" customHeight="1" x14ac:dyDescent="0.25">
      <c r="B880" s="2910"/>
      <c r="C880" s="3904"/>
      <c r="D880" s="868"/>
      <c r="E880" s="1053"/>
      <c r="F880" s="660"/>
      <c r="G880" s="882"/>
      <c r="H880" s="2174"/>
      <c r="I880" s="2295"/>
      <c r="J880" s="781"/>
      <c r="K880" s="2296"/>
      <c r="L880" s="1323"/>
      <c r="M880" s="2227"/>
      <c r="N880" s="2076"/>
      <c r="P880" s="4587"/>
    </row>
    <row r="881" spans="2:16" s="2074" customFormat="1" ht="17.25" customHeight="1" x14ac:dyDescent="0.25">
      <c r="B881" s="2909"/>
      <c r="C881" s="1264" t="s">
        <v>248</v>
      </c>
      <c r="D881" s="1853">
        <f>D882+D886+D889+D892+D907+D910+D913+D918+D922+D925+D932+D937+D940+D946+D949</f>
        <v>10965047510</v>
      </c>
      <c r="E881" s="1050">
        <f>D881/D807*100</f>
        <v>6.6311983315699097</v>
      </c>
      <c r="F881" s="388"/>
      <c r="G881" s="388"/>
      <c r="H881" s="1306"/>
      <c r="I881" s="2298"/>
      <c r="J881" s="1853"/>
      <c r="K881" s="1853"/>
      <c r="L881" s="1306"/>
      <c r="M881" s="2066"/>
      <c r="N881" s="2076"/>
      <c r="P881" s="4587"/>
    </row>
    <row r="882" spans="2:16" s="2074" customFormat="1" ht="19.5" customHeight="1" x14ac:dyDescent="0.25">
      <c r="B882" s="2910"/>
      <c r="C882" s="3854" t="s">
        <v>289</v>
      </c>
      <c r="D882" s="1847">
        <f>D883+D884</f>
        <v>1542150000</v>
      </c>
      <c r="E882" s="1159">
        <f>D882/D807*100</f>
        <v>0.93262728663093009</v>
      </c>
      <c r="F882" s="665"/>
      <c r="G882" s="884"/>
      <c r="H882" s="2299"/>
      <c r="I882" s="884"/>
      <c r="J882" s="1847"/>
      <c r="K882" s="884"/>
      <c r="L882" s="2299"/>
      <c r="M882" s="884"/>
      <c r="N882" s="2076"/>
      <c r="P882" s="4587"/>
    </row>
    <row r="883" spans="2:16" s="2074" customFormat="1" ht="15.75" customHeight="1" x14ac:dyDescent="0.25">
      <c r="B883" s="2910"/>
      <c r="C883" s="3856" t="s">
        <v>6235</v>
      </c>
      <c r="D883" s="1846">
        <v>200000000</v>
      </c>
      <c r="E883" s="1160">
        <f>D883/D807*100</f>
        <v>0.12095156588281686</v>
      </c>
      <c r="F883" s="386"/>
      <c r="G883" s="878"/>
      <c r="H883" s="1167"/>
      <c r="I883" s="878"/>
      <c r="J883" s="1846"/>
      <c r="K883" s="878"/>
      <c r="L883" s="1167"/>
      <c r="M883" s="878"/>
      <c r="N883" s="2076"/>
      <c r="P883" s="4587"/>
    </row>
    <row r="884" spans="2:16" s="2074" customFormat="1" ht="15.75" customHeight="1" x14ac:dyDescent="0.25">
      <c r="B884" s="2910"/>
      <c r="C884" s="4111" t="s">
        <v>6236</v>
      </c>
      <c r="D884" s="1846">
        <v>1342150000</v>
      </c>
      <c r="E884" s="1160">
        <f>D884/D807*100</f>
        <v>0.81167572074811312</v>
      </c>
      <c r="F884" s="386"/>
      <c r="G884" s="878"/>
      <c r="H884" s="2361"/>
      <c r="I884" s="3047"/>
      <c r="J884" s="1846"/>
      <c r="K884" s="878"/>
      <c r="L884" s="2361"/>
      <c r="M884" s="3047"/>
      <c r="N884" s="2076"/>
      <c r="P884" s="4587"/>
    </row>
    <row r="885" spans="2:16" s="2074" customFormat="1" ht="11.25" customHeight="1" x14ac:dyDescent="0.25">
      <c r="B885" s="2910"/>
      <c r="C885" s="3986"/>
      <c r="D885" s="1849"/>
      <c r="E885" s="1159"/>
      <c r="F885" s="389"/>
      <c r="G885" s="878"/>
      <c r="H885" s="1310"/>
      <c r="I885" s="1109"/>
      <c r="J885" s="1849"/>
      <c r="K885" s="2293"/>
      <c r="L885" s="1312"/>
      <c r="M885" s="2230"/>
      <c r="N885" s="2076"/>
      <c r="P885" s="4587"/>
    </row>
    <row r="886" spans="2:16" s="2074" customFormat="1" ht="18" customHeight="1" x14ac:dyDescent="0.25">
      <c r="B886" s="2910"/>
      <c r="C886" s="3854" t="s">
        <v>5728</v>
      </c>
      <c r="D886" s="1851">
        <f>D887</f>
        <v>320930000</v>
      </c>
      <c r="E886" s="1159">
        <f>D886/D807*100</f>
        <v>0.19408493019386208</v>
      </c>
      <c r="F886" s="390"/>
      <c r="G886" s="390"/>
      <c r="H886" s="1308"/>
      <c r="I886" s="1110"/>
      <c r="J886" s="1851"/>
      <c r="K886" s="1851"/>
      <c r="L886" s="1308"/>
      <c r="M886" s="2006"/>
      <c r="N886" s="2076"/>
      <c r="P886" s="4587"/>
    </row>
    <row r="887" spans="2:16" s="2074" customFormat="1" ht="15" customHeight="1" x14ac:dyDescent="0.25">
      <c r="B887" s="2910"/>
      <c r="C887" s="3856" t="s">
        <v>6237</v>
      </c>
      <c r="D887" s="1846">
        <v>320930000</v>
      </c>
      <c r="E887" s="1160">
        <f>D887/D807*100</f>
        <v>0.19408493019386208</v>
      </c>
      <c r="F887" s="386"/>
      <c r="G887" s="878"/>
      <c r="H887" s="1167"/>
      <c r="I887" s="878"/>
      <c r="J887" s="1846"/>
      <c r="K887" s="1846"/>
      <c r="L887" s="1310"/>
      <c r="M887" s="2230"/>
      <c r="N887" s="2076"/>
      <c r="P887" s="4587"/>
    </row>
    <row r="888" spans="2:16" s="2074" customFormat="1" ht="11.25" customHeight="1" x14ac:dyDescent="0.25">
      <c r="B888" s="2910"/>
      <c r="C888" s="3856"/>
      <c r="D888" s="1846"/>
      <c r="E888" s="1162"/>
      <c r="F888" s="386"/>
      <c r="G888" s="878"/>
      <c r="H888" s="1310"/>
      <c r="I888" s="1109"/>
      <c r="J888" s="1846"/>
      <c r="K888" s="2293"/>
      <c r="L888" s="1312"/>
      <c r="M888" s="2230"/>
      <c r="N888" s="2076"/>
      <c r="P888" s="4587"/>
    </row>
    <row r="889" spans="2:16" s="2074" customFormat="1" ht="16.5" customHeight="1" x14ac:dyDescent="0.25">
      <c r="B889" s="2910"/>
      <c r="C889" s="3855" t="s">
        <v>344</v>
      </c>
      <c r="D889" s="1851">
        <f>SUM(D890)</f>
        <v>5000000</v>
      </c>
      <c r="E889" s="1159">
        <f>D889/D807*100</f>
        <v>3.0237891470704216E-3</v>
      </c>
      <c r="F889" s="390"/>
      <c r="G889" s="390"/>
      <c r="H889" s="1308"/>
      <c r="I889" s="1110"/>
      <c r="J889" s="1851"/>
      <c r="K889" s="1851"/>
      <c r="L889" s="1308"/>
      <c r="M889" s="2006"/>
      <c r="N889" s="2076"/>
      <c r="P889" s="4587"/>
    </row>
    <row r="890" spans="2:16" s="2074" customFormat="1" ht="17.25" customHeight="1" x14ac:dyDescent="0.25">
      <c r="B890" s="2910"/>
      <c r="C890" s="3856" t="s">
        <v>6238</v>
      </c>
      <c r="D890" s="1846">
        <v>5000000</v>
      </c>
      <c r="E890" s="1160">
        <f>D890/D807*100</f>
        <v>3.0237891470704216E-3</v>
      </c>
      <c r="F890" s="386"/>
      <c r="G890" s="878"/>
      <c r="H890" s="1167"/>
      <c r="I890" s="878"/>
      <c r="J890" s="1846"/>
      <c r="K890" s="878"/>
      <c r="L890" s="1167"/>
      <c r="M890" s="878"/>
      <c r="N890" s="2076"/>
      <c r="P890" s="4587"/>
    </row>
    <row r="891" spans="2:16" s="2074" customFormat="1" ht="12" customHeight="1" x14ac:dyDescent="0.25">
      <c r="B891" s="2910"/>
      <c r="C891" s="3905"/>
      <c r="D891" s="4084"/>
      <c r="E891" s="1162"/>
      <c r="F891" s="533"/>
      <c r="G891" s="878"/>
      <c r="H891" s="1310"/>
      <c r="I891" s="1109"/>
      <c r="J891" s="1854"/>
      <c r="K891" s="2293"/>
      <c r="L891" s="1312"/>
      <c r="M891" s="2230"/>
      <c r="N891" s="2076"/>
      <c r="P891" s="4587"/>
    </row>
    <row r="892" spans="2:16" s="2074" customFormat="1" ht="15.75" customHeight="1" x14ac:dyDescent="0.25">
      <c r="B892" s="2910"/>
      <c r="C892" s="3878" t="s">
        <v>6239</v>
      </c>
      <c r="D892" s="1851">
        <f>SUM(D893:D905)</f>
        <v>3620127037</v>
      </c>
      <c r="E892" s="1159">
        <f>D892/D807*100</f>
        <v>2.1893001690993605</v>
      </c>
      <c r="F892" s="390"/>
      <c r="G892" s="390"/>
      <c r="H892" s="1308"/>
      <c r="I892" s="1110"/>
      <c r="J892" s="1851"/>
      <c r="K892" s="1851"/>
      <c r="L892" s="1308"/>
      <c r="M892" s="2006"/>
      <c r="N892" s="2076"/>
      <c r="P892" s="4587"/>
    </row>
    <row r="893" spans="2:16" s="2074" customFormat="1" ht="15.75" customHeight="1" x14ac:dyDescent="0.25">
      <c r="B893" s="2910"/>
      <c r="C893" s="3874" t="s">
        <v>6240</v>
      </c>
      <c r="D893" s="1855">
        <v>341600000</v>
      </c>
      <c r="E893" s="1160">
        <f>D893/D807*100</f>
        <v>0.20658527452785119</v>
      </c>
      <c r="F893" s="885"/>
      <c r="G893" s="878"/>
      <c r="H893" s="1310"/>
      <c r="I893" s="1109"/>
      <c r="J893" s="1855"/>
      <c r="K893" s="2293"/>
      <c r="L893" s="1310"/>
      <c r="M893" s="2230"/>
      <c r="N893" s="2076"/>
      <c r="P893" s="4587"/>
    </row>
    <row r="894" spans="2:16" s="2074" customFormat="1" ht="14.25" customHeight="1" x14ac:dyDescent="0.25">
      <c r="B894" s="2910"/>
      <c r="C894" s="3876" t="s">
        <v>6241</v>
      </c>
      <c r="D894" s="1846">
        <v>359500000</v>
      </c>
      <c r="E894" s="1160">
        <f>D894/D807*100</f>
        <v>0.21741043967436333</v>
      </c>
      <c r="F894" s="386"/>
      <c r="G894" s="878"/>
      <c r="H894" s="1310"/>
      <c r="I894" s="1109"/>
      <c r="J894" s="1846"/>
      <c r="K894" s="2293"/>
      <c r="L894" s="1312"/>
      <c r="M894" s="2230"/>
      <c r="N894" s="2076"/>
      <c r="P894" s="4587"/>
    </row>
    <row r="895" spans="2:16" s="2074" customFormat="1" ht="15.75" customHeight="1" x14ac:dyDescent="0.25">
      <c r="B895" s="2910"/>
      <c r="C895" s="4062" t="s">
        <v>6242</v>
      </c>
      <c r="D895" s="1852">
        <v>50000000</v>
      </c>
      <c r="E895" s="1160">
        <f>D895/D807*100</f>
        <v>3.0237891470704215E-2</v>
      </c>
      <c r="F895" s="611"/>
      <c r="G895" s="878"/>
      <c r="H895" s="1310"/>
      <c r="I895" s="1109"/>
      <c r="J895" s="1852"/>
      <c r="K895" s="2301"/>
      <c r="L895" s="1312"/>
      <c r="M895" s="2230"/>
      <c r="N895" s="2076"/>
      <c r="P895" s="4587"/>
    </row>
    <row r="896" spans="2:16" s="2074" customFormat="1" ht="15.75" customHeight="1" x14ac:dyDescent="0.25">
      <c r="B896" s="2910"/>
      <c r="C896" s="3856" t="s">
        <v>6243</v>
      </c>
      <c r="D896" s="1846">
        <v>501100000</v>
      </c>
      <c r="E896" s="1160">
        <f>D896/D807*100</f>
        <v>0.30304414831939769</v>
      </c>
      <c r="F896" s="386"/>
      <c r="G896" s="878"/>
      <c r="H896" s="1310"/>
      <c r="I896" s="1109"/>
      <c r="J896" s="1852"/>
      <c r="K896" s="2301"/>
      <c r="L896" s="1312"/>
      <c r="M896" s="2230"/>
      <c r="N896" s="2076"/>
      <c r="P896" s="4587"/>
    </row>
    <row r="897" spans="2:16" s="2074" customFormat="1" ht="15" customHeight="1" x14ac:dyDescent="0.25">
      <c r="B897" s="2910"/>
      <c r="C897" s="3856" t="s">
        <v>6244</v>
      </c>
      <c r="D897" s="1846">
        <v>247084000</v>
      </c>
      <c r="E897" s="1160">
        <f>D897/D807*100</f>
        <v>0.14942598352294958</v>
      </c>
      <c r="F897" s="386"/>
      <c r="G897" s="878"/>
      <c r="H897" s="1310"/>
      <c r="I897" s="1109"/>
      <c r="J897" s="1852"/>
      <c r="K897" s="2301"/>
      <c r="L897" s="1312"/>
      <c r="M897" s="2230"/>
      <c r="N897" s="2076"/>
      <c r="P897" s="4587"/>
    </row>
    <row r="898" spans="2:16" s="2074" customFormat="1" ht="15.75" customHeight="1" x14ac:dyDescent="0.25">
      <c r="B898" s="2910"/>
      <c r="C898" s="3856" t="s">
        <v>6245</v>
      </c>
      <c r="D898" s="1846">
        <v>266630037</v>
      </c>
      <c r="E898" s="1160">
        <f>D898/D807*100</f>
        <v>0.16124660243271699</v>
      </c>
      <c r="F898" s="386"/>
      <c r="G898" s="878"/>
      <c r="H898" s="1310"/>
      <c r="I898" s="1109"/>
      <c r="J898" s="1852"/>
      <c r="K898" s="2301"/>
      <c r="L898" s="1312"/>
      <c r="M898" s="2230"/>
      <c r="N898" s="2076"/>
      <c r="P898" s="4587"/>
    </row>
    <row r="899" spans="2:16" s="2074" customFormat="1" ht="15" customHeight="1" x14ac:dyDescent="0.25">
      <c r="B899" s="2910"/>
      <c r="C899" s="3856" t="s">
        <v>6246</v>
      </c>
      <c r="D899" s="1846">
        <v>230155500</v>
      </c>
      <c r="E899" s="1160">
        <f>D899/D807*100</f>
        <v>0.13918834060771329</v>
      </c>
      <c r="F899" s="386"/>
      <c r="G899" s="878"/>
      <c r="H899" s="1310"/>
      <c r="I899" s="1109"/>
      <c r="J899" s="1852"/>
      <c r="K899" s="2301"/>
      <c r="L899" s="1312"/>
      <c r="M899" s="2230"/>
      <c r="N899" s="2076"/>
      <c r="P899" s="4587"/>
    </row>
    <row r="900" spans="2:16" s="2074" customFormat="1" ht="14.25" customHeight="1" x14ac:dyDescent="0.25">
      <c r="B900" s="2910"/>
      <c r="C900" s="3856" t="s">
        <v>6247</v>
      </c>
      <c r="D900" s="1846">
        <v>250990000</v>
      </c>
      <c r="E900" s="1160">
        <f>D900/D807*100</f>
        <v>0.15178816760464103</v>
      </c>
      <c r="F900" s="386"/>
      <c r="G900" s="878"/>
      <c r="H900" s="1310"/>
      <c r="I900" s="1109"/>
      <c r="J900" s="1852"/>
      <c r="K900" s="2301"/>
      <c r="L900" s="1312"/>
      <c r="M900" s="2230"/>
      <c r="N900" s="2076"/>
      <c r="P900" s="4587"/>
    </row>
    <row r="901" spans="2:16" s="2074" customFormat="1" ht="15.75" customHeight="1" x14ac:dyDescent="0.25">
      <c r="B901" s="2910"/>
      <c r="C901" s="3856" t="s">
        <v>6248</v>
      </c>
      <c r="D901" s="1846">
        <v>231030000</v>
      </c>
      <c r="E901" s="1160">
        <f>D901/D807*100</f>
        <v>0.13971720132953591</v>
      </c>
      <c r="F901" s="386"/>
      <c r="G901" s="878"/>
      <c r="H901" s="1310"/>
      <c r="I901" s="1109"/>
      <c r="J901" s="1852"/>
      <c r="K901" s="2301"/>
      <c r="L901" s="1312"/>
      <c r="M901" s="2230"/>
      <c r="N901" s="2076"/>
      <c r="P901" s="4587"/>
    </row>
    <row r="902" spans="2:16" s="2074" customFormat="1" ht="13.5" customHeight="1" x14ac:dyDescent="0.25">
      <c r="B902" s="2910"/>
      <c r="C902" s="3856" t="s">
        <v>6249</v>
      </c>
      <c r="D902" s="1846">
        <v>255317000</v>
      </c>
      <c r="E902" s="1160">
        <f>D902/D807*100</f>
        <v>0.15440495473251575</v>
      </c>
      <c r="F902" s="389"/>
      <c r="G902" s="878"/>
      <c r="H902" s="1310"/>
      <c r="I902" s="1109"/>
      <c r="J902" s="4084"/>
      <c r="K902" s="2301"/>
      <c r="L902" s="1312"/>
      <c r="M902" s="2230"/>
      <c r="N902" s="2076"/>
      <c r="P902" s="4587"/>
    </row>
    <row r="903" spans="2:16" s="2074" customFormat="1" ht="15" customHeight="1" x14ac:dyDescent="0.25">
      <c r="B903" s="2910"/>
      <c r="C903" s="3856" t="s">
        <v>6250</v>
      </c>
      <c r="D903" s="1846">
        <v>251278000</v>
      </c>
      <c r="E903" s="1160">
        <f>D903/D807*100</f>
        <v>0.15196233785951227</v>
      </c>
      <c r="F903" s="389"/>
      <c r="G903" s="878"/>
      <c r="H903" s="1310"/>
      <c r="I903" s="1109"/>
      <c r="J903" s="4084"/>
      <c r="K903" s="2301"/>
      <c r="L903" s="1312"/>
      <c r="M903" s="2230"/>
      <c r="N903" s="2076"/>
      <c r="P903" s="4587"/>
    </row>
    <row r="904" spans="2:16" s="2074" customFormat="1" ht="15.75" customHeight="1" x14ac:dyDescent="0.25">
      <c r="B904" s="2910"/>
      <c r="C904" s="3856" t="s">
        <v>6251</v>
      </c>
      <c r="D904" s="1846">
        <v>334529500</v>
      </c>
      <c r="E904" s="1160">
        <f>D904/D807*100</f>
        <v>0.20230933429497894</v>
      </c>
      <c r="F904" s="389"/>
      <c r="G904" s="878"/>
      <c r="H904" s="1310"/>
      <c r="I904" s="1109"/>
      <c r="J904" s="4084"/>
      <c r="K904" s="2301"/>
      <c r="L904" s="1312"/>
      <c r="M904" s="2230"/>
      <c r="N904" s="2076"/>
      <c r="P904" s="4587"/>
    </row>
    <row r="905" spans="2:16" s="2074" customFormat="1" ht="15.75" customHeight="1" x14ac:dyDescent="0.25">
      <c r="B905" s="2910"/>
      <c r="C905" s="3856" t="s">
        <v>6252</v>
      </c>
      <c r="D905" s="1846">
        <v>300913000</v>
      </c>
      <c r="E905" s="1160">
        <f>D905/D807*100</f>
        <v>0.18197949272248035</v>
      </c>
      <c r="F905" s="389"/>
      <c r="G905" s="878"/>
      <c r="H905" s="1310"/>
      <c r="I905" s="1109"/>
      <c r="J905" s="4084"/>
      <c r="K905" s="2301"/>
      <c r="L905" s="1312"/>
      <c r="M905" s="2230"/>
      <c r="N905" s="2076"/>
      <c r="P905" s="4587"/>
    </row>
    <row r="906" spans="2:16" s="2074" customFormat="1" ht="12" customHeight="1" x14ac:dyDescent="0.25">
      <c r="B906" s="2910"/>
      <c r="C906" s="3847"/>
      <c r="D906" s="4084"/>
      <c r="E906" s="1458"/>
      <c r="F906" s="674"/>
      <c r="G906" s="878"/>
      <c r="H906" s="1310"/>
      <c r="I906" s="1109"/>
      <c r="J906" s="4084"/>
      <c r="K906" s="2301"/>
      <c r="L906" s="1312"/>
      <c r="M906" s="2230"/>
      <c r="N906" s="2076"/>
      <c r="P906" s="4587"/>
    </row>
    <row r="907" spans="2:16" s="2074" customFormat="1" ht="15.75" customHeight="1" x14ac:dyDescent="0.25">
      <c r="B907" s="2910"/>
      <c r="C907" s="4103" t="s">
        <v>6253</v>
      </c>
      <c r="D907" s="1851">
        <f>D908</f>
        <v>154200000</v>
      </c>
      <c r="E907" s="1052">
        <f>D907/D807*100</f>
        <v>9.3253657295651798E-2</v>
      </c>
      <c r="F907" s="390"/>
      <c r="G907" s="877"/>
      <c r="H907" s="1166"/>
      <c r="I907" s="877"/>
      <c r="J907" s="1847"/>
      <c r="K907" s="1847"/>
      <c r="L907" s="1308"/>
      <c r="M907" s="1308"/>
      <c r="N907" s="2076"/>
      <c r="P907" s="4587"/>
    </row>
    <row r="908" spans="2:16" s="2074" customFormat="1" ht="15.75" customHeight="1" x14ac:dyDescent="0.25">
      <c r="B908" s="2910"/>
      <c r="C908" s="3876" t="s">
        <v>6254</v>
      </c>
      <c r="D908" s="1846">
        <v>154200000</v>
      </c>
      <c r="E908" s="1160">
        <f>D908/D807*100</f>
        <v>9.3253657295651798E-2</v>
      </c>
      <c r="F908" s="386"/>
      <c r="G908" s="878"/>
      <c r="H908" s="1167"/>
      <c r="I908" s="878"/>
      <c r="J908" s="1846"/>
      <c r="K908" s="2293"/>
      <c r="L908" s="1310"/>
      <c r="M908" s="1310"/>
      <c r="N908" s="2076"/>
      <c r="P908" s="4587"/>
    </row>
    <row r="909" spans="2:16" s="2074" customFormat="1" ht="9" customHeight="1" x14ac:dyDescent="0.25">
      <c r="B909" s="2910"/>
      <c r="C909" s="3986"/>
      <c r="D909" s="1849"/>
      <c r="E909" s="1162"/>
      <c r="F909" s="389"/>
      <c r="G909" s="878"/>
      <c r="H909" s="1310"/>
      <c r="I909" s="1109"/>
      <c r="J909" s="1849"/>
      <c r="K909" s="2293"/>
      <c r="L909" s="1312"/>
      <c r="M909" s="2230"/>
      <c r="N909" s="2076"/>
      <c r="P909" s="4587"/>
    </row>
    <row r="910" spans="2:16" s="2074" customFormat="1" ht="18" customHeight="1" x14ac:dyDescent="0.25">
      <c r="B910" s="2910"/>
      <c r="C910" s="3854" t="s">
        <v>6255</v>
      </c>
      <c r="D910" s="1847">
        <f>D911</f>
        <v>93700000</v>
      </c>
      <c r="E910" s="1159">
        <f>D910/D807*100</f>
        <v>5.6665808616099697E-2</v>
      </c>
      <c r="F910" s="665"/>
      <c r="G910" s="665"/>
      <c r="H910" s="1308"/>
      <c r="I910" s="1110"/>
      <c r="J910" s="1847"/>
      <c r="K910" s="1847"/>
      <c r="L910" s="1308"/>
      <c r="M910" s="2006"/>
      <c r="N910" s="2076"/>
      <c r="P910" s="4587"/>
    </row>
    <row r="911" spans="2:16" s="2074" customFormat="1" ht="16.5" customHeight="1" x14ac:dyDescent="0.25">
      <c r="B911" s="2910"/>
      <c r="C911" s="3876" t="s">
        <v>6256</v>
      </c>
      <c r="D911" s="666">
        <v>93700000</v>
      </c>
      <c r="E911" s="1160">
        <f>D911/D807*100</f>
        <v>5.6665808616099697E-2</v>
      </c>
      <c r="F911" s="880"/>
      <c r="G911" s="878"/>
      <c r="H911" s="1167"/>
      <c r="I911" s="878"/>
      <c r="J911" s="666"/>
      <c r="K911" s="2293"/>
      <c r="L911" s="1310"/>
      <c r="M911" s="2230"/>
      <c r="N911" s="2076"/>
      <c r="P911" s="4587"/>
    </row>
    <row r="912" spans="2:16" s="2074" customFormat="1" ht="12" customHeight="1" x14ac:dyDescent="0.25">
      <c r="B912" s="2910"/>
      <c r="C912" s="3986"/>
      <c r="D912" s="1849"/>
      <c r="E912" s="1162"/>
      <c r="F912" s="389"/>
      <c r="G912" s="878"/>
      <c r="H912" s="1310"/>
      <c r="I912" s="1109"/>
      <c r="J912" s="1849"/>
      <c r="K912" s="2293"/>
      <c r="L912" s="1312"/>
      <c r="M912" s="2230"/>
      <c r="N912" s="2076"/>
      <c r="P912" s="4587"/>
    </row>
    <row r="913" spans="2:16" s="2074" customFormat="1" ht="21" customHeight="1" x14ac:dyDescent="0.25">
      <c r="B913" s="2910"/>
      <c r="C913" s="3878" t="s">
        <v>6257</v>
      </c>
      <c r="D913" s="1851">
        <f>SUM(D914:D916)</f>
        <v>155000000</v>
      </c>
      <c r="E913" s="1159">
        <f>D913/D807*100</f>
        <v>9.3737463559183068E-2</v>
      </c>
      <c r="F913" s="390"/>
      <c r="G913" s="877"/>
      <c r="H913" s="1166"/>
      <c r="I913" s="877"/>
      <c r="J913" s="1851"/>
      <c r="K913" s="1851"/>
      <c r="L913" s="1308"/>
      <c r="M913" s="2006"/>
      <c r="N913" s="2076"/>
      <c r="P913" s="4587"/>
    </row>
    <row r="914" spans="2:16" s="2074" customFormat="1" ht="15" customHeight="1" x14ac:dyDescent="0.25">
      <c r="B914" s="2910"/>
      <c r="C914" s="3874" t="s">
        <v>6258</v>
      </c>
      <c r="D914" s="671">
        <v>98100000</v>
      </c>
      <c r="E914" s="1458">
        <f>D914/D807*100</f>
        <v>5.9326743065521673E-2</v>
      </c>
      <c r="F914" s="886"/>
      <c r="G914" s="882"/>
      <c r="H914" s="1167"/>
      <c r="I914" s="878"/>
      <c r="J914" s="671"/>
      <c r="K914" s="2293"/>
      <c r="L914" s="1310"/>
      <c r="M914" s="2230"/>
      <c r="N914" s="2076"/>
      <c r="P914" s="4587"/>
    </row>
    <row r="915" spans="2:16" s="2074" customFormat="1" ht="18" customHeight="1" x14ac:dyDescent="0.25">
      <c r="B915" s="2910"/>
      <c r="C915" s="3856" t="s">
        <v>6259</v>
      </c>
      <c r="D915" s="666">
        <v>41400000</v>
      </c>
      <c r="E915" s="1458">
        <f>D915/D807*100</f>
        <v>2.5036974137743091E-2</v>
      </c>
      <c r="F915" s="880"/>
      <c r="G915" s="878"/>
      <c r="H915" s="2361"/>
      <c r="I915" s="3047"/>
      <c r="J915" s="671"/>
      <c r="K915" s="2293"/>
      <c r="L915" s="1310"/>
      <c r="M915" s="2230"/>
      <c r="N915" s="2076"/>
      <c r="P915" s="4587"/>
    </row>
    <row r="916" spans="2:16" s="2074" customFormat="1" ht="16.5" customHeight="1" x14ac:dyDescent="0.25">
      <c r="B916" s="2910"/>
      <c r="C916" s="4111" t="s">
        <v>6260</v>
      </c>
      <c r="D916" s="671">
        <v>15500000</v>
      </c>
      <c r="E916" s="1458">
        <f>D916/D807*100</f>
        <v>9.3737463559183058E-3</v>
      </c>
      <c r="F916" s="886"/>
      <c r="G916" s="883"/>
      <c r="H916" s="2361"/>
      <c r="I916" s="3047"/>
      <c r="J916" s="671"/>
      <c r="K916" s="2293"/>
      <c r="L916" s="1310"/>
      <c r="M916" s="2230"/>
      <c r="N916" s="2076"/>
      <c r="P916" s="4587"/>
    </row>
    <row r="917" spans="2:16" s="2074" customFormat="1" ht="12" customHeight="1" x14ac:dyDescent="0.25">
      <c r="B917" s="2910"/>
      <c r="C917" s="3986"/>
      <c r="D917" s="1849"/>
      <c r="E917" s="1162"/>
      <c r="F917" s="389"/>
      <c r="G917" s="878"/>
      <c r="H917" s="1310"/>
      <c r="I917" s="1109"/>
      <c r="J917" s="1849"/>
      <c r="K917" s="2293"/>
      <c r="L917" s="1312"/>
      <c r="M917" s="2230"/>
      <c r="N917" s="2076"/>
      <c r="P917" s="4587"/>
    </row>
    <row r="918" spans="2:16" s="2074" customFormat="1" ht="15.75" customHeight="1" x14ac:dyDescent="0.25">
      <c r="B918" s="2910"/>
      <c r="C918" s="3878" t="s">
        <v>6261</v>
      </c>
      <c r="D918" s="1851">
        <f>D919+D920</f>
        <v>479843260</v>
      </c>
      <c r="E918" s="1159">
        <f>D918/D807*100</f>
        <v>0.29018896837657809</v>
      </c>
      <c r="F918" s="390"/>
      <c r="G918" s="390"/>
      <c r="H918" s="1308"/>
      <c r="I918" s="1110"/>
      <c r="J918" s="1851"/>
      <c r="K918" s="1851"/>
      <c r="L918" s="1308"/>
      <c r="M918" s="2006"/>
      <c r="N918" s="2076"/>
      <c r="P918" s="4587"/>
    </row>
    <row r="919" spans="2:16" s="2074" customFormat="1" ht="45" customHeight="1" x14ac:dyDescent="0.25">
      <c r="B919" s="2910"/>
      <c r="C919" s="3876" t="s">
        <v>6262</v>
      </c>
      <c r="D919" s="666">
        <v>404343260</v>
      </c>
      <c r="E919" s="1160">
        <f>D919/D807*100</f>
        <v>0.24452975225581472</v>
      </c>
      <c r="F919" s="880"/>
      <c r="G919" s="878"/>
      <c r="H919" s="1310"/>
      <c r="I919" s="1109"/>
      <c r="J919" s="666"/>
      <c r="K919" s="2293"/>
      <c r="L919" s="1310"/>
      <c r="M919" s="2230"/>
      <c r="N919" s="2076"/>
      <c r="P919" s="4587"/>
    </row>
    <row r="920" spans="2:16" s="2074" customFormat="1" ht="17.25" customHeight="1" x14ac:dyDescent="0.25">
      <c r="B920" s="2910"/>
      <c r="C920" s="3874" t="s">
        <v>6263</v>
      </c>
      <c r="D920" s="1852">
        <v>75500000</v>
      </c>
      <c r="E920" s="1160">
        <f>D920/D807*100</f>
        <v>4.565921612076336E-2</v>
      </c>
      <c r="F920" s="611"/>
      <c r="G920" s="878"/>
      <c r="H920" s="1167"/>
      <c r="I920" s="878"/>
      <c r="J920" s="1852"/>
      <c r="K920" s="2293"/>
      <c r="L920" s="1310"/>
      <c r="M920" s="2230"/>
      <c r="N920" s="2076"/>
      <c r="P920" s="4587"/>
    </row>
    <row r="921" spans="2:16" s="2074" customFormat="1" ht="11.25" customHeight="1" x14ac:dyDescent="0.25">
      <c r="B921" s="2910"/>
      <c r="C921" s="3986"/>
      <c r="D921" s="1849"/>
      <c r="E921" s="1162"/>
      <c r="F921" s="389"/>
      <c r="G921" s="878"/>
      <c r="H921" s="1310"/>
      <c r="I921" s="1109"/>
      <c r="J921" s="1849"/>
      <c r="K921" s="2293"/>
      <c r="L921" s="1312"/>
      <c r="M921" s="2230"/>
      <c r="N921" s="2076"/>
      <c r="P921" s="4587"/>
    </row>
    <row r="922" spans="2:16" s="2074" customFormat="1" ht="18" customHeight="1" x14ac:dyDescent="0.25">
      <c r="B922" s="2910"/>
      <c r="C922" s="3854" t="s">
        <v>6264</v>
      </c>
      <c r="D922" s="1847">
        <f>SUM(D923)</f>
        <v>65000000</v>
      </c>
      <c r="E922" s="1159">
        <f>D922/D807*100</f>
        <v>3.930925891191548E-2</v>
      </c>
      <c r="F922" s="665"/>
      <c r="G922" s="665"/>
      <c r="H922" s="1308"/>
      <c r="I922" s="1110"/>
      <c r="J922" s="1847"/>
      <c r="K922" s="1847"/>
      <c r="L922" s="1308"/>
      <c r="M922" s="2006"/>
      <c r="N922" s="2076"/>
      <c r="P922" s="4587"/>
    </row>
    <row r="923" spans="2:16" s="2074" customFormat="1" ht="17.25" customHeight="1" x14ac:dyDescent="0.25">
      <c r="B923" s="2910"/>
      <c r="C923" s="3876" t="s">
        <v>6265</v>
      </c>
      <c r="D923" s="1846">
        <v>65000000</v>
      </c>
      <c r="E923" s="1160">
        <f>D923/D807*100</f>
        <v>3.930925891191548E-2</v>
      </c>
      <c r="F923" s="386"/>
      <c r="G923" s="878"/>
      <c r="H923" s="1310"/>
      <c r="I923" s="1109"/>
      <c r="J923" s="1846"/>
      <c r="K923" s="2293"/>
      <c r="L923" s="1310"/>
      <c r="M923" s="2230"/>
      <c r="N923" s="2076"/>
      <c r="P923" s="4587"/>
    </row>
    <row r="924" spans="2:16" s="2074" customFormat="1" ht="12" customHeight="1" x14ac:dyDescent="0.25">
      <c r="B924" s="2910"/>
      <c r="C924" s="3986"/>
      <c r="D924" s="1849"/>
      <c r="E924" s="1162"/>
      <c r="F924" s="389"/>
      <c r="G924" s="878"/>
      <c r="H924" s="1310"/>
      <c r="I924" s="1109"/>
      <c r="J924" s="1849"/>
      <c r="K924" s="2293"/>
      <c r="L924" s="1312"/>
      <c r="M924" s="2230"/>
      <c r="N924" s="2076"/>
      <c r="P924" s="4587"/>
    </row>
    <row r="925" spans="2:16" s="2070" customFormat="1" ht="17.25" customHeight="1" x14ac:dyDescent="0.25">
      <c r="B925" s="1242"/>
      <c r="C925" s="3878" t="s">
        <v>6266</v>
      </c>
      <c r="D925" s="1851">
        <f>SUM(D926:D930)</f>
        <v>435038000</v>
      </c>
      <c r="E925" s="1159">
        <f>D925/D807*100</f>
        <v>0.26309263659264442</v>
      </c>
      <c r="F925" s="390"/>
      <c r="G925" s="877"/>
      <c r="H925" s="1166"/>
      <c r="I925" s="877"/>
      <c r="J925" s="1851"/>
      <c r="K925" s="877"/>
      <c r="L925" s="1166"/>
      <c r="M925" s="877"/>
      <c r="N925" s="2077"/>
      <c r="P925" s="4586"/>
    </row>
    <row r="926" spans="2:16" s="2074" customFormat="1" ht="17.25" customHeight="1" x14ac:dyDescent="0.25">
      <c r="B926" s="2910"/>
      <c r="C926" s="3876" t="s">
        <v>6267</v>
      </c>
      <c r="D926" s="1846">
        <v>149443000</v>
      </c>
      <c r="E926" s="1160">
        <f>D926/D807*100</f>
        <v>9.0376824301129005E-2</v>
      </c>
      <c r="F926" s="386"/>
      <c r="G926" s="878"/>
      <c r="H926" s="1167"/>
      <c r="I926" s="878"/>
      <c r="J926" s="1846"/>
      <c r="K926" s="878"/>
      <c r="L926" s="1167"/>
      <c r="M926" s="878"/>
      <c r="N926" s="2076"/>
      <c r="P926" s="4587"/>
    </row>
    <row r="927" spans="2:16" s="2074" customFormat="1" ht="17.25" customHeight="1" x14ac:dyDescent="0.25">
      <c r="B927" s="2910"/>
      <c r="C927" s="3876" t="s">
        <v>6268</v>
      </c>
      <c r="D927" s="1846">
        <v>52800000</v>
      </c>
      <c r="E927" s="1160">
        <f>D927/D807*100</f>
        <v>3.1931213393063651E-2</v>
      </c>
      <c r="F927" s="386"/>
      <c r="G927" s="878"/>
      <c r="H927" s="1167"/>
      <c r="I927" s="878"/>
      <c r="J927" s="1846"/>
      <c r="K927" s="878"/>
      <c r="L927" s="1167"/>
      <c r="M927" s="878"/>
      <c r="N927" s="2076"/>
      <c r="P927" s="4587"/>
    </row>
    <row r="928" spans="2:16" s="2074" customFormat="1" ht="16.5" customHeight="1" x14ac:dyDescent="0.25">
      <c r="B928" s="2910"/>
      <c r="C928" s="3876" t="s">
        <v>6269</v>
      </c>
      <c r="D928" s="1846">
        <v>68230000</v>
      </c>
      <c r="E928" s="1160">
        <f>D928/D807*100</f>
        <v>4.1262626700922969E-2</v>
      </c>
      <c r="F928" s="386"/>
      <c r="G928" s="878"/>
      <c r="H928" s="1167"/>
      <c r="I928" s="878"/>
      <c r="J928" s="1846"/>
      <c r="K928" s="878"/>
      <c r="L928" s="1167"/>
      <c r="M928" s="878"/>
      <c r="N928" s="2076"/>
      <c r="P928" s="4587"/>
    </row>
    <row r="929" spans="2:16" s="2074" customFormat="1" ht="15.75" customHeight="1" x14ac:dyDescent="0.25">
      <c r="B929" s="2910"/>
      <c r="C929" s="3876" t="s">
        <v>6270</v>
      </c>
      <c r="D929" s="1846">
        <v>73215000</v>
      </c>
      <c r="E929" s="1160">
        <f>D929/D807*100</f>
        <v>4.4277344480552185E-2</v>
      </c>
      <c r="F929" s="386"/>
      <c r="G929" s="878"/>
      <c r="H929" s="1167"/>
      <c r="I929" s="878"/>
      <c r="J929" s="1846"/>
      <c r="K929" s="878"/>
      <c r="L929" s="1167"/>
      <c r="M929" s="878"/>
      <c r="N929" s="2076"/>
      <c r="P929" s="4587"/>
    </row>
    <row r="930" spans="2:16" s="2074" customFormat="1" ht="15.75" customHeight="1" x14ac:dyDescent="0.25">
      <c r="B930" s="2910"/>
      <c r="C930" s="3876" t="s">
        <v>6271</v>
      </c>
      <c r="D930" s="1846">
        <v>91350000</v>
      </c>
      <c r="E930" s="1160">
        <f>D930/D807*100</f>
        <v>5.5244627716976601E-2</v>
      </c>
      <c r="F930" s="386"/>
      <c r="G930" s="878"/>
      <c r="H930" s="1167"/>
      <c r="I930" s="878"/>
      <c r="J930" s="1846"/>
      <c r="K930" s="878"/>
      <c r="L930" s="1167"/>
      <c r="M930" s="878"/>
      <c r="N930" s="2076"/>
      <c r="P930" s="4587"/>
    </row>
    <row r="931" spans="2:16" s="2074" customFormat="1" ht="9.75" customHeight="1" x14ac:dyDescent="0.25">
      <c r="B931" s="2910"/>
      <c r="C931" s="3863"/>
      <c r="D931" s="1849"/>
      <c r="E931" s="1162"/>
      <c r="F931" s="389"/>
      <c r="G931" s="878"/>
      <c r="H931" s="1310"/>
      <c r="I931" s="1109"/>
      <c r="J931" s="1849"/>
      <c r="K931" s="2293"/>
      <c r="L931" s="1312"/>
      <c r="M931" s="2230"/>
      <c r="N931" s="2076"/>
      <c r="P931" s="4587"/>
    </row>
    <row r="932" spans="2:16" s="2074" customFormat="1" ht="15.75" customHeight="1" x14ac:dyDescent="0.25">
      <c r="B932" s="2910"/>
      <c r="C932" s="3878" t="s">
        <v>6272</v>
      </c>
      <c r="D932" s="1851">
        <f>D933+D934+D935</f>
        <v>422877000</v>
      </c>
      <c r="E932" s="1159">
        <f>D932/D807*100</f>
        <v>0.25573817662913972</v>
      </c>
      <c r="F932" s="390"/>
      <c r="G932" s="390"/>
      <c r="H932" s="1308"/>
      <c r="I932" s="1110"/>
      <c r="J932" s="1851"/>
      <c r="K932" s="1851"/>
      <c r="L932" s="1308"/>
      <c r="M932" s="2006"/>
      <c r="N932" s="2076"/>
      <c r="P932" s="4587"/>
    </row>
    <row r="933" spans="2:16" s="2074" customFormat="1" ht="16.5" customHeight="1" x14ac:dyDescent="0.25">
      <c r="B933" s="2910"/>
      <c r="C933" s="3876" t="s">
        <v>6273</v>
      </c>
      <c r="D933" s="1846">
        <v>97850000</v>
      </c>
      <c r="E933" s="1160">
        <f>D933/D807*100</f>
        <v>5.9175553608168147E-2</v>
      </c>
      <c r="F933" s="386"/>
      <c r="G933" s="878"/>
      <c r="H933" s="1310"/>
      <c r="I933" s="1109"/>
      <c r="J933" s="1846"/>
      <c r="K933" s="1846"/>
      <c r="L933" s="1310"/>
      <c r="M933" s="2230"/>
      <c r="N933" s="2076"/>
      <c r="P933" s="4587"/>
    </row>
    <row r="934" spans="2:16" s="2074" customFormat="1" ht="15" customHeight="1" x14ac:dyDescent="0.25">
      <c r="B934" s="2910"/>
      <c r="C934" s="3874" t="s">
        <v>6274</v>
      </c>
      <c r="D934" s="1852">
        <v>249175000</v>
      </c>
      <c r="E934" s="1458">
        <f>D934/D807*100</f>
        <v>0.15069053214425446</v>
      </c>
      <c r="F934" s="611"/>
      <c r="G934" s="878"/>
      <c r="H934" s="1167"/>
      <c r="I934" s="878"/>
      <c r="J934" s="1852"/>
      <c r="K934" s="2293"/>
      <c r="L934" s="1310"/>
      <c r="M934" s="2230"/>
      <c r="N934" s="2076"/>
      <c r="P934" s="4587"/>
    </row>
    <row r="935" spans="2:16" s="2074" customFormat="1" ht="17.25" customHeight="1" x14ac:dyDescent="0.25">
      <c r="B935" s="2910"/>
      <c r="C935" s="3856" t="s">
        <v>6275</v>
      </c>
      <c r="D935" s="1846">
        <v>75852000</v>
      </c>
      <c r="E935" s="1162">
        <f>D935/D807*100</f>
        <v>4.5872090876717127E-2</v>
      </c>
      <c r="F935" s="386"/>
      <c r="G935" s="878"/>
      <c r="H935" s="2361"/>
      <c r="I935" s="3047"/>
      <c r="J935" s="1852"/>
      <c r="K935" s="2293"/>
      <c r="L935" s="1310"/>
      <c r="M935" s="2230"/>
      <c r="N935" s="2076"/>
      <c r="P935" s="4587"/>
    </row>
    <row r="936" spans="2:16" s="2074" customFormat="1" ht="12" customHeight="1" x14ac:dyDescent="0.25">
      <c r="B936" s="2910"/>
      <c r="C936" s="3986"/>
      <c r="D936" s="1849"/>
      <c r="E936" s="1162"/>
      <c r="F936" s="389"/>
      <c r="G936" s="878"/>
      <c r="H936" s="1310"/>
      <c r="I936" s="1109"/>
      <c r="J936" s="1849"/>
      <c r="K936" s="2293"/>
      <c r="L936" s="1312"/>
      <c r="M936" s="2230"/>
      <c r="N936" s="2076"/>
      <c r="P936" s="4587"/>
    </row>
    <row r="937" spans="2:16" s="2070" customFormat="1" ht="16.5" customHeight="1" x14ac:dyDescent="0.25">
      <c r="B937" s="4119"/>
      <c r="C937" s="4448" t="s">
        <v>6276</v>
      </c>
      <c r="D937" s="1847">
        <f>D938</f>
        <v>105200000</v>
      </c>
      <c r="E937" s="1047">
        <f>D937/D807*100</f>
        <v>6.362052365436166E-2</v>
      </c>
      <c r="F937" s="665"/>
      <c r="G937" s="4449"/>
      <c r="H937" s="1308"/>
      <c r="I937" s="1110"/>
      <c r="J937" s="1847"/>
      <c r="K937" s="2323"/>
      <c r="L937" s="1650"/>
      <c r="M937" s="2006"/>
      <c r="N937" s="2077"/>
      <c r="P937" s="4586"/>
    </row>
    <row r="938" spans="2:16" s="2074" customFormat="1" ht="18" customHeight="1" x14ac:dyDescent="0.25">
      <c r="B938" s="2910"/>
      <c r="C938" s="3856" t="s">
        <v>6277</v>
      </c>
      <c r="D938" s="1846">
        <v>105200000</v>
      </c>
      <c r="E938" s="1162">
        <f>D938/D807*100</f>
        <v>6.362052365436166E-2</v>
      </c>
      <c r="F938" s="386"/>
      <c r="G938" s="878"/>
      <c r="H938" s="1310"/>
      <c r="I938" s="1109"/>
      <c r="J938" s="1852"/>
      <c r="K938" s="2301"/>
      <c r="L938" s="1312"/>
      <c r="M938" s="2230"/>
      <c r="N938" s="2076"/>
      <c r="P938" s="4587"/>
    </row>
    <row r="939" spans="2:16" s="2074" customFormat="1" ht="12" customHeight="1" x14ac:dyDescent="0.25">
      <c r="B939" s="2910"/>
      <c r="C939" s="3991"/>
      <c r="D939" s="1849"/>
      <c r="E939" s="1162"/>
      <c r="F939" s="389"/>
      <c r="G939" s="878"/>
      <c r="H939" s="1310"/>
      <c r="I939" s="1109"/>
      <c r="J939" s="4084"/>
      <c r="K939" s="2301"/>
      <c r="L939" s="1312"/>
      <c r="M939" s="2230"/>
      <c r="N939" s="2076"/>
      <c r="P939" s="4587"/>
    </row>
    <row r="940" spans="2:16" s="2074" customFormat="1" ht="28.5" customHeight="1" x14ac:dyDescent="0.25">
      <c r="B940" s="2910"/>
      <c r="C940" s="3854" t="s">
        <v>6278</v>
      </c>
      <c r="D940" s="667">
        <f>SUM(D941:D944)</f>
        <v>3113551213</v>
      </c>
      <c r="E940" s="1159">
        <f>D940/D807*100</f>
        <v>1.8829444733434693</v>
      </c>
      <c r="F940" s="667"/>
      <c r="G940" s="890"/>
      <c r="H940" s="1166"/>
      <c r="I940" s="877"/>
      <c r="J940" s="667"/>
      <c r="K940" s="667"/>
      <c r="L940" s="1308"/>
      <c r="M940" s="2006"/>
      <c r="N940" s="2076"/>
      <c r="P940" s="4587"/>
    </row>
    <row r="941" spans="2:16" s="2074" customFormat="1" ht="20.25" customHeight="1" x14ac:dyDescent="0.25">
      <c r="B941" s="2910"/>
      <c r="C941" s="3876" t="s">
        <v>6279</v>
      </c>
      <c r="D941" s="1846">
        <v>1169351213</v>
      </c>
      <c r="E941" s="1160">
        <f>D941/D807*100</f>
        <v>0.70717430139660653</v>
      </c>
      <c r="F941" s="386"/>
      <c r="G941" s="878"/>
      <c r="H941" s="1167"/>
      <c r="I941" s="878"/>
      <c r="J941" s="1846"/>
      <c r="K941" s="2293"/>
      <c r="L941" s="1310"/>
      <c r="M941" s="2230"/>
      <c r="N941" s="2076"/>
      <c r="P941" s="4587"/>
    </row>
    <row r="942" spans="2:16" s="2074" customFormat="1" ht="18" customHeight="1" x14ac:dyDescent="0.25">
      <c r="B942" s="2910"/>
      <c r="C942" s="3876" t="s">
        <v>6280</v>
      </c>
      <c r="D942" s="1846">
        <v>800000000</v>
      </c>
      <c r="E942" s="1160">
        <f>D942/D807*100</f>
        <v>0.48380626353126743</v>
      </c>
      <c r="F942" s="386"/>
      <c r="G942" s="878"/>
      <c r="H942" s="1167"/>
      <c r="I942" s="878"/>
      <c r="J942" s="1846"/>
      <c r="K942" s="2293"/>
      <c r="L942" s="1312"/>
      <c r="M942" s="2230"/>
      <c r="N942" s="2076"/>
      <c r="P942" s="4587"/>
    </row>
    <row r="943" spans="2:16" s="2074" customFormat="1" ht="18" customHeight="1" x14ac:dyDescent="0.25">
      <c r="B943" s="3604"/>
      <c r="C943" s="3876" t="s">
        <v>6281</v>
      </c>
      <c r="D943" s="1846">
        <v>54200000</v>
      </c>
      <c r="E943" s="1160">
        <f>D943/D807*100</f>
        <v>3.2777874354243369E-2</v>
      </c>
      <c r="F943" s="386"/>
      <c r="G943" s="878"/>
      <c r="H943" s="1167"/>
      <c r="I943" s="878"/>
      <c r="J943" s="1846"/>
      <c r="K943" s="878"/>
      <c r="L943" s="1167"/>
      <c r="M943" s="878"/>
      <c r="N943" s="2076"/>
      <c r="P943" s="4587"/>
    </row>
    <row r="944" spans="2:16" s="2074" customFormat="1" ht="17.25" customHeight="1" x14ac:dyDescent="0.25">
      <c r="B944" s="2910"/>
      <c r="C944" s="3876" t="s">
        <v>6282</v>
      </c>
      <c r="D944" s="1846">
        <v>1090000000</v>
      </c>
      <c r="E944" s="1160">
        <f>D944/D807*100</f>
        <v>0.6591860340613519</v>
      </c>
      <c r="F944" s="386"/>
      <c r="G944" s="878"/>
      <c r="H944" s="1167"/>
      <c r="I944" s="878"/>
      <c r="J944" s="1846"/>
      <c r="K944" s="878"/>
      <c r="L944" s="1167"/>
      <c r="M944" s="878"/>
      <c r="N944" s="2076"/>
      <c r="P944" s="4587"/>
    </row>
    <row r="945" spans="1:16" s="2074" customFormat="1" ht="12" customHeight="1" x14ac:dyDescent="0.25">
      <c r="B945" s="2910"/>
      <c r="C945" s="3847"/>
      <c r="D945" s="4084"/>
      <c r="E945" s="1458"/>
      <c r="F945" s="674"/>
      <c r="G945" s="878"/>
      <c r="H945" s="1167"/>
      <c r="I945" s="878"/>
      <c r="J945" s="4084"/>
      <c r="K945" s="878"/>
      <c r="L945" s="1167"/>
      <c r="M945" s="878"/>
      <c r="N945" s="2076"/>
      <c r="P945" s="4587"/>
    </row>
    <row r="946" spans="1:16" s="2074" customFormat="1" ht="17.25" customHeight="1" x14ac:dyDescent="0.25">
      <c r="B946" s="2910"/>
      <c r="C946" s="4103" t="s">
        <v>6283</v>
      </c>
      <c r="D946" s="1851">
        <f>SUM(D947:D947)</f>
        <v>180340000</v>
      </c>
      <c r="E946" s="1052">
        <f>D946/D807*100</f>
        <v>0.10906202695653597</v>
      </c>
      <c r="F946" s="390"/>
      <c r="G946" s="877"/>
      <c r="H946" s="1166"/>
      <c r="I946" s="877"/>
      <c r="J946" s="1847"/>
      <c r="K946" s="877"/>
      <c r="L946" s="1166"/>
      <c r="M946" s="877"/>
      <c r="N946" s="2076"/>
      <c r="P946" s="4587"/>
    </row>
    <row r="947" spans="1:16" s="2074" customFormat="1" ht="21" customHeight="1" x14ac:dyDescent="0.25">
      <c r="B947" s="2910"/>
      <c r="C947" s="3902" t="s">
        <v>6284</v>
      </c>
      <c r="D947" s="666">
        <v>180340000</v>
      </c>
      <c r="E947" s="1160">
        <f>D947/D807*100</f>
        <v>0.10906202695653597</v>
      </c>
      <c r="F947" s="880"/>
      <c r="G947" s="878"/>
      <c r="H947" s="1167"/>
      <c r="I947" s="878"/>
      <c r="J947" s="666"/>
      <c r="K947" s="878"/>
      <c r="L947" s="1167"/>
      <c r="M947" s="878"/>
      <c r="N947" s="2076"/>
      <c r="P947" s="4587"/>
    </row>
    <row r="948" spans="1:16" s="266" customFormat="1" ht="12" customHeight="1" x14ac:dyDescent="0.25">
      <c r="A948" s="353"/>
      <c r="B948" s="2910"/>
      <c r="C948" s="3904"/>
      <c r="D948" s="868"/>
      <c r="E948" s="1160"/>
      <c r="F948" s="799"/>
      <c r="G948" s="887"/>
      <c r="H948" s="2255"/>
      <c r="I948" s="887"/>
      <c r="J948" s="2300"/>
      <c r="K948" s="2301"/>
      <c r="L948" s="1703"/>
      <c r="M948" s="2302"/>
      <c r="N948" s="354"/>
      <c r="P948" s="4596"/>
    </row>
    <row r="949" spans="1:16" s="3588" customFormat="1" ht="17.25" customHeight="1" x14ac:dyDescent="0.25">
      <c r="B949" s="4119"/>
      <c r="C949" s="4116" t="s">
        <v>6285</v>
      </c>
      <c r="D949" s="673">
        <f>D950</f>
        <v>272091000</v>
      </c>
      <c r="E949" s="1159">
        <f>D949/D807*100</f>
        <v>0.16454916256310761</v>
      </c>
      <c r="F949" s="768"/>
      <c r="G949" s="877"/>
      <c r="H949" s="1415"/>
      <c r="I949" s="877"/>
      <c r="J949" s="767"/>
      <c r="K949" s="2176"/>
      <c r="L949" s="2261"/>
      <c r="M949" s="2484"/>
      <c r="N949" s="3592"/>
      <c r="P949" s="4597"/>
    </row>
    <row r="950" spans="1:16" s="266" customFormat="1" ht="18" customHeight="1" x14ac:dyDescent="0.25">
      <c r="A950" s="3587"/>
      <c r="B950" s="2910"/>
      <c r="C950" s="4104" t="s">
        <v>6286</v>
      </c>
      <c r="D950" s="666">
        <v>272091000</v>
      </c>
      <c r="E950" s="1160">
        <f>D950/D807*100</f>
        <v>0.16454916256310761</v>
      </c>
      <c r="F950" s="780"/>
      <c r="G950" s="878"/>
      <c r="H950" s="880"/>
      <c r="I950" s="878"/>
      <c r="J950" s="771"/>
      <c r="K950" s="2293"/>
      <c r="L950" s="1717"/>
      <c r="M950" s="2338"/>
      <c r="N950" s="3590"/>
      <c r="P950" s="4596"/>
    </row>
    <row r="951" spans="1:16" s="266" customFormat="1" ht="12" customHeight="1" x14ac:dyDescent="0.25">
      <c r="A951" s="3587"/>
      <c r="B951" s="2910"/>
      <c r="C951" s="4117"/>
      <c r="D951" s="671"/>
      <c r="E951" s="1458"/>
      <c r="F951" s="799"/>
      <c r="G951" s="887"/>
      <c r="H951" s="2255"/>
      <c r="I951" s="887"/>
      <c r="J951" s="2300"/>
      <c r="K951" s="2301"/>
      <c r="L951" s="1703"/>
      <c r="M951" s="2302"/>
      <c r="N951" s="3590"/>
      <c r="P951" s="4596"/>
    </row>
    <row r="952" spans="1:16" s="2074" customFormat="1" ht="16.5" customHeight="1" x14ac:dyDescent="0.25">
      <c r="B952" s="2909"/>
      <c r="C952" s="3875" t="s">
        <v>315</v>
      </c>
      <c r="D952" s="1853">
        <f>D953+D956</f>
        <v>6195995880</v>
      </c>
      <c r="E952" s="1050">
        <f>D952/D807*100</f>
        <v>3.747077019447409</v>
      </c>
      <c r="F952" s="388"/>
      <c r="G952" s="888"/>
      <c r="H952" s="1075"/>
      <c r="I952" s="888"/>
      <c r="J952" s="1853"/>
      <c r="K952" s="1853"/>
      <c r="L952" s="1462"/>
      <c r="M952" s="2066"/>
      <c r="N952" s="2076"/>
      <c r="P952" s="4587"/>
    </row>
    <row r="953" spans="1:16" s="2074" customFormat="1" ht="18" customHeight="1" x14ac:dyDescent="0.25">
      <c r="B953" s="2910"/>
      <c r="C953" s="3854" t="s">
        <v>6287</v>
      </c>
      <c r="D953" s="889">
        <f>D954</f>
        <v>133560000</v>
      </c>
      <c r="E953" s="1159">
        <f>D953/D807*100</f>
        <v>8.0771455696545105E-2</v>
      </c>
      <c r="F953" s="889"/>
      <c r="G953" s="890"/>
      <c r="H953" s="1173"/>
      <c r="I953" s="890"/>
      <c r="J953" s="889"/>
      <c r="K953" s="889"/>
      <c r="L953" s="2303"/>
      <c r="M953" s="1650"/>
      <c r="N953" s="2076"/>
      <c r="P953" s="4587"/>
    </row>
    <row r="954" spans="1:16" s="2074" customFormat="1" ht="17.25" customHeight="1" x14ac:dyDescent="0.25">
      <c r="B954" s="2910"/>
      <c r="C954" s="3856" t="s">
        <v>6288</v>
      </c>
      <c r="D954" s="1856">
        <v>133560000</v>
      </c>
      <c r="E954" s="1162">
        <f>D954/D807*100</f>
        <v>8.0771455696545105E-2</v>
      </c>
      <c r="F954" s="668"/>
      <c r="G954" s="878"/>
      <c r="H954" s="1167"/>
      <c r="I954" s="878"/>
      <c r="J954" s="1856"/>
      <c r="K954" s="2293"/>
      <c r="L954" s="1310"/>
      <c r="M954" s="2230"/>
      <c r="N954" s="2076"/>
      <c r="P954" s="4587"/>
    </row>
    <row r="955" spans="1:16" s="2074" customFormat="1" ht="11.25" customHeight="1" x14ac:dyDescent="0.25">
      <c r="B955" s="2910"/>
      <c r="C955" s="3990"/>
      <c r="D955" s="1856"/>
      <c r="E955" s="1162"/>
      <c r="F955" s="668"/>
      <c r="G955" s="882"/>
      <c r="H955" s="2337"/>
      <c r="I955" s="934"/>
      <c r="J955" s="1856"/>
      <c r="K955" s="2296"/>
      <c r="L955" s="2174"/>
      <c r="M955" s="2227"/>
      <c r="N955" s="2076"/>
      <c r="P955" s="4587"/>
    </row>
    <row r="956" spans="1:16" s="2070" customFormat="1" ht="17.25" customHeight="1" x14ac:dyDescent="0.25">
      <c r="B956" s="4119"/>
      <c r="C956" s="4450" t="s">
        <v>6289</v>
      </c>
      <c r="D956" s="1845">
        <f>D957</f>
        <v>6062435880</v>
      </c>
      <c r="E956" s="1052">
        <f>D956/D807*100</f>
        <v>3.6663055637508641</v>
      </c>
      <c r="F956" s="664"/>
      <c r="G956" s="4449"/>
      <c r="H956" s="4451"/>
      <c r="I956" s="4452"/>
      <c r="J956" s="1845"/>
      <c r="K956" s="2449"/>
      <c r="L956" s="2251"/>
      <c r="M956" s="2348"/>
      <c r="N956" s="2077"/>
      <c r="P956" s="4586"/>
    </row>
    <row r="957" spans="1:16" s="2074" customFormat="1" ht="17.25" customHeight="1" x14ac:dyDescent="0.25">
      <c r="B957" s="2910"/>
      <c r="C957" s="3990" t="s">
        <v>6290</v>
      </c>
      <c r="D957" s="1856">
        <v>6062435880</v>
      </c>
      <c r="E957" s="1162">
        <f>D957/D807*100</f>
        <v>3.6663055637508641</v>
      </c>
      <c r="F957" s="668"/>
      <c r="G957" s="882"/>
      <c r="H957" s="2337"/>
      <c r="I957" s="934"/>
      <c r="J957" s="1856"/>
      <c r="K957" s="2296"/>
      <c r="L957" s="2174"/>
      <c r="M957" s="2227"/>
      <c r="N957" s="2076"/>
      <c r="P957" s="4587"/>
    </row>
    <row r="958" spans="1:16" s="266" customFormat="1" ht="12" customHeight="1" x14ac:dyDescent="0.25">
      <c r="A958" s="353"/>
      <c r="B958" s="2910"/>
      <c r="C958" s="3904"/>
      <c r="D958" s="868"/>
      <c r="E958" s="1053"/>
      <c r="F958" s="891"/>
      <c r="G958" s="882"/>
      <c r="H958" s="2174"/>
      <c r="I958" s="2295"/>
      <c r="J958" s="781"/>
      <c r="K958" s="2296"/>
      <c r="L958" s="1323"/>
      <c r="M958" s="2227"/>
      <c r="N958" s="354"/>
      <c r="P958" s="4596"/>
    </row>
    <row r="959" spans="1:16" s="2074" customFormat="1" ht="26.25" customHeight="1" x14ac:dyDescent="0.25">
      <c r="B959" s="2909"/>
      <c r="C959" s="3875" t="s">
        <v>1128</v>
      </c>
      <c r="D959" s="669">
        <f>D960+D963+D966+D969+D972</f>
        <v>18191566440</v>
      </c>
      <c r="E959" s="1050">
        <f>D959/D807*100</f>
        <v>11.001492233896501</v>
      </c>
      <c r="F959" s="669"/>
      <c r="G959" s="669"/>
      <c r="H959" s="1306"/>
      <c r="I959" s="2298"/>
      <c r="J959" s="669"/>
      <c r="K959" s="669"/>
      <c r="L959" s="1462"/>
      <c r="M959" s="2066"/>
      <c r="N959" s="2076"/>
      <c r="P959" s="4587"/>
    </row>
    <row r="960" spans="1:16" s="2074" customFormat="1" ht="18" customHeight="1" x14ac:dyDescent="0.25">
      <c r="B960" s="2910"/>
      <c r="C960" s="3854" t="s">
        <v>6291</v>
      </c>
      <c r="D960" s="1847">
        <f>D961</f>
        <v>1070000000</v>
      </c>
      <c r="E960" s="1051">
        <f>D960/D807*100</f>
        <v>0.64709087747307026</v>
      </c>
      <c r="F960" s="665"/>
      <c r="G960" s="665"/>
      <c r="H960" s="2304"/>
      <c r="I960" s="1618"/>
      <c r="J960" s="1847"/>
      <c r="K960" s="1847"/>
      <c r="L960" s="1661"/>
      <c r="M960" s="2305"/>
      <c r="N960" s="2076"/>
      <c r="P960" s="4587"/>
    </row>
    <row r="961" spans="1:16" s="2074" customFormat="1" ht="18" customHeight="1" x14ac:dyDescent="0.25">
      <c r="B961" s="2910"/>
      <c r="C961" s="3902" t="s">
        <v>6292</v>
      </c>
      <c r="D961" s="1846">
        <v>1070000000</v>
      </c>
      <c r="E961" s="1162">
        <f>D961/D807*100</f>
        <v>0.64709087747307026</v>
      </c>
      <c r="F961" s="386"/>
      <c r="G961" s="838"/>
      <c r="H961" s="880"/>
      <c r="I961" s="1108"/>
      <c r="J961" s="1852"/>
      <c r="K961" s="1949"/>
      <c r="L961" s="1310"/>
      <c r="M961" s="2306"/>
      <c r="N961" s="2076"/>
      <c r="P961" s="4587"/>
    </row>
    <row r="962" spans="1:16" s="2074" customFormat="1" ht="11.25" customHeight="1" x14ac:dyDescent="0.25">
      <c r="B962" s="2910"/>
      <c r="C962" s="3901"/>
      <c r="D962" s="1849"/>
      <c r="E962" s="1162"/>
      <c r="F962" s="389"/>
      <c r="G962" s="878"/>
      <c r="H962" s="2303"/>
      <c r="I962" s="1109"/>
      <c r="J962" s="1849"/>
      <c r="K962" s="2293"/>
      <c r="L962" s="1705"/>
      <c r="M962" s="2230"/>
      <c r="N962" s="2076"/>
      <c r="P962" s="4587"/>
    </row>
    <row r="963" spans="1:16" s="2074" customFormat="1" ht="12.75" customHeight="1" x14ac:dyDescent="0.25">
      <c r="B963" s="2910"/>
      <c r="C963" s="3901" t="s">
        <v>1130</v>
      </c>
      <c r="D963" s="1847">
        <f>D964</f>
        <v>2400000000</v>
      </c>
      <c r="E963" s="1159">
        <f>D963/D807*100</f>
        <v>1.4514187905938023</v>
      </c>
      <c r="F963" s="665"/>
      <c r="G963" s="877"/>
      <c r="H963" s="1166"/>
      <c r="I963" s="877"/>
      <c r="J963" s="1847"/>
      <c r="K963" s="1847"/>
      <c r="L963" s="1308"/>
      <c r="M963" s="2006"/>
      <c r="N963" s="2076"/>
      <c r="P963" s="4587"/>
    </row>
    <row r="964" spans="1:16" s="2074" customFormat="1" ht="14.25" customHeight="1" x14ac:dyDescent="0.25">
      <c r="B964" s="2910"/>
      <c r="C964" s="3902" t="s">
        <v>1131</v>
      </c>
      <c r="D964" s="1846">
        <v>2400000000</v>
      </c>
      <c r="E964" s="1162">
        <f>D964/D807*100</f>
        <v>1.4514187905938023</v>
      </c>
      <c r="F964" s="386"/>
      <c r="G964" s="878"/>
      <c r="H964" s="1167"/>
      <c r="I964" s="878"/>
      <c r="J964" s="1846"/>
      <c r="K964" s="1951"/>
      <c r="L964" s="1310"/>
      <c r="M964" s="2230"/>
      <c r="N964" s="2076"/>
      <c r="P964" s="4587"/>
    </row>
    <row r="965" spans="1:16" s="2074" customFormat="1" ht="10.5" customHeight="1" x14ac:dyDescent="0.25">
      <c r="B965" s="2910"/>
      <c r="C965" s="3852"/>
      <c r="D965" s="1858"/>
      <c r="E965" s="1053"/>
      <c r="F965" s="675"/>
      <c r="G965" s="878"/>
      <c r="H965" s="2255"/>
      <c r="I965" s="1109"/>
      <c r="J965" s="1849"/>
      <c r="K965" s="2293"/>
      <c r="L965" s="1705"/>
      <c r="M965" s="2230"/>
      <c r="N965" s="2076"/>
      <c r="P965" s="4587"/>
    </row>
    <row r="966" spans="1:16" s="2074" customFormat="1" ht="18.75" customHeight="1" x14ac:dyDescent="0.25">
      <c r="B966" s="2910"/>
      <c r="C966" s="4103" t="s">
        <v>1132</v>
      </c>
      <c r="D966" s="1851">
        <f>D967</f>
        <v>5627566440</v>
      </c>
      <c r="E966" s="1052">
        <f>D966/D807*100</f>
        <v>3.4033148651379457</v>
      </c>
      <c r="F966" s="390"/>
      <c r="G966" s="665"/>
      <c r="H966" s="1415"/>
      <c r="I966" s="1110"/>
      <c r="J966" s="1847"/>
      <c r="K966" s="1847"/>
      <c r="L966" s="1308"/>
      <c r="M966" s="2006"/>
      <c r="N966" s="2076"/>
      <c r="P966" s="4587"/>
    </row>
    <row r="967" spans="1:16" s="2074" customFormat="1" ht="15.75" customHeight="1" x14ac:dyDescent="0.25">
      <c r="B967" s="2910"/>
      <c r="C967" s="4453" t="s">
        <v>1133</v>
      </c>
      <c r="D967" s="1852">
        <v>5627566440</v>
      </c>
      <c r="E967" s="1458">
        <f>D967/D807*100</f>
        <v>3.4033148651379457</v>
      </c>
      <c r="F967" s="611"/>
      <c r="G967" s="838"/>
      <c r="H967" s="880"/>
      <c r="I967" s="666"/>
      <c r="J967" s="1852"/>
      <c r="K967" s="1951"/>
      <c r="L967" s="1310"/>
      <c r="M967" s="2230"/>
      <c r="N967" s="2076"/>
      <c r="P967" s="4587"/>
    </row>
    <row r="968" spans="1:16" s="2074" customFormat="1" ht="10.5" customHeight="1" x14ac:dyDescent="0.25">
      <c r="B968" s="2910"/>
      <c r="C968" s="3908"/>
      <c r="D968" s="1846"/>
      <c r="E968" s="1458"/>
      <c r="F968" s="386"/>
      <c r="G968" s="835"/>
      <c r="H968" s="2174"/>
      <c r="I968" s="1324"/>
      <c r="J968" s="1852"/>
      <c r="K968" s="2307"/>
      <c r="L968" s="2174"/>
      <c r="M968" s="2227"/>
      <c r="N968" s="2076"/>
      <c r="P968" s="4587"/>
    </row>
    <row r="969" spans="1:16" s="2070" customFormat="1" ht="15.75" customHeight="1" x14ac:dyDescent="0.25">
      <c r="B969" s="4119"/>
      <c r="C969" s="3911" t="s">
        <v>6293</v>
      </c>
      <c r="D969" s="1851">
        <f>D970</f>
        <v>4814000000</v>
      </c>
      <c r="E969" s="1052">
        <f>D969/D807*100</f>
        <v>2.9113041907994019</v>
      </c>
      <c r="F969" s="390"/>
      <c r="G969" s="843"/>
      <c r="H969" s="2251"/>
      <c r="I969" s="4454"/>
      <c r="J969" s="1847"/>
      <c r="K969" s="4455"/>
      <c r="L969" s="2251"/>
      <c r="M969" s="2348"/>
      <c r="N969" s="2077"/>
      <c r="P969" s="4586"/>
    </row>
    <row r="970" spans="1:16" s="2074" customFormat="1" ht="15.75" customHeight="1" x14ac:dyDescent="0.25">
      <c r="B970" s="2910"/>
      <c r="C970" s="3908" t="s">
        <v>6294</v>
      </c>
      <c r="D970" s="1846">
        <v>4814000000</v>
      </c>
      <c r="E970" s="1162">
        <f>D970/D807*100</f>
        <v>2.9113041907994019</v>
      </c>
      <c r="F970" s="386"/>
      <c r="G970" s="835"/>
      <c r="H970" s="2174"/>
      <c r="I970" s="1324"/>
      <c r="J970" s="1852"/>
      <c r="K970" s="2307"/>
      <c r="L970" s="2174"/>
      <c r="M970" s="2227"/>
      <c r="N970" s="2076"/>
      <c r="P970" s="4587"/>
    </row>
    <row r="971" spans="1:16" s="2074" customFormat="1" ht="9.75" customHeight="1" x14ac:dyDescent="0.25">
      <c r="B971" s="2910"/>
      <c r="C971" s="3908"/>
      <c r="D971" s="1846"/>
      <c r="E971" s="1162"/>
      <c r="F971" s="386"/>
      <c r="G971" s="835"/>
      <c r="H971" s="2174"/>
      <c r="I971" s="1324"/>
      <c r="J971" s="1852"/>
      <c r="K971" s="2307"/>
      <c r="L971" s="2174"/>
      <c r="M971" s="2227"/>
      <c r="N971" s="2076"/>
      <c r="P971" s="4587"/>
    </row>
    <row r="972" spans="1:16" s="2070" customFormat="1" ht="15.75" customHeight="1" x14ac:dyDescent="0.25">
      <c r="B972" s="4119"/>
      <c r="C972" s="3911" t="s">
        <v>6295</v>
      </c>
      <c r="D972" s="1851">
        <f>D973</f>
        <v>4280000000</v>
      </c>
      <c r="E972" s="1052">
        <f>D972/D807*100</f>
        <v>2.588363509892281</v>
      </c>
      <c r="F972" s="390"/>
      <c r="G972" s="843"/>
      <c r="H972" s="2251"/>
      <c r="I972" s="4454"/>
      <c r="J972" s="1847"/>
      <c r="K972" s="4455"/>
      <c r="L972" s="2251"/>
      <c r="M972" s="2348"/>
      <c r="N972" s="2077"/>
      <c r="P972" s="4586"/>
    </row>
    <row r="973" spans="1:16" s="2074" customFormat="1" ht="15.75" customHeight="1" x14ac:dyDescent="0.25">
      <c r="B973" s="2910"/>
      <c r="C973" s="3908" t="s">
        <v>6296</v>
      </c>
      <c r="D973" s="1846">
        <v>4280000000</v>
      </c>
      <c r="E973" s="1458">
        <f>D973/D807*100</f>
        <v>2.588363509892281</v>
      </c>
      <c r="F973" s="386"/>
      <c r="G973" s="835"/>
      <c r="H973" s="2174"/>
      <c r="I973" s="1324"/>
      <c r="J973" s="1852"/>
      <c r="K973" s="2307"/>
      <c r="L973" s="2174"/>
      <c r="M973" s="2227"/>
      <c r="N973" s="2076"/>
      <c r="P973" s="4587"/>
    </row>
    <row r="974" spans="1:16" s="266" customFormat="1" ht="12" customHeight="1" x14ac:dyDescent="0.25">
      <c r="A974" s="353"/>
      <c r="B974" s="2910"/>
      <c r="C974" s="3904"/>
      <c r="D974" s="868"/>
      <c r="E974" s="1053"/>
      <c r="F974" s="835"/>
      <c r="G974" s="882"/>
      <c r="H974" s="2174"/>
      <c r="I974" s="2295"/>
      <c r="J974" s="2307"/>
      <c r="K974" s="2296"/>
      <c r="L974" s="1323"/>
      <c r="M974" s="2227"/>
      <c r="N974" s="354"/>
      <c r="P974" s="4596"/>
    </row>
    <row r="975" spans="1:16" s="2074" customFormat="1" ht="17.25" customHeight="1" x14ac:dyDescent="0.25">
      <c r="B975" s="2909"/>
      <c r="C975" s="3875" t="s">
        <v>317</v>
      </c>
      <c r="D975" s="1853">
        <f>D976+D979+D983+D986</f>
        <v>985096000</v>
      </c>
      <c r="E975" s="1050">
        <f>D975/D807*100</f>
        <v>0.59574451872449685</v>
      </c>
      <c r="F975" s="388"/>
      <c r="G975" s="888"/>
      <c r="H975" s="1075"/>
      <c r="I975" s="888"/>
      <c r="J975" s="1853"/>
      <c r="K975" s="888"/>
      <c r="L975" s="888"/>
      <c r="M975" s="888"/>
      <c r="N975" s="2076"/>
      <c r="P975" s="4587"/>
    </row>
    <row r="976" spans="1:16" s="2074" customFormat="1" ht="16.5" customHeight="1" x14ac:dyDescent="0.25">
      <c r="B976" s="2910"/>
      <c r="C976" s="3854" t="s">
        <v>6297</v>
      </c>
      <c r="D976" s="1847">
        <f>D977</f>
        <v>97805000</v>
      </c>
      <c r="E976" s="1051">
        <f>D976/D807*100</f>
        <v>5.9148339505844513E-2</v>
      </c>
      <c r="F976" s="665"/>
      <c r="G976" s="890"/>
      <c r="H976" s="1173"/>
      <c r="I976" s="890"/>
      <c r="J976" s="1847"/>
      <c r="K976" s="890"/>
      <c r="L976" s="890"/>
      <c r="M976" s="890"/>
      <c r="N976" s="2076"/>
      <c r="P976" s="4587"/>
    </row>
    <row r="977" spans="1:16" s="2074" customFormat="1" ht="15.75" customHeight="1" x14ac:dyDescent="0.25">
      <c r="B977" s="2910"/>
      <c r="C977" s="3856" t="s">
        <v>6298</v>
      </c>
      <c r="D977" s="1846">
        <v>97805000</v>
      </c>
      <c r="E977" s="1162">
        <f>D977/D807*100</f>
        <v>5.9148339505844513E-2</v>
      </c>
      <c r="F977" s="386"/>
      <c r="G977" s="878"/>
      <c r="H977" s="1167"/>
      <c r="I977" s="878"/>
      <c r="J977" s="1848"/>
      <c r="K977" s="878"/>
      <c r="L977" s="878"/>
      <c r="M977" s="878"/>
      <c r="N977" s="2076"/>
      <c r="P977" s="4587"/>
    </row>
    <row r="978" spans="1:16" s="2074" customFormat="1" ht="12" customHeight="1" x14ac:dyDescent="0.25">
      <c r="B978" s="2910"/>
      <c r="C978" s="3986"/>
      <c r="D978" s="1849"/>
      <c r="E978" s="1159"/>
      <c r="F978" s="389"/>
      <c r="G978" s="878"/>
      <c r="H978" s="1167"/>
      <c r="I978" s="878"/>
      <c r="J978" s="1849"/>
      <c r="K978" s="878"/>
      <c r="L978" s="878"/>
      <c r="M978" s="878"/>
      <c r="N978" s="2076"/>
      <c r="P978" s="4587"/>
    </row>
    <row r="979" spans="1:16" s="2074" customFormat="1" ht="15.75" customHeight="1" x14ac:dyDescent="0.25">
      <c r="B979" s="2910"/>
      <c r="C979" s="3854" t="s">
        <v>6299</v>
      </c>
      <c r="D979" s="1845">
        <f>D980+D981</f>
        <v>402471000</v>
      </c>
      <c r="E979" s="1159">
        <f>D979/D807*100</f>
        <v>0.24339748836211592</v>
      </c>
      <c r="F979" s="664"/>
      <c r="G979" s="877"/>
      <c r="H979" s="1166"/>
      <c r="I979" s="877"/>
      <c r="J979" s="1845"/>
      <c r="K979" s="877"/>
      <c r="L979" s="877"/>
      <c r="M979" s="877"/>
      <c r="N979" s="2076"/>
      <c r="P979" s="4587"/>
    </row>
    <row r="980" spans="1:16" s="2074" customFormat="1" ht="15.75" customHeight="1" x14ac:dyDescent="0.25">
      <c r="B980" s="2910"/>
      <c r="C980" s="3874" t="s">
        <v>6300</v>
      </c>
      <c r="D980" s="1852">
        <v>168651000</v>
      </c>
      <c r="E980" s="1160">
        <f>D980/D807*100</f>
        <v>0.10199301268851474</v>
      </c>
      <c r="F980" s="386"/>
      <c r="G980" s="878"/>
      <c r="H980" s="1167"/>
      <c r="I980" s="878"/>
      <c r="J980" s="1852"/>
      <c r="K980" s="878"/>
      <c r="L980" s="878"/>
      <c r="M980" s="878"/>
      <c r="N980" s="2076"/>
      <c r="P980" s="4587"/>
    </row>
    <row r="981" spans="1:16" s="2074" customFormat="1" ht="15" customHeight="1" x14ac:dyDescent="0.25">
      <c r="B981" s="2910"/>
      <c r="C981" s="4111" t="s">
        <v>6301</v>
      </c>
      <c r="D981" s="1852">
        <v>233820000</v>
      </c>
      <c r="E981" s="1160">
        <f>D981/D807*100</f>
        <v>0.14140447567360118</v>
      </c>
      <c r="F981" s="386"/>
      <c r="G981" s="878"/>
      <c r="H981" s="1167"/>
      <c r="I981" s="878"/>
      <c r="J981" s="1852"/>
      <c r="K981" s="878"/>
      <c r="L981" s="878"/>
      <c r="M981" s="878"/>
      <c r="N981" s="2076"/>
      <c r="P981" s="4587"/>
    </row>
    <row r="982" spans="1:16" s="2074" customFormat="1" ht="14.25" customHeight="1" x14ac:dyDescent="0.25">
      <c r="B982" s="2910"/>
      <c r="C982" s="3989"/>
      <c r="D982" s="1849"/>
      <c r="E982" s="1159"/>
      <c r="F982" s="389"/>
      <c r="G982" s="878"/>
      <c r="H982" s="1167"/>
      <c r="I982" s="878"/>
      <c r="J982" s="1849"/>
      <c r="K982" s="878"/>
      <c r="L982" s="878"/>
      <c r="M982" s="878"/>
      <c r="N982" s="2076"/>
      <c r="P982" s="4587"/>
    </row>
    <row r="983" spans="1:16" s="2074" customFormat="1" ht="16.5" customHeight="1" x14ac:dyDescent="0.25">
      <c r="B983" s="2910"/>
      <c r="C983" s="3855" t="s">
        <v>6302</v>
      </c>
      <c r="D983" s="1847">
        <f>D984</f>
        <v>265050000</v>
      </c>
      <c r="E983" s="1159">
        <f>D983/D807*100</f>
        <v>0.16029106268620305</v>
      </c>
      <c r="F983" s="390"/>
      <c r="G983" s="877"/>
      <c r="H983" s="1166"/>
      <c r="I983" s="877"/>
      <c r="J983" s="1847"/>
      <c r="K983" s="877"/>
      <c r="L983" s="877"/>
      <c r="M983" s="877"/>
      <c r="N983" s="2076"/>
      <c r="P983" s="4587"/>
    </row>
    <row r="984" spans="1:16" s="2074" customFormat="1" ht="16.5" customHeight="1" x14ac:dyDescent="0.25">
      <c r="B984" s="2910"/>
      <c r="C984" s="3874" t="s">
        <v>6303</v>
      </c>
      <c r="D984" s="1852">
        <v>265050000</v>
      </c>
      <c r="E984" s="1160">
        <f>D984/D807*100</f>
        <v>0.16029106268620305</v>
      </c>
      <c r="F984" s="611"/>
      <c r="G984" s="878"/>
      <c r="H984" s="1167"/>
      <c r="I984" s="878"/>
      <c r="J984" s="1852"/>
      <c r="K984" s="878"/>
      <c r="L984" s="878"/>
      <c r="M984" s="878"/>
      <c r="N984" s="2076"/>
      <c r="P984" s="4587"/>
    </row>
    <row r="985" spans="1:16" s="266" customFormat="1" ht="12" customHeight="1" x14ac:dyDescent="0.25">
      <c r="A985" s="353"/>
      <c r="B985" s="2910"/>
      <c r="C985" s="3904"/>
      <c r="D985" s="868"/>
      <c r="E985" s="1458"/>
      <c r="F985" s="660"/>
      <c r="G985" s="882"/>
      <c r="H985" s="2174"/>
      <c r="I985" s="2295"/>
      <c r="J985" s="781"/>
      <c r="K985" s="2296"/>
      <c r="L985" s="1323"/>
      <c r="M985" s="2227"/>
      <c r="N985" s="354"/>
      <c r="P985" s="4596"/>
    </row>
    <row r="986" spans="1:16" s="3588" customFormat="1" ht="16.5" customHeight="1" x14ac:dyDescent="0.25">
      <c r="B986" s="4119"/>
      <c r="C986" s="4116" t="s">
        <v>6304</v>
      </c>
      <c r="D986" s="673">
        <f>D987</f>
        <v>219770000</v>
      </c>
      <c r="E986" s="1052">
        <f>D986/D807*100</f>
        <v>0.13290762817033333</v>
      </c>
      <c r="F986" s="768"/>
      <c r="G986" s="877"/>
      <c r="H986" s="1415"/>
      <c r="I986" s="1118"/>
      <c r="J986" s="767"/>
      <c r="K986" s="2176"/>
      <c r="L986" s="2261"/>
      <c r="M986" s="2484"/>
      <c r="N986" s="3592"/>
      <c r="P986" s="4597"/>
    </row>
    <row r="987" spans="1:16" s="266" customFormat="1" ht="16.5" customHeight="1" x14ac:dyDescent="0.25">
      <c r="A987" s="3587"/>
      <c r="B987" s="2910"/>
      <c r="C987" s="4104" t="s">
        <v>6305</v>
      </c>
      <c r="D987" s="666">
        <v>219770000</v>
      </c>
      <c r="E987" s="1162">
        <f>D987/D807*100</f>
        <v>0.13290762817033333</v>
      </c>
      <c r="F987" s="780"/>
      <c r="G987" s="878"/>
      <c r="H987" s="880"/>
      <c r="I987" s="1121"/>
      <c r="J987" s="771"/>
      <c r="K987" s="2293"/>
      <c r="L987" s="1717"/>
      <c r="M987" s="2338"/>
      <c r="N987" s="3590"/>
      <c r="P987" s="4596"/>
    </row>
    <row r="988" spans="1:16" s="266" customFormat="1" ht="12" customHeight="1" x14ac:dyDescent="0.25">
      <c r="A988" s="3587"/>
      <c r="B988" s="2910"/>
      <c r="C988" s="4117"/>
      <c r="D988" s="671"/>
      <c r="E988" s="1458"/>
      <c r="F988" s="799"/>
      <c r="G988" s="887"/>
      <c r="H988" s="2255"/>
      <c r="I988" s="2339"/>
      <c r="J988" s="2300"/>
      <c r="K988" s="2301"/>
      <c r="L988" s="1703"/>
      <c r="M988" s="2302"/>
      <c r="N988" s="3590"/>
      <c r="P988" s="4596"/>
    </row>
    <row r="989" spans="1:16" s="266" customFormat="1" ht="15.75" customHeight="1" x14ac:dyDescent="0.25">
      <c r="A989" s="353"/>
      <c r="B989" s="2909"/>
      <c r="C989" s="3906" t="s">
        <v>6306</v>
      </c>
      <c r="D989" s="1853">
        <f>SUM(D990)</f>
        <v>587345623</v>
      </c>
      <c r="E989" s="1050">
        <f>D989/D807*100</f>
        <v>0.35520186408134308</v>
      </c>
      <c r="F989" s="388"/>
      <c r="G989" s="388"/>
      <c r="H989" s="1306"/>
      <c r="I989" s="2298"/>
      <c r="J989" s="1853"/>
      <c r="K989" s="1853"/>
      <c r="L989" s="1462"/>
      <c r="M989" s="2066"/>
      <c r="N989" s="354"/>
      <c r="P989" s="4596"/>
    </row>
    <row r="990" spans="1:16" s="2074" customFormat="1" ht="21" customHeight="1" x14ac:dyDescent="0.25">
      <c r="B990" s="2910"/>
      <c r="C990" s="3901" t="s">
        <v>6307</v>
      </c>
      <c r="D990" s="667">
        <f>SUM(D991:D991)</f>
        <v>587345623</v>
      </c>
      <c r="E990" s="1159">
        <f>D990/D807*100</f>
        <v>0.35520186408134308</v>
      </c>
      <c r="F990" s="667"/>
      <c r="G990" s="877"/>
      <c r="H990" s="1166"/>
      <c r="I990" s="877"/>
      <c r="J990" s="667"/>
      <c r="K990" s="667"/>
      <c r="L990" s="1308"/>
      <c r="M990" s="2308"/>
      <c r="N990" s="2076"/>
      <c r="P990" s="4587"/>
    </row>
    <row r="991" spans="1:16" s="2074" customFormat="1" ht="17.25" customHeight="1" x14ac:dyDescent="0.25">
      <c r="B991" s="2910"/>
      <c r="C991" s="3902" t="s">
        <v>6308</v>
      </c>
      <c r="D991" s="666">
        <v>587345623</v>
      </c>
      <c r="E991" s="1160">
        <f>D991/D807*100</f>
        <v>0.35520186408134308</v>
      </c>
      <c r="F991" s="666"/>
      <c r="G991" s="878"/>
      <c r="H991" s="1167"/>
      <c r="I991" s="878"/>
      <c r="J991" s="666"/>
      <c r="K991" s="2293"/>
      <c r="L991" s="1310"/>
      <c r="M991" s="2230"/>
      <c r="N991" s="2076"/>
      <c r="P991" s="4587"/>
    </row>
    <row r="992" spans="1:16" s="2074" customFormat="1" ht="12" customHeight="1" x14ac:dyDescent="0.25">
      <c r="B992" s="2910"/>
      <c r="C992" s="3898"/>
      <c r="D992" s="4083"/>
      <c r="E992" s="1458"/>
      <c r="F992" s="799"/>
      <c r="G992" s="893"/>
      <c r="H992" s="2310"/>
      <c r="I992" s="2311"/>
      <c r="J992" s="2300"/>
      <c r="K992" s="2312"/>
      <c r="L992" s="2313"/>
      <c r="M992" s="2314"/>
      <c r="N992" s="2076"/>
      <c r="P992" s="4587"/>
    </row>
    <row r="993" spans="2:16" s="2074" customFormat="1" ht="18" customHeight="1" x14ac:dyDescent="0.25">
      <c r="B993" s="2909"/>
      <c r="C993" s="3906" t="s">
        <v>254</v>
      </c>
      <c r="D993" s="1853">
        <f>SUM(D994+D997+D1000+D1004+D1010+D1013+D1016)</f>
        <v>3690499750</v>
      </c>
      <c r="E993" s="1050">
        <f>D993/D807*100</f>
        <v>2.231858618263221</v>
      </c>
      <c r="F993" s="388"/>
      <c r="G993" s="388"/>
      <c r="H993" s="1462"/>
      <c r="I993" s="2298"/>
      <c r="J993" s="1853"/>
      <c r="K993" s="1853"/>
      <c r="L993" s="1462"/>
      <c r="M993" s="2315"/>
      <c r="N993" s="2076"/>
      <c r="P993" s="4587"/>
    </row>
    <row r="994" spans="2:16" s="2074" customFormat="1" ht="18" customHeight="1" x14ac:dyDescent="0.25">
      <c r="B994" s="2910"/>
      <c r="C994" s="3854" t="s">
        <v>6309</v>
      </c>
      <c r="D994" s="1847">
        <f>D995</f>
        <v>486400000</v>
      </c>
      <c r="E994" s="1159">
        <f>D994/D807*100</f>
        <v>0.29415420822701061</v>
      </c>
      <c r="F994" s="665"/>
      <c r="G994" s="665"/>
      <c r="H994" s="1308"/>
      <c r="I994" s="1618"/>
      <c r="J994" s="1847"/>
      <c r="K994" s="1847"/>
      <c r="L994" s="1308"/>
      <c r="M994" s="2316"/>
      <c r="N994" s="2076"/>
      <c r="P994" s="4587"/>
    </row>
    <row r="995" spans="2:16" s="2074" customFormat="1" ht="17.25" customHeight="1" x14ac:dyDescent="0.25">
      <c r="B995" s="2910"/>
      <c r="C995" s="3876" t="s">
        <v>6310</v>
      </c>
      <c r="D995" s="1846">
        <v>486400000</v>
      </c>
      <c r="E995" s="1160">
        <f>D995/D807*100</f>
        <v>0.29415420822701061</v>
      </c>
      <c r="F995" s="386"/>
      <c r="G995" s="838"/>
      <c r="H995" s="1310"/>
      <c r="I995" s="1109"/>
      <c r="J995" s="1846"/>
      <c r="K995" s="1951"/>
      <c r="L995" s="1310"/>
      <c r="M995" s="2230"/>
      <c r="N995" s="2076"/>
      <c r="P995" s="4587"/>
    </row>
    <row r="996" spans="2:16" s="2074" customFormat="1" ht="10.5" customHeight="1" x14ac:dyDescent="0.25">
      <c r="B996" s="2910"/>
      <c r="C996" s="3986"/>
      <c r="D996" s="1849"/>
      <c r="E996" s="1160"/>
      <c r="F996" s="389"/>
      <c r="G996" s="878"/>
      <c r="H996" s="1310"/>
      <c r="I996" s="1109"/>
      <c r="J996" s="1849"/>
      <c r="K996" s="2293"/>
      <c r="L996" s="1312"/>
      <c r="M996" s="2230"/>
      <c r="N996" s="2076"/>
      <c r="P996" s="4587"/>
    </row>
    <row r="997" spans="2:16" s="2074" customFormat="1" ht="17.25" customHeight="1" x14ac:dyDescent="0.25">
      <c r="B997" s="2910"/>
      <c r="C997" s="3854" t="s">
        <v>2211</v>
      </c>
      <c r="D997" s="1847">
        <f>D998</f>
        <v>609130000</v>
      </c>
      <c r="E997" s="1159">
        <f>D997/D807*100</f>
        <v>0.36837613663100116</v>
      </c>
      <c r="F997" s="665"/>
      <c r="G997" s="877"/>
      <c r="H997" s="1166"/>
      <c r="I997" s="877"/>
      <c r="J997" s="1847"/>
      <c r="K997" s="1847"/>
      <c r="L997" s="1308"/>
      <c r="M997" s="2006"/>
      <c r="N997" s="2076"/>
      <c r="P997" s="4587"/>
    </row>
    <row r="998" spans="2:16" s="2074" customFormat="1" ht="14.25" customHeight="1" x14ac:dyDescent="0.25">
      <c r="B998" s="2910"/>
      <c r="C998" s="3876" t="s">
        <v>6311</v>
      </c>
      <c r="D998" s="1846">
        <v>609130000</v>
      </c>
      <c r="E998" s="1160">
        <f>D998/D807*100</f>
        <v>0.36837613663100116</v>
      </c>
      <c r="F998" s="386"/>
      <c r="G998" s="878"/>
      <c r="H998" s="1167"/>
      <c r="I998" s="878"/>
      <c r="J998" s="1846"/>
      <c r="K998" s="1951"/>
      <c r="L998" s="1310"/>
      <c r="M998" s="2230"/>
      <c r="N998" s="2076"/>
      <c r="P998" s="4587"/>
    </row>
    <row r="999" spans="2:16" s="2074" customFormat="1" ht="11.25" customHeight="1" x14ac:dyDescent="0.25">
      <c r="B999" s="2910"/>
      <c r="C999" s="3990"/>
      <c r="D999" s="1856"/>
      <c r="E999" s="1160"/>
      <c r="F999" s="668"/>
      <c r="G999" s="882"/>
      <c r="H999" s="2337"/>
      <c r="I999" s="934"/>
      <c r="J999" s="1856"/>
      <c r="K999" s="2307"/>
      <c r="L999" s="2174"/>
      <c r="M999" s="2227"/>
      <c r="N999" s="2076"/>
      <c r="P999" s="4587"/>
    </row>
    <row r="1000" spans="2:16" s="2070" customFormat="1" ht="30" customHeight="1" x14ac:dyDescent="0.25">
      <c r="B1000" s="4119"/>
      <c r="C1000" s="4450" t="s">
        <v>6312</v>
      </c>
      <c r="D1000" s="3701">
        <f>SUM(D1001:D1002)</f>
        <v>226784170</v>
      </c>
      <c r="E1000" s="1159">
        <f>D1000/D807*100</f>
        <v>0.13714950239467472</v>
      </c>
      <c r="F1000" s="664"/>
      <c r="G1000" s="4449"/>
      <c r="H1000" s="4451"/>
      <c r="I1000" s="4452"/>
      <c r="J1000" s="1845"/>
      <c r="K1000" s="4455"/>
      <c r="L1000" s="2251"/>
      <c r="M1000" s="2348"/>
      <c r="N1000" s="2077"/>
      <c r="P1000" s="4586"/>
    </row>
    <row r="1001" spans="2:16" s="2074" customFormat="1" ht="29.25" customHeight="1" x14ac:dyDescent="0.25">
      <c r="B1001" s="2910"/>
      <c r="C1001" s="3990" t="s">
        <v>6313</v>
      </c>
      <c r="D1001" s="868">
        <v>178709670</v>
      </c>
      <c r="E1001" s="1160">
        <f>D1001/D807*100</f>
        <v>0.1080760721245073</v>
      </c>
      <c r="F1001" s="668"/>
      <c r="G1001" s="882"/>
      <c r="H1001" s="2337"/>
      <c r="I1001" s="934"/>
      <c r="J1001" s="1856"/>
      <c r="K1001" s="2307"/>
      <c r="L1001" s="2174"/>
      <c r="M1001" s="2227"/>
      <c r="N1001" s="2076"/>
      <c r="P1001" s="4587"/>
    </row>
    <row r="1002" spans="2:16" s="2074" customFormat="1" ht="17.25" customHeight="1" x14ac:dyDescent="0.25">
      <c r="B1002" s="2910"/>
      <c r="C1002" s="3990" t="s">
        <v>6314</v>
      </c>
      <c r="D1002" s="1856">
        <v>48074500</v>
      </c>
      <c r="E1002" s="1160">
        <f>D1002/D807*100</f>
        <v>2.9073430270167396E-2</v>
      </c>
      <c r="F1002" s="668"/>
      <c r="G1002" s="882"/>
      <c r="H1002" s="2337"/>
      <c r="I1002" s="934"/>
      <c r="J1002" s="1856"/>
      <c r="K1002" s="2307"/>
      <c r="L1002" s="2174"/>
      <c r="M1002" s="2227"/>
      <c r="N1002" s="2076"/>
      <c r="P1002" s="4587"/>
    </row>
    <row r="1003" spans="2:16" s="2074" customFormat="1" ht="9" customHeight="1" x14ac:dyDescent="0.25">
      <c r="B1003" s="2910"/>
      <c r="C1003" s="3990"/>
      <c r="D1003" s="1856"/>
      <c r="E1003" s="1160"/>
      <c r="F1003" s="668"/>
      <c r="G1003" s="882"/>
      <c r="H1003" s="2337"/>
      <c r="I1003" s="934"/>
      <c r="J1003" s="1856"/>
      <c r="K1003" s="2307"/>
      <c r="L1003" s="2174"/>
      <c r="M1003" s="2227"/>
      <c r="N1003" s="2076"/>
      <c r="P1003" s="4587"/>
    </row>
    <row r="1004" spans="2:16" s="2070" customFormat="1" ht="18.75" customHeight="1" x14ac:dyDescent="0.25">
      <c r="B1004" s="4119"/>
      <c r="C1004" s="4450" t="s">
        <v>6315</v>
      </c>
      <c r="D1004" s="1845">
        <f>SUM(D1005:D1008)</f>
        <v>2060285580</v>
      </c>
      <c r="E1004" s="1163">
        <f>D1004/D807*100</f>
        <v>1.2459738353339378</v>
      </c>
      <c r="F1004" s="664"/>
      <c r="G1004" s="4449"/>
      <c r="H1004" s="4451"/>
      <c r="I1004" s="4452"/>
      <c r="J1004" s="1845"/>
      <c r="K1004" s="4455"/>
      <c r="L1004" s="2251"/>
      <c r="M1004" s="2348"/>
      <c r="N1004" s="2077"/>
      <c r="P1004" s="4586"/>
    </row>
    <row r="1005" spans="2:16" s="2074" customFormat="1" ht="27" customHeight="1" x14ac:dyDescent="0.25">
      <c r="B1005" s="2910"/>
      <c r="C1005" s="3990" t="s">
        <v>6316</v>
      </c>
      <c r="D1005" s="868">
        <v>46600000</v>
      </c>
      <c r="E1005" s="1160">
        <f>D1005/D807*100</f>
        <v>2.8181714850696329E-2</v>
      </c>
      <c r="F1005" s="668"/>
      <c r="G1005" s="882"/>
      <c r="H1005" s="2337"/>
      <c r="I1005" s="934"/>
      <c r="J1005" s="1856"/>
      <c r="K1005" s="2307"/>
      <c r="L1005" s="2174"/>
      <c r="M1005" s="2227"/>
      <c r="N1005" s="2076"/>
      <c r="P1005" s="4587"/>
    </row>
    <row r="1006" spans="2:16" s="2074" customFormat="1" ht="27" customHeight="1" x14ac:dyDescent="0.25">
      <c r="B1006" s="2910"/>
      <c r="C1006" s="3990" t="s">
        <v>6317</v>
      </c>
      <c r="D1006" s="868">
        <v>1505260000</v>
      </c>
      <c r="E1006" s="1160">
        <f>D1006/D807*100</f>
        <v>0.91031777030384453</v>
      </c>
      <c r="F1006" s="668"/>
      <c r="G1006" s="882"/>
      <c r="H1006" s="2337"/>
      <c r="I1006" s="934"/>
      <c r="J1006" s="1856"/>
      <c r="K1006" s="2307"/>
      <c r="L1006" s="2174"/>
      <c r="M1006" s="2227"/>
      <c r="N1006" s="2076"/>
      <c r="P1006" s="4587"/>
    </row>
    <row r="1007" spans="2:16" s="2074" customFormat="1" ht="14.25" customHeight="1" x14ac:dyDescent="0.25">
      <c r="B1007" s="2910"/>
      <c r="C1007" s="3990" t="s">
        <v>6318</v>
      </c>
      <c r="D1007" s="1856">
        <v>106245580</v>
      </c>
      <c r="E1007" s="1160">
        <f>D1007/D807*100</f>
        <v>6.4252846345640449E-2</v>
      </c>
      <c r="F1007" s="668"/>
      <c r="G1007" s="882"/>
      <c r="H1007" s="2337"/>
      <c r="I1007" s="934"/>
      <c r="J1007" s="1856"/>
      <c r="K1007" s="2307"/>
      <c r="L1007" s="2174"/>
      <c r="M1007" s="2227"/>
      <c r="N1007" s="2076"/>
      <c r="P1007" s="4587"/>
    </row>
    <row r="1008" spans="2:16" s="2074" customFormat="1" ht="16.5" customHeight="1" x14ac:dyDescent="0.25">
      <c r="B1008" s="2910"/>
      <c r="C1008" s="3990" t="s">
        <v>6319</v>
      </c>
      <c r="D1008" s="1856">
        <v>402180000</v>
      </c>
      <c r="E1008" s="1160">
        <f>D1008/D807*100</f>
        <v>0.24322150383375643</v>
      </c>
      <c r="F1008" s="668"/>
      <c r="G1008" s="882"/>
      <c r="H1008" s="2337"/>
      <c r="I1008" s="934"/>
      <c r="J1008" s="1856"/>
      <c r="K1008" s="2307"/>
      <c r="L1008" s="2174"/>
      <c r="M1008" s="2227"/>
      <c r="N1008" s="2076"/>
      <c r="P1008" s="4587"/>
    </row>
    <row r="1009" spans="1:16" s="2074" customFormat="1" ht="9" customHeight="1" x14ac:dyDescent="0.25">
      <c r="B1009" s="2910"/>
      <c r="C1009" s="3990"/>
      <c r="D1009" s="1856"/>
      <c r="E1009" s="1160"/>
      <c r="F1009" s="668"/>
      <c r="G1009" s="882"/>
      <c r="H1009" s="2337"/>
      <c r="I1009" s="934"/>
      <c r="J1009" s="1856"/>
      <c r="K1009" s="2307"/>
      <c r="L1009" s="2174"/>
      <c r="M1009" s="2227"/>
      <c r="N1009" s="2076"/>
      <c r="P1009" s="4587"/>
    </row>
    <row r="1010" spans="1:16" s="2070" customFormat="1" ht="17.25" customHeight="1" x14ac:dyDescent="0.25">
      <c r="B1010" s="4119"/>
      <c r="C1010" s="4450" t="s">
        <v>6320</v>
      </c>
      <c r="D1010" s="1845">
        <f>D1011</f>
        <v>123000000</v>
      </c>
      <c r="E1010" s="1159">
        <f>D1010/D807*100</f>
        <v>7.438521301793237E-2</v>
      </c>
      <c r="F1010" s="664"/>
      <c r="G1010" s="4449"/>
      <c r="H1010" s="4451"/>
      <c r="I1010" s="4452"/>
      <c r="J1010" s="1845"/>
      <c r="K1010" s="4455"/>
      <c r="L1010" s="2251"/>
      <c r="M1010" s="2348"/>
      <c r="N1010" s="2077"/>
      <c r="P1010" s="4586"/>
    </row>
    <row r="1011" spans="1:16" s="2074" customFormat="1" ht="15.75" customHeight="1" x14ac:dyDescent="0.25">
      <c r="B1011" s="2910"/>
      <c r="C1011" s="3990" t="s">
        <v>6321</v>
      </c>
      <c r="D1011" s="1856">
        <v>123000000</v>
      </c>
      <c r="E1011" s="1160">
        <f>D1011/D807*100</f>
        <v>7.438521301793237E-2</v>
      </c>
      <c r="F1011" s="668"/>
      <c r="G1011" s="882"/>
      <c r="H1011" s="2337"/>
      <c r="I1011" s="934"/>
      <c r="J1011" s="1856"/>
      <c r="K1011" s="2307"/>
      <c r="L1011" s="2174"/>
      <c r="M1011" s="2227"/>
      <c r="N1011" s="2076"/>
      <c r="P1011" s="4587"/>
    </row>
    <row r="1012" spans="1:16" s="2074" customFormat="1" ht="9" customHeight="1" x14ac:dyDescent="0.25">
      <c r="B1012" s="2910"/>
      <c r="C1012" s="3990"/>
      <c r="D1012" s="1856"/>
      <c r="E1012" s="1160"/>
      <c r="F1012" s="668"/>
      <c r="G1012" s="882"/>
      <c r="H1012" s="2337"/>
      <c r="I1012" s="934"/>
      <c r="J1012" s="1856"/>
      <c r="K1012" s="2307"/>
      <c r="L1012" s="2174"/>
      <c r="M1012" s="2227"/>
      <c r="N1012" s="2076"/>
      <c r="P1012" s="4587"/>
    </row>
    <row r="1013" spans="1:16" s="2070" customFormat="1" ht="16.5" customHeight="1" x14ac:dyDescent="0.25">
      <c r="B1013" s="4119"/>
      <c r="C1013" s="4450" t="s">
        <v>6322</v>
      </c>
      <c r="D1013" s="1845">
        <f>D1014</f>
        <v>172900000</v>
      </c>
      <c r="E1013" s="1159">
        <f>D1013/D807*100</f>
        <v>0.10456262870569517</v>
      </c>
      <c r="F1013" s="664"/>
      <c r="G1013" s="4449"/>
      <c r="H1013" s="4451"/>
      <c r="I1013" s="4452"/>
      <c r="J1013" s="1845"/>
      <c r="K1013" s="4455"/>
      <c r="L1013" s="2251"/>
      <c r="M1013" s="2348"/>
      <c r="N1013" s="2077"/>
      <c r="P1013" s="4586"/>
    </row>
    <row r="1014" spans="1:16" s="2074" customFormat="1" ht="16.5" customHeight="1" x14ac:dyDescent="0.25">
      <c r="B1014" s="2910"/>
      <c r="C1014" s="3990" t="s">
        <v>6323</v>
      </c>
      <c r="D1014" s="1856">
        <v>172900000</v>
      </c>
      <c r="E1014" s="1160">
        <f>D1014/D807*100</f>
        <v>0.10456262870569517</v>
      </c>
      <c r="F1014" s="668"/>
      <c r="G1014" s="882"/>
      <c r="H1014" s="2337"/>
      <c r="I1014" s="934"/>
      <c r="J1014" s="1856"/>
      <c r="K1014" s="2307"/>
      <c r="L1014" s="2174"/>
      <c r="M1014" s="2227"/>
      <c r="N1014" s="2076"/>
      <c r="P1014" s="4587"/>
    </row>
    <row r="1015" spans="1:16" s="2074" customFormat="1" ht="8.25" customHeight="1" x14ac:dyDescent="0.25">
      <c r="B1015" s="2910"/>
      <c r="C1015" s="3990"/>
      <c r="D1015" s="1856"/>
      <c r="E1015" s="1160"/>
      <c r="F1015" s="668"/>
      <c r="G1015" s="882"/>
      <c r="H1015" s="2337"/>
      <c r="I1015" s="934"/>
      <c r="J1015" s="1856"/>
      <c r="K1015" s="2307"/>
      <c r="L1015" s="2174"/>
      <c r="M1015" s="2227"/>
      <c r="N1015" s="2076"/>
      <c r="P1015" s="4587"/>
    </row>
    <row r="1016" spans="1:16" s="2070" customFormat="1" ht="27" customHeight="1" x14ac:dyDescent="0.25">
      <c r="B1016" s="4119"/>
      <c r="C1016" s="4450" t="s">
        <v>6324</v>
      </c>
      <c r="D1016" s="3701">
        <f>D1017</f>
        <v>12000000</v>
      </c>
      <c r="E1016" s="1159">
        <f>D1016/D807*100</f>
        <v>7.2570939529690119E-3</v>
      </c>
      <c r="F1016" s="664"/>
      <c r="G1016" s="4449"/>
      <c r="H1016" s="4451"/>
      <c r="I1016" s="4452"/>
      <c r="J1016" s="1845"/>
      <c r="K1016" s="4455"/>
      <c r="L1016" s="2251"/>
      <c r="M1016" s="2348"/>
      <c r="N1016" s="2077"/>
      <c r="P1016" s="4586"/>
    </row>
    <row r="1017" spans="1:16" s="2074" customFormat="1" ht="28.5" customHeight="1" x14ac:dyDescent="0.25">
      <c r="B1017" s="2910"/>
      <c r="C1017" s="3990" t="s">
        <v>6325</v>
      </c>
      <c r="D1017" s="868">
        <v>12000000</v>
      </c>
      <c r="E1017" s="1160">
        <f>D1017/D807*100</f>
        <v>7.2570939529690119E-3</v>
      </c>
      <c r="F1017" s="668"/>
      <c r="G1017" s="882"/>
      <c r="H1017" s="2337"/>
      <c r="I1017" s="934"/>
      <c r="J1017" s="1856"/>
      <c r="K1017" s="2307"/>
      <c r="L1017" s="2174"/>
      <c r="M1017" s="2227"/>
      <c r="N1017" s="2076"/>
      <c r="P1017" s="4587"/>
    </row>
    <row r="1018" spans="1:16" s="266" customFormat="1" ht="12" customHeight="1" x14ac:dyDescent="0.25">
      <c r="A1018" s="353"/>
      <c r="B1018" s="2910"/>
      <c r="C1018" s="3904"/>
      <c r="D1018" s="868"/>
      <c r="E1018" s="1053"/>
      <c r="F1018" s="660"/>
      <c r="G1018" s="882"/>
      <c r="H1018" s="2174"/>
      <c r="I1018" s="2295"/>
      <c r="J1018" s="781"/>
      <c r="K1018" s="2296"/>
      <c r="L1018" s="1323"/>
      <c r="M1018" s="2227"/>
      <c r="N1018" s="354"/>
      <c r="P1018" s="4596"/>
    </row>
    <row r="1019" spans="1:16" s="2074" customFormat="1" ht="17.25" customHeight="1" x14ac:dyDescent="0.25">
      <c r="B1019" s="2909"/>
      <c r="C1019" s="3875" t="s">
        <v>6326</v>
      </c>
      <c r="D1019" s="669">
        <f>SUM(D1020+D1023+D1032+D1026+D1029)</f>
        <v>1721456632</v>
      </c>
      <c r="E1019" s="1050">
        <f>D1019/D807*100</f>
        <v>1.0410643761988001</v>
      </c>
      <c r="F1019" s="670"/>
      <c r="G1019" s="670"/>
      <c r="H1019" s="1462"/>
      <c r="I1019" s="888"/>
      <c r="J1019" s="669"/>
      <c r="K1019" s="669"/>
      <c r="L1019" s="1462"/>
      <c r="M1019" s="2317"/>
      <c r="N1019" s="2076"/>
      <c r="P1019" s="4587"/>
    </row>
    <row r="1020" spans="1:16" s="2074" customFormat="1" ht="16.5" customHeight="1" x14ac:dyDescent="0.25">
      <c r="B1020" s="2910"/>
      <c r="C1020" s="3854" t="s">
        <v>6328</v>
      </c>
      <c r="D1020" s="889">
        <f>D1021</f>
        <v>848496632</v>
      </c>
      <c r="E1020" s="1159">
        <f>D1020/D807*100</f>
        <v>0.51313498143348113</v>
      </c>
      <c r="F1020" s="889"/>
      <c r="G1020" s="889"/>
      <c r="H1020" s="1661"/>
      <c r="I1020" s="890"/>
      <c r="J1020" s="889"/>
      <c r="K1020" s="889"/>
      <c r="L1020" s="1308"/>
      <c r="M1020" s="2318"/>
      <c r="N1020" s="2076"/>
      <c r="P1020" s="4587"/>
    </row>
    <row r="1021" spans="1:16" s="2074" customFormat="1" ht="14.25" customHeight="1" x14ac:dyDescent="0.25">
      <c r="B1021" s="2910"/>
      <c r="C1021" s="3863" t="s">
        <v>6329</v>
      </c>
      <c r="D1021" s="1852">
        <v>848496632</v>
      </c>
      <c r="E1021" s="1160">
        <f>D1021/D807*100</f>
        <v>0.51313498143348113</v>
      </c>
      <c r="F1021" s="611"/>
      <c r="G1021" s="878"/>
      <c r="H1021" s="1167"/>
      <c r="I1021" s="878"/>
      <c r="J1021" s="1852"/>
      <c r="K1021" s="2293"/>
      <c r="L1021" s="1310"/>
      <c r="M1021" s="2293"/>
      <c r="N1021" s="2076"/>
      <c r="P1021" s="4587"/>
    </row>
    <row r="1022" spans="1:16" s="2074" customFormat="1" ht="11.25" customHeight="1" x14ac:dyDescent="0.25">
      <c r="B1022" s="2910"/>
      <c r="C1022" s="3986"/>
      <c r="D1022" s="1849"/>
      <c r="E1022" s="1160"/>
      <c r="F1022" s="389"/>
      <c r="G1022" s="878"/>
      <c r="H1022" s="1310"/>
      <c r="I1022" s="878"/>
      <c r="J1022" s="1849"/>
      <c r="K1022" s="2293"/>
      <c r="L1022" s="2293"/>
      <c r="M1022" s="2293"/>
      <c r="N1022" s="2076"/>
      <c r="P1022" s="4587"/>
    </row>
    <row r="1023" spans="1:16" s="2074" customFormat="1" ht="18" customHeight="1" x14ac:dyDescent="0.25">
      <c r="B1023" s="2910"/>
      <c r="C1023" s="3854" t="s">
        <v>6330</v>
      </c>
      <c r="D1023" s="1847">
        <f>D1024</f>
        <v>212215000</v>
      </c>
      <c r="E1023" s="1159">
        <f>D1023/D807*100</f>
        <v>0.12833868276910992</v>
      </c>
      <c r="F1023" s="390"/>
      <c r="G1023" s="665"/>
      <c r="H1023" s="1308"/>
      <c r="I1023" s="877"/>
      <c r="J1023" s="1851"/>
      <c r="K1023" s="1851"/>
      <c r="L1023" s="1308"/>
      <c r="M1023" s="2176"/>
      <c r="N1023" s="2076"/>
      <c r="P1023" s="4587"/>
    </row>
    <row r="1024" spans="1:16" s="2074" customFormat="1" ht="15" customHeight="1" x14ac:dyDescent="0.25">
      <c r="B1024" s="2910"/>
      <c r="C1024" s="3856" t="s">
        <v>6331</v>
      </c>
      <c r="D1024" s="666">
        <v>212215000</v>
      </c>
      <c r="E1024" s="1160">
        <f>D1024/D807*100</f>
        <v>0.12833868276910992</v>
      </c>
      <c r="F1024" s="671"/>
      <c r="G1024" s="878"/>
      <c r="H1024" s="1310"/>
      <c r="I1024" s="878"/>
      <c r="J1024" s="671"/>
      <c r="K1024" s="671"/>
      <c r="L1024" s="1310"/>
      <c r="M1024" s="2293"/>
      <c r="N1024" s="2076"/>
      <c r="P1024" s="4587"/>
    </row>
    <row r="1025" spans="1:16" s="2074" customFormat="1" ht="8.25" customHeight="1" x14ac:dyDescent="0.25">
      <c r="B1025" s="2910"/>
      <c r="C1025" s="3876"/>
      <c r="D1025" s="666"/>
      <c r="E1025" s="1160"/>
      <c r="F1025" s="666"/>
      <c r="G1025" s="878"/>
      <c r="H1025" s="1310"/>
      <c r="I1025" s="878"/>
      <c r="J1025" s="666"/>
      <c r="K1025" s="2293"/>
      <c r="L1025" s="1310"/>
      <c r="M1025" s="2293"/>
      <c r="N1025" s="2076"/>
      <c r="P1025" s="4587"/>
    </row>
    <row r="1026" spans="1:16" s="2070" customFormat="1" ht="18.75" customHeight="1" x14ac:dyDescent="0.25">
      <c r="B1026" s="4119"/>
      <c r="C1026" s="4102" t="s">
        <v>6332</v>
      </c>
      <c r="D1026" s="1847">
        <f>D1027</f>
        <v>163327000</v>
      </c>
      <c r="E1026" s="1159">
        <f>D1026/D807*100</f>
        <v>9.8773282004714164E-2</v>
      </c>
      <c r="F1026" s="665"/>
      <c r="G1026" s="877"/>
      <c r="H1026" s="1166"/>
      <c r="I1026" s="877"/>
      <c r="J1026" s="1847"/>
      <c r="K1026" s="877"/>
      <c r="L1026" s="1166"/>
      <c r="M1026" s="877"/>
      <c r="N1026" s="2077"/>
      <c r="P1026" s="4586"/>
    </row>
    <row r="1027" spans="1:16" s="2074" customFormat="1" ht="14.25" customHeight="1" x14ac:dyDescent="0.25">
      <c r="B1027" s="2910"/>
      <c r="C1027" s="3876" t="s">
        <v>6327</v>
      </c>
      <c r="D1027" s="1846">
        <v>163327000</v>
      </c>
      <c r="E1027" s="1160">
        <f>D1027/D807*100</f>
        <v>9.8773282004714164E-2</v>
      </c>
      <c r="F1027" s="386"/>
      <c r="G1027" s="878"/>
      <c r="H1027" s="1167"/>
      <c r="I1027" s="878"/>
      <c r="J1027" s="1846"/>
      <c r="K1027" s="878"/>
      <c r="L1027" s="1167"/>
      <c r="M1027" s="878"/>
      <c r="N1027" s="2076"/>
      <c r="P1027" s="4587"/>
    </row>
    <row r="1028" spans="1:16" s="2074" customFormat="1" ht="11.25" customHeight="1" x14ac:dyDescent="0.25">
      <c r="B1028" s="2910"/>
      <c r="C1028" s="3876"/>
      <c r="D1028" s="1846"/>
      <c r="E1028" s="1160"/>
      <c r="F1028" s="386"/>
      <c r="G1028" s="878"/>
      <c r="H1028" s="1310"/>
      <c r="I1028" s="878"/>
      <c r="J1028" s="1846"/>
      <c r="K1028" s="2293"/>
      <c r="L1028" s="1310"/>
      <c r="M1028" s="2293"/>
      <c r="N1028" s="2076"/>
      <c r="P1028" s="4587"/>
    </row>
    <row r="1029" spans="1:16" s="2070" customFormat="1" ht="18" customHeight="1" x14ac:dyDescent="0.25">
      <c r="B1029" s="4119"/>
      <c r="C1029" s="3878" t="s">
        <v>6333</v>
      </c>
      <c r="D1029" s="1851">
        <f>D1030</f>
        <v>313683000</v>
      </c>
      <c r="E1029" s="1159">
        <f>D1029/D807*100</f>
        <v>0.1897022502040982</v>
      </c>
      <c r="F1029" s="390"/>
      <c r="G1029" s="877"/>
      <c r="H1029" s="1166"/>
      <c r="I1029" s="877"/>
      <c r="J1029" s="1851"/>
      <c r="K1029" s="877"/>
      <c r="L1029" s="1166"/>
      <c r="M1029" s="877"/>
      <c r="N1029" s="2077"/>
      <c r="P1029" s="4586"/>
    </row>
    <row r="1030" spans="1:16" s="2074" customFormat="1" ht="15" customHeight="1" x14ac:dyDescent="0.25">
      <c r="B1030" s="2910"/>
      <c r="C1030" s="3876" t="s">
        <v>6334</v>
      </c>
      <c r="D1030" s="1846">
        <v>313683000</v>
      </c>
      <c r="E1030" s="1160">
        <f>D1030/D807*100</f>
        <v>0.1897022502040982</v>
      </c>
      <c r="F1030" s="386"/>
      <c r="G1030" s="878"/>
      <c r="H1030" s="1310"/>
      <c r="I1030" s="878"/>
      <c r="J1030" s="1846"/>
      <c r="K1030" s="2293"/>
      <c r="L1030" s="1310"/>
      <c r="M1030" s="2293"/>
      <c r="N1030" s="2076"/>
      <c r="P1030" s="4587"/>
    </row>
    <row r="1031" spans="1:16" s="2074" customFormat="1" ht="9.75" customHeight="1" x14ac:dyDescent="0.25">
      <c r="B1031" s="2910"/>
      <c r="C1031" s="3986"/>
      <c r="D1031" s="1849"/>
      <c r="E1031" s="1159"/>
      <c r="F1031" s="389"/>
      <c r="G1031" s="878"/>
      <c r="H1031" s="1310"/>
      <c r="I1031" s="878"/>
      <c r="J1031" s="1849"/>
      <c r="K1031" s="2293"/>
      <c r="L1031" s="2293"/>
      <c r="M1031" s="2293"/>
      <c r="N1031" s="2076"/>
      <c r="P1031" s="4587"/>
    </row>
    <row r="1032" spans="1:16" s="2074" customFormat="1" ht="15.75" customHeight="1" x14ac:dyDescent="0.25">
      <c r="B1032" s="2910"/>
      <c r="C1032" s="3878" t="s">
        <v>6335</v>
      </c>
      <c r="D1032" s="1851">
        <f>D1033</f>
        <v>183735000</v>
      </c>
      <c r="E1032" s="1159">
        <f>D1032/D807*100</f>
        <v>0.11111517978739677</v>
      </c>
      <c r="F1032" s="390"/>
      <c r="G1032" s="877"/>
      <c r="H1032" s="1166"/>
      <c r="I1032" s="877"/>
      <c r="J1032" s="1851"/>
      <c r="K1032" s="877"/>
      <c r="L1032" s="1166"/>
      <c r="M1032" s="877"/>
      <c r="N1032" s="2076"/>
      <c r="P1032" s="4587"/>
    </row>
    <row r="1033" spans="1:16" s="2074" customFormat="1" ht="15.75" customHeight="1" x14ac:dyDescent="0.25">
      <c r="B1033" s="2910"/>
      <c r="C1033" s="3874" t="s">
        <v>6336</v>
      </c>
      <c r="D1033" s="1852">
        <v>183735000</v>
      </c>
      <c r="E1033" s="1160">
        <f>D1033/D807*100</f>
        <v>0.11111517978739677</v>
      </c>
      <c r="F1033" s="611"/>
      <c r="G1033" s="878"/>
      <c r="H1033" s="1167"/>
      <c r="I1033" s="878"/>
      <c r="J1033" s="1852"/>
      <c r="K1033" s="878"/>
      <c r="L1033" s="1167"/>
      <c r="M1033" s="878"/>
      <c r="N1033" s="2076"/>
      <c r="P1033" s="4587"/>
    </row>
    <row r="1034" spans="1:16" s="266" customFormat="1" ht="12" customHeight="1" x14ac:dyDescent="0.25">
      <c r="A1034" s="353"/>
      <c r="B1034" s="2910"/>
      <c r="C1034" s="3904"/>
      <c r="D1034" s="868"/>
      <c r="E1034" s="1053"/>
      <c r="F1034" s="660"/>
      <c r="G1034" s="882"/>
      <c r="H1034" s="2174"/>
      <c r="I1034" s="2295"/>
      <c r="J1034" s="781"/>
      <c r="K1034" s="2296"/>
      <c r="L1034" s="1323"/>
      <c r="M1034" s="2227"/>
      <c r="N1034" s="354"/>
      <c r="P1034" s="4596"/>
    </row>
    <row r="1035" spans="1:16" s="2074" customFormat="1" ht="27" customHeight="1" x14ac:dyDescent="0.25">
      <c r="B1035" s="2909"/>
      <c r="C1035" s="3906" t="s">
        <v>6337</v>
      </c>
      <c r="D1035" s="670">
        <f>SUM(D1036+D1045+D1048+D1051+D1056+D1059+D1062+D1065+D1068+D1071+D1074+D1077)</f>
        <v>3874159882</v>
      </c>
      <c r="E1035" s="1050">
        <f>D1035/D807*100</f>
        <v>2.3429285210414452</v>
      </c>
      <c r="F1035" s="388"/>
      <c r="G1035" s="888"/>
      <c r="H1035" s="1075"/>
      <c r="I1035" s="888"/>
      <c r="J1035" s="1853"/>
      <c r="K1035" s="1853"/>
      <c r="L1035" s="1462"/>
      <c r="M1035" s="2066"/>
      <c r="N1035" s="2076"/>
      <c r="P1035" s="4587"/>
    </row>
    <row r="1036" spans="1:16" s="2074" customFormat="1" ht="18" customHeight="1" x14ac:dyDescent="0.25">
      <c r="B1036" s="2910"/>
      <c r="C1036" s="3992" t="s">
        <v>6338</v>
      </c>
      <c r="D1036" s="1857">
        <f>SUM(D1037:D1043)</f>
        <v>1571835400</v>
      </c>
      <c r="E1036" s="1159">
        <f>D1036/D807*100</f>
        <v>0.95057976470021899</v>
      </c>
      <c r="F1036" s="392"/>
      <c r="G1036" s="890"/>
      <c r="H1036" s="1173"/>
      <c r="I1036" s="890"/>
      <c r="J1036" s="1857"/>
      <c r="K1036" s="1857"/>
      <c r="L1036" s="1308"/>
      <c r="M1036" s="2176"/>
      <c r="N1036" s="2076"/>
      <c r="P1036" s="4587"/>
    </row>
    <row r="1037" spans="1:16" s="2074" customFormat="1" ht="30" customHeight="1" x14ac:dyDescent="0.25">
      <c r="B1037" s="2910"/>
      <c r="C1037" s="3876" t="s">
        <v>6339</v>
      </c>
      <c r="D1037" s="666">
        <v>263103100</v>
      </c>
      <c r="E1037" s="1160">
        <f>D1037/D807*100</f>
        <v>0.15911365966811677</v>
      </c>
      <c r="F1037" s="386"/>
      <c r="G1037" s="883"/>
      <c r="H1037" s="1168"/>
      <c r="I1037" s="883"/>
      <c r="J1037" s="1846"/>
      <c r="K1037" s="2297"/>
      <c r="L1037" s="1310"/>
      <c r="M1037" s="2297"/>
      <c r="N1037" s="2076"/>
      <c r="P1037" s="4587"/>
    </row>
    <row r="1038" spans="1:16" s="2074" customFormat="1" ht="27.75" customHeight="1" x14ac:dyDescent="0.25">
      <c r="B1038" s="2910"/>
      <c r="C1038" s="3876" t="s">
        <v>6340</v>
      </c>
      <c r="D1038" s="666">
        <v>181566500</v>
      </c>
      <c r="E1038" s="1160">
        <f>D1038/D807*100</f>
        <v>0.10980376243431235</v>
      </c>
      <c r="F1038" s="389"/>
      <c r="G1038" s="878"/>
      <c r="H1038" s="1310"/>
      <c r="I1038" s="1109"/>
      <c r="J1038" s="1849"/>
      <c r="K1038" s="2293"/>
      <c r="L1038" s="1312"/>
      <c r="M1038" s="2230"/>
      <c r="N1038" s="2076"/>
      <c r="P1038" s="4587"/>
    </row>
    <row r="1039" spans="1:16" s="2074" customFormat="1" ht="18" customHeight="1" x14ac:dyDescent="0.25">
      <c r="B1039" s="2910"/>
      <c r="C1039" s="3876" t="s">
        <v>6341</v>
      </c>
      <c r="D1039" s="1846">
        <v>302755000</v>
      </c>
      <c r="E1039" s="1160">
        <f>D1039/D807*100</f>
        <v>0.18309345664426108</v>
      </c>
      <c r="F1039" s="389"/>
      <c r="G1039" s="883"/>
      <c r="H1039" s="2303"/>
      <c r="I1039" s="1108"/>
      <c r="J1039" s="1849"/>
      <c r="K1039" s="2293"/>
      <c r="L1039" s="1312"/>
      <c r="M1039" s="2230"/>
      <c r="N1039" s="2076"/>
      <c r="P1039" s="4587"/>
    </row>
    <row r="1040" spans="1:16" s="2074" customFormat="1" ht="18" customHeight="1" x14ac:dyDescent="0.25">
      <c r="B1040" s="2910"/>
      <c r="C1040" s="3876" t="s">
        <v>6342</v>
      </c>
      <c r="D1040" s="1846">
        <v>109618000</v>
      </c>
      <c r="E1040" s="1160">
        <f>D1040/D807*100</f>
        <v>6.62923437447131E-2</v>
      </c>
      <c r="F1040" s="389"/>
      <c r="G1040" s="883"/>
      <c r="H1040" s="2303"/>
      <c r="I1040" s="1108"/>
      <c r="J1040" s="1849"/>
      <c r="K1040" s="2293"/>
      <c r="L1040" s="1312"/>
      <c r="M1040" s="2230"/>
      <c r="N1040" s="2076"/>
      <c r="P1040" s="4587"/>
    </row>
    <row r="1041" spans="2:16" s="2074" customFormat="1" ht="17.25" customHeight="1" x14ac:dyDescent="0.25">
      <c r="B1041" s="2910"/>
      <c r="C1041" s="3876" t="s">
        <v>6343</v>
      </c>
      <c r="D1041" s="1846">
        <v>294996400</v>
      </c>
      <c r="E1041" s="1160">
        <f>D1041/D807*100</f>
        <v>0.17840138254896898</v>
      </c>
      <c r="F1041" s="389"/>
      <c r="G1041" s="883"/>
      <c r="H1041" s="2303"/>
      <c r="I1041" s="1108"/>
      <c r="J1041" s="1849"/>
      <c r="K1041" s="2293"/>
      <c r="L1041" s="1312"/>
      <c r="M1041" s="2230"/>
      <c r="N1041" s="2076"/>
      <c r="P1041" s="4587"/>
    </row>
    <row r="1042" spans="2:16" s="2074" customFormat="1" ht="16.5" customHeight="1" x14ac:dyDescent="0.25">
      <c r="B1042" s="2910"/>
      <c r="C1042" s="3876" t="s">
        <v>6344</v>
      </c>
      <c r="D1042" s="1846">
        <v>283496400</v>
      </c>
      <c r="E1042" s="1160">
        <f>D1042/D807*100</f>
        <v>0.171446667510707</v>
      </c>
      <c r="F1042" s="389"/>
      <c r="G1042" s="883"/>
      <c r="H1042" s="2303"/>
      <c r="I1042" s="1108"/>
      <c r="J1042" s="1849"/>
      <c r="K1042" s="2293"/>
      <c r="L1042" s="1312"/>
      <c r="M1042" s="2230"/>
      <c r="N1042" s="2076"/>
      <c r="P1042" s="4587"/>
    </row>
    <row r="1043" spans="2:16" s="2074" customFormat="1" ht="19.5" customHeight="1" x14ac:dyDescent="0.25">
      <c r="B1043" s="2910"/>
      <c r="C1043" s="3876" t="s">
        <v>6345</v>
      </c>
      <c r="D1043" s="1846">
        <v>136300000</v>
      </c>
      <c r="E1043" s="1160">
        <f>D1043/D807*100</f>
        <v>8.2428492149139693E-2</v>
      </c>
      <c r="F1043" s="389"/>
      <c r="G1043" s="883"/>
      <c r="H1043" s="2303"/>
      <c r="I1043" s="1108"/>
      <c r="J1043" s="1849"/>
      <c r="K1043" s="2293"/>
      <c r="L1043" s="1312"/>
      <c r="M1043" s="2230"/>
      <c r="N1043" s="2076"/>
      <c r="P1043" s="4587"/>
    </row>
    <row r="1044" spans="2:16" s="2074" customFormat="1" ht="12" customHeight="1" x14ac:dyDescent="0.25">
      <c r="B1044" s="2910"/>
      <c r="C1044" s="3986"/>
      <c r="D1044" s="1849"/>
      <c r="E1044" s="1163"/>
      <c r="F1044" s="389"/>
      <c r="G1044" s="883"/>
      <c r="H1044" s="2303"/>
      <c r="I1044" s="1108"/>
      <c r="J1044" s="1849"/>
      <c r="K1044" s="2293"/>
      <c r="L1044" s="1312"/>
      <c r="M1044" s="2230"/>
      <c r="N1044" s="2076"/>
      <c r="P1044" s="4587"/>
    </row>
    <row r="1045" spans="2:16" s="2074" customFormat="1" ht="16.5" customHeight="1" x14ac:dyDescent="0.25">
      <c r="B1045" s="2910"/>
      <c r="C1045" s="3878" t="s">
        <v>4610</v>
      </c>
      <c r="D1045" s="1851">
        <f>D1046</f>
        <v>222409800</v>
      </c>
      <c r="E1045" s="1159">
        <f>D1045/D807*100</f>
        <v>0.13450406788842059</v>
      </c>
      <c r="F1045" s="390"/>
      <c r="G1045" s="890"/>
      <c r="H1045" s="1173"/>
      <c r="I1045" s="890"/>
      <c r="J1045" s="1851"/>
      <c r="K1045" s="1851"/>
      <c r="L1045" s="1308"/>
      <c r="M1045" s="2006"/>
      <c r="N1045" s="2076"/>
      <c r="P1045" s="4587"/>
    </row>
    <row r="1046" spans="2:16" s="2074" customFormat="1" ht="26.25" customHeight="1" x14ac:dyDescent="0.25">
      <c r="B1046" s="2910"/>
      <c r="C1046" s="3863" t="s">
        <v>6346</v>
      </c>
      <c r="D1046" s="666">
        <v>222409800</v>
      </c>
      <c r="E1046" s="1160">
        <f>D1046/D807*100</f>
        <v>0.13450406788842059</v>
      </c>
      <c r="F1046" s="386"/>
      <c r="G1046" s="883"/>
      <c r="H1046" s="1168"/>
      <c r="I1046" s="883"/>
      <c r="J1046" s="1846"/>
      <c r="K1046" s="1951"/>
      <c r="L1046" s="1310"/>
      <c r="M1046" s="2230"/>
      <c r="N1046" s="2076"/>
      <c r="P1046" s="4587"/>
    </row>
    <row r="1047" spans="2:16" s="2074" customFormat="1" ht="8.25" customHeight="1" x14ac:dyDescent="0.25">
      <c r="B1047" s="2910"/>
      <c r="C1047" s="3852"/>
      <c r="D1047" s="894"/>
      <c r="E1047" s="1163"/>
      <c r="F1047" s="894"/>
      <c r="G1047" s="878"/>
      <c r="H1047" s="1310"/>
      <c r="I1047" s="1109"/>
      <c r="J1047" s="894"/>
      <c r="K1047" s="2293"/>
      <c r="L1047" s="1312"/>
      <c r="M1047" s="2230"/>
      <c r="N1047" s="2076"/>
      <c r="P1047" s="4587"/>
    </row>
    <row r="1048" spans="2:16" s="2074" customFormat="1" ht="18" customHeight="1" x14ac:dyDescent="0.25">
      <c r="B1048" s="2910"/>
      <c r="C1048" s="4103" t="s">
        <v>4615</v>
      </c>
      <c r="D1048" s="667">
        <f>D1049</f>
        <v>176925000</v>
      </c>
      <c r="E1048" s="1159">
        <f>D1048/D807*100</f>
        <v>0.10699677896908687</v>
      </c>
      <c r="F1048" s="667"/>
      <c r="G1048" s="890"/>
      <c r="H1048" s="1173"/>
      <c r="I1048" s="890"/>
      <c r="J1048" s="667"/>
      <c r="K1048" s="667"/>
      <c r="L1048" s="2320"/>
      <c r="M1048" s="2006"/>
      <c r="N1048" s="2076"/>
      <c r="P1048" s="4587"/>
    </row>
    <row r="1049" spans="2:16" s="2074" customFormat="1" ht="28.5" customHeight="1" x14ac:dyDescent="0.25">
      <c r="B1049" s="2910"/>
      <c r="C1049" s="3876" t="s">
        <v>6347</v>
      </c>
      <c r="D1049" s="666">
        <v>176925000</v>
      </c>
      <c r="E1049" s="1160">
        <f>D1049/D807*100</f>
        <v>0.10699677896908687</v>
      </c>
      <c r="F1049" s="386"/>
      <c r="G1049" s="883"/>
      <c r="H1049" s="1168"/>
      <c r="I1049" s="883"/>
      <c r="J1049" s="1846"/>
      <c r="K1049" s="2293"/>
      <c r="L1049" s="1310"/>
      <c r="M1049" s="2230"/>
      <c r="N1049" s="2076"/>
      <c r="P1049" s="4587"/>
    </row>
    <row r="1050" spans="2:16" s="2074" customFormat="1" ht="9.75" customHeight="1" x14ac:dyDescent="0.25">
      <c r="B1050" s="2910"/>
      <c r="C1050" s="3986"/>
      <c r="D1050" s="894"/>
      <c r="E1050" s="1163"/>
      <c r="F1050" s="894"/>
      <c r="G1050" s="878"/>
      <c r="H1050" s="1310"/>
      <c r="I1050" s="1109"/>
      <c r="J1050" s="894"/>
      <c r="K1050" s="2293"/>
      <c r="L1050" s="1312"/>
      <c r="M1050" s="2230"/>
      <c r="N1050" s="2076"/>
      <c r="P1050" s="4587"/>
    </row>
    <row r="1051" spans="2:16" s="2074" customFormat="1" ht="18.75" customHeight="1" x14ac:dyDescent="0.25">
      <c r="B1051" s="2910"/>
      <c r="C1051" s="3901" t="s">
        <v>6348</v>
      </c>
      <c r="D1051" s="1851">
        <f>SUM(D1052:D1054)</f>
        <v>503949500</v>
      </c>
      <c r="E1051" s="1159">
        <f>D1051/D807*100</f>
        <v>0.30476740575431305</v>
      </c>
      <c r="F1051" s="390"/>
      <c r="G1051" s="890"/>
      <c r="H1051" s="1173"/>
      <c r="I1051" s="890"/>
      <c r="J1051" s="1851"/>
      <c r="K1051" s="1851"/>
      <c r="L1051" s="1308"/>
      <c r="M1051" s="2176"/>
      <c r="N1051" s="2076"/>
      <c r="P1051" s="4587"/>
    </row>
    <row r="1052" spans="2:16" s="2074" customFormat="1" ht="22.5" customHeight="1" x14ac:dyDescent="0.25">
      <c r="B1052" s="2910"/>
      <c r="C1052" s="4106" t="s">
        <v>6349</v>
      </c>
      <c r="D1052" s="1846">
        <v>163716500</v>
      </c>
      <c r="E1052" s="1160">
        <f>D1052/D807*100</f>
        <v>9.9008835179270935E-2</v>
      </c>
      <c r="F1052" s="386"/>
      <c r="G1052" s="883"/>
      <c r="H1052" s="1168"/>
      <c r="I1052" s="883"/>
      <c r="J1052" s="1846"/>
      <c r="K1052" s="2297"/>
      <c r="L1052" s="1310"/>
      <c r="M1052" s="2297"/>
      <c r="N1052" s="2076"/>
      <c r="P1052" s="4587"/>
    </row>
    <row r="1053" spans="2:16" s="2074" customFormat="1" ht="28.5" customHeight="1" x14ac:dyDescent="0.25">
      <c r="B1053" s="2910"/>
      <c r="C1053" s="3876" t="s">
        <v>6350</v>
      </c>
      <c r="D1053" s="666">
        <v>182366500</v>
      </c>
      <c r="E1053" s="1160">
        <f>D1053/D807*100</f>
        <v>0.1102875686978436</v>
      </c>
      <c r="F1053" s="386"/>
      <c r="G1053" s="882"/>
      <c r="H1053" s="2174"/>
      <c r="I1053" s="2295"/>
      <c r="J1053" s="1856"/>
      <c r="K1053" s="2296"/>
      <c r="L1053" s="1323"/>
      <c r="M1053" s="2227"/>
      <c r="N1053" s="2076"/>
      <c r="P1053" s="4587"/>
    </row>
    <row r="1054" spans="2:16" s="2074" customFormat="1" ht="27.75" customHeight="1" x14ac:dyDescent="0.25">
      <c r="B1054" s="2910"/>
      <c r="C1054" s="3876" t="s">
        <v>6351</v>
      </c>
      <c r="D1054" s="666">
        <v>157866500</v>
      </c>
      <c r="E1054" s="1160">
        <f>D1054/D807*100</f>
        <v>9.5471001877198536E-2</v>
      </c>
      <c r="F1054" s="386"/>
      <c r="G1054" s="878"/>
      <c r="H1054" s="880"/>
      <c r="I1054" s="1121"/>
      <c r="J1054" s="1846"/>
      <c r="K1054" s="2293"/>
      <c r="L1054" s="1717"/>
      <c r="M1054" s="2227"/>
      <c r="N1054" s="2076"/>
      <c r="P1054" s="4587"/>
    </row>
    <row r="1055" spans="2:16" s="2074" customFormat="1" ht="11.25" customHeight="1" x14ac:dyDescent="0.25">
      <c r="B1055" s="2910"/>
      <c r="C1055" s="3986"/>
      <c r="D1055" s="1849"/>
      <c r="E1055" s="1053"/>
      <c r="F1055" s="389"/>
      <c r="G1055" s="887"/>
      <c r="H1055" s="2255"/>
      <c r="I1055" s="2339"/>
      <c r="J1055" s="4206"/>
      <c r="K1055" s="2301"/>
      <c r="L1055" s="1703"/>
      <c r="M1055" s="2227"/>
      <c r="N1055" s="2076"/>
      <c r="P1055" s="4587"/>
    </row>
    <row r="1056" spans="2:16" s="2074" customFormat="1" ht="17.25" customHeight="1" x14ac:dyDescent="0.25">
      <c r="B1056" s="2910"/>
      <c r="C1056" s="3878" t="s">
        <v>6352</v>
      </c>
      <c r="D1056" s="1851">
        <f>D1057</f>
        <v>255050000</v>
      </c>
      <c r="E1056" s="1052">
        <f>D1056/D807*100</f>
        <v>0.1542434843920622</v>
      </c>
      <c r="F1056" s="390"/>
      <c r="G1056" s="890"/>
      <c r="H1056" s="1173"/>
      <c r="I1056" s="890"/>
      <c r="J1056" s="1851"/>
      <c r="K1056" s="1851"/>
      <c r="L1056" s="1308"/>
      <c r="M1056" s="2176"/>
      <c r="N1056" s="2076"/>
      <c r="P1056" s="4587"/>
    </row>
    <row r="1057" spans="2:16" s="2074" customFormat="1" ht="18" customHeight="1" x14ac:dyDescent="0.25">
      <c r="B1057" s="2910"/>
      <c r="C1057" s="3908" t="s">
        <v>6353</v>
      </c>
      <c r="D1057" s="1846">
        <v>255050000</v>
      </c>
      <c r="E1057" s="1162">
        <f>D1057/D807*100</f>
        <v>0.1542434843920622</v>
      </c>
      <c r="F1057" s="386"/>
      <c r="G1057" s="878"/>
      <c r="H1057" s="1167"/>
      <c r="I1057" s="878"/>
      <c r="J1057" s="1846"/>
      <c r="K1057" s="2293"/>
      <c r="L1057" s="880"/>
      <c r="M1057" s="2293"/>
      <c r="N1057" s="2076"/>
      <c r="P1057" s="4587"/>
    </row>
    <row r="1058" spans="2:16" s="2074" customFormat="1" ht="12" customHeight="1" x14ac:dyDescent="0.25">
      <c r="B1058" s="2910"/>
      <c r="C1058" s="3908"/>
      <c r="D1058" s="1849"/>
      <c r="E1058" s="1162"/>
      <c r="F1058" s="386"/>
      <c r="G1058" s="878"/>
      <c r="H1058" s="1167"/>
      <c r="I1058" s="878"/>
      <c r="J1058" s="1846"/>
      <c r="K1058" s="2293"/>
      <c r="L1058" s="880"/>
      <c r="M1058" s="2293"/>
      <c r="N1058" s="2076"/>
      <c r="P1058" s="4587"/>
    </row>
    <row r="1059" spans="2:16" s="2070" customFormat="1" ht="18" customHeight="1" x14ac:dyDescent="0.25">
      <c r="B1059" s="4119"/>
      <c r="C1059" s="3911" t="s">
        <v>6354</v>
      </c>
      <c r="D1059" s="1851">
        <f>D1060</f>
        <v>149666500</v>
      </c>
      <c r="E1059" s="1052">
        <f>D1059/D807*100</f>
        <v>9.0511987676003047E-2</v>
      </c>
      <c r="F1059" s="390"/>
      <c r="G1059" s="877"/>
      <c r="H1059" s="1166"/>
      <c r="I1059" s="877"/>
      <c r="J1059" s="1851"/>
      <c r="K1059" s="2176"/>
      <c r="L1059" s="1415"/>
      <c r="M1059" s="2176"/>
      <c r="N1059" s="2077"/>
      <c r="P1059" s="4586"/>
    </row>
    <row r="1060" spans="2:16" s="2074" customFormat="1" ht="18" customHeight="1" x14ac:dyDescent="0.25">
      <c r="B1060" s="2910"/>
      <c r="C1060" s="3908" t="s">
        <v>6355</v>
      </c>
      <c r="D1060" s="1846">
        <v>149666500</v>
      </c>
      <c r="E1060" s="1162">
        <f>D1060/D807*100</f>
        <v>9.0511987676003047E-2</v>
      </c>
      <c r="F1060" s="386"/>
      <c r="G1060" s="878"/>
      <c r="H1060" s="1167"/>
      <c r="I1060" s="878"/>
      <c r="J1060" s="1846"/>
      <c r="K1060" s="2293"/>
      <c r="L1060" s="880"/>
      <c r="M1060" s="2293"/>
      <c r="N1060" s="2076"/>
      <c r="P1060" s="4587"/>
    </row>
    <row r="1061" spans="2:16" s="2074" customFormat="1" ht="9.75" customHeight="1" x14ac:dyDescent="0.25">
      <c r="B1061" s="2910"/>
      <c r="C1061" s="3908"/>
      <c r="D1061" s="1849"/>
      <c r="E1061" s="1162"/>
      <c r="F1061" s="386"/>
      <c r="G1061" s="878"/>
      <c r="H1061" s="1167"/>
      <c r="I1061" s="878"/>
      <c r="J1061" s="1846"/>
      <c r="K1061" s="2293"/>
      <c r="L1061" s="880"/>
      <c r="M1061" s="2293"/>
      <c r="N1061" s="2076"/>
      <c r="P1061" s="4587"/>
    </row>
    <row r="1062" spans="2:16" s="2070" customFormat="1" ht="18" customHeight="1" x14ac:dyDescent="0.25">
      <c r="B1062" s="4119"/>
      <c r="C1062" s="3911" t="s">
        <v>6356</v>
      </c>
      <c r="D1062" s="1851">
        <f>D1063</f>
        <v>139650000</v>
      </c>
      <c r="E1062" s="1052">
        <f>D1062/D807*100</f>
        <v>8.4454430877676873E-2</v>
      </c>
      <c r="F1062" s="390"/>
      <c r="G1062" s="877"/>
      <c r="H1062" s="1166"/>
      <c r="I1062" s="877"/>
      <c r="J1062" s="1851"/>
      <c r="K1062" s="2176"/>
      <c r="L1062" s="1415"/>
      <c r="M1062" s="2176"/>
      <c r="N1062" s="2077"/>
      <c r="P1062" s="4586"/>
    </row>
    <row r="1063" spans="2:16" s="2074" customFormat="1" ht="18" customHeight="1" x14ac:dyDescent="0.25">
      <c r="B1063" s="2910"/>
      <c r="C1063" s="3908" t="s">
        <v>6357</v>
      </c>
      <c r="D1063" s="1846">
        <v>139650000</v>
      </c>
      <c r="E1063" s="1162">
        <f>D1063/D807*100</f>
        <v>8.4454430877676873E-2</v>
      </c>
      <c r="F1063" s="386"/>
      <c r="G1063" s="878"/>
      <c r="H1063" s="1167"/>
      <c r="I1063" s="878"/>
      <c r="J1063" s="1846"/>
      <c r="K1063" s="2293"/>
      <c r="L1063" s="880"/>
      <c r="M1063" s="2293"/>
      <c r="N1063" s="2076"/>
      <c r="P1063" s="4587"/>
    </row>
    <row r="1064" spans="2:16" s="2074" customFormat="1" ht="9.75" customHeight="1" x14ac:dyDescent="0.25">
      <c r="B1064" s="2910"/>
      <c r="C1064" s="3908"/>
      <c r="D1064" s="1849"/>
      <c r="E1064" s="1162"/>
      <c r="F1064" s="386"/>
      <c r="G1064" s="878"/>
      <c r="H1064" s="1167"/>
      <c r="I1064" s="878"/>
      <c r="J1064" s="1846"/>
      <c r="K1064" s="2293"/>
      <c r="L1064" s="880"/>
      <c r="M1064" s="2293"/>
      <c r="N1064" s="2076"/>
      <c r="P1064" s="4587"/>
    </row>
    <row r="1065" spans="2:16" s="2070" customFormat="1" ht="28.5" customHeight="1" x14ac:dyDescent="0.25">
      <c r="B1065" s="4119"/>
      <c r="C1065" s="3911" t="s">
        <v>6358</v>
      </c>
      <c r="D1065" s="673">
        <f>D1066</f>
        <v>203709800</v>
      </c>
      <c r="E1065" s="1052">
        <f>D1065/D807*100</f>
        <v>0.12319509647837723</v>
      </c>
      <c r="F1065" s="390"/>
      <c r="G1065" s="877"/>
      <c r="H1065" s="1166"/>
      <c r="I1065" s="877"/>
      <c r="J1065" s="1851"/>
      <c r="K1065" s="2176"/>
      <c r="L1065" s="1415"/>
      <c r="M1065" s="2176"/>
      <c r="N1065" s="2077"/>
      <c r="P1065" s="4586"/>
    </row>
    <row r="1066" spans="2:16" s="2074" customFormat="1" ht="18" customHeight="1" x14ac:dyDescent="0.25">
      <c r="B1066" s="2910"/>
      <c r="C1066" s="3908" t="s">
        <v>6359</v>
      </c>
      <c r="D1066" s="1846">
        <v>203709800</v>
      </c>
      <c r="E1066" s="1162">
        <f>D1066/D807*100</f>
        <v>0.12319509647837723</v>
      </c>
      <c r="F1066" s="386"/>
      <c r="G1066" s="878"/>
      <c r="H1066" s="1167"/>
      <c r="I1066" s="878"/>
      <c r="J1066" s="1846"/>
      <c r="K1066" s="2293"/>
      <c r="L1066" s="880"/>
      <c r="M1066" s="2293"/>
      <c r="N1066" s="2076"/>
      <c r="P1066" s="4587"/>
    </row>
    <row r="1067" spans="2:16" s="2074" customFormat="1" ht="15" customHeight="1" x14ac:dyDescent="0.25">
      <c r="B1067" s="2910"/>
      <c r="C1067" s="3908"/>
      <c r="D1067" s="1849"/>
      <c r="E1067" s="1162"/>
      <c r="F1067" s="386"/>
      <c r="G1067" s="878"/>
      <c r="H1067" s="1167"/>
      <c r="I1067" s="878"/>
      <c r="J1067" s="1846"/>
      <c r="K1067" s="2293"/>
      <c r="L1067" s="880"/>
      <c r="M1067" s="2293"/>
      <c r="N1067" s="2076"/>
      <c r="P1067" s="4587"/>
    </row>
    <row r="1068" spans="2:16" s="2070" customFormat="1" ht="27.75" customHeight="1" x14ac:dyDescent="0.25">
      <c r="B1068" s="4119"/>
      <c r="C1068" s="3911" t="s">
        <v>6360</v>
      </c>
      <c r="D1068" s="673">
        <f>D1069</f>
        <v>257350000</v>
      </c>
      <c r="E1068" s="1052">
        <f t="shared" ref="E1068:E1069" si="1">D1068/D810*100</f>
        <v>48.102803738317753</v>
      </c>
      <c r="F1068" s="390"/>
      <c r="G1068" s="877"/>
      <c r="H1068" s="1166"/>
      <c r="I1068" s="877"/>
      <c r="J1068" s="1851"/>
      <c r="K1068" s="2176"/>
      <c r="L1068" s="1415"/>
      <c r="M1068" s="2176"/>
      <c r="N1068" s="2077"/>
      <c r="P1068" s="4586"/>
    </row>
    <row r="1069" spans="2:16" s="2074" customFormat="1" ht="15" customHeight="1" x14ac:dyDescent="0.25">
      <c r="B1069" s="2910"/>
      <c r="C1069" s="3908" t="s">
        <v>6361</v>
      </c>
      <c r="D1069" s="1846">
        <v>257350000</v>
      </c>
      <c r="E1069" s="1162">
        <f t="shared" si="1"/>
        <v>48.102803738317753</v>
      </c>
      <c r="F1069" s="386"/>
      <c r="G1069" s="878"/>
      <c r="H1069" s="1167"/>
      <c r="I1069" s="878"/>
      <c r="J1069" s="1846"/>
      <c r="K1069" s="2293"/>
      <c r="L1069" s="880"/>
      <c r="M1069" s="2293"/>
      <c r="N1069" s="2076"/>
      <c r="P1069" s="4587"/>
    </row>
    <row r="1070" spans="2:16" s="2074" customFormat="1" ht="10.5" customHeight="1" x14ac:dyDescent="0.25">
      <c r="B1070" s="2910"/>
      <c r="C1070" s="3908"/>
      <c r="D1070" s="1849" t="s">
        <v>3315</v>
      </c>
      <c r="E1070" s="1162"/>
      <c r="F1070" s="386"/>
      <c r="G1070" s="878"/>
      <c r="H1070" s="1167"/>
      <c r="I1070" s="878"/>
      <c r="J1070" s="1846"/>
      <c r="K1070" s="2293"/>
      <c r="L1070" s="880"/>
      <c r="M1070" s="2293"/>
      <c r="N1070" s="2076"/>
      <c r="P1070" s="4587"/>
    </row>
    <row r="1071" spans="2:16" s="2070" customFormat="1" ht="15.75" customHeight="1" x14ac:dyDescent="0.25">
      <c r="B1071" s="4119"/>
      <c r="C1071" s="3911" t="s">
        <v>6362</v>
      </c>
      <c r="D1071" s="1851">
        <f>D1072</f>
        <v>124750000</v>
      </c>
      <c r="E1071" s="1052">
        <f>D1071/D807*100</f>
        <v>7.5443539219407024E-2</v>
      </c>
      <c r="F1071" s="390"/>
      <c r="G1071" s="877"/>
      <c r="H1071" s="1166"/>
      <c r="I1071" s="877"/>
      <c r="J1071" s="1851"/>
      <c r="K1071" s="2176"/>
      <c r="L1071" s="1415"/>
      <c r="M1071" s="2176"/>
      <c r="N1071" s="2077"/>
      <c r="P1071" s="4586"/>
    </row>
    <row r="1072" spans="2:16" s="2074" customFormat="1" ht="18" customHeight="1" x14ac:dyDescent="0.25">
      <c r="B1072" s="2910"/>
      <c r="C1072" s="3908" t="s">
        <v>6363</v>
      </c>
      <c r="D1072" s="1846">
        <v>124750000</v>
      </c>
      <c r="E1072" s="1162">
        <f>D1072/D807*100</f>
        <v>7.5443539219407024E-2</v>
      </c>
      <c r="F1072" s="386"/>
      <c r="G1072" s="878"/>
      <c r="H1072" s="1167"/>
      <c r="I1072" s="878"/>
      <c r="J1072" s="1846"/>
      <c r="K1072" s="2293"/>
      <c r="L1072" s="880"/>
      <c r="M1072" s="2293"/>
      <c r="N1072" s="2076"/>
      <c r="P1072" s="4587"/>
    </row>
    <row r="1073" spans="2:16" s="2074" customFormat="1" ht="10.5" customHeight="1" x14ac:dyDescent="0.25">
      <c r="B1073" s="2910"/>
      <c r="C1073" s="3908"/>
      <c r="D1073" s="1849"/>
      <c r="E1073" s="1162"/>
      <c r="F1073" s="386"/>
      <c r="G1073" s="878"/>
      <c r="H1073" s="1167"/>
      <c r="I1073" s="878"/>
      <c r="J1073" s="1846"/>
      <c r="K1073" s="2293"/>
      <c r="L1073" s="880"/>
      <c r="M1073" s="2293"/>
      <c r="N1073" s="2076"/>
      <c r="P1073" s="4587"/>
    </row>
    <row r="1074" spans="2:16" s="2070" customFormat="1" ht="27" customHeight="1" x14ac:dyDescent="0.25">
      <c r="B1074" s="4119"/>
      <c r="C1074" s="3911" t="s">
        <v>6364</v>
      </c>
      <c r="D1074" s="673">
        <f>D1075</f>
        <v>66110782</v>
      </c>
      <c r="E1074" s="1052">
        <f>D1074/D807*100</f>
        <v>3.9981013023187718E-2</v>
      </c>
      <c r="F1074" s="390"/>
      <c r="G1074" s="877"/>
      <c r="H1074" s="1166"/>
      <c r="I1074" s="877"/>
      <c r="J1074" s="1851"/>
      <c r="K1074" s="2176"/>
      <c r="L1074" s="1415"/>
      <c r="M1074" s="2176"/>
      <c r="N1074" s="2077"/>
      <c r="P1074" s="4586"/>
    </row>
    <row r="1075" spans="2:16" s="2074" customFormat="1" ht="30" customHeight="1" x14ac:dyDescent="0.25">
      <c r="B1075" s="2910"/>
      <c r="C1075" s="3856" t="s">
        <v>6365</v>
      </c>
      <c r="D1075" s="666">
        <v>66110782</v>
      </c>
      <c r="E1075" s="1162">
        <f>D1075/D807*100</f>
        <v>3.9981013023187718E-2</v>
      </c>
      <c r="F1075" s="958"/>
      <c r="G1075" s="3390"/>
      <c r="H1075" s="4457"/>
      <c r="I1075" s="3390"/>
      <c r="J1075" s="4458"/>
      <c r="K1075" s="4459"/>
      <c r="L1075" s="4459"/>
      <c r="M1075" s="4459"/>
      <c r="N1075" s="2076"/>
      <c r="P1075" s="4587"/>
    </row>
    <row r="1076" spans="2:16" s="2074" customFormat="1" ht="9" customHeight="1" x14ac:dyDescent="0.25">
      <c r="B1076" s="2910"/>
      <c r="C1076" s="3991"/>
      <c r="D1076" s="1849"/>
      <c r="E1076" s="1162"/>
      <c r="F1076" s="839"/>
      <c r="G1076" s="877"/>
      <c r="H1076" s="1166"/>
      <c r="I1076" s="877"/>
      <c r="J1076" s="1988"/>
      <c r="K1076" s="2176"/>
      <c r="L1076" s="2176"/>
      <c r="M1076" s="2176"/>
      <c r="N1076" s="2076"/>
      <c r="P1076" s="4587"/>
    </row>
    <row r="1077" spans="2:16" s="2070" customFormat="1" ht="16.5" customHeight="1" x14ac:dyDescent="0.25">
      <c r="B1077" s="4119"/>
      <c r="C1077" s="4103" t="s">
        <v>6366</v>
      </c>
      <c r="D1077" s="1851">
        <f>D1078</f>
        <v>202753100</v>
      </c>
      <c r="E1077" s="1052">
        <f>D1077/D807*100</f>
        <v>0.12261652466297678</v>
      </c>
      <c r="F1077" s="839"/>
      <c r="G1077" s="877"/>
      <c r="H1077" s="1166"/>
      <c r="I1077" s="877"/>
      <c r="J1077" s="1988"/>
      <c r="K1077" s="2176"/>
      <c r="L1077" s="2176"/>
      <c r="M1077" s="2176"/>
      <c r="N1077" s="2077"/>
      <c r="P1077" s="4586"/>
    </row>
    <row r="1078" spans="2:16" s="2074" customFormat="1" ht="16.5" customHeight="1" x14ac:dyDescent="0.25">
      <c r="B1078" s="2910"/>
      <c r="C1078" s="3856" t="s">
        <v>6367</v>
      </c>
      <c r="D1078" s="1846">
        <v>202753100</v>
      </c>
      <c r="E1078" s="1162">
        <f>D1078/D807*100</f>
        <v>0.12261652466297678</v>
      </c>
      <c r="F1078" s="958"/>
      <c r="G1078" s="3390"/>
      <c r="H1078" s="4457"/>
      <c r="I1078" s="3390"/>
      <c r="J1078" s="4458"/>
      <c r="K1078" s="4459"/>
      <c r="L1078" s="4459"/>
      <c r="M1078" s="4459"/>
      <c r="N1078" s="2076"/>
      <c r="P1078" s="4587"/>
    </row>
    <row r="1079" spans="2:16" s="2074" customFormat="1" ht="12.75" customHeight="1" x14ac:dyDescent="0.25">
      <c r="B1079" s="2910"/>
      <c r="C1079" s="3852"/>
      <c r="D1079" s="4084"/>
      <c r="E1079" s="1051"/>
      <c r="F1079" s="836"/>
      <c r="G1079" s="896"/>
      <c r="H1079" s="2321"/>
      <c r="I1079" s="2322"/>
      <c r="J1079" s="1950"/>
      <c r="K1079" s="2323"/>
      <c r="L1079" s="2324"/>
      <c r="M1079" s="2324"/>
      <c r="N1079" s="2076"/>
      <c r="P1079" s="4587"/>
    </row>
    <row r="1080" spans="2:16" s="2074" customFormat="1" ht="18" customHeight="1" x14ac:dyDescent="0.25">
      <c r="B1080" s="2909"/>
      <c r="C1080" s="3875" t="s">
        <v>6369</v>
      </c>
      <c r="D1080" s="1853">
        <f>D1081+D1084+D1088+D1091+D1094</f>
        <v>3370935635</v>
      </c>
      <c r="E1080" s="1050">
        <f>D1080/D807*100</f>
        <v>2.038599717717188</v>
      </c>
      <c r="F1080" s="388"/>
      <c r="G1080" s="888"/>
      <c r="H1080" s="1075"/>
      <c r="I1080" s="888"/>
      <c r="J1080" s="1853"/>
      <c r="K1080" s="1853"/>
      <c r="L1080" s="1462"/>
      <c r="M1080" s="2325"/>
      <c r="N1080" s="2076"/>
      <c r="P1080" s="4587"/>
    </row>
    <row r="1081" spans="2:16" s="2074" customFormat="1" ht="16.5" customHeight="1" x14ac:dyDescent="0.25">
      <c r="B1081" s="2910"/>
      <c r="C1081" s="3854" t="s">
        <v>6368</v>
      </c>
      <c r="D1081" s="1847">
        <f>D1082</f>
        <v>553000000</v>
      </c>
      <c r="E1081" s="1159">
        <f>D1081/D807*100</f>
        <v>0.33443107966598862</v>
      </c>
      <c r="F1081" s="665"/>
      <c r="G1081" s="890"/>
      <c r="H1081" s="1173"/>
      <c r="I1081" s="890"/>
      <c r="J1081" s="1847"/>
      <c r="K1081" s="1847"/>
      <c r="L1081" s="1308"/>
      <c r="M1081" s="2326"/>
      <c r="N1081" s="2076"/>
      <c r="P1081" s="4587"/>
    </row>
    <row r="1082" spans="2:16" s="2074" customFormat="1" ht="17.25" customHeight="1" x14ac:dyDescent="0.25">
      <c r="B1082" s="2910"/>
      <c r="C1082" s="3856" t="s">
        <v>6370</v>
      </c>
      <c r="D1082" s="666">
        <v>553000000</v>
      </c>
      <c r="E1082" s="1160">
        <f>D1082/D807*100</f>
        <v>0.33443107966598862</v>
      </c>
      <c r="F1082" s="880"/>
      <c r="G1082" s="883"/>
      <c r="H1082" s="1168"/>
      <c r="I1082" s="883"/>
      <c r="J1082" s="666"/>
      <c r="K1082" s="2293"/>
      <c r="L1082" s="1310"/>
      <c r="M1082" s="2327"/>
      <c r="N1082" s="2076"/>
      <c r="P1082" s="4587"/>
    </row>
    <row r="1083" spans="2:16" s="2074" customFormat="1" ht="10.5" customHeight="1" x14ac:dyDescent="0.25">
      <c r="B1083" s="2910"/>
      <c r="C1083" s="4460"/>
      <c r="D1083" s="671"/>
      <c r="E1083" s="1160"/>
      <c r="F1083" s="995"/>
      <c r="G1083" s="887"/>
      <c r="H1083" s="4456"/>
      <c r="I1083" s="3061"/>
      <c r="J1083" s="868"/>
      <c r="K1083" s="2296"/>
      <c r="L1083" s="2174"/>
      <c r="M1083" s="2170"/>
      <c r="N1083" s="2076"/>
      <c r="P1083" s="4587"/>
    </row>
    <row r="1084" spans="2:16" s="2070" customFormat="1" ht="15.75" customHeight="1" x14ac:dyDescent="0.25">
      <c r="B1084" s="4119"/>
      <c r="C1084" s="4103" t="s">
        <v>6371</v>
      </c>
      <c r="D1084" s="673">
        <f>SUM(D1085:D1086)</f>
        <v>623600000</v>
      </c>
      <c r="E1084" s="1159">
        <f>D1084/D807*100</f>
        <v>0.37712698242262299</v>
      </c>
      <c r="F1084" s="1415"/>
      <c r="G1084" s="877"/>
      <c r="H1084" s="1166"/>
      <c r="I1084" s="877"/>
      <c r="J1084" s="673"/>
      <c r="K1084" s="2176"/>
      <c r="L1084" s="1415"/>
      <c r="M1084" s="2169"/>
      <c r="N1084" s="2077"/>
      <c r="P1084" s="4586"/>
    </row>
    <row r="1085" spans="2:16" s="2074" customFormat="1" ht="15.75" customHeight="1" x14ac:dyDescent="0.25">
      <c r="B1085" s="2910"/>
      <c r="C1085" s="3856" t="s">
        <v>6372</v>
      </c>
      <c r="D1085" s="666">
        <v>450000000</v>
      </c>
      <c r="E1085" s="1160">
        <f>D1085/D807*100</f>
        <v>0.27214102323633793</v>
      </c>
      <c r="F1085" s="880"/>
      <c r="G1085" s="878"/>
      <c r="H1085" s="1167"/>
      <c r="I1085" s="878"/>
      <c r="J1085" s="666"/>
      <c r="K1085" s="2293"/>
      <c r="L1085" s="880"/>
      <c r="M1085" s="2170"/>
      <c r="N1085" s="2076"/>
      <c r="P1085" s="4587"/>
    </row>
    <row r="1086" spans="2:16" s="2074" customFormat="1" ht="25.5" customHeight="1" x14ac:dyDescent="0.25">
      <c r="B1086" s="2910"/>
      <c r="C1086" s="3856" t="s">
        <v>6373</v>
      </c>
      <c r="D1086" s="666">
        <v>173600000</v>
      </c>
      <c r="E1086" s="1160">
        <f>D1086/D807*100</f>
        <v>0.10498595918628503</v>
      </c>
      <c r="F1086" s="880"/>
      <c r="G1086" s="878"/>
      <c r="H1086" s="1167"/>
      <c r="I1086" s="878"/>
      <c r="J1086" s="666"/>
      <c r="K1086" s="2293"/>
      <c r="L1086" s="880"/>
      <c r="M1086" s="2170"/>
      <c r="N1086" s="2076"/>
      <c r="P1086" s="4587"/>
    </row>
    <row r="1087" spans="2:16" s="2074" customFormat="1" ht="10.5" customHeight="1" x14ac:dyDescent="0.25">
      <c r="B1087" s="2910"/>
      <c r="C1087" s="3856"/>
      <c r="D1087" s="666"/>
      <c r="E1087" s="1160"/>
      <c r="F1087" s="880"/>
      <c r="G1087" s="878"/>
      <c r="H1087" s="1167"/>
      <c r="I1087" s="878"/>
      <c r="J1087" s="666"/>
      <c r="K1087" s="2293"/>
      <c r="L1087" s="880"/>
      <c r="M1087" s="2170"/>
      <c r="N1087" s="2076"/>
      <c r="P1087" s="4587"/>
    </row>
    <row r="1088" spans="2:16" s="2070" customFormat="1" ht="18" customHeight="1" x14ac:dyDescent="0.25">
      <c r="B1088" s="4119"/>
      <c r="C1088" s="4103" t="s">
        <v>6374</v>
      </c>
      <c r="D1088" s="673">
        <f>D1089</f>
        <v>279050000</v>
      </c>
      <c r="E1088" s="1159">
        <f>D1088/D807*100</f>
        <v>0.16875767229800023</v>
      </c>
      <c r="F1088" s="1415"/>
      <c r="G1088" s="877"/>
      <c r="H1088" s="1166"/>
      <c r="I1088" s="877"/>
      <c r="J1088" s="673"/>
      <c r="K1088" s="2176"/>
      <c r="L1088" s="1415"/>
      <c r="M1088" s="2169"/>
      <c r="N1088" s="2077"/>
      <c r="P1088" s="4586"/>
    </row>
    <row r="1089" spans="1:16" s="2074" customFormat="1" ht="17.25" customHeight="1" x14ac:dyDescent="0.25">
      <c r="B1089" s="2910"/>
      <c r="C1089" s="3856" t="s">
        <v>6375</v>
      </c>
      <c r="D1089" s="666">
        <v>279050000</v>
      </c>
      <c r="E1089" s="1160">
        <f>D1089/D807*100</f>
        <v>0.16875767229800023</v>
      </c>
      <c r="F1089" s="880"/>
      <c r="G1089" s="878"/>
      <c r="H1089" s="1167"/>
      <c r="I1089" s="878"/>
      <c r="J1089" s="666"/>
      <c r="K1089" s="2293"/>
      <c r="L1089" s="880"/>
      <c r="M1089" s="2170"/>
      <c r="N1089" s="2076"/>
      <c r="P1089" s="4587"/>
    </row>
    <row r="1090" spans="1:16" s="2074" customFormat="1" ht="12.75" customHeight="1" x14ac:dyDescent="0.25">
      <c r="B1090" s="2910"/>
      <c r="C1090" s="3856"/>
      <c r="D1090" s="666"/>
      <c r="E1090" s="1160"/>
      <c r="F1090" s="880"/>
      <c r="G1090" s="878"/>
      <c r="H1090" s="1167"/>
      <c r="I1090" s="878"/>
      <c r="J1090" s="666"/>
      <c r="K1090" s="2293"/>
      <c r="L1090" s="880"/>
      <c r="M1090" s="2170"/>
      <c r="N1090" s="2076"/>
      <c r="P1090" s="4587"/>
    </row>
    <row r="1091" spans="1:16" s="2070" customFormat="1" ht="27" customHeight="1" x14ac:dyDescent="0.25">
      <c r="B1091" s="4119"/>
      <c r="C1091" s="4103" t="s">
        <v>6376</v>
      </c>
      <c r="D1091" s="673">
        <f>D1092</f>
        <v>519737635</v>
      </c>
      <c r="E1091" s="1159">
        <f>D1091/D807*100</f>
        <v>0.31431540400740959</v>
      </c>
      <c r="F1091" s="1415"/>
      <c r="G1091" s="877"/>
      <c r="H1091" s="1166"/>
      <c r="I1091" s="877"/>
      <c r="J1091" s="673"/>
      <c r="K1091" s="2176"/>
      <c r="L1091" s="1415"/>
      <c r="M1091" s="2169"/>
      <c r="N1091" s="2077"/>
      <c r="P1091" s="4586"/>
    </row>
    <row r="1092" spans="1:16" s="2074" customFormat="1" ht="18" customHeight="1" x14ac:dyDescent="0.25">
      <c r="B1092" s="2910"/>
      <c r="C1092" s="3856" t="s">
        <v>6377</v>
      </c>
      <c r="D1092" s="666">
        <v>519737635</v>
      </c>
      <c r="E1092" s="1160">
        <f>D1092/D807*100</f>
        <v>0.31431540400740959</v>
      </c>
      <c r="F1092" s="880"/>
      <c r="G1092" s="878"/>
      <c r="H1092" s="1167"/>
      <c r="I1092" s="878"/>
      <c r="J1092" s="666"/>
      <c r="K1092" s="2293"/>
      <c r="L1092" s="880"/>
      <c r="M1092" s="2170"/>
      <c r="N1092" s="2076"/>
      <c r="P1092" s="4587"/>
    </row>
    <row r="1093" spans="1:16" s="2074" customFormat="1" ht="11.25" customHeight="1" x14ac:dyDescent="0.25">
      <c r="B1093" s="2910"/>
      <c r="C1093" s="3856"/>
      <c r="D1093" s="666"/>
      <c r="E1093" s="1160"/>
      <c r="F1093" s="880"/>
      <c r="G1093" s="878"/>
      <c r="H1093" s="1167"/>
      <c r="I1093" s="878"/>
      <c r="J1093" s="666"/>
      <c r="K1093" s="2293"/>
      <c r="L1093" s="880"/>
      <c r="M1093" s="2170"/>
      <c r="N1093" s="2076"/>
      <c r="P1093" s="4587"/>
    </row>
    <row r="1094" spans="1:16" s="2070" customFormat="1" ht="17.25" customHeight="1" x14ac:dyDescent="0.25">
      <c r="B1094" s="4119"/>
      <c r="C1094" s="4103" t="s">
        <v>6378</v>
      </c>
      <c r="D1094" s="673">
        <f>D1095</f>
        <v>1395548000</v>
      </c>
      <c r="E1094" s="1159">
        <f>D1094/D807*100</f>
        <v>0.84396857932316649</v>
      </c>
      <c r="F1094" s="1415"/>
      <c r="G1094" s="877"/>
      <c r="H1094" s="1166"/>
      <c r="I1094" s="877"/>
      <c r="J1094" s="673"/>
      <c r="K1094" s="2176"/>
      <c r="L1094" s="1415"/>
      <c r="M1094" s="2169"/>
      <c r="N1094" s="2077"/>
      <c r="P1094" s="4586"/>
    </row>
    <row r="1095" spans="1:16" s="2074" customFormat="1" ht="15.75" customHeight="1" x14ac:dyDescent="0.25">
      <c r="B1095" s="2910"/>
      <c r="C1095" s="3856" t="s">
        <v>6379</v>
      </c>
      <c r="D1095" s="666">
        <v>1395548000</v>
      </c>
      <c r="E1095" s="1160">
        <f>D1095/D807*100</f>
        <v>0.84396857932316649</v>
      </c>
      <c r="F1095" s="880"/>
      <c r="G1095" s="878"/>
      <c r="H1095" s="1167"/>
      <c r="I1095" s="878"/>
      <c r="J1095" s="666"/>
      <c r="K1095" s="2293"/>
      <c r="L1095" s="880"/>
      <c r="M1095" s="2170"/>
      <c r="N1095" s="2076"/>
      <c r="P1095" s="4587"/>
    </row>
    <row r="1096" spans="1:16" s="266" customFormat="1" ht="12" customHeight="1" x14ac:dyDescent="0.25">
      <c r="A1096" s="353"/>
      <c r="B1096" s="2910"/>
      <c r="C1096" s="3897"/>
      <c r="D1096" s="671"/>
      <c r="E1096" s="4461"/>
      <c r="F1096" s="3540"/>
      <c r="G1096" s="893"/>
      <c r="H1096" s="3358"/>
      <c r="I1096" s="4462"/>
      <c r="J1096" s="4463"/>
      <c r="K1096" s="4464"/>
      <c r="L1096" s="3474"/>
      <c r="M1096" s="2333"/>
      <c r="N1096" s="354"/>
      <c r="P1096" s="4596"/>
    </row>
    <row r="1097" spans="1:16" s="2074" customFormat="1" ht="16.5" customHeight="1" x14ac:dyDescent="0.25">
      <c r="B1097" s="2909"/>
      <c r="C1097" s="3906" t="s">
        <v>6380</v>
      </c>
      <c r="D1097" s="669">
        <f>D1098</f>
        <v>2532243470</v>
      </c>
      <c r="E1097" s="1050">
        <f>D1097/D807*100</f>
        <v>1.5313940644651889</v>
      </c>
      <c r="F1097" s="832"/>
      <c r="G1097" s="832"/>
      <c r="H1097" s="1075"/>
      <c r="I1097" s="888"/>
      <c r="J1097" s="1813"/>
      <c r="K1097" s="1813"/>
      <c r="L1097" s="1462"/>
      <c r="M1097" s="2066"/>
      <c r="N1097" s="2076"/>
      <c r="P1097" s="4587"/>
    </row>
    <row r="1098" spans="1:16" s="2074" customFormat="1" ht="18" customHeight="1" x14ac:dyDescent="0.25">
      <c r="B1098" s="2910"/>
      <c r="C1098" s="3907" t="s">
        <v>6381</v>
      </c>
      <c r="D1098" s="1847">
        <f>SUM(D1099:D1100)</f>
        <v>2532243470</v>
      </c>
      <c r="E1098" s="1051">
        <f>D1098/D807*100</f>
        <v>1.5313940644651889</v>
      </c>
      <c r="F1098" s="665"/>
      <c r="G1098" s="890"/>
      <c r="H1098" s="1173"/>
      <c r="I1098" s="890"/>
      <c r="J1098" s="1847"/>
      <c r="K1098" s="1847"/>
      <c r="L1098" s="1308"/>
      <c r="M1098" s="2308"/>
      <c r="N1098" s="2076"/>
      <c r="P1098" s="4587"/>
    </row>
    <row r="1099" spans="1:16" s="2074" customFormat="1" ht="14.25" customHeight="1" x14ac:dyDescent="0.25">
      <c r="B1099" s="2910"/>
      <c r="C1099" s="3874" t="s">
        <v>6382</v>
      </c>
      <c r="D1099" s="666">
        <v>1530668081</v>
      </c>
      <c r="E1099" s="1160">
        <f>D1099/D807*100</f>
        <v>0.92568350621898177</v>
      </c>
      <c r="F1099" s="880"/>
      <c r="G1099" s="883"/>
      <c r="H1099" s="1168"/>
      <c r="I1099" s="883"/>
      <c r="J1099" s="666"/>
      <c r="K1099" s="2297"/>
      <c r="L1099" s="1310"/>
      <c r="M1099" s="2306"/>
      <c r="N1099" s="2076"/>
      <c r="P1099" s="4587"/>
    </row>
    <row r="1100" spans="1:16" s="2074" customFormat="1" ht="18" customHeight="1" x14ac:dyDescent="0.25">
      <c r="B1100" s="2910"/>
      <c r="C1100" s="3856" t="s">
        <v>6383</v>
      </c>
      <c r="D1100" s="666">
        <v>1001575389</v>
      </c>
      <c r="E1100" s="1160">
        <f>D1100/D807*100</f>
        <v>0.60571055824620723</v>
      </c>
      <c r="F1100" s="880"/>
      <c r="G1100" s="883"/>
      <c r="H1100" s="1168"/>
      <c r="I1100" s="883"/>
      <c r="J1100" s="666"/>
      <c r="K1100" s="883"/>
      <c r="L1100" s="1168"/>
      <c r="M1100" s="883"/>
      <c r="N1100" s="2076"/>
      <c r="P1100" s="4587"/>
    </row>
    <row r="1101" spans="1:16" ht="12" customHeight="1" x14ac:dyDescent="0.25">
      <c r="B1101" s="1242"/>
      <c r="D1101" s="868"/>
      <c r="E1101" s="1158"/>
      <c r="F1101" s="660"/>
      <c r="G1101" s="882"/>
      <c r="H1101" s="2234"/>
      <c r="I1101" s="2295"/>
      <c r="J1101" s="781"/>
      <c r="K1101" s="2296"/>
      <c r="L1101" s="2175"/>
      <c r="M1101" s="2227"/>
      <c r="N1101" s="535"/>
    </row>
    <row r="1102" spans="1:16" s="1639" customFormat="1" ht="16.5" customHeight="1" x14ac:dyDescent="0.25">
      <c r="A1102" s="1637"/>
      <c r="B1102" s="1305"/>
      <c r="C1102" s="3906" t="s">
        <v>5016</v>
      </c>
      <c r="D1102" s="669">
        <f>SUM(D1103+D1107+D1111+D1115+D1119)</f>
        <v>3560433676</v>
      </c>
      <c r="E1102" s="1050">
        <f>D1102/D807*100</f>
        <v>2.1532001416705695</v>
      </c>
      <c r="F1102" s="832"/>
      <c r="G1102" s="900"/>
      <c r="H1102" s="1462"/>
      <c r="I1102" s="888"/>
      <c r="J1102" s="1813"/>
      <c r="K1102" s="1813"/>
      <c r="L1102" s="1462"/>
      <c r="M1102" s="2066"/>
      <c r="N1102" s="1638"/>
      <c r="P1102" s="4588"/>
    </row>
    <row r="1103" spans="1:16" s="1639" customFormat="1" ht="16.5" customHeight="1" x14ac:dyDescent="0.25">
      <c r="A1103" s="1637"/>
      <c r="B1103" s="1242"/>
      <c r="C1103" s="3901" t="s">
        <v>5017</v>
      </c>
      <c r="D1103" s="1847">
        <f>SUM(D1104:D1105)</f>
        <v>918755000</v>
      </c>
      <c r="E1103" s="1159">
        <f>D1103/D807*100</f>
        <v>0.55562427956333704</v>
      </c>
      <c r="F1103" s="665"/>
      <c r="G1103" s="901"/>
      <c r="H1103" s="1661"/>
      <c r="I1103" s="1110"/>
      <c r="J1103" s="1847"/>
      <c r="K1103" s="1847"/>
      <c r="L1103" s="1308"/>
      <c r="M1103" s="2006"/>
      <c r="N1103" s="1638"/>
      <c r="P1103" s="4588"/>
    </row>
    <row r="1104" spans="1:16" s="1639" customFormat="1" ht="15.75" customHeight="1" x14ac:dyDescent="0.25">
      <c r="A1104" s="1637"/>
      <c r="B1104" s="1242"/>
      <c r="C1104" s="3902" t="s">
        <v>6384</v>
      </c>
      <c r="D1104" s="1846">
        <v>243745000</v>
      </c>
      <c r="E1104" s="1160">
        <f>D1104/D807*100</f>
        <v>0.14740669713053597</v>
      </c>
      <c r="F1104" s="386"/>
      <c r="G1104" s="608"/>
      <c r="H1104" s="1310"/>
      <c r="I1104" s="1109"/>
      <c r="J1104" s="1846"/>
      <c r="K1104" s="2293"/>
      <c r="L1104" s="1310"/>
      <c r="M1104" s="2230"/>
      <c r="N1104" s="1638"/>
      <c r="P1104" s="4588"/>
    </row>
    <row r="1105" spans="1:16" s="2080" customFormat="1" ht="15.75" customHeight="1" x14ac:dyDescent="0.25">
      <c r="A1105" s="2074"/>
      <c r="B1105" s="2910"/>
      <c r="C1105" s="4111" t="s">
        <v>6385</v>
      </c>
      <c r="D1105" s="1856">
        <v>675010000</v>
      </c>
      <c r="E1105" s="1160">
        <f>D1105/D807*100</f>
        <v>0.4082175824328011</v>
      </c>
      <c r="F1105" s="668"/>
      <c r="G1105" s="608"/>
      <c r="H1105" s="1310"/>
      <c r="I1105" s="4467"/>
      <c r="J1105" s="1846"/>
      <c r="K1105" s="4459"/>
      <c r="L1105" s="4468"/>
      <c r="M1105" s="2230"/>
      <c r="N1105" s="2076"/>
      <c r="P1105" s="4598"/>
    </row>
    <row r="1106" spans="1:16" s="1639" customFormat="1" ht="10.5" customHeight="1" x14ac:dyDescent="0.25">
      <c r="A1106" s="1637"/>
      <c r="B1106" s="4119"/>
      <c r="C1106" s="3991"/>
      <c r="D1106" s="1849"/>
      <c r="E1106" s="1052"/>
      <c r="F1106" s="389"/>
      <c r="G1106" s="4465"/>
      <c r="H1106" s="2303"/>
      <c r="I1106" s="4466"/>
      <c r="J1106" s="4084"/>
      <c r="K1106" s="2323"/>
      <c r="L1106" s="1659"/>
      <c r="M1106" s="2230"/>
      <c r="N1106" s="1638"/>
      <c r="P1106" s="4588"/>
    </row>
    <row r="1107" spans="1:16" s="1639" customFormat="1" ht="16.5" customHeight="1" x14ac:dyDescent="0.25">
      <c r="A1107" s="1637"/>
      <c r="B1107" s="1242"/>
      <c r="C1107" s="4103" t="s">
        <v>6386</v>
      </c>
      <c r="D1107" s="1851">
        <f>SUM(D1108:D1109)</f>
        <v>687850000</v>
      </c>
      <c r="E1107" s="1052">
        <f>D1107/D807*100</f>
        <v>0.41598267296247793</v>
      </c>
      <c r="F1107" s="390"/>
      <c r="G1107" s="890"/>
      <c r="H1107" s="1173"/>
      <c r="I1107" s="890"/>
      <c r="J1107" s="1847"/>
      <c r="K1107" s="1847"/>
      <c r="L1107" s="1308"/>
      <c r="M1107" s="2006"/>
      <c r="N1107" s="1638"/>
      <c r="P1107" s="4588"/>
    </row>
    <row r="1108" spans="1:16" s="1639" customFormat="1" ht="14.25" customHeight="1" x14ac:dyDescent="0.25">
      <c r="A1108" s="1637"/>
      <c r="B1108" s="1242"/>
      <c r="C1108" s="3908" t="s">
        <v>6387</v>
      </c>
      <c r="D1108" s="1846">
        <v>434100000</v>
      </c>
      <c r="E1108" s="1162">
        <f>D1108/D807*100</f>
        <v>0.26252537374865398</v>
      </c>
      <c r="F1108" s="386"/>
      <c r="G1108" s="883"/>
      <c r="H1108" s="1168"/>
      <c r="I1108" s="883"/>
      <c r="J1108" s="1852"/>
      <c r="K1108" s="2293"/>
      <c r="L1108" s="1310"/>
      <c r="M1108" s="2230"/>
      <c r="N1108" s="1638"/>
      <c r="P1108" s="4588"/>
    </row>
    <row r="1109" spans="1:16" s="2080" customFormat="1" ht="15" customHeight="1" x14ac:dyDescent="0.25">
      <c r="A1109" s="2074"/>
      <c r="B1109" s="2910"/>
      <c r="C1109" s="3856" t="s">
        <v>6388</v>
      </c>
      <c r="D1109" s="666">
        <v>253750000</v>
      </c>
      <c r="E1109" s="1162">
        <f>D1109/D807*100</f>
        <v>0.15345729921382389</v>
      </c>
      <c r="F1109" s="666"/>
      <c r="G1109" s="608"/>
      <c r="H1109" s="1310"/>
      <c r="I1109" s="4467"/>
      <c r="J1109" s="666"/>
      <c r="K1109" s="1951"/>
      <c r="L1109" s="4468"/>
      <c r="M1109" s="2230"/>
      <c r="N1109" s="2076"/>
      <c r="P1109" s="4598"/>
    </row>
    <row r="1110" spans="1:16" s="1639" customFormat="1" ht="9" customHeight="1" x14ac:dyDescent="0.25">
      <c r="A1110" s="1637"/>
      <c r="B1110" s="4119"/>
      <c r="C1110" s="3852"/>
      <c r="D1110" s="969"/>
      <c r="E1110" s="1159"/>
      <c r="F1110" s="969"/>
      <c r="G1110" s="676"/>
      <c r="H1110" s="1310"/>
      <c r="I1110" s="4469"/>
      <c r="J1110" s="969"/>
      <c r="K1110" s="2340"/>
      <c r="L1110" s="1659"/>
      <c r="M1110" s="2230"/>
      <c r="N1110" s="1638"/>
      <c r="P1110" s="4588"/>
    </row>
    <row r="1111" spans="1:16" s="1639" customFormat="1" ht="16.5" customHeight="1" x14ac:dyDescent="0.25">
      <c r="A1111" s="1637"/>
      <c r="B1111" s="1242"/>
      <c r="C1111" s="3855" t="s">
        <v>6389</v>
      </c>
      <c r="D1111" s="1847">
        <f>SUM(D1112:D1113)</f>
        <v>663001176</v>
      </c>
      <c r="E1111" s="1159">
        <f>D1111/D807*100</f>
        <v>0.40095515209674532</v>
      </c>
      <c r="F1111" s="665"/>
      <c r="G1111" s="902"/>
      <c r="H1111" s="1308"/>
      <c r="I1111" s="1110"/>
      <c r="J1111" s="1847"/>
      <c r="K1111" s="1847"/>
      <c r="L1111" s="1308"/>
      <c r="M1111" s="2006"/>
      <c r="N1111" s="1638"/>
      <c r="P1111" s="4588"/>
    </row>
    <row r="1112" spans="1:16" s="1639" customFormat="1" ht="16.5" customHeight="1" x14ac:dyDescent="0.25">
      <c r="A1112" s="1637"/>
      <c r="B1112" s="1242"/>
      <c r="C1112" s="3876" t="s">
        <v>6390</v>
      </c>
      <c r="D1112" s="1846">
        <v>410211616</v>
      </c>
      <c r="E1112" s="1160">
        <f>D1112/D807*100</f>
        <v>0.24807868649260384</v>
      </c>
      <c r="F1112" s="386"/>
      <c r="G1112" s="608"/>
      <c r="H1112" s="1310"/>
      <c r="I1112" s="1109"/>
      <c r="J1112" s="1846"/>
      <c r="K1112" s="2293"/>
      <c r="L1112" s="1310"/>
      <c r="M1112" s="2230"/>
      <c r="N1112" s="1638"/>
      <c r="P1112" s="4588"/>
    </row>
    <row r="1113" spans="1:16" ht="15" customHeight="1" x14ac:dyDescent="0.25">
      <c r="B1113" s="1242"/>
      <c r="C1113" s="4104" t="s">
        <v>6391</v>
      </c>
      <c r="D1113" s="666">
        <v>252789560</v>
      </c>
      <c r="E1113" s="1160">
        <f>D1113/D807*100</f>
        <v>0.15287646560414142</v>
      </c>
      <c r="F1113" s="838"/>
      <c r="G1113" s="878"/>
      <c r="H1113" s="1463"/>
      <c r="I1113" s="1121"/>
      <c r="J1113" s="1951"/>
      <c r="K1113" s="2293"/>
      <c r="L1113" s="1315"/>
      <c r="M1113" s="2338"/>
      <c r="N1113" s="535"/>
    </row>
    <row r="1114" spans="1:16" s="4099" customFormat="1" ht="12" customHeight="1" x14ac:dyDescent="0.25">
      <c r="A1114" s="4101"/>
      <c r="B1114" s="4119"/>
      <c r="C1114" s="4104"/>
      <c r="D1114" s="666"/>
      <c r="E1114" s="1160"/>
      <c r="F1114" s="838"/>
      <c r="G1114" s="878"/>
      <c r="H1114" s="1463"/>
      <c r="I1114" s="1121"/>
      <c r="J1114" s="1951"/>
      <c r="K1114" s="2293"/>
      <c r="L1114" s="1315"/>
      <c r="M1114" s="2338"/>
      <c r="N1114" s="4109"/>
      <c r="P1114" s="500"/>
    </row>
    <row r="1115" spans="1:16" s="3598" customFormat="1" ht="19.5" customHeight="1" x14ac:dyDescent="0.25">
      <c r="A1115" s="3588"/>
      <c r="B1115" s="4119"/>
      <c r="C1115" s="4116" t="s">
        <v>6392</v>
      </c>
      <c r="D1115" s="673">
        <f>SUM(D1116:D1117)</f>
        <v>765335000</v>
      </c>
      <c r="E1115" s="1159">
        <f>D1115/D807*100</f>
        <v>0.46284233337462821</v>
      </c>
      <c r="F1115" s="839"/>
      <c r="G1115" s="877"/>
      <c r="H1115" s="1415"/>
      <c r="I1115" s="1118"/>
      <c r="J1115" s="1988"/>
      <c r="K1115" s="2176"/>
      <c r="L1115" s="2261"/>
      <c r="M1115" s="2484"/>
      <c r="N1115" s="3592"/>
      <c r="P1115" s="4592"/>
    </row>
    <row r="1116" spans="1:16" s="4099" customFormat="1" ht="25.5" customHeight="1" x14ac:dyDescent="0.25">
      <c r="A1116" s="4101"/>
      <c r="B1116" s="4119"/>
      <c r="C1116" s="4104" t="s">
        <v>6393</v>
      </c>
      <c r="D1116" s="666">
        <v>254350000</v>
      </c>
      <c r="E1116" s="1160">
        <f>D1116/D807*100</f>
        <v>0.15382015391147236</v>
      </c>
      <c r="F1116" s="838"/>
      <c r="G1116" s="878"/>
      <c r="H1116" s="1463"/>
      <c r="I1116" s="1121"/>
      <c r="J1116" s="1951"/>
      <c r="K1116" s="2293"/>
      <c r="L1116" s="1315"/>
      <c r="M1116" s="2338"/>
      <c r="N1116" s="4109"/>
      <c r="P1116" s="500"/>
    </row>
    <row r="1117" spans="1:16" s="4099" customFormat="1" ht="15.75" customHeight="1" x14ac:dyDescent="0.25">
      <c r="A1117" s="4101"/>
      <c r="B1117" s="4119"/>
      <c r="C1117" s="4104" t="s">
        <v>6394</v>
      </c>
      <c r="D1117" s="666">
        <v>510985000</v>
      </c>
      <c r="E1117" s="1160">
        <f>D1117/D807*100</f>
        <v>0.30902217946315585</v>
      </c>
      <c r="F1117" s="838"/>
      <c r="G1117" s="878"/>
      <c r="H1117" s="1463"/>
      <c r="I1117" s="1121"/>
      <c r="J1117" s="1951"/>
      <c r="K1117" s="2293"/>
      <c r="L1117" s="1315"/>
      <c r="M1117" s="2338"/>
      <c r="N1117" s="4109"/>
      <c r="P1117" s="500"/>
    </row>
    <row r="1118" spans="1:16" s="4099" customFormat="1" ht="12" customHeight="1" x14ac:dyDescent="0.25">
      <c r="A1118" s="4101"/>
      <c r="B1118" s="4119"/>
      <c r="C1118" s="4104"/>
      <c r="D1118" s="666"/>
      <c r="E1118" s="1160"/>
      <c r="F1118" s="838"/>
      <c r="G1118" s="878"/>
      <c r="H1118" s="1463"/>
      <c r="I1118" s="1121"/>
      <c r="J1118" s="1951"/>
      <c r="K1118" s="2293"/>
      <c r="L1118" s="1315"/>
      <c r="M1118" s="2338"/>
      <c r="N1118" s="4109"/>
      <c r="P1118" s="500"/>
    </row>
    <row r="1119" spans="1:16" s="3598" customFormat="1" ht="17.25" customHeight="1" x14ac:dyDescent="0.25">
      <c r="A1119" s="3588"/>
      <c r="B1119" s="4119"/>
      <c r="C1119" s="4116" t="s">
        <v>6395</v>
      </c>
      <c r="D1119" s="673">
        <f>D1120</f>
        <v>525492500</v>
      </c>
      <c r="E1119" s="1159">
        <f>D1119/D807*100</f>
        <v>0.31779570367338067</v>
      </c>
      <c r="F1119" s="839"/>
      <c r="G1119" s="877"/>
      <c r="H1119" s="1415"/>
      <c r="I1119" s="1118"/>
      <c r="J1119" s="1988"/>
      <c r="K1119" s="2176"/>
      <c r="L1119" s="2261"/>
      <c r="M1119" s="2484"/>
      <c r="N1119" s="3592"/>
      <c r="P1119" s="4592"/>
    </row>
    <row r="1120" spans="1:16" s="4099" customFormat="1" ht="25.5" customHeight="1" x14ac:dyDescent="0.25">
      <c r="A1120" s="4101"/>
      <c r="B1120" s="4119"/>
      <c r="C1120" s="4104" t="s">
        <v>6396</v>
      </c>
      <c r="D1120" s="666">
        <v>525492500</v>
      </c>
      <c r="E1120" s="1160">
        <f>D1120/D807*100</f>
        <v>0.31779570367338067</v>
      </c>
      <c r="F1120" s="838"/>
      <c r="G1120" s="878"/>
      <c r="H1120" s="1463"/>
      <c r="I1120" s="1121"/>
      <c r="J1120" s="1951"/>
      <c r="K1120" s="2293"/>
      <c r="L1120" s="1315"/>
      <c r="M1120" s="2338"/>
      <c r="N1120" s="4109"/>
      <c r="P1120" s="500"/>
    </row>
    <row r="1121" spans="1:16" s="4099" customFormat="1" ht="12" customHeight="1" x14ac:dyDescent="0.25">
      <c r="A1121" s="4101"/>
      <c r="B1121" s="4119"/>
      <c r="C1121" s="4117"/>
      <c r="D1121" s="671"/>
      <c r="E1121" s="1164"/>
      <c r="F1121" s="840"/>
      <c r="G1121" s="887"/>
      <c r="H1121" s="2346"/>
      <c r="I1121" s="2339"/>
      <c r="J1121" s="2340"/>
      <c r="K1121" s="2301"/>
      <c r="L1121" s="2182"/>
      <c r="M1121" s="2302"/>
      <c r="N1121" s="4109"/>
      <c r="P1121" s="500"/>
    </row>
    <row r="1122" spans="1:16" s="1639" customFormat="1" ht="16.5" customHeight="1" x14ac:dyDescent="0.25">
      <c r="A1122" s="1637"/>
      <c r="B1122" s="1305"/>
      <c r="C1122" s="3906" t="s">
        <v>3333</v>
      </c>
      <c r="D1122" s="669">
        <f>SUM(D1123+D1126+D1129)</f>
        <v>6416506810</v>
      </c>
      <c r="E1122" s="1050">
        <f>D1122/D807*100</f>
        <v>3.8804327308362905</v>
      </c>
      <c r="F1122" s="832"/>
      <c r="G1122" s="888"/>
      <c r="H1122" s="1075"/>
      <c r="I1122" s="888"/>
      <c r="J1122" s="1813"/>
      <c r="K1122" s="1813"/>
      <c r="L1122" s="1462"/>
      <c r="M1122" s="2066"/>
      <c r="N1122" s="1638"/>
      <c r="P1122" s="4588"/>
    </row>
    <row r="1123" spans="1:16" s="1639" customFormat="1" ht="16.5" customHeight="1" x14ac:dyDescent="0.25">
      <c r="A1123" s="1637"/>
      <c r="B1123" s="1242"/>
      <c r="C1123" s="3854" t="s">
        <v>775</v>
      </c>
      <c r="D1123" s="1847">
        <f>D1124</f>
        <v>2103150200</v>
      </c>
      <c r="E1123" s="1159">
        <f>D1123/D807*100</f>
        <v>1.2718965498837973</v>
      </c>
      <c r="F1123" s="665"/>
      <c r="G1123" s="890"/>
      <c r="H1123" s="1173"/>
      <c r="I1123" s="890"/>
      <c r="J1123" s="1847"/>
      <c r="K1123" s="1847"/>
      <c r="L1123" s="1308"/>
      <c r="M1123" s="2318"/>
      <c r="N1123" s="1638"/>
      <c r="P1123" s="4588"/>
    </row>
    <row r="1124" spans="1:16" s="1639" customFormat="1" ht="16.5" customHeight="1" x14ac:dyDescent="0.25">
      <c r="A1124" s="1637"/>
      <c r="B1124" s="1242"/>
      <c r="C1124" s="3876" t="s">
        <v>6397</v>
      </c>
      <c r="D1124" s="1846">
        <v>2103150200</v>
      </c>
      <c r="E1124" s="1161">
        <f>D1124/D807*100</f>
        <v>1.2718965498837973</v>
      </c>
      <c r="F1124" s="386"/>
      <c r="G1124" s="883"/>
      <c r="H1124" s="1168"/>
      <c r="I1124" s="883"/>
      <c r="J1124" s="1846"/>
      <c r="K1124" s="2293"/>
      <c r="L1124" s="1310"/>
      <c r="M1124" s="2293"/>
      <c r="N1124" s="1638"/>
      <c r="P1124" s="4588"/>
    </row>
    <row r="1125" spans="1:16" s="1639" customFormat="1" ht="9.75" customHeight="1" x14ac:dyDescent="0.25">
      <c r="A1125" s="1637"/>
      <c r="B1125" s="1242"/>
      <c r="C1125" s="3986"/>
      <c r="D1125" s="1849"/>
      <c r="E1125" s="1161"/>
      <c r="F1125" s="389"/>
      <c r="G1125" s="878"/>
      <c r="H1125" s="1167"/>
      <c r="I1125" s="878"/>
      <c r="J1125" s="1849"/>
      <c r="K1125" s="2293"/>
      <c r="L1125" s="2293"/>
      <c r="M1125" s="2293"/>
      <c r="N1125" s="1638"/>
      <c r="P1125" s="4588"/>
    </row>
    <row r="1126" spans="1:16" s="1639" customFormat="1" ht="15" customHeight="1" x14ac:dyDescent="0.25">
      <c r="A1126" s="1637"/>
      <c r="B1126" s="1242"/>
      <c r="C1126" s="3854" t="s">
        <v>6398</v>
      </c>
      <c r="D1126" s="667">
        <f>D1127</f>
        <v>2234444600</v>
      </c>
      <c r="E1126" s="1052">
        <f>D1126/D809*100</f>
        <v>6.8028475474936343</v>
      </c>
      <c r="F1126" s="667"/>
      <c r="G1126" s="890"/>
      <c r="H1126" s="1173"/>
      <c r="I1126" s="890"/>
      <c r="J1126" s="667"/>
      <c r="K1126" s="667"/>
      <c r="L1126" s="1308"/>
      <c r="M1126" s="2006"/>
      <c r="N1126" s="1638"/>
      <c r="P1126" s="4588"/>
    </row>
    <row r="1127" spans="1:16" s="1639" customFormat="1" ht="16.5" customHeight="1" x14ac:dyDescent="0.25">
      <c r="A1127" s="1637"/>
      <c r="B1127" s="1242"/>
      <c r="C1127" s="3902" t="s">
        <v>6399</v>
      </c>
      <c r="D1127" s="1846">
        <v>2234444600</v>
      </c>
      <c r="E1127" s="1162">
        <f>D1127/D807*100</f>
        <v>1.3512978662420219</v>
      </c>
      <c r="F1127" s="386"/>
      <c r="G1127" s="883"/>
      <c r="H1127" s="1168"/>
      <c r="I1127" s="883"/>
      <c r="J1127" s="1846"/>
      <c r="K1127" s="1951"/>
      <c r="L1127" s="1310"/>
      <c r="M1127" s="2230"/>
      <c r="N1127" s="1638"/>
      <c r="P1127" s="4588"/>
    </row>
    <row r="1128" spans="1:16" s="1639" customFormat="1" ht="11.25" customHeight="1" x14ac:dyDescent="0.25">
      <c r="A1128" s="1637"/>
      <c r="B1128" s="1242"/>
      <c r="C1128" s="3852"/>
      <c r="D1128" s="894"/>
      <c r="E1128" s="1161"/>
      <c r="F1128" s="894"/>
      <c r="G1128" s="878"/>
      <c r="H1128" s="2335"/>
      <c r="I1128" s="1109"/>
      <c r="J1128" s="894"/>
      <c r="K1128" s="2293"/>
      <c r="L1128" s="1311"/>
      <c r="M1128" s="2230"/>
      <c r="N1128" s="1638"/>
      <c r="P1128" s="4588"/>
    </row>
    <row r="1129" spans="1:16" s="1639" customFormat="1" ht="15" customHeight="1" x14ac:dyDescent="0.25">
      <c r="A1129" s="1637"/>
      <c r="B1129" s="1242"/>
      <c r="C1129" s="3855" t="s">
        <v>6400</v>
      </c>
      <c r="D1129" s="673">
        <f>SUM(D1130:D1131)</f>
        <v>2078912010</v>
      </c>
      <c r="E1129" s="1052">
        <f>D1129/D807*100</f>
        <v>1.2572383147104711</v>
      </c>
      <c r="F1129" s="673"/>
      <c r="G1129" s="890"/>
      <c r="H1129" s="1173"/>
      <c r="I1129" s="890"/>
      <c r="J1129" s="673"/>
      <c r="K1129" s="673"/>
      <c r="L1129" s="1308"/>
      <c r="M1129" s="2176"/>
      <c r="N1129" s="1638"/>
      <c r="P1129" s="4588"/>
    </row>
    <row r="1130" spans="1:16" s="1639" customFormat="1" ht="15.75" customHeight="1" x14ac:dyDescent="0.25">
      <c r="A1130" s="1637"/>
      <c r="B1130" s="1242"/>
      <c r="C1130" s="3856" t="s">
        <v>6401</v>
      </c>
      <c r="D1130" s="666">
        <v>501577810</v>
      </c>
      <c r="E1130" s="1162">
        <f>D1130/D807*100</f>
        <v>0.30333310765786997</v>
      </c>
      <c r="F1130" s="666"/>
      <c r="G1130" s="883"/>
      <c r="H1130" s="1168"/>
      <c r="I1130" s="883"/>
      <c r="J1130" s="666"/>
      <c r="K1130" s="2293"/>
      <c r="L1130" s="1310"/>
      <c r="M1130" s="2293"/>
      <c r="N1130" s="1638"/>
      <c r="P1130" s="4588"/>
    </row>
    <row r="1131" spans="1:16" s="1639" customFormat="1" ht="15" customHeight="1" x14ac:dyDescent="0.25">
      <c r="A1131" s="1637"/>
      <c r="B1131" s="1242"/>
      <c r="C1131" s="3874" t="s">
        <v>6402</v>
      </c>
      <c r="D1131" s="666">
        <v>1577334200</v>
      </c>
      <c r="E1131" s="1162">
        <f>D1131/D807*100</f>
        <v>0.95390520705260118</v>
      </c>
      <c r="F1131" s="666"/>
      <c r="G1131" s="883"/>
      <c r="H1131" s="1168"/>
      <c r="I1131" s="883"/>
      <c r="J1131" s="666"/>
      <c r="K1131" s="883"/>
      <c r="L1131" s="1168"/>
      <c r="M1131" s="883"/>
      <c r="N1131" s="1638"/>
      <c r="P1131" s="4588"/>
    </row>
    <row r="1132" spans="1:16" ht="8.25" customHeight="1" x14ac:dyDescent="0.25">
      <c r="B1132" s="1242"/>
      <c r="C1132" s="3904"/>
      <c r="D1132" s="868"/>
      <c r="E1132" s="1158"/>
      <c r="F1132" s="835"/>
      <c r="G1132" s="882"/>
      <c r="H1132" s="2234"/>
      <c r="I1132" s="2295"/>
      <c r="J1132" s="2307"/>
      <c r="K1132" s="2296"/>
      <c r="L1132" s="2175"/>
      <c r="M1132" s="2227"/>
      <c r="N1132" s="535"/>
    </row>
    <row r="1133" spans="1:16" ht="17.25" customHeight="1" x14ac:dyDescent="0.25">
      <c r="B1133" s="1305"/>
      <c r="C1133" s="3906" t="s">
        <v>6403</v>
      </c>
      <c r="D1133" s="669">
        <f>SUM(D1134+D1137+D1142+D1145)</f>
        <v>3175788676</v>
      </c>
      <c r="E1133" s="1050">
        <f>D1133/D807*100</f>
        <v>1.9205830663755887</v>
      </c>
      <c r="F1133" s="832"/>
      <c r="G1133" s="903"/>
      <c r="H1133" s="1075"/>
      <c r="I1133" s="888"/>
      <c r="J1133" s="1813"/>
      <c r="K1133" s="1813"/>
      <c r="L1133" s="1462"/>
      <c r="M1133" s="2317"/>
      <c r="N1133" s="535"/>
    </row>
    <row r="1134" spans="1:16" s="1639" customFormat="1" ht="16.5" customHeight="1" x14ac:dyDescent="0.25">
      <c r="A1134" s="1637"/>
      <c r="B1134" s="1242"/>
      <c r="C1134" s="3854" t="s">
        <v>6404</v>
      </c>
      <c r="D1134" s="1847">
        <f>D1135</f>
        <v>458779982</v>
      </c>
      <c r="E1134" s="1159">
        <f>D1134/D807*100</f>
        <v>0.27745078609295265</v>
      </c>
      <c r="F1134" s="665"/>
      <c r="G1134" s="904"/>
      <c r="H1134" s="1173"/>
      <c r="I1134" s="890"/>
      <c r="J1134" s="1847"/>
      <c r="K1134" s="1847"/>
      <c r="L1134" s="1308"/>
      <c r="M1134" s="2318"/>
      <c r="N1134" s="1638"/>
      <c r="P1134" s="4588"/>
    </row>
    <row r="1135" spans="1:16" s="1639" customFormat="1" ht="16.5" customHeight="1" x14ac:dyDescent="0.25">
      <c r="A1135" s="1637"/>
      <c r="B1135" s="1242"/>
      <c r="C1135" s="3876" t="s">
        <v>6405</v>
      </c>
      <c r="D1135" s="1846">
        <v>458779982</v>
      </c>
      <c r="E1135" s="1160">
        <f>D1135/D807*100</f>
        <v>0.27745078609295265</v>
      </c>
      <c r="F1135" s="386"/>
      <c r="G1135" s="608"/>
      <c r="H1135" s="1167"/>
      <c r="I1135" s="878"/>
      <c r="J1135" s="1846"/>
      <c r="K1135" s="2293"/>
      <c r="L1135" s="1310"/>
      <c r="M1135" s="2293"/>
      <c r="N1135" s="1638"/>
      <c r="P1135" s="4588"/>
    </row>
    <row r="1136" spans="1:16" ht="11.25" customHeight="1" x14ac:dyDescent="0.25">
      <c r="B1136" s="1242"/>
      <c r="C1136" s="3986"/>
      <c r="D1136" s="1849"/>
      <c r="E1136" s="1159"/>
      <c r="F1136" s="389"/>
      <c r="G1136" s="878"/>
      <c r="H1136" s="1167"/>
      <c r="I1136" s="878"/>
      <c r="J1136" s="1849"/>
      <c r="K1136" s="2293"/>
      <c r="L1136" s="2293"/>
      <c r="M1136" s="2293"/>
      <c r="N1136" s="535"/>
    </row>
    <row r="1137" spans="1:16" s="1639" customFormat="1" ht="27" customHeight="1" x14ac:dyDescent="0.25">
      <c r="A1137" s="1637"/>
      <c r="B1137" s="1242"/>
      <c r="C1137" s="3878" t="s">
        <v>6406</v>
      </c>
      <c r="D1137" s="673">
        <f>SUM(D1138:D1140)</f>
        <v>998634507</v>
      </c>
      <c r="E1137" s="1159">
        <f>D1137/D807*100</f>
        <v>0.60393203683132413</v>
      </c>
      <c r="F1137" s="673"/>
      <c r="G1137" s="890"/>
      <c r="H1137" s="1173"/>
      <c r="I1137" s="890"/>
      <c r="J1137" s="673"/>
      <c r="K1137" s="673"/>
      <c r="L1137" s="1308"/>
      <c r="M1137" s="2176"/>
      <c r="N1137" s="1638"/>
      <c r="P1137" s="4588"/>
    </row>
    <row r="1138" spans="1:16" s="1639" customFormat="1" ht="15.75" customHeight="1" x14ac:dyDescent="0.25">
      <c r="A1138" s="1637"/>
      <c r="B1138" s="1242"/>
      <c r="C1138" s="3876" t="s">
        <v>6407</v>
      </c>
      <c r="D1138" s="1846">
        <v>264400000</v>
      </c>
      <c r="E1138" s="1160">
        <f>D1138/D807*100</f>
        <v>0.15989797009708387</v>
      </c>
      <c r="F1138" s="386"/>
      <c r="G1138" s="883"/>
      <c r="H1138" s="1168"/>
      <c r="I1138" s="883"/>
      <c r="J1138" s="1846"/>
      <c r="K1138" s="2293"/>
      <c r="L1138" s="1310"/>
      <c r="M1138" s="2293"/>
      <c r="N1138" s="1638"/>
      <c r="P1138" s="4588"/>
    </row>
    <row r="1139" spans="1:16" ht="16.5" customHeight="1" x14ac:dyDescent="0.25">
      <c r="B1139" s="1242"/>
      <c r="C1139" s="3904" t="s">
        <v>6408</v>
      </c>
      <c r="D1139" s="868">
        <v>431201739</v>
      </c>
      <c r="E1139" s="1160">
        <f>D1139/D807*100</f>
        <v>0.26077262771721854</v>
      </c>
      <c r="F1139" s="835"/>
      <c r="G1139" s="882"/>
      <c r="H1139" s="2234"/>
      <c r="I1139" s="2295"/>
      <c r="J1139" s="2307"/>
      <c r="K1139" s="2296"/>
      <c r="L1139" s="2175"/>
      <c r="M1139" s="2227"/>
      <c r="N1139" s="535"/>
    </row>
    <row r="1140" spans="1:16" s="4099" customFormat="1" ht="17.25" customHeight="1" x14ac:dyDescent="0.25">
      <c r="A1140" s="4101"/>
      <c r="B1140" s="4119"/>
      <c r="C1140" s="4104" t="s">
        <v>6409</v>
      </c>
      <c r="D1140" s="666">
        <v>303032768</v>
      </c>
      <c r="E1140" s="1160">
        <f>D1140/D807*100</f>
        <v>0.1832614390170218</v>
      </c>
      <c r="F1140" s="838"/>
      <c r="G1140" s="878"/>
      <c r="H1140" s="1463"/>
      <c r="I1140" s="1121"/>
      <c r="J1140" s="1951"/>
      <c r="K1140" s="2293"/>
      <c r="L1140" s="1315"/>
      <c r="M1140" s="2338"/>
      <c r="N1140" s="4109"/>
      <c r="P1140" s="500"/>
    </row>
    <row r="1141" spans="1:16" s="4099" customFormat="1" ht="12" customHeight="1" x14ac:dyDescent="0.25">
      <c r="A1141" s="4101"/>
      <c r="B1141" s="4119"/>
      <c r="C1141" s="4104"/>
      <c r="D1141" s="666"/>
      <c r="E1141" s="1160"/>
      <c r="F1141" s="838"/>
      <c r="G1141" s="878"/>
      <c r="H1141" s="1463"/>
      <c r="I1141" s="1121"/>
      <c r="J1141" s="1951"/>
      <c r="K1141" s="2293"/>
      <c r="L1141" s="1315"/>
      <c r="M1141" s="2338"/>
      <c r="N1141" s="4109"/>
      <c r="P1141" s="500"/>
    </row>
    <row r="1142" spans="1:16" s="3598" customFormat="1" ht="26.25" customHeight="1" x14ac:dyDescent="0.25">
      <c r="A1142" s="3588"/>
      <c r="B1142" s="4119"/>
      <c r="C1142" s="4116" t="s">
        <v>6410</v>
      </c>
      <c r="D1142" s="673">
        <f>D1143</f>
        <v>614932543</v>
      </c>
      <c r="E1142" s="1159">
        <f>D1142/D807*100</f>
        <v>0.3718852699407631</v>
      </c>
      <c r="F1142" s="839"/>
      <c r="G1142" s="877"/>
      <c r="H1142" s="1415"/>
      <c r="I1142" s="1118"/>
      <c r="J1142" s="1988"/>
      <c r="K1142" s="2176"/>
      <c r="L1142" s="2261"/>
      <c r="M1142" s="2484"/>
      <c r="N1142" s="3592"/>
      <c r="P1142" s="4592"/>
    </row>
    <row r="1143" spans="1:16" s="4099" customFormat="1" ht="15" customHeight="1" x14ac:dyDescent="0.25">
      <c r="A1143" s="4101"/>
      <c r="B1143" s="4119"/>
      <c r="C1143" s="4104" t="s">
        <v>6411</v>
      </c>
      <c r="D1143" s="666">
        <v>614932543</v>
      </c>
      <c r="E1143" s="1160">
        <f>D1143/D807*100</f>
        <v>0.3718852699407631</v>
      </c>
      <c r="F1143" s="838"/>
      <c r="G1143" s="878"/>
      <c r="H1143" s="1463"/>
      <c r="I1143" s="1121"/>
      <c r="J1143" s="1951"/>
      <c r="K1143" s="2293"/>
      <c r="L1143" s="1315"/>
      <c r="M1143" s="2338"/>
      <c r="N1143" s="4109"/>
      <c r="P1143" s="500"/>
    </row>
    <row r="1144" spans="1:16" s="4099" customFormat="1" ht="12" customHeight="1" x14ac:dyDescent="0.25">
      <c r="A1144" s="4101"/>
      <c r="B1144" s="4119"/>
      <c r="C1144" s="4104"/>
      <c r="D1144" s="666"/>
      <c r="E1144" s="1160"/>
      <c r="F1144" s="838"/>
      <c r="G1144" s="878"/>
      <c r="H1144" s="1463"/>
      <c r="I1144" s="1121"/>
      <c r="J1144" s="1951"/>
      <c r="K1144" s="2293"/>
      <c r="L1144" s="1315"/>
      <c r="M1144" s="2338"/>
      <c r="N1144" s="4109"/>
      <c r="P1144" s="500"/>
    </row>
    <row r="1145" spans="1:16" s="3598" customFormat="1" ht="15" customHeight="1" x14ac:dyDescent="0.25">
      <c r="A1145" s="3588"/>
      <c r="B1145" s="4119"/>
      <c r="C1145" s="4116" t="s">
        <v>6412</v>
      </c>
      <c r="D1145" s="673">
        <f>D1146</f>
        <v>1103441644</v>
      </c>
      <c r="E1145" s="1159">
        <f>D1145/D807*100</f>
        <v>0.6673149735105488</v>
      </c>
      <c r="F1145" s="839"/>
      <c r="G1145" s="877"/>
      <c r="H1145" s="1415"/>
      <c r="I1145" s="1118"/>
      <c r="J1145" s="1988"/>
      <c r="K1145" s="2176"/>
      <c r="L1145" s="2261"/>
      <c r="M1145" s="2484"/>
      <c r="N1145" s="3592"/>
      <c r="P1145" s="4592"/>
    </row>
    <row r="1146" spans="1:16" s="4099" customFormat="1" ht="18" customHeight="1" x14ac:dyDescent="0.25">
      <c r="A1146" s="4101"/>
      <c r="B1146" s="4119"/>
      <c r="C1146" s="4104" t="s">
        <v>6413</v>
      </c>
      <c r="D1146" s="666">
        <v>1103441644</v>
      </c>
      <c r="E1146" s="1160">
        <f>D1146/D807*100</f>
        <v>0.6673149735105488</v>
      </c>
      <c r="F1146" s="838"/>
      <c r="G1146" s="878"/>
      <c r="H1146" s="1463"/>
      <c r="I1146" s="1121"/>
      <c r="J1146" s="1951"/>
      <c r="K1146" s="2293"/>
      <c r="L1146" s="1315"/>
      <c r="M1146" s="2338"/>
      <c r="N1146" s="4109"/>
      <c r="P1146" s="500"/>
    </row>
    <row r="1147" spans="1:16" s="4099" customFormat="1" ht="12" customHeight="1" x14ac:dyDescent="0.25">
      <c r="A1147" s="4101"/>
      <c r="B1147" s="4119"/>
      <c r="C1147" s="4117"/>
      <c r="D1147" s="671"/>
      <c r="E1147" s="1164"/>
      <c r="F1147" s="840"/>
      <c r="G1147" s="887"/>
      <c r="H1147" s="2346"/>
      <c r="I1147" s="2339"/>
      <c r="J1147" s="2340"/>
      <c r="K1147" s="2301"/>
      <c r="L1147" s="2182"/>
      <c r="M1147" s="2302"/>
      <c r="N1147" s="4109"/>
      <c r="P1147" s="500"/>
    </row>
    <row r="1148" spans="1:16" s="1639" customFormat="1" ht="18" customHeight="1" x14ac:dyDescent="0.25">
      <c r="A1148" s="1637"/>
      <c r="B1148" s="1305"/>
      <c r="C1148" s="3906" t="s">
        <v>6414</v>
      </c>
      <c r="D1148" s="669">
        <f>SUM(D1149+D1154+D1157)</f>
        <v>716122184</v>
      </c>
      <c r="E1148" s="1050">
        <f>D1148/D807*100</f>
        <v>0.43308049759111344</v>
      </c>
      <c r="F1148" s="832"/>
      <c r="G1148" s="832"/>
      <c r="H1148" s="1075"/>
      <c r="I1148" s="888"/>
      <c r="J1148" s="1813"/>
      <c r="K1148" s="1813"/>
      <c r="L1148" s="1462"/>
      <c r="M1148" s="2066"/>
      <c r="N1148" s="1638"/>
      <c r="P1148" s="4588"/>
    </row>
    <row r="1149" spans="1:16" s="1639" customFormat="1" ht="15.75" customHeight="1" x14ac:dyDescent="0.25">
      <c r="A1149" s="1637"/>
      <c r="B1149" s="1242"/>
      <c r="C1149" s="3901" t="s">
        <v>6415</v>
      </c>
      <c r="D1149" s="1847">
        <f>SUM(D1150:D1152)</f>
        <v>324848184</v>
      </c>
      <c r="E1149" s="1051">
        <f>D1149/D807*100</f>
        <v>0.19645448264494708</v>
      </c>
      <c r="F1149" s="665"/>
      <c r="G1149" s="890"/>
      <c r="H1149" s="1173"/>
      <c r="I1149" s="890"/>
      <c r="J1149" s="1847"/>
      <c r="K1149" s="1847"/>
      <c r="L1149" s="1308"/>
      <c r="M1149" s="2006"/>
      <c r="N1149" s="1638"/>
      <c r="P1149" s="4588"/>
    </row>
    <row r="1150" spans="1:16" s="1639" customFormat="1" ht="27.75" customHeight="1" x14ac:dyDescent="0.25">
      <c r="A1150" s="1637"/>
      <c r="B1150" s="1242"/>
      <c r="C1150" s="3863" t="s">
        <v>6416</v>
      </c>
      <c r="D1150" s="666">
        <v>93216000</v>
      </c>
      <c r="E1150" s="1162">
        <f>D1150/D807*100</f>
        <v>5.6373105826663286E-2</v>
      </c>
      <c r="F1150" s="386"/>
      <c r="G1150" s="883"/>
      <c r="H1150" s="1168"/>
      <c r="I1150" s="883"/>
      <c r="J1150" s="1852"/>
      <c r="K1150" s="1951"/>
      <c r="L1150" s="1310"/>
      <c r="M1150" s="2230"/>
      <c r="N1150" s="1638"/>
      <c r="P1150" s="4588"/>
    </row>
    <row r="1151" spans="1:16" s="2080" customFormat="1" ht="19.5" customHeight="1" x14ac:dyDescent="0.25">
      <c r="A1151" s="2074"/>
      <c r="B1151" s="2910"/>
      <c r="C1151" s="4111" t="s">
        <v>6417</v>
      </c>
      <c r="D1151" s="1856">
        <v>196269610</v>
      </c>
      <c r="E1151" s="1162">
        <f>D1151/D807*100</f>
        <v>0.11869558332354886</v>
      </c>
      <c r="F1151" s="668"/>
      <c r="G1151" s="4474"/>
      <c r="H1151" s="4471"/>
      <c r="I1151" s="1117"/>
      <c r="J1151" s="1846"/>
      <c r="K1151" s="4459"/>
      <c r="L1151" s="4468"/>
      <c r="M1151" s="2362"/>
      <c r="N1151" s="2076"/>
      <c r="P1151" s="4598"/>
    </row>
    <row r="1152" spans="1:16" s="2080" customFormat="1" ht="15" customHeight="1" x14ac:dyDescent="0.25">
      <c r="A1152" s="2074"/>
      <c r="B1152" s="2910"/>
      <c r="C1152" s="3856" t="s">
        <v>6418</v>
      </c>
      <c r="D1152" s="1846">
        <v>35362574</v>
      </c>
      <c r="E1152" s="1162">
        <f>D1152/D807*100</f>
        <v>2.1385793494734934E-2</v>
      </c>
      <c r="F1152" s="386"/>
      <c r="G1152" s="3390"/>
      <c r="H1152" s="4471"/>
      <c r="I1152" s="4473"/>
      <c r="J1152" s="1852"/>
      <c r="K1152" s="4470"/>
      <c r="L1152" s="4468"/>
      <c r="M1152" s="2362"/>
      <c r="N1152" s="2076"/>
      <c r="P1152" s="4598"/>
    </row>
    <row r="1153" spans="1:16" s="1639" customFormat="1" ht="9" customHeight="1" x14ac:dyDescent="0.25">
      <c r="A1153" s="1637"/>
      <c r="B1153" s="4119"/>
      <c r="C1153" s="3991"/>
      <c r="D1153" s="1849"/>
      <c r="E1153" s="1052"/>
      <c r="F1153" s="389"/>
      <c r="G1153" s="877"/>
      <c r="H1153" s="1661"/>
      <c r="I1153" s="1120"/>
      <c r="J1153" s="4084"/>
      <c r="K1153" s="2323"/>
      <c r="L1153" s="1659"/>
      <c r="M1153" s="2006"/>
      <c r="N1153" s="1638"/>
      <c r="P1153" s="4588"/>
    </row>
    <row r="1154" spans="1:16" s="1639" customFormat="1" ht="18" customHeight="1" x14ac:dyDescent="0.25">
      <c r="A1154" s="1637"/>
      <c r="B1154" s="1242"/>
      <c r="C1154" s="4063" t="s">
        <v>6419</v>
      </c>
      <c r="D1154" s="1847">
        <f>D1155</f>
        <v>78804000</v>
      </c>
      <c r="E1154" s="1051">
        <f>D1154/D807*100</f>
        <v>4.7657335989147502E-2</v>
      </c>
      <c r="F1154" s="665"/>
      <c r="G1154" s="890"/>
      <c r="H1154" s="1173"/>
      <c r="I1154" s="890"/>
      <c r="J1154" s="1847"/>
      <c r="K1154" s="1847"/>
      <c r="L1154" s="1308"/>
      <c r="M1154" s="2336"/>
      <c r="N1154" s="1638"/>
      <c r="P1154" s="4588"/>
    </row>
    <row r="1155" spans="1:16" s="1639" customFormat="1" ht="28.5" customHeight="1" x14ac:dyDescent="0.25">
      <c r="A1155" s="1637"/>
      <c r="B1155" s="1242"/>
      <c r="C1155" s="3902" t="s">
        <v>6420</v>
      </c>
      <c r="D1155" s="666">
        <v>78804000</v>
      </c>
      <c r="E1155" s="1162">
        <f>D1155/D807*100</f>
        <v>4.7657335989147502E-2</v>
      </c>
      <c r="F1155" s="386"/>
      <c r="G1155" s="883"/>
      <c r="H1155" s="1168"/>
      <c r="I1155" s="883"/>
      <c r="J1155" s="1848"/>
      <c r="K1155" s="2293"/>
      <c r="L1155" s="1310"/>
      <c r="M1155" s="1705"/>
      <c r="N1155" s="1638"/>
      <c r="P1155" s="4588"/>
    </row>
    <row r="1156" spans="1:16" s="1639" customFormat="1" ht="9.75" customHeight="1" x14ac:dyDescent="0.25">
      <c r="A1156" s="1637"/>
      <c r="B1156" s="1242"/>
      <c r="C1156" s="3852"/>
      <c r="D1156" s="894"/>
      <c r="E1156" s="1160"/>
      <c r="F1156" s="894"/>
      <c r="G1156" s="878"/>
      <c r="H1156" s="1167"/>
      <c r="I1156" s="1109"/>
      <c r="J1156" s="894"/>
      <c r="K1156" s="2293"/>
      <c r="L1156" s="2293"/>
      <c r="M1156" s="2230"/>
      <c r="N1156" s="1638"/>
      <c r="P1156" s="4588"/>
    </row>
    <row r="1157" spans="1:16" s="1639" customFormat="1" ht="19.5" customHeight="1" x14ac:dyDescent="0.25">
      <c r="A1157" s="1637"/>
      <c r="B1157" s="1242"/>
      <c r="C1157" s="3901" t="s">
        <v>6421</v>
      </c>
      <c r="D1157" s="673">
        <f>D1158</f>
        <v>312470000</v>
      </c>
      <c r="E1157" s="1159">
        <f>D1157/D807*100</f>
        <v>0.18896867895701891</v>
      </c>
      <c r="F1157" s="673"/>
      <c r="G1157" s="890"/>
      <c r="H1157" s="1173"/>
      <c r="I1157" s="890"/>
      <c r="J1157" s="673"/>
      <c r="K1157" s="890"/>
      <c r="L1157" s="1173"/>
      <c r="M1157" s="890"/>
      <c r="N1157" s="1638"/>
      <c r="P1157" s="4588"/>
    </row>
    <row r="1158" spans="1:16" s="1639" customFormat="1" ht="15" customHeight="1" x14ac:dyDescent="0.25">
      <c r="A1158" s="1637"/>
      <c r="B1158" s="1242"/>
      <c r="C1158" s="3863" t="s">
        <v>6422</v>
      </c>
      <c r="D1158" s="1852">
        <v>312470000</v>
      </c>
      <c r="E1158" s="1160">
        <f>D1158/D807*100</f>
        <v>0.18896867895701891</v>
      </c>
      <c r="F1158" s="611"/>
      <c r="G1158" s="883"/>
      <c r="H1158" s="1168"/>
      <c r="I1158" s="883"/>
      <c r="J1158" s="1852"/>
      <c r="K1158" s="883"/>
      <c r="L1158" s="1168"/>
      <c r="M1158" s="883"/>
      <c r="N1158" s="1638"/>
      <c r="P1158" s="4588"/>
    </row>
    <row r="1159" spans="1:16" ht="12" customHeight="1" x14ac:dyDescent="0.25">
      <c r="B1159" s="1242"/>
      <c r="C1159" s="3904"/>
      <c r="D1159" s="868"/>
      <c r="E1159" s="1162"/>
      <c r="F1159" s="835"/>
      <c r="G1159" s="882"/>
      <c r="H1159" s="2337"/>
      <c r="I1159" s="934"/>
      <c r="J1159" s="1815"/>
      <c r="K1159" s="2296"/>
      <c r="L1159" s="2170"/>
      <c r="M1159" s="2170"/>
      <c r="N1159" s="535"/>
    </row>
    <row r="1160" spans="1:16" ht="17.25" customHeight="1" x14ac:dyDescent="0.25">
      <c r="B1160" s="1305"/>
      <c r="C1160" s="3906" t="s">
        <v>6423</v>
      </c>
      <c r="D1160" s="669">
        <f>SUM(D1161+D1164+D1167+D1170+D1173+D1181+D1184+D1187)</f>
        <v>10129627350</v>
      </c>
      <c r="E1160" s="1050">
        <f>D1160/D807*100</f>
        <v>6.1259714489595423</v>
      </c>
      <c r="F1160" s="832"/>
      <c r="G1160" s="832"/>
      <c r="H1160" s="1075"/>
      <c r="I1160" s="888"/>
      <c r="J1160" s="1813"/>
      <c r="K1160" s="1813"/>
      <c r="L1160" s="1462"/>
      <c r="M1160" s="2066"/>
      <c r="N1160" s="535"/>
    </row>
    <row r="1161" spans="1:16" s="1639" customFormat="1" ht="17.25" customHeight="1" x14ac:dyDescent="0.25">
      <c r="A1161" s="1637"/>
      <c r="B1161" s="1242"/>
      <c r="C1161" s="3854" t="s">
        <v>3211</v>
      </c>
      <c r="D1161" s="1847">
        <f>D1162</f>
        <v>1162092785</v>
      </c>
      <c r="E1161" s="1159">
        <f>D1161/D807*100</f>
        <v>0.70278471023436817</v>
      </c>
      <c r="F1161" s="665"/>
      <c r="G1161" s="890"/>
      <c r="H1161" s="1173"/>
      <c r="I1161" s="890"/>
      <c r="J1161" s="1847"/>
      <c r="K1161" s="890"/>
      <c r="L1161" s="1173"/>
      <c r="M1161" s="890"/>
      <c r="N1161" s="1638"/>
      <c r="P1161" s="4588"/>
    </row>
    <row r="1162" spans="1:16" s="1639" customFormat="1" ht="17.25" customHeight="1" x14ac:dyDescent="0.25">
      <c r="A1162" s="1637"/>
      <c r="B1162" s="1242"/>
      <c r="C1162" s="3856" t="s">
        <v>6424</v>
      </c>
      <c r="D1162" s="666">
        <v>1162092785</v>
      </c>
      <c r="E1162" s="1160">
        <f>D1162/D807*100</f>
        <v>0.70278471023436817</v>
      </c>
      <c r="F1162" s="666"/>
      <c r="G1162" s="883"/>
      <c r="H1162" s="1168"/>
      <c r="I1162" s="883"/>
      <c r="J1162" s="666"/>
      <c r="K1162" s="883"/>
      <c r="L1162" s="1168"/>
      <c r="M1162" s="883"/>
      <c r="N1162" s="1638"/>
      <c r="P1162" s="4588"/>
    </row>
    <row r="1163" spans="1:16" s="1639" customFormat="1" ht="12" customHeight="1" x14ac:dyDescent="0.25">
      <c r="A1163" s="1637"/>
      <c r="B1163" s="1242"/>
      <c r="C1163" s="3986"/>
      <c r="D1163" s="4084"/>
      <c r="E1163" s="1051"/>
      <c r="F1163" s="533"/>
      <c r="G1163" s="877"/>
      <c r="H1163" s="1661"/>
      <c r="I1163" s="1109"/>
      <c r="J1163" s="1854"/>
      <c r="K1163" s="877"/>
      <c r="L1163" s="1661"/>
      <c r="M1163" s="1109"/>
      <c r="N1163" s="1638"/>
      <c r="P1163" s="4588"/>
    </row>
    <row r="1164" spans="1:16" s="1639" customFormat="1" ht="15" customHeight="1" x14ac:dyDescent="0.25">
      <c r="A1164" s="1637"/>
      <c r="B1164" s="1242"/>
      <c r="C1164" s="3854" t="s">
        <v>6425</v>
      </c>
      <c r="D1164" s="1851">
        <f>D1165</f>
        <v>1512290000</v>
      </c>
      <c r="E1164" s="1052">
        <f>D1164/D807*100</f>
        <v>0.91456921784462564</v>
      </c>
      <c r="F1164" s="390"/>
      <c r="G1164" s="890"/>
      <c r="H1164" s="1173"/>
      <c r="I1164" s="890"/>
      <c r="J1164" s="1847"/>
      <c r="K1164" s="1847"/>
      <c r="L1164" s="1308"/>
      <c r="M1164" s="2176"/>
      <c r="N1164" s="1638"/>
      <c r="P1164" s="4588"/>
    </row>
    <row r="1165" spans="1:16" s="1639" customFormat="1" ht="17.25" customHeight="1" x14ac:dyDescent="0.25">
      <c r="A1165" s="1637"/>
      <c r="B1165" s="1242"/>
      <c r="C1165" s="3856" t="s">
        <v>6426</v>
      </c>
      <c r="D1165" s="666">
        <v>1512290000</v>
      </c>
      <c r="E1165" s="1160">
        <f>D1165/D807*100</f>
        <v>0.91456921784462564</v>
      </c>
      <c r="F1165" s="880"/>
      <c r="G1165" s="883"/>
      <c r="H1165" s="1168"/>
      <c r="I1165" s="883"/>
      <c r="J1165" s="666"/>
      <c r="K1165" s="2293"/>
      <c r="L1165" s="1310"/>
      <c r="M1165" s="2293"/>
      <c r="N1165" s="1638"/>
      <c r="P1165" s="4588"/>
    </row>
    <row r="1166" spans="1:16" ht="12" customHeight="1" x14ac:dyDescent="0.25">
      <c r="B1166" s="1242"/>
      <c r="C1166" s="3993"/>
      <c r="D1166" s="4084"/>
      <c r="E1166" s="1159"/>
      <c r="F1166" s="533"/>
      <c r="G1166" s="878"/>
      <c r="H1166" s="1661"/>
      <c r="I1166" s="1109"/>
      <c r="J1166" s="1854"/>
      <c r="K1166" s="2293"/>
      <c r="L1166" s="1659"/>
      <c r="M1166" s="2230"/>
      <c r="N1166" s="535"/>
    </row>
    <row r="1167" spans="1:16" s="1639" customFormat="1" ht="26.25" customHeight="1" x14ac:dyDescent="0.25">
      <c r="A1167" s="1637"/>
      <c r="B1167" s="1242"/>
      <c r="C1167" s="3878" t="s">
        <v>6427</v>
      </c>
      <c r="D1167" s="1851">
        <f>D1168</f>
        <v>804063240</v>
      </c>
      <c r="E1167" s="1159">
        <f>D1167/D807*100</f>
        <v>0.48626353973405595</v>
      </c>
      <c r="F1167" s="390"/>
      <c r="G1167" s="890"/>
      <c r="H1167" s="1173"/>
      <c r="I1167" s="890"/>
      <c r="J1167" s="1851"/>
      <c r="K1167" s="1851"/>
      <c r="L1167" s="1308"/>
      <c r="M1167" s="1659"/>
      <c r="N1167" s="1638"/>
      <c r="P1167" s="4588"/>
    </row>
    <row r="1168" spans="1:16" s="1639" customFormat="1" ht="17.25" customHeight="1" x14ac:dyDescent="0.25">
      <c r="A1168" s="1637"/>
      <c r="B1168" s="1242"/>
      <c r="C1168" s="3876" t="s">
        <v>6428</v>
      </c>
      <c r="D1168" s="666">
        <v>804063240</v>
      </c>
      <c r="E1168" s="1160">
        <f>D1168/D807*100</f>
        <v>0.48626353973405595</v>
      </c>
      <c r="F1168" s="880"/>
      <c r="G1168" s="883"/>
      <c r="H1168" s="1168"/>
      <c r="I1168" s="883"/>
      <c r="J1168" s="666"/>
      <c r="K1168" s="2293"/>
      <c r="L1168" s="1310"/>
      <c r="M1168" s="1705"/>
      <c r="N1168" s="1638"/>
      <c r="P1168" s="4588"/>
    </row>
    <row r="1169" spans="1:16" ht="11.25" customHeight="1" x14ac:dyDescent="0.25">
      <c r="B1169" s="1242"/>
      <c r="C1169" s="3986"/>
      <c r="D1169" s="4084"/>
      <c r="E1169" s="1053"/>
      <c r="F1169" s="533"/>
      <c r="G1169" s="878"/>
      <c r="H1169" s="1463"/>
      <c r="I1169" s="894"/>
      <c r="J1169" s="1854"/>
      <c r="K1169" s="2293"/>
      <c r="L1169" s="1315"/>
      <c r="M1169" s="1315"/>
      <c r="N1169" s="535"/>
    </row>
    <row r="1170" spans="1:16" s="1639" customFormat="1" ht="27.75" customHeight="1" x14ac:dyDescent="0.25">
      <c r="A1170" s="1637"/>
      <c r="B1170" s="1242"/>
      <c r="C1170" s="3854" t="s">
        <v>6429</v>
      </c>
      <c r="D1170" s="673">
        <f>D1171</f>
        <v>725416325</v>
      </c>
      <c r="E1170" s="1052">
        <f>D1170/D807*100</f>
        <v>0.43870120212854197</v>
      </c>
      <c r="F1170" s="390"/>
      <c r="G1170" s="665"/>
      <c r="H1170" s="1415"/>
      <c r="I1170" s="673"/>
      <c r="J1170" s="1847"/>
      <c r="K1170" s="1847"/>
      <c r="L1170" s="1308"/>
      <c r="M1170" s="2261"/>
      <c r="N1170" s="1638"/>
      <c r="P1170" s="4588"/>
    </row>
    <row r="1171" spans="1:16" s="1639" customFormat="1" ht="16.5" customHeight="1" x14ac:dyDescent="0.25">
      <c r="A1171" s="1637"/>
      <c r="B1171" s="1242"/>
      <c r="C1171" s="3856" t="s">
        <v>6430</v>
      </c>
      <c r="D1171" s="666">
        <v>725416325</v>
      </c>
      <c r="E1171" s="1160">
        <f>D1171/D807*100</f>
        <v>0.43870120212854197</v>
      </c>
      <c r="F1171" s="880"/>
      <c r="G1171" s="878"/>
      <c r="H1171" s="880"/>
      <c r="I1171" s="666"/>
      <c r="J1171" s="666"/>
      <c r="K1171" s="2293"/>
      <c r="L1171" s="1310"/>
      <c r="M1171" s="1717"/>
      <c r="N1171" s="1638"/>
      <c r="P1171" s="4588"/>
    </row>
    <row r="1172" spans="1:16" ht="9.75" customHeight="1" x14ac:dyDescent="0.25">
      <c r="B1172" s="1242"/>
      <c r="C1172" s="3991"/>
      <c r="D1172" s="1849"/>
      <c r="E1172" s="1160"/>
      <c r="F1172" s="838"/>
      <c r="G1172" s="4401"/>
      <c r="H1172" s="1463"/>
      <c r="I1172" s="1121"/>
      <c r="J1172" s="1951"/>
      <c r="K1172" s="4475"/>
      <c r="L1172" s="1315"/>
      <c r="M1172" s="2338"/>
      <c r="N1172" s="535"/>
    </row>
    <row r="1173" spans="1:16" s="3598" customFormat="1" ht="17.25" customHeight="1" x14ac:dyDescent="0.25">
      <c r="A1173" s="3588"/>
      <c r="B1173" s="4119"/>
      <c r="C1173" s="4103" t="s">
        <v>6431</v>
      </c>
      <c r="D1173" s="1851">
        <f>SUM(D1174:D1179)</f>
        <v>2614040000</v>
      </c>
      <c r="E1173" s="1159">
        <f>D1173/D807*100</f>
        <v>1.5808611564015929</v>
      </c>
      <c r="F1173" s="958"/>
      <c r="G1173" s="2168"/>
      <c r="H1173" s="1415"/>
      <c r="I1173" s="4476"/>
      <c r="J1173" s="4458"/>
      <c r="K1173" s="4477"/>
      <c r="L1173" s="2261"/>
      <c r="M1173" s="2560"/>
      <c r="N1173" s="3592"/>
      <c r="P1173" s="4592"/>
    </row>
    <row r="1174" spans="1:16" s="3387" customFormat="1" ht="16.5" customHeight="1" x14ac:dyDescent="0.25">
      <c r="A1174" s="3587"/>
      <c r="B1174" s="2910"/>
      <c r="C1174" s="3856" t="s">
        <v>6432</v>
      </c>
      <c r="D1174" s="1846">
        <v>471290000</v>
      </c>
      <c r="E1174" s="1160">
        <f>D1174/D807*100</f>
        <v>0.28501631742456379</v>
      </c>
      <c r="F1174" s="838"/>
      <c r="G1174" s="913"/>
      <c r="H1174" s="880"/>
      <c r="I1174" s="1121"/>
      <c r="J1174" s="1951"/>
      <c r="K1174" s="2171"/>
      <c r="L1174" s="1717"/>
      <c r="M1174" s="2338"/>
      <c r="N1174" s="3590"/>
      <c r="P1174" s="612"/>
    </row>
    <row r="1175" spans="1:16" s="3387" customFormat="1" ht="16.5" customHeight="1" x14ac:dyDescent="0.25">
      <c r="A1175" s="3587"/>
      <c r="B1175" s="2910"/>
      <c r="C1175" s="3856" t="s">
        <v>6433</v>
      </c>
      <c r="D1175" s="1846">
        <v>342660000</v>
      </c>
      <c r="E1175" s="1160">
        <f>D1175/D807*100</f>
        <v>0.20722631782703013</v>
      </c>
      <c r="F1175" s="838"/>
      <c r="G1175" s="913"/>
      <c r="H1175" s="880"/>
      <c r="I1175" s="1121"/>
      <c r="J1175" s="1951"/>
      <c r="K1175" s="2171"/>
      <c r="L1175" s="1717"/>
      <c r="M1175" s="2338"/>
      <c r="N1175" s="3590"/>
      <c r="P1175" s="612"/>
    </row>
    <row r="1176" spans="1:16" s="3387" customFormat="1" ht="17.25" customHeight="1" x14ac:dyDescent="0.25">
      <c r="A1176" s="3587"/>
      <c r="B1176" s="2910"/>
      <c r="C1176" s="3856" t="s">
        <v>6434</v>
      </c>
      <c r="D1176" s="1846">
        <v>784905000</v>
      </c>
      <c r="E1176" s="1160">
        <f>D1176/D807*100</f>
        <v>0.47467744409626184</v>
      </c>
      <c r="F1176" s="838"/>
      <c r="G1176" s="913"/>
      <c r="H1176" s="880"/>
      <c r="I1176" s="1121"/>
      <c r="J1176" s="1951"/>
      <c r="K1176" s="2171"/>
      <c r="L1176" s="1717"/>
      <c r="M1176" s="2338"/>
      <c r="N1176" s="3590"/>
      <c r="P1176" s="612"/>
    </row>
    <row r="1177" spans="1:16" s="3387" customFormat="1" ht="15.75" customHeight="1" x14ac:dyDescent="0.25">
      <c r="A1177" s="3587"/>
      <c r="B1177" s="2910"/>
      <c r="C1177" s="3856" t="s">
        <v>6435</v>
      </c>
      <c r="D1177" s="1846">
        <v>344000000</v>
      </c>
      <c r="E1177" s="1160">
        <f>D1177/D807*100</f>
        <v>0.20803669331844499</v>
      </c>
      <c r="F1177" s="838"/>
      <c r="G1177" s="913"/>
      <c r="H1177" s="880"/>
      <c r="I1177" s="1121"/>
      <c r="J1177" s="1951"/>
      <c r="K1177" s="2171"/>
      <c r="L1177" s="1717"/>
      <c r="M1177" s="2338"/>
      <c r="N1177" s="3590"/>
      <c r="P1177" s="612"/>
    </row>
    <row r="1178" spans="1:16" s="3387" customFormat="1" ht="15.75" customHeight="1" x14ac:dyDescent="0.25">
      <c r="A1178" s="3587"/>
      <c r="B1178" s="2910"/>
      <c r="C1178" s="3856" t="s">
        <v>6436</v>
      </c>
      <c r="D1178" s="1846">
        <v>391535000</v>
      </c>
      <c r="E1178" s="1160">
        <f>D1178/D807*100</f>
        <v>0.2367838567396435</v>
      </c>
      <c r="F1178" s="838"/>
      <c r="G1178" s="913"/>
      <c r="H1178" s="880"/>
      <c r="I1178" s="1121"/>
      <c r="J1178" s="1951"/>
      <c r="K1178" s="2171"/>
      <c r="L1178" s="1717"/>
      <c r="M1178" s="2338"/>
      <c r="N1178" s="3590"/>
      <c r="P1178" s="612"/>
    </row>
    <row r="1179" spans="1:16" s="3387" customFormat="1" ht="15.75" customHeight="1" x14ac:dyDescent="0.25">
      <c r="A1179" s="3587"/>
      <c r="B1179" s="2910"/>
      <c r="C1179" s="3856" t="s">
        <v>6437</v>
      </c>
      <c r="D1179" s="1846">
        <v>279650000</v>
      </c>
      <c r="E1179" s="1160">
        <f>D1179/D807*100</f>
        <v>0.16912052699564867</v>
      </c>
      <c r="F1179" s="838"/>
      <c r="G1179" s="913"/>
      <c r="H1179" s="880"/>
      <c r="I1179" s="1121"/>
      <c r="J1179" s="1951"/>
      <c r="K1179" s="2171"/>
      <c r="L1179" s="1717"/>
      <c r="M1179" s="2338"/>
      <c r="N1179" s="3590"/>
      <c r="P1179" s="612"/>
    </row>
    <row r="1180" spans="1:16" s="4099" customFormat="1" ht="12" customHeight="1" x14ac:dyDescent="0.25">
      <c r="A1180" s="4101"/>
      <c r="B1180" s="4119"/>
      <c r="C1180" s="3991"/>
      <c r="D1180" s="1849"/>
      <c r="E1180" s="1160"/>
      <c r="F1180" s="838"/>
      <c r="G1180" s="4401"/>
      <c r="H1180" s="1463"/>
      <c r="I1180" s="1121"/>
      <c r="J1180" s="1951"/>
      <c r="K1180" s="4475"/>
      <c r="L1180" s="1315"/>
      <c r="M1180" s="2338"/>
      <c r="N1180" s="4109"/>
      <c r="P1180" s="500"/>
    </row>
    <row r="1181" spans="1:16" s="3598" customFormat="1" ht="16.5" customHeight="1" x14ac:dyDescent="0.25">
      <c r="A1181" s="3588"/>
      <c r="B1181" s="4119"/>
      <c r="C1181" s="4103" t="s">
        <v>6438</v>
      </c>
      <c r="D1181" s="1851">
        <f>D1182</f>
        <v>865675000</v>
      </c>
      <c r="E1181" s="1159">
        <f>D1181/D807*100</f>
        <v>0.52352373397803742</v>
      </c>
      <c r="F1181" s="958"/>
      <c r="G1181" s="2168"/>
      <c r="H1181" s="1415"/>
      <c r="I1181" s="4476"/>
      <c r="J1181" s="4458"/>
      <c r="K1181" s="4477"/>
      <c r="L1181" s="2261"/>
      <c r="M1181" s="2560"/>
      <c r="N1181" s="3592"/>
      <c r="P1181" s="4592"/>
    </row>
    <row r="1182" spans="1:16" s="3387" customFormat="1" ht="15" customHeight="1" x14ac:dyDescent="0.25">
      <c r="A1182" s="3587"/>
      <c r="B1182" s="2910"/>
      <c r="C1182" s="3856" t="s">
        <v>6439</v>
      </c>
      <c r="D1182" s="1846">
        <v>865675000</v>
      </c>
      <c r="E1182" s="1160">
        <f>D1182/D807*100</f>
        <v>0.52352373397803742</v>
      </c>
      <c r="F1182" s="838"/>
      <c r="G1182" s="913"/>
      <c r="H1182" s="880"/>
      <c r="I1182" s="1121"/>
      <c r="J1182" s="1951"/>
      <c r="K1182" s="2171"/>
      <c r="L1182" s="1717"/>
      <c r="M1182" s="2338"/>
      <c r="N1182" s="3590"/>
      <c r="P1182" s="612"/>
    </row>
    <row r="1183" spans="1:16" s="4099" customFormat="1" ht="12" customHeight="1" x14ac:dyDescent="0.25">
      <c r="A1183" s="4101"/>
      <c r="B1183" s="4119"/>
      <c r="C1183" s="3991"/>
      <c r="D1183" s="1849"/>
      <c r="E1183" s="1160"/>
      <c r="F1183" s="838"/>
      <c r="G1183" s="4401"/>
      <c r="H1183" s="1463"/>
      <c r="I1183" s="1121"/>
      <c r="J1183" s="1951"/>
      <c r="K1183" s="4475"/>
      <c r="L1183" s="1315"/>
      <c r="M1183" s="2338"/>
      <c r="N1183" s="4109"/>
      <c r="P1183" s="500"/>
    </row>
    <row r="1184" spans="1:16" s="3598" customFormat="1" ht="15.75" customHeight="1" x14ac:dyDescent="0.25">
      <c r="A1184" s="3588"/>
      <c r="B1184" s="4119"/>
      <c r="C1184" s="4103" t="s">
        <v>6440</v>
      </c>
      <c r="D1184" s="1851">
        <f>D1185</f>
        <v>69795000</v>
      </c>
      <c r="E1184" s="1159">
        <f>D1184/D807*100</f>
        <v>4.2209072703956012E-2</v>
      </c>
      <c r="F1184" s="958"/>
      <c r="G1184" s="2168"/>
      <c r="H1184" s="1415"/>
      <c r="I1184" s="4476"/>
      <c r="J1184" s="4458"/>
      <c r="K1184" s="4477"/>
      <c r="L1184" s="2261"/>
      <c r="M1184" s="2560"/>
      <c r="N1184" s="3592"/>
      <c r="P1184" s="4592"/>
    </row>
    <row r="1185" spans="1:16" s="3387" customFormat="1" ht="16.5" customHeight="1" x14ac:dyDescent="0.25">
      <c r="A1185" s="3587"/>
      <c r="B1185" s="2910"/>
      <c r="C1185" s="3856" t="s">
        <v>6441</v>
      </c>
      <c r="D1185" s="1846">
        <v>69795000</v>
      </c>
      <c r="E1185" s="1160">
        <f>D1185/D807*100</f>
        <v>4.2209072703956012E-2</v>
      </c>
      <c r="F1185" s="838"/>
      <c r="G1185" s="913"/>
      <c r="H1185" s="880"/>
      <c r="I1185" s="1121"/>
      <c r="J1185" s="1951"/>
      <c r="K1185" s="2171"/>
      <c r="L1185" s="1717"/>
      <c r="M1185" s="2338"/>
      <c r="N1185" s="3590"/>
      <c r="P1185" s="612"/>
    </row>
    <row r="1186" spans="1:16" s="4099" customFormat="1" ht="11.25" customHeight="1" x14ac:dyDescent="0.25">
      <c r="A1186" s="4101"/>
      <c r="B1186" s="4119"/>
      <c r="C1186" s="3991"/>
      <c r="D1186" s="1849"/>
      <c r="E1186" s="1160"/>
      <c r="F1186" s="838"/>
      <c r="G1186" s="4401"/>
      <c r="H1186" s="1463"/>
      <c r="I1186" s="1121"/>
      <c r="J1186" s="1951"/>
      <c r="K1186" s="4475"/>
      <c r="L1186" s="1315"/>
      <c r="M1186" s="2338"/>
      <c r="N1186" s="4109"/>
      <c r="P1186" s="500"/>
    </row>
    <row r="1187" spans="1:16" s="3598" customFormat="1" ht="18.75" customHeight="1" x14ac:dyDescent="0.25">
      <c r="A1187" s="3588"/>
      <c r="B1187" s="4119"/>
      <c r="C1187" s="4103" t="s">
        <v>6442</v>
      </c>
      <c r="D1187" s="1851">
        <f>SUM(D1188:D1189)</f>
        <v>2376255000</v>
      </c>
      <c r="E1187" s="1159">
        <f>D1187/D807*100</f>
        <v>1.4370588159343649</v>
      </c>
      <c r="F1187" s="958"/>
      <c r="G1187" s="2168"/>
      <c r="H1187" s="1415"/>
      <c r="I1187" s="4476"/>
      <c r="J1187" s="4458"/>
      <c r="K1187" s="4477"/>
      <c r="L1187" s="2261"/>
      <c r="M1187" s="2560"/>
      <c r="N1187" s="3592"/>
      <c r="P1187" s="4592"/>
    </row>
    <row r="1188" spans="1:16" s="3387" customFormat="1" x14ac:dyDescent="0.25">
      <c r="A1188" s="3587"/>
      <c r="B1188" s="2910"/>
      <c r="C1188" s="3856" t="s">
        <v>6443</v>
      </c>
      <c r="D1188" s="1846">
        <v>800250000</v>
      </c>
      <c r="E1188" s="1160">
        <f>D1188/D807*100</f>
        <v>0.48395745298862097</v>
      </c>
      <c r="F1188" s="838"/>
      <c r="G1188" s="913"/>
      <c r="H1188" s="880"/>
      <c r="I1188" s="1121"/>
      <c r="J1188" s="1951"/>
      <c r="K1188" s="2171"/>
      <c r="L1188" s="1717"/>
      <c r="M1188" s="2338"/>
      <c r="N1188" s="3590"/>
      <c r="P1188" s="612"/>
    </row>
    <row r="1189" spans="1:16" s="3387" customFormat="1" ht="27.75" customHeight="1" x14ac:dyDescent="0.25">
      <c r="A1189" s="3587"/>
      <c r="B1189" s="2910"/>
      <c r="C1189" s="3856" t="s">
        <v>6444</v>
      </c>
      <c r="D1189" s="1846">
        <v>1576005000</v>
      </c>
      <c r="E1189" s="1160">
        <f>D1189/D807*100</f>
        <v>0.95310136294574388</v>
      </c>
      <c r="F1189" s="838"/>
      <c r="G1189" s="913"/>
      <c r="H1189" s="880"/>
      <c r="I1189" s="1121"/>
      <c r="J1189" s="1951"/>
      <c r="K1189" s="2171"/>
      <c r="L1189" s="1717"/>
      <c r="M1189" s="2338"/>
      <c r="N1189" s="3590"/>
      <c r="P1189" s="612"/>
    </row>
    <row r="1190" spans="1:16" s="3387" customFormat="1" ht="12" customHeight="1" x14ac:dyDescent="0.25">
      <c r="A1190" s="3587"/>
      <c r="B1190" s="2910"/>
      <c r="C1190" s="4478"/>
      <c r="D1190" s="4479"/>
      <c r="E1190" s="4480"/>
      <c r="F1190" s="852"/>
      <c r="G1190" s="4481"/>
      <c r="H1190" s="3517"/>
      <c r="I1190" s="4482"/>
      <c r="J1190" s="2342"/>
      <c r="K1190" s="4483"/>
      <c r="L1190" s="2283"/>
      <c r="M1190" s="3751"/>
      <c r="N1190" s="3590"/>
      <c r="P1190" s="612"/>
    </row>
    <row r="1191" spans="1:16" ht="16.5" customHeight="1" x14ac:dyDescent="0.25">
      <c r="B1191" s="1305"/>
      <c r="C1191" s="3906" t="s">
        <v>6445</v>
      </c>
      <c r="D1191" s="669">
        <f>SUM(D1192+D1197+D1201+D1204+D1208)</f>
        <v>3506452506</v>
      </c>
      <c r="E1191" s="1050">
        <f>D1191/D807*100</f>
        <v>2.1205546064721368</v>
      </c>
      <c r="F1191" s="832"/>
      <c r="G1191" s="832"/>
      <c r="H1191" s="1306"/>
      <c r="I1191" s="2298"/>
      <c r="J1191" s="1813"/>
      <c r="K1191" s="1813"/>
      <c r="L1191" s="1462"/>
      <c r="M1191" s="2066"/>
      <c r="N1191" s="535"/>
    </row>
    <row r="1192" spans="1:16" s="1639" customFormat="1" ht="18" customHeight="1" x14ac:dyDescent="0.25">
      <c r="A1192" s="1637"/>
      <c r="B1192" s="1242"/>
      <c r="C1192" s="3854" t="s">
        <v>6446</v>
      </c>
      <c r="D1192" s="1847">
        <v>590408362</v>
      </c>
      <c r="E1192" s="1159">
        <f>D1192/D807*100</f>
        <v>0.35705407947104495</v>
      </c>
      <c r="F1192" s="665"/>
      <c r="G1192" s="890"/>
      <c r="H1192" s="1173"/>
      <c r="I1192" s="890"/>
      <c r="J1192" s="1847"/>
      <c r="K1192" s="1847"/>
      <c r="L1192" s="1308"/>
      <c r="M1192" s="2308"/>
      <c r="N1192" s="1638"/>
      <c r="P1192" s="4588"/>
    </row>
    <row r="1193" spans="1:16" s="2080" customFormat="1" ht="16.5" customHeight="1" x14ac:dyDescent="0.25">
      <c r="A1193" s="2074"/>
      <c r="B1193" s="2910"/>
      <c r="C1193" s="3876" t="s">
        <v>6447</v>
      </c>
      <c r="D1193" s="1846">
        <v>92319624</v>
      </c>
      <c r="E1193" s="1160">
        <f>D1193/D807*100</f>
        <v>5.5831015422564398E-2</v>
      </c>
      <c r="F1193" s="386"/>
      <c r="G1193" s="883"/>
      <c r="H1193" s="1168"/>
      <c r="I1193" s="883"/>
      <c r="J1193" s="1846"/>
      <c r="K1193" s="2293"/>
      <c r="L1193" s="1310"/>
      <c r="M1193" s="2230"/>
      <c r="N1193" s="2076"/>
      <c r="P1193" s="4598"/>
    </row>
    <row r="1194" spans="1:16" s="3387" customFormat="1" ht="15.75" customHeight="1" x14ac:dyDescent="0.25">
      <c r="A1194" s="3587"/>
      <c r="B1194" s="2910"/>
      <c r="C1194" s="4111" t="s">
        <v>6448</v>
      </c>
      <c r="D1194" s="1852">
        <v>276191000</v>
      </c>
      <c r="E1194" s="1160">
        <f>D1194/D807*100</f>
        <v>0.16702866966370536</v>
      </c>
      <c r="F1194" s="4484"/>
      <c r="G1194" s="878"/>
      <c r="H1194" s="1167"/>
      <c r="I1194" s="1109"/>
      <c r="J1194" s="4485"/>
      <c r="K1194" s="2293"/>
      <c r="L1194" s="2293"/>
      <c r="M1194" s="2230"/>
      <c r="N1194" s="3590"/>
      <c r="P1194" s="612"/>
    </row>
    <row r="1195" spans="1:16" s="3387" customFormat="1" ht="14.25" customHeight="1" x14ac:dyDescent="0.25">
      <c r="A1195" s="3587"/>
      <c r="B1195" s="2910"/>
      <c r="C1195" s="3856" t="s">
        <v>6449</v>
      </c>
      <c r="D1195" s="1846">
        <v>221897738</v>
      </c>
      <c r="E1195" s="1160">
        <f>D1195/D807*100</f>
        <v>0.13419439438477515</v>
      </c>
      <c r="F1195" s="3681"/>
      <c r="G1195" s="878"/>
      <c r="H1195" s="2337"/>
      <c r="I1195" s="1109"/>
      <c r="J1195" s="4485"/>
      <c r="K1195" s="2293"/>
      <c r="L1195" s="2327"/>
      <c r="M1195" s="2230"/>
      <c r="N1195" s="3590"/>
      <c r="P1195" s="612"/>
    </row>
    <row r="1196" spans="1:16" s="3387" customFormat="1" ht="11.25" customHeight="1" x14ac:dyDescent="0.25">
      <c r="A1196" s="3587"/>
      <c r="B1196" s="2910"/>
      <c r="C1196" s="4111"/>
      <c r="D1196" s="1852"/>
      <c r="E1196" s="1160"/>
      <c r="F1196" s="4484"/>
      <c r="G1196" s="878"/>
      <c r="H1196" s="2337"/>
      <c r="I1196" s="1109"/>
      <c r="J1196" s="4485"/>
      <c r="K1196" s="2293"/>
      <c r="L1196" s="2327"/>
      <c r="M1196" s="2230"/>
      <c r="N1196" s="3590"/>
      <c r="P1196" s="612"/>
    </row>
    <row r="1197" spans="1:16" s="1639" customFormat="1" ht="15" customHeight="1" x14ac:dyDescent="0.25">
      <c r="A1197" s="1637"/>
      <c r="B1197" s="1242"/>
      <c r="C1197" s="3855" t="s">
        <v>6450</v>
      </c>
      <c r="D1197" s="673">
        <v>1370290500</v>
      </c>
      <c r="E1197" s="1159">
        <f>D1197/D807*100</f>
        <v>0.8286939084467404</v>
      </c>
      <c r="F1197" s="673"/>
      <c r="G1197" s="673"/>
      <c r="H1197" s="2251"/>
      <c r="I1197" s="1110"/>
      <c r="J1197" s="673"/>
      <c r="K1197" s="673"/>
      <c r="L1197" s="1308"/>
      <c r="M1197" s="2006"/>
      <c r="N1197" s="1638"/>
      <c r="P1197" s="4588"/>
    </row>
    <row r="1198" spans="1:16" s="1639" customFormat="1" ht="14.25" customHeight="1" x14ac:dyDescent="0.25">
      <c r="A1198" s="1637"/>
      <c r="B1198" s="1242"/>
      <c r="C1198" s="3874" t="s">
        <v>6451</v>
      </c>
      <c r="D1198" s="1846">
        <v>1002165500</v>
      </c>
      <c r="E1198" s="1160">
        <f>D1198/D807*100</f>
        <v>0.60606743249368056</v>
      </c>
      <c r="F1198" s="386"/>
      <c r="G1198" s="883"/>
      <c r="H1198" s="1168"/>
      <c r="I1198" s="883"/>
      <c r="J1198" s="1846"/>
      <c r="K1198" s="2293"/>
      <c r="L1198" s="1310"/>
      <c r="M1198" s="2230"/>
      <c r="N1198" s="1638"/>
      <c r="P1198" s="4588"/>
    </row>
    <row r="1199" spans="1:16" s="1639" customFormat="1" ht="15.75" customHeight="1" x14ac:dyDescent="0.25">
      <c r="A1199" s="1637"/>
      <c r="B1199" s="1242"/>
      <c r="C1199" s="3863" t="s">
        <v>6452</v>
      </c>
      <c r="D1199" s="1846">
        <v>368125000</v>
      </c>
      <c r="E1199" s="1160">
        <f>D1199/D807*100</f>
        <v>0.22262647595305982</v>
      </c>
      <c r="F1199" s="386"/>
      <c r="G1199" s="883"/>
      <c r="H1199" s="1168"/>
      <c r="I1199" s="883"/>
      <c r="J1199" s="1846"/>
      <c r="K1199" s="883"/>
      <c r="L1199" s="1168"/>
      <c r="M1199" s="883"/>
      <c r="N1199" s="1638"/>
      <c r="P1199" s="4588"/>
    </row>
    <row r="1200" spans="1:16" ht="12" customHeight="1" x14ac:dyDescent="0.25">
      <c r="B1200" s="1242"/>
      <c r="C1200" s="3986"/>
      <c r="D1200" s="1849"/>
      <c r="E1200" s="1162"/>
      <c r="F1200" s="389"/>
      <c r="G1200" s="882"/>
      <c r="H1200" s="2234"/>
      <c r="I1200" s="2295"/>
      <c r="J1200" s="1849"/>
      <c r="K1200" s="2296"/>
      <c r="L1200" s="2175"/>
      <c r="M1200" s="2227"/>
      <c r="N1200" s="535"/>
    </row>
    <row r="1201" spans="1:16" s="1639" customFormat="1" ht="18.75" customHeight="1" x14ac:dyDescent="0.25">
      <c r="A1201" s="1637"/>
      <c r="B1201" s="1242"/>
      <c r="C1201" s="3862" t="s">
        <v>6453</v>
      </c>
      <c r="D1201" s="673">
        <v>94722874</v>
      </c>
      <c r="E1201" s="1159">
        <f>D1201/D807*100</f>
        <v>5.7284399676103805E-2</v>
      </c>
      <c r="F1201" s="673"/>
      <c r="G1201" s="890"/>
      <c r="H1201" s="1173"/>
      <c r="I1201" s="890"/>
      <c r="J1201" s="673"/>
      <c r="K1201" s="673"/>
      <c r="L1201" s="1308"/>
      <c r="M1201" s="2227"/>
      <c r="N1201" s="1638"/>
      <c r="P1201" s="4588"/>
    </row>
    <row r="1202" spans="1:16" s="1639" customFormat="1" ht="17.25" customHeight="1" x14ac:dyDescent="0.25">
      <c r="A1202" s="1637"/>
      <c r="B1202" s="1242"/>
      <c r="C1202" s="3902" t="s">
        <v>6454</v>
      </c>
      <c r="D1202" s="1846">
        <v>94722874</v>
      </c>
      <c r="E1202" s="1160">
        <f>D1202/D807*100</f>
        <v>5.7284399676103805E-2</v>
      </c>
      <c r="F1202" s="386"/>
      <c r="G1202" s="883"/>
      <c r="H1202" s="1168"/>
      <c r="I1202" s="883"/>
      <c r="J1202" s="1846"/>
      <c r="K1202" s="2296"/>
      <c r="L1202" s="1310"/>
      <c r="M1202" s="2227"/>
      <c r="N1202" s="1638"/>
      <c r="P1202" s="4588"/>
    </row>
    <row r="1203" spans="1:16" s="1639" customFormat="1" ht="12" customHeight="1" x14ac:dyDescent="0.25">
      <c r="A1203" s="1637"/>
      <c r="B1203" s="1242"/>
      <c r="C1203" s="3991"/>
      <c r="D1203" s="1849"/>
      <c r="E1203" s="1160"/>
      <c r="F1203" s="389"/>
      <c r="G1203" s="882"/>
      <c r="H1203" s="2234"/>
      <c r="I1203" s="2295"/>
      <c r="J1203" s="1849"/>
      <c r="K1203" s="2296"/>
      <c r="L1203" s="2175"/>
      <c r="M1203" s="2227"/>
      <c r="N1203" s="1638"/>
      <c r="P1203" s="4588"/>
    </row>
    <row r="1204" spans="1:16" s="1639" customFormat="1" ht="13.5" customHeight="1" x14ac:dyDescent="0.25">
      <c r="A1204" s="1637"/>
      <c r="B1204" s="1242"/>
      <c r="C1204" s="3855" t="s">
        <v>6455</v>
      </c>
      <c r="D1204" s="673">
        <v>918591758</v>
      </c>
      <c r="E1204" s="1052">
        <f>D1204/D807*100</f>
        <v>0.55552555768574774</v>
      </c>
      <c r="F1204" s="673"/>
      <c r="G1204" s="673"/>
      <c r="H1204" s="2251"/>
      <c r="I1204" s="877"/>
      <c r="J1204" s="673"/>
      <c r="K1204" s="673"/>
      <c r="L1204" s="1308"/>
      <c r="M1204" s="2176"/>
      <c r="N1204" s="1638"/>
      <c r="P1204" s="4588"/>
    </row>
    <row r="1205" spans="1:16" s="1639" customFormat="1" ht="15" customHeight="1" x14ac:dyDescent="0.25">
      <c r="A1205" s="1637"/>
      <c r="B1205" s="1242"/>
      <c r="C1205" s="3856" t="s">
        <v>6456</v>
      </c>
      <c r="D1205" s="1846">
        <v>859190050</v>
      </c>
      <c r="E1205" s="1160">
        <f>D1205/D807*100</f>
        <v>0.51960190969217857</v>
      </c>
      <c r="F1205" s="386"/>
      <c r="G1205" s="883"/>
      <c r="H1205" s="2174"/>
      <c r="I1205" s="883"/>
      <c r="J1205" s="1846"/>
      <c r="K1205" s="2297"/>
      <c r="L1205" s="1310"/>
      <c r="M1205" s="2297"/>
      <c r="N1205" s="1638"/>
      <c r="P1205" s="4588"/>
    </row>
    <row r="1206" spans="1:16" s="2080" customFormat="1" ht="15" customHeight="1" x14ac:dyDescent="0.25">
      <c r="A1206" s="2074"/>
      <c r="B1206" s="2910"/>
      <c r="C1206" s="4111" t="s">
        <v>6457</v>
      </c>
      <c r="D1206" s="1856">
        <v>59401708</v>
      </c>
      <c r="E1206" s="1458">
        <f>D1206/D807*100</f>
        <v>3.5923647993569244E-2</v>
      </c>
      <c r="F1206" s="668"/>
      <c r="G1206" s="882"/>
      <c r="H1206" s="2174"/>
      <c r="I1206" s="878"/>
      <c r="J1206" s="1846"/>
      <c r="K1206" s="2293"/>
      <c r="L1206" s="2293"/>
      <c r="M1206" s="2293"/>
      <c r="N1206" s="2076"/>
      <c r="P1206" s="4598"/>
    </row>
    <row r="1207" spans="1:16" s="1639" customFormat="1" ht="12" customHeight="1" x14ac:dyDescent="0.25">
      <c r="A1207" s="1637"/>
      <c r="B1207" s="4119"/>
      <c r="C1207" s="3991"/>
      <c r="D1207" s="1849"/>
      <c r="E1207" s="1162"/>
      <c r="F1207" s="389"/>
      <c r="G1207" s="878"/>
      <c r="H1207" s="2174"/>
      <c r="I1207" s="3047"/>
      <c r="J1207" s="4084"/>
      <c r="K1207" s="2301"/>
      <c r="L1207" s="2327"/>
      <c r="M1207" s="2327"/>
      <c r="N1207" s="1638"/>
      <c r="P1207" s="4588"/>
    </row>
    <row r="1208" spans="1:16" s="1639" customFormat="1" ht="17.25" customHeight="1" x14ac:dyDescent="0.25">
      <c r="A1208" s="1637"/>
      <c r="B1208" s="1242"/>
      <c r="C1208" s="4489" t="s">
        <v>6458</v>
      </c>
      <c r="D1208" s="4171">
        <v>532439012</v>
      </c>
      <c r="E1208" s="1159">
        <f>D1208/D807*100</f>
        <v>0.32199666119249959</v>
      </c>
      <c r="F1208" s="665"/>
      <c r="G1208" s="665"/>
      <c r="H1208" s="2251"/>
      <c r="I1208" s="1110"/>
      <c r="J1208" s="1847"/>
      <c r="K1208" s="1847"/>
      <c r="L1208" s="1308"/>
      <c r="M1208" s="2006"/>
      <c r="N1208" s="1638"/>
      <c r="P1208" s="4588"/>
    </row>
    <row r="1209" spans="1:16" s="1639" customFormat="1" ht="30" customHeight="1" x14ac:dyDescent="0.25">
      <c r="A1209" s="1637"/>
      <c r="B1209" s="1242"/>
      <c r="C1209" s="3874" t="s">
        <v>6459</v>
      </c>
      <c r="D1209" s="666">
        <v>128774526</v>
      </c>
      <c r="E1209" s="1160">
        <f>D1209/D807*100</f>
        <v>7.7877402827587566E-2</v>
      </c>
      <c r="F1209" s="386"/>
      <c r="G1209" s="878"/>
      <c r="H1209" s="2174"/>
      <c r="I1209" s="878"/>
      <c r="J1209" s="1846"/>
      <c r="K1209" s="2293"/>
      <c r="L1209" s="1310"/>
      <c r="M1209" s="2293"/>
      <c r="N1209" s="1638"/>
      <c r="P1209" s="4588"/>
    </row>
    <row r="1210" spans="1:16" s="2080" customFormat="1" ht="15" customHeight="1" x14ac:dyDescent="0.25">
      <c r="A1210" s="2074"/>
      <c r="B1210" s="2910"/>
      <c r="C1210" s="3876" t="s">
        <v>6460</v>
      </c>
      <c r="D1210" s="1848">
        <v>70361290</v>
      </c>
      <c r="E1210" s="1160">
        <f>D1210/D807*100</f>
        <v>4.2551541015174915E-2</v>
      </c>
      <c r="F1210" s="4486"/>
      <c r="G1210" s="878"/>
      <c r="H1210" s="2174"/>
      <c r="I1210" s="878"/>
      <c r="J1210" s="4487"/>
      <c r="K1210" s="2293"/>
      <c r="L1210" s="2293"/>
      <c r="M1210" s="2293"/>
      <c r="N1210" s="2076"/>
      <c r="P1210" s="4598"/>
    </row>
    <row r="1211" spans="1:16" s="2080" customFormat="1" ht="25.5" customHeight="1" x14ac:dyDescent="0.25">
      <c r="A1211" s="2074"/>
      <c r="B1211" s="3604"/>
      <c r="C1211" s="3902" t="s">
        <v>6461</v>
      </c>
      <c r="D1211" s="666">
        <v>291124040</v>
      </c>
      <c r="E1211" s="1160">
        <f>D1211/D807*100</f>
        <v>0.17605954252065906</v>
      </c>
      <c r="F1211" s="666"/>
      <c r="G1211" s="666"/>
      <c r="H1211" s="2174"/>
      <c r="I1211" s="1109"/>
      <c r="J1211" s="666"/>
      <c r="K1211" s="666"/>
      <c r="L1211" s="1310"/>
      <c r="M1211" s="2230"/>
      <c r="N1211" s="2076"/>
      <c r="P1211" s="4598"/>
    </row>
    <row r="1212" spans="1:16" s="1639" customFormat="1" ht="27.75" customHeight="1" x14ac:dyDescent="0.25">
      <c r="A1212" s="1637"/>
      <c r="B1212" s="1242"/>
      <c r="C1212" s="3902" t="s">
        <v>6462</v>
      </c>
      <c r="D1212" s="666">
        <v>42179156</v>
      </c>
      <c r="E1212" s="1160">
        <f>D1212/D807*100</f>
        <v>2.5508174829078051E-2</v>
      </c>
      <c r="F1212" s="611"/>
      <c r="G1212" s="882"/>
      <c r="H1212" s="2174"/>
      <c r="I1212" s="2295"/>
      <c r="J1212" s="1852"/>
      <c r="K1212" s="2296"/>
      <c r="L1212" s="1310"/>
      <c r="M1212" s="2227"/>
      <c r="N1212" s="1638"/>
      <c r="P1212" s="4588"/>
    </row>
    <row r="1213" spans="1:16" ht="12" customHeight="1" x14ac:dyDescent="0.25">
      <c r="B1213" s="1242"/>
      <c r="D1213" s="4084"/>
      <c r="E1213" s="1165"/>
      <c r="F1213" s="852"/>
      <c r="G1213" s="898"/>
      <c r="H1213" s="2341"/>
      <c r="I1213" s="2329"/>
      <c r="J1213" s="2342"/>
      <c r="K1213" s="2331"/>
      <c r="L1213" s="2343"/>
      <c r="M1213" s="2333"/>
      <c r="N1213" s="535"/>
    </row>
    <row r="1214" spans="1:16" s="1639" customFormat="1" ht="18" customHeight="1" x14ac:dyDescent="0.25">
      <c r="A1214" s="1637"/>
      <c r="B1214" s="1305"/>
      <c r="C1214" s="3875" t="s">
        <v>1654</v>
      </c>
      <c r="D1214" s="1853">
        <f>SUM(D1215+D1220+D1232+D1236+D1239+D1242)</f>
        <v>10624125174</v>
      </c>
      <c r="E1214" s="1050">
        <f>D1214/D807*100</f>
        <v>6.4250228796517703</v>
      </c>
      <c r="F1214" s="388"/>
      <c r="G1214" s="906"/>
      <c r="H1214" s="1306"/>
      <c r="I1214" s="2298"/>
      <c r="J1214" s="1853"/>
      <c r="K1214" s="1853"/>
      <c r="L1214" s="1462"/>
      <c r="M1214" s="2066"/>
      <c r="N1214" s="1638"/>
      <c r="P1214" s="4588"/>
    </row>
    <row r="1215" spans="1:16" s="1639" customFormat="1" ht="18" customHeight="1" x14ac:dyDescent="0.25">
      <c r="A1215" s="1637"/>
      <c r="B1215" s="1242"/>
      <c r="C1215" s="3854" t="s">
        <v>1292</v>
      </c>
      <c r="D1215" s="1847">
        <f>SUM(D1216:D1218)</f>
        <v>873712700</v>
      </c>
      <c r="E1215" s="1159">
        <f>D1215/D807*100</f>
        <v>0.52838459598351906</v>
      </c>
      <c r="F1215" s="665"/>
      <c r="G1215" s="907"/>
      <c r="H1215" s="2238"/>
      <c r="I1215" s="2344"/>
      <c r="J1215" s="1847"/>
      <c r="K1215" s="1847"/>
      <c r="L1215" s="1308"/>
      <c r="M1215" s="2345"/>
      <c r="N1215" s="1638"/>
      <c r="P1215" s="4588"/>
    </row>
    <row r="1216" spans="1:16" s="1639" customFormat="1" ht="18" customHeight="1" x14ac:dyDescent="0.25">
      <c r="A1216" s="1637"/>
      <c r="B1216" s="1242"/>
      <c r="C1216" s="3863" t="s">
        <v>1293</v>
      </c>
      <c r="D1216" s="666">
        <v>230746600</v>
      </c>
      <c r="E1216" s="1160">
        <f>D1216/D807*100</f>
        <v>0.13954581296067994</v>
      </c>
      <c r="F1216" s="880"/>
      <c r="G1216" s="608"/>
      <c r="H1216" s="880"/>
      <c r="I1216" s="1109"/>
      <c r="J1216" s="666"/>
      <c r="K1216" s="2293"/>
      <c r="L1216" s="1310"/>
      <c r="M1216" s="2230"/>
      <c r="N1216" s="1638"/>
      <c r="P1216" s="4588"/>
    </row>
    <row r="1217" spans="1:16" s="1639" customFormat="1" ht="15.75" customHeight="1" x14ac:dyDescent="0.25">
      <c r="A1217" s="1637"/>
      <c r="B1217" s="4119"/>
      <c r="C1217" s="3964" t="s">
        <v>6463</v>
      </c>
      <c r="D1217" s="671">
        <v>152073100</v>
      </c>
      <c r="E1217" s="1458">
        <f>D1217/D807*100</f>
        <v>9.1967397868270989E-2</v>
      </c>
      <c r="F1217" s="886"/>
      <c r="G1217" s="608"/>
      <c r="H1217" s="880"/>
      <c r="I1217" s="1109"/>
      <c r="J1217" s="671"/>
      <c r="K1217" s="2293"/>
      <c r="L1217" s="1310"/>
      <c r="M1217" s="2230"/>
      <c r="N1217" s="1638"/>
      <c r="P1217" s="4588"/>
    </row>
    <row r="1218" spans="1:16" s="1639" customFormat="1" ht="15.75" customHeight="1" x14ac:dyDescent="0.25">
      <c r="A1218" s="1637"/>
      <c r="B1218" s="4119"/>
      <c r="C1218" s="4104" t="s">
        <v>6464</v>
      </c>
      <c r="D1218" s="666">
        <v>490893000</v>
      </c>
      <c r="E1218" s="1162">
        <f>D1218/D807*100</f>
        <v>0.29687138515456807</v>
      </c>
      <c r="F1218" s="880"/>
      <c r="G1218" s="608"/>
      <c r="H1218" s="880"/>
      <c r="I1218" s="1109"/>
      <c r="J1218" s="671"/>
      <c r="K1218" s="2293"/>
      <c r="L1218" s="1310"/>
      <c r="M1218" s="2230"/>
      <c r="N1218" s="1638"/>
      <c r="P1218" s="4588"/>
    </row>
    <row r="1219" spans="1:16" s="1639" customFormat="1" ht="12" customHeight="1" x14ac:dyDescent="0.25">
      <c r="A1219" s="1637"/>
      <c r="B1219" s="1242"/>
      <c r="C1219" s="3991"/>
      <c r="D1219" s="1849"/>
      <c r="E1219" s="1161"/>
      <c r="F1219" s="4107"/>
      <c r="G1219" s="676"/>
      <c r="H1219" s="1463"/>
      <c r="I1219" s="1109"/>
      <c r="J1219" s="1854"/>
      <c r="K1219" s="2293"/>
      <c r="L1219" s="1311"/>
      <c r="M1219" s="2230"/>
      <c r="N1219" s="1638"/>
      <c r="P1219" s="4588"/>
    </row>
    <row r="1220" spans="1:16" s="1639" customFormat="1" ht="15.75" customHeight="1" x14ac:dyDescent="0.25">
      <c r="A1220" s="1637"/>
      <c r="B1220" s="1242"/>
      <c r="C1220" s="4490" t="s">
        <v>6465</v>
      </c>
      <c r="D1220" s="1847">
        <f>SUM(D1221:D1230)</f>
        <v>6652505159</v>
      </c>
      <c r="E1220" s="1159">
        <f>D1220/D807*100</f>
        <v>4.0231545801228377</v>
      </c>
      <c r="F1220" s="665"/>
      <c r="G1220" s="908"/>
      <c r="H1220" s="1415"/>
      <c r="I1220" s="1110"/>
      <c r="J1220" s="1847"/>
      <c r="K1220" s="1847"/>
      <c r="L1220" s="1308"/>
      <c r="M1220" s="2006"/>
      <c r="N1220" s="1638"/>
      <c r="P1220" s="4588"/>
    </row>
    <row r="1221" spans="1:16" s="1639" customFormat="1" ht="16.5" customHeight="1" x14ac:dyDescent="0.25">
      <c r="A1221" s="1637"/>
      <c r="B1221" s="1242"/>
      <c r="C1221" s="3902" t="s">
        <v>6466</v>
      </c>
      <c r="D1221" s="1846">
        <v>724843300</v>
      </c>
      <c r="E1221" s="1160">
        <f>D1221/D807*100</f>
        <v>0.43835466077334195</v>
      </c>
      <c r="F1221" s="386"/>
      <c r="G1221" s="608"/>
      <c r="H1221" s="880"/>
      <c r="I1221" s="1109"/>
      <c r="J1221" s="1846"/>
      <c r="K1221" s="2293"/>
      <c r="L1221" s="1310"/>
      <c r="M1221" s="2230"/>
      <c r="N1221" s="1638"/>
      <c r="P1221" s="4588"/>
    </row>
    <row r="1222" spans="1:16" s="2080" customFormat="1" ht="17.25" customHeight="1" x14ac:dyDescent="0.25">
      <c r="A1222" s="2074"/>
      <c r="B1222" s="2910"/>
      <c r="C1222" s="3902" t="s">
        <v>6467</v>
      </c>
      <c r="D1222" s="1846">
        <v>164691746</v>
      </c>
      <c r="E1222" s="1160">
        <f>D1222/D807*100</f>
        <v>9.95986228333757E-2</v>
      </c>
      <c r="F1222" s="386"/>
      <c r="G1222" s="608"/>
      <c r="H1222" s="880"/>
      <c r="I1222" s="1109"/>
      <c r="J1222" s="1846"/>
      <c r="K1222" s="2293"/>
      <c r="L1222" s="1310"/>
      <c r="M1222" s="2230"/>
      <c r="N1222" s="2076"/>
      <c r="P1222" s="4598"/>
    </row>
    <row r="1223" spans="1:16" s="2080" customFormat="1" ht="15" customHeight="1" x14ac:dyDescent="0.25">
      <c r="A1223" s="2074"/>
      <c r="B1223" s="2910"/>
      <c r="C1223" s="4111" t="s">
        <v>6468</v>
      </c>
      <c r="D1223" s="1846">
        <v>866770834</v>
      </c>
      <c r="E1223" s="1160">
        <f>D1223/D807*100</f>
        <v>0.52418644816927562</v>
      </c>
      <c r="F1223" s="386"/>
      <c r="G1223" s="608"/>
      <c r="H1223" s="880"/>
      <c r="I1223" s="1109"/>
      <c r="J1223" s="1846"/>
      <c r="K1223" s="2293"/>
      <c r="L1223" s="1312"/>
      <c r="M1223" s="2230"/>
      <c r="N1223" s="2076"/>
      <c r="P1223" s="4598"/>
    </row>
    <row r="1224" spans="1:16" s="2080" customFormat="1" ht="15.75" customHeight="1" x14ac:dyDescent="0.25">
      <c r="A1224" s="2074"/>
      <c r="B1224" s="2910"/>
      <c r="C1224" s="3856" t="s">
        <v>6469</v>
      </c>
      <c r="D1224" s="1846">
        <v>333400000</v>
      </c>
      <c r="E1224" s="1160">
        <f>D1224/D807*100</f>
        <v>0.2016262603266557</v>
      </c>
      <c r="F1224" s="386"/>
      <c r="G1224" s="608"/>
      <c r="H1224" s="880"/>
      <c r="I1224" s="1109"/>
      <c r="J1224" s="1846"/>
      <c r="K1224" s="2293"/>
      <c r="L1224" s="1312"/>
      <c r="M1224" s="2230"/>
      <c r="N1224" s="2076"/>
      <c r="P1224" s="4598"/>
    </row>
    <row r="1225" spans="1:16" s="2080" customFormat="1" ht="16.5" customHeight="1" x14ac:dyDescent="0.25">
      <c r="A1225" s="2074"/>
      <c r="B1225" s="2910"/>
      <c r="C1225" s="3856" t="s">
        <v>6470</v>
      </c>
      <c r="D1225" s="1846">
        <v>495766791</v>
      </c>
      <c r="E1225" s="1160">
        <f>D1225/D807*100</f>
        <v>0.29981884842074596</v>
      </c>
      <c r="F1225" s="386"/>
      <c r="G1225" s="608"/>
      <c r="H1225" s="880"/>
      <c r="I1225" s="1109"/>
      <c r="J1225" s="1846"/>
      <c r="K1225" s="2293"/>
      <c r="L1225" s="1312"/>
      <c r="M1225" s="2230"/>
      <c r="N1225" s="2076"/>
      <c r="P1225" s="4598"/>
    </row>
    <row r="1226" spans="1:16" s="2080" customFormat="1" ht="15" customHeight="1" x14ac:dyDescent="0.25">
      <c r="A1226" s="2074"/>
      <c r="B1226" s="2910"/>
      <c r="C1226" s="3856" t="s">
        <v>6471</v>
      </c>
      <c r="D1226" s="1846">
        <v>165174700</v>
      </c>
      <c r="E1226" s="1160">
        <f>D1226/D807*100</f>
        <v>9.9890693046122553E-2</v>
      </c>
      <c r="F1226" s="386"/>
      <c r="G1226" s="608"/>
      <c r="H1226" s="880"/>
      <c r="I1226" s="1109"/>
      <c r="J1226" s="1846"/>
      <c r="K1226" s="2293"/>
      <c r="L1226" s="1312"/>
      <c r="M1226" s="2230"/>
      <c r="N1226" s="2076"/>
      <c r="P1226" s="4598"/>
    </row>
    <row r="1227" spans="1:16" s="2080" customFormat="1" ht="15.75" customHeight="1" x14ac:dyDescent="0.25">
      <c r="A1227" s="2074"/>
      <c r="B1227" s="2910"/>
      <c r="C1227" s="3856" t="s">
        <v>6472</v>
      </c>
      <c r="D1227" s="1846">
        <v>378724000</v>
      </c>
      <c r="E1227" s="1160">
        <f>D1227/D807*100</f>
        <v>0.22903630418701967</v>
      </c>
      <c r="F1227" s="386"/>
      <c r="G1227" s="608"/>
      <c r="H1227" s="880"/>
      <c r="I1227" s="1109"/>
      <c r="J1227" s="1846"/>
      <c r="K1227" s="2293"/>
      <c r="L1227" s="1312"/>
      <c r="M1227" s="2230"/>
      <c r="N1227" s="2076"/>
      <c r="P1227" s="4598"/>
    </row>
    <row r="1228" spans="1:16" s="2080" customFormat="1" ht="14.25" customHeight="1" x14ac:dyDescent="0.25">
      <c r="A1228" s="2074"/>
      <c r="B1228" s="2910"/>
      <c r="C1228" s="3856" t="s">
        <v>6473</v>
      </c>
      <c r="D1228" s="1846">
        <v>971327948</v>
      </c>
      <c r="E1228" s="1160">
        <f>D1228/D807*100</f>
        <v>0.58741818148171654</v>
      </c>
      <c r="F1228" s="386"/>
      <c r="G1228" s="608"/>
      <c r="H1228" s="880"/>
      <c r="I1228" s="1109"/>
      <c r="J1228" s="1846"/>
      <c r="K1228" s="2293"/>
      <c r="L1228" s="1312"/>
      <c r="M1228" s="2230"/>
      <c r="N1228" s="2076"/>
      <c r="P1228" s="4598"/>
    </row>
    <row r="1229" spans="1:16" s="2080" customFormat="1" ht="15" customHeight="1" x14ac:dyDescent="0.25">
      <c r="A1229" s="2074"/>
      <c r="B1229" s="2910"/>
      <c r="C1229" s="3856" t="s">
        <v>6474</v>
      </c>
      <c r="D1229" s="1846">
        <v>1313394200</v>
      </c>
      <c r="E1229" s="1160">
        <f>D1229/D807*100</f>
        <v>0.79428542555704773</v>
      </c>
      <c r="F1229" s="386"/>
      <c r="G1229" s="608"/>
      <c r="H1229" s="880"/>
      <c r="I1229" s="1109"/>
      <c r="J1229" s="1846"/>
      <c r="K1229" s="2293"/>
      <c r="L1229" s="1312"/>
      <c r="M1229" s="2230"/>
      <c r="N1229" s="2076"/>
      <c r="P1229" s="4598"/>
    </row>
    <row r="1230" spans="1:16" s="2080" customFormat="1" ht="17.25" customHeight="1" x14ac:dyDescent="0.25">
      <c r="A1230" s="2074"/>
      <c r="B1230" s="2910"/>
      <c r="C1230" s="3856" t="s">
        <v>6475</v>
      </c>
      <c r="D1230" s="1846">
        <v>1238411640</v>
      </c>
      <c r="E1230" s="1160">
        <f>D1230/D807*100</f>
        <v>0.74893913532753631</v>
      </c>
      <c r="F1230" s="386"/>
      <c r="G1230" s="608"/>
      <c r="H1230" s="880"/>
      <c r="I1230" s="1109"/>
      <c r="J1230" s="1846"/>
      <c r="K1230" s="2293"/>
      <c r="L1230" s="1312"/>
      <c r="M1230" s="2230"/>
      <c r="N1230" s="2076"/>
      <c r="P1230" s="4598"/>
    </row>
    <row r="1231" spans="1:16" s="1639" customFormat="1" ht="12" customHeight="1" x14ac:dyDescent="0.25">
      <c r="A1231" s="1637"/>
      <c r="B1231" s="4119"/>
      <c r="C1231" s="3852"/>
      <c r="D1231" s="1849"/>
      <c r="E1231" s="1160"/>
      <c r="F1231" s="389"/>
      <c r="G1231" s="676"/>
      <c r="H1231" s="880"/>
      <c r="I1231" s="1109"/>
      <c r="J1231" s="1849"/>
      <c r="K1231" s="2293"/>
      <c r="L1231" s="1311"/>
      <c r="M1231" s="2230"/>
      <c r="N1231" s="1638"/>
      <c r="P1231" s="4588"/>
    </row>
    <row r="1232" spans="1:16" s="2079" customFormat="1" ht="13.5" customHeight="1" x14ac:dyDescent="0.25">
      <c r="A1232" s="2070"/>
      <c r="B1232" s="4119"/>
      <c r="C1232" s="4103" t="s">
        <v>6476</v>
      </c>
      <c r="D1232" s="1851">
        <f>SUM(D1233:D1234)</f>
        <v>715245199</v>
      </c>
      <c r="E1232" s="1159">
        <f>D1232/D807*100</f>
        <v>0.43255013404608478</v>
      </c>
      <c r="F1232" s="390"/>
      <c r="G1232" s="613"/>
      <c r="H1232" s="1467"/>
      <c r="I1232" s="1117"/>
      <c r="J1232" s="1851"/>
      <c r="K1232" s="4459"/>
      <c r="L1232" s="1650"/>
      <c r="M1232" s="2362"/>
      <c r="N1232" s="2077"/>
      <c r="P1232" s="4591"/>
    </row>
    <row r="1233" spans="1:16" s="2080" customFormat="1" ht="17.25" customHeight="1" x14ac:dyDescent="0.25">
      <c r="A1233" s="2074"/>
      <c r="B1233" s="2910"/>
      <c r="C1233" s="3856" t="s">
        <v>6477</v>
      </c>
      <c r="D1233" s="1846">
        <v>357951199</v>
      </c>
      <c r="E1233" s="1160">
        <f>D1233/D807*100</f>
        <v>0.21647379014340895</v>
      </c>
      <c r="F1233" s="386"/>
      <c r="G1233" s="608"/>
      <c r="H1233" s="880"/>
      <c r="I1233" s="1109"/>
      <c r="J1233" s="1846"/>
      <c r="K1233" s="2293"/>
      <c r="L1233" s="1312"/>
      <c r="M1233" s="2230"/>
      <c r="N1233" s="2076"/>
      <c r="P1233" s="4598"/>
    </row>
    <row r="1234" spans="1:16" s="2080" customFormat="1" ht="28.5" customHeight="1" x14ac:dyDescent="0.25">
      <c r="A1234" s="2074"/>
      <c r="B1234" s="2910"/>
      <c r="C1234" s="3856" t="s">
        <v>6478</v>
      </c>
      <c r="D1234" s="666">
        <v>357294000</v>
      </c>
      <c r="E1234" s="1160">
        <f>D1234/D807*100</f>
        <v>0.21607634390267585</v>
      </c>
      <c r="F1234" s="386"/>
      <c r="G1234" s="608"/>
      <c r="H1234" s="880"/>
      <c r="I1234" s="1109"/>
      <c r="J1234" s="1846"/>
      <c r="K1234" s="2293"/>
      <c r="L1234" s="1312"/>
      <c r="M1234" s="2230"/>
      <c r="N1234" s="2076"/>
      <c r="P1234" s="4598"/>
    </row>
    <row r="1235" spans="1:16" s="1639" customFormat="1" ht="11.25" customHeight="1" x14ac:dyDescent="0.25">
      <c r="A1235" s="1637"/>
      <c r="B1235" s="4119"/>
      <c r="C1235" s="3852"/>
      <c r="D1235" s="1849"/>
      <c r="E1235" s="1459"/>
      <c r="F1235" s="389"/>
      <c r="G1235" s="676"/>
      <c r="H1235" s="880"/>
      <c r="I1235" s="1109"/>
      <c r="J1235" s="1849"/>
      <c r="K1235" s="2293"/>
      <c r="L1235" s="1311"/>
      <c r="M1235" s="2230"/>
      <c r="N1235" s="1638"/>
      <c r="P1235" s="4588"/>
    </row>
    <row r="1236" spans="1:16" s="1639" customFormat="1" ht="15" customHeight="1" x14ac:dyDescent="0.25">
      <c r="A1236" s="1637"/>
      <c r="B1236" s="1242"/>
      <c r="C1236" s="3901" t="s">
        <v>6479</v>
      </c>
      <c r="D1236" s="1851">
        <f>D1237</f>
        <v>325244052</v>
      </c>
      <c r="E1236" s="1159">
        <f>D1236/D807*100</f>
        <v>0.19669388691736156</v>
      </c>
      <c r="F1236" s="390"/>
      <c r="G1236" s="909"/>
      <c r="H1236" s="1415"/>
      <c r="I1236" s="1110"/>
      <c r="J1236" s="1851"/>
      <c r="K1236" s="1851"/>
      <c r="L1236" s="1308"/>
      <c r="M1236" s="2006"/>
      <c r="N1236" s="1638"/>
      <c r="P1236" s="4588"/>
    </row>
    <row r="1237" spans="1:16" s="1639" customFormat="1" ht="18.75" customHeight="1" x14ac:dyDescent="0.25">
      <c r="A1237" s="1637"/>
      <c r="B1237" s="1242"/>
      <c r="C1237" s="3902" t="s">
        <v>6480</v>
      </c>
      <c r="D1237" s="1846">
        <v>325244052</v>
      </c>
      <c r="E1237" s="1160">
        <f>D1237/D807*100</f>
        <v>0.19669388691736156</v>
      </c>
      <c r="F1237" s="386"/>
      <c r="G1237" s="883"/>
      <c r="H1237" s="1168"/>
      <c r="I1237" s="883"/>
      <c r="J1237" s="1846"/>
      <c r="K1237" s="2293"/>
      <c r="L1237" s="1310"/>
      <c r="M1237" s="2230"/>
      <c r="N1237" s="1638"/>
      <c r="P1237" s="4588"/>
    </row>
    <row r="1238" spans="1:16" s="1639" customFormat="1" ht="9.75" customHeight="1" x14ac:dyDescent="0.25">
      <c r="A1238" s="1637"/>
      <c r="B1238" s="4119"/>
      <c r="C1238" s="3902"/>
      <c r="D1238" s="1846"/>
      <c r="E1238" s="1160"/>
      <c r="F1238" s="386"/>
      <c r="G1238" s="883"/>
      <c r="H1238" s="1168"/>
      <c r="I1238" s="883"/>
      <c r="J1238" s="1846"/>
      <c r="K1238" s="2293"/>
      <c r="L1238" s="1310"/>
      <c r="M1238" s="2230"/>
      <c r="N1238" s="1638"/>
      <c r="P1238" s="4588"/>
    </row>
    <row r="1239" spans="1:16" s="2079" customFormat="1" ht="15.75" customHeight="1" x14ac:dyDescent="0.25">
      <c r="A1239" s="2070"/>
      <c r="B1239" s="4119"/>
      <c r="C1239" s="3901" t="s">
        <v>6481</v>
      </c>
      <c r="D1239" s="1851">
        <f>D1240</f>
        <v>277200875</v>
      </c>
      <c r="E1239" s="1159">
        <f>D1239/D807*100</f>
        <v>0.16763939947668491</v>
      </c>
      <c r="F1239" s="390"/>
      <c r="G1239" s="890"/>
      <c r="H1239" s="1173"/>
      <c r="I1239" s="890"/>
      <c r="J1239" s="1851"/>
      <c r="K1239" s="2176"/>
      <c r="L1239" s="1308"/>
      <c r="M1239" s="2006"/>
      <c r="N1239" s="2077"/>
      <c r="P1239" s="4591"/>
    </row>
    <row r="1240" spans="1:16" s="1639" customFormat="1" ht="21" customHeight="1" x14ac:dyDescent="0.25">
      <c r="A1240" s="1637"/>
      <c r="B1240" s="1242"/>
      <c r="C1240" s="3902" t="s">
        <v>6482</v>
      </c>
      <c r="D1240" s="666">
        <v>277200875</v>
      </c>
      <c r="E1240" s="1160">
        <f>D1240/D807*100</f>
        <v>0.16763939947668491</v>
      </c>
      <c r="F1240" s="666"/>
      <c r="G1240" s="608"/>
      <c r="H1240" s="2255"/>
      <c r="I1240" s="1109"/>
      <c r="J1240" s="666"/>
      <c r="K1240" s="2293"/>
      <c r="L1240" s="1310"/>
      <c r="M1240" s="2230"/>
      <c r="N1240" s="1638"/>
      <c r="P1240" s="4588"/>
    </row>
    <row r="1241" spans="1:16" s="1639" customFormat="1" ht="11.25" customHeight="1" x14ac:dyDescent="0.25">
      <c r="A1241" s="1637"/>
      <c r="B1241" s="4119"/>
      <c r="C1241" s="4488"/>
      <c r="D1241" s="671"/>
      <c r="E1241" s="1160"/>
      <c r="F1241" s="671"/>
      <c r="G1241" s="4304"/>
      <c r="H1241" s="2255"/>
      <c r="I1241" s="2339"/>
      <c r="J1241" s="671"/>
      <c r="K1241" s="2301"/>
      <c r="L1241" s="2255"/>
      <c r="M1241" s="2302"/>
      <c r="N1241" s="1638"/>
      <c r="P1241" s="4588"/>
    </row>
    <row r="1242" spans="1:16" s="2079" customFormat="1" ht="18.75" customHeight="1" x14ac:dyDescent="0.25">
      <c r="A1242" s="2070"/>
      <c r="B1242" s="4119"/>
      <c r="C1242" s="3911" t="s">
        <v>6483</v>
      </c>
      <c r="D1242" s="673">
        <f>D1243</f>
        <v>1780217189</v>
      </c>
      <c r="E1242" s="1159">
        <f>D1242/D807*100</f>
        <v>1.0766002831052828</v>
      </c>
      <c r="F1242" s="673"/>
      <c r="G1242" s="613"/>
      <c r="H1242" s="1415"/>
      <c r="I1242" s="1118"/>
      <c r="J1242" s="673"/>
      <c r="K1242" s="2176"/>
      <c r="L1242" s="1415"/>
      <c r="M1242" s="2484"/>
      <c r="N1242" s="2077"/>
      <c r="P1242" s="4591"/>
    </row>
    <row r="1243" spans="1:16" s="1639" customFormat="1" ht="17.25" customHeight="1" x14ac:dyDescent="0.25">
      <c r="A1243" s="1637"/>
      <c r="B1243" s="4119"/>
      <c r="C1243" s="3908" t="s">
        <v>6484</v>
      </c>
      <c r="D1243" s="666">
        <v>1780217189</v>
      </c>
      <c r="E1243" s="1160">
        <f>D1243/D807*100</f>
        <v>1.0766002831052828</v>
      </c>
      <c r="F1243" s="666"/>
      <c r="G1243" s="608"/>
      <c r="H1243" s="880"/>
      <c r="I1243" s="1121"/>
      <c r="J1243" s="666"/>
      <c r="K1243" s="2293"/>
      <c r="L1243" s="880"/>
      <c r="M1243" s="2338"/>
      <c r="N1243" s="1638"/>
      <c r="P1243" s="4588"/>
    </row>
    <row r="1244" spans="1:16" ht="12" customHeight="1" x14ac:dyDescent="0.25">
      <c r="B1244" s="1242"/>
      <c r="D1244" s="4084"/>
      <c r="E1244" s="1164"/>
      <c r="F1244" s="840"/>
      <c r="G1244" s="887"/>
      <c r="H1244" s="2346"/>
      <c r="I1244" s="2339"/>
      <c r="J1244" s="2340"/>
      <c r="K1244" s="2301"/>
      <c r="L1244" s="2182"/>
      <c r="M1244" s="2302"/>
      <c r="N1244" s="535"/>
    </row>
    <row r="1245" spans="1:16" s="1639" customFormat="1" ht="18" customHeight="1" x14ac:dyDescent="0.25">
      <c r="A1245" s="1637"/>
      <c r="B1245" s="1305"/>
      <c r="C1245" s="3906" t="s">
        <v>6485</v>
      </c>
      <c r="D1245" s="669">
        <f>SUM(D1246+D1249+D1253)</f>
        <v>5692177642</v>
      </c>
      <c r="E1245" s="1050">
        <f>D1245/D807*100</f>
        <v>3.4423889954153006</v>
      </c>
      <c r="F1245" s="832"/>
      <c r="G1245" s="888"/>
      <c r="H1245" s="1075"/>
      <c r="I1245" s="888"/>
      <c r="J1245" s="1813"/>
      <c r="K1245" s="1813"/>
      <c r="L1245" s="1462"/>
      <c r="M1245" s="2066"/>
      <c r="N1245" s="1638"/>
      <c r="P1245" s="4588"/>
    </row>
    <row r="1246" spans="1:16" s="1639" customFormat="1" ht="15" customHeight="1" x14ac:dyDescent="0.25">
      <c r="A1246" s="1637"/>
      <c r="B1246" s="1242"/>
      <c r="C1246" s="3901" t="s">
        <v>6486</v>
      </c>
      <c r="D1246" s="1847">
        <f>D1247</f>
        <v>851920000</v>
      </c>
      <c r="E1246" s="1159">
        <f>D1246/D807*100</f>
        <v>0.51520529003444671</v>
      </c>
      <c r="F1246" s="665"/>
      <c r="G1246" s="890"/>
      <c r="H1246" s="1173"/>
      <c r="I1246" s="890"/>
      <c r="J1246" s="1847"/>
      <c r="K1246" s="1847"/>
      <c r="L1246" s="1308"/>
      <c r="M1246" s="1659"/>
      <c r="N1246" s="1638"/>
      <c r="P1246" s="4588"/>
    </row>
    <row r="1247" spans="1:16" s="1639" customFormat="1" ht="18.75" customHeight="1" x14ac:dyDescent="0.25">
      <c r="A1247" s="1637"/>
      <c r="B1247" s="1242"/>
      <c r="C1247" s="3902" t="s">
        <v>6487</v>
      </c>
      <c r="D1247" s="666">
        <v>851920000</v>
      </c>
      <c r="E1247" s="1160">
        <f>D1247/D807*100</f>
        <v>0.51520529003444671</v>
      </c>
      <c r="F1247" s="666"/>
      <c r="G1247" s="883"/>
      <c r="H1247" s="1168"/>
      <c r="I1247" s="883"/>
      <c r="J1247" s="666"/>
      <c r="K1247" s="2293"/>
      <c r="L1247" s="1310"/>
      <c r="M1247" s="1312"/>
      <c r="N1247" s="1638"/>
      <c r="P1247" s="4588"/>
    </row>
    <row r="1248" spans="1:16" s="1639" customFormat="1" ht="9.75" customHeight="1" x14ac:dyDescent="0.25">
      <c r="A1248" s="1637"/>
      <c r="B1248" s="1242"/>
      <c r="C1248" s="3852"/>
      <c r="D1248" s="4084"/>
      <c r="E1248" s="1159"/>
      <c r="F1248" s="533"/>
      <c r="G1248" s="877"/>
      <c r="H1248" s="1308"/>
      <c r="I1248" s="1109"/>
      <c r="J1248" s="1854"/>
      <c r="K1248" s="2176"/>
      <c r="L1248" s="1650"/>
      <c r="M1248" s="2230"/>
      <c r="N1248" s="1638"/>
      <c r="P1248" s="4588"/>
    </row>
    <row r="1249" spans="1:16" s="1639" customFormat="1" ht="15.75" customHeight="1" x14ac:dyDescent="0.25">
      <c r="A1249" s="1637"/>
      <c r="B1249" s="1242"/>
      <c r="C1249" s="3901" t="s">
        <v>6488</v>
      </c>
      <c r="D1249" s="1851">
        <f>SUM(D1250:D1251)</f>
        <v>2306907642</v>
      </c>
      <c r="E1249" s="1159">
        <f>D1249/D807*100</f>
        <v>1.3951204582346834</v>
      </c>
      <c r="F1249" s="390"/>
      <c r="G1249" s="890"/>
      <c r="H1249" s="1173"/>
      <c r="I1249" s="890"/>
      <c r="J1249" s="1851"/>
      <c r="K1249" s="1851"/>
      <c r="L1249" s="1308"/>
      <c r="M1249" s="2176"/>
      <c r="N1249" s="1638"/>
      <c r="P1249" s="4588"/>
    </row>
    <row r="1250" spans="1:16" s="1639" customFormat="1" ht="17.25" customHeight="1" x14ac:dyDescent="0.25">
      <c r="A1250" s="1637"/>
      <c r="B1250" s="1242"/>
      <c r="C1250" s="3902" t="s">
        <v>6489</v>
      </c>
      <c r="D1250" s="1848">
        <v>1831517642</v>
      </c>
      <c r="E1250" s="1160">
        <f>D1250/D807*100</f>
        <v>1.1076246337095219</v>
      </c>
      <c r="F1250" s="387"/>
      <c r="G1250" s="883"/>
      <c r="H1250" s="1168"/>
      <c r="I1250" s="883"/>
      <c r="J1250" s="1848"/>
      <c r="K1250" s="2293"/>
      <c r="L1250" s="1310"/>
      <c r="M1250" s="2293"/>
      <c r="N1250" s="1638"/>
      <c r="P1250" s="4588"/>
    </row>
    <row r="1251" spans="1:16" ht="18" customHeight="1" x14ac:dyDescent="0.25">
      <c r="B1251" s="1242"/>
      <c r="C1251" s="3863" t="s">
        <v>6490</v>
      </c>
      <c r="D1251" s="666">
        <v>475390000</v>
      </c>
      <c r="E1251" s="1160">
        <f>D1251/D807*100</f>
        <v>0.28749582452516154</v>
      </c>
      <c r="F1251" s="838"/>
      <c r="G1251" s="878"/>
      <c r="H1251" s="2335"/>
      <c r="I1251" s="1109"/>
      <c r="J1251" s="1951"/>
      <c r="K1251" s="2293"/>
      <c r="L1251" s="1311"/>
      <c r="M1251" s="2230"/>
      <c r="N1251" s="535"/>
    </row>
    <row r="1252" spans="1:16" s="4099" customFormat="1" ht="10.5" customHeight="1" x14ac:dyDescent="0.25">
      <c r="A1252" s="4101"/>
      <c r="B1252" s="4119"/>
      <c r="C1252" s="4117"/>
      <c r="D1252" s="671"/>
      <c r="E1252" s="1160"/>
      <c r="F1252" s="840"/>
      <c r="G1252" s="887"/>
      <c r="H1252" s="2346"/>
      <c r="I1252" s="2339"/>
      <c r="J1252" s="2340"/>
      <c r="K1252" s="2301"/>
      <c r="L1252" s="2182"/>
      <c r="M1252" s="2302"/>
      <c r="N1252" s="4109"/>
      <c r="P1252" s="500"/>
    </row>
    <row r="1253" spans="1:16" s="3598" customFormat="1" ht="18" customHeight="1" x14ac:dyDescent="0.25">
      <c r="A1253" s="3588"/>
      <c r="B1253" s="4119"/>
      <c r="C1253" s="4116" t="s">
        <v>6491</v>
      </c>
      <c r="D1253" s="673">
        <f>SUM(D1254:D1255)</f>
        <v>2533350000</v>
      </c>
      <c r="E1253" s="1159">
        <f>D1253/D807*100</f>
        <v>1.5320632471461706</v>
      </c>
      <c r="F1253" s="839"/>
      <c r="G1253" s="877"/>
      <c r="H1253" s="1415"/>
      <c r="I1253" s="1118"/>
      <c r="J1253" s="1988"/>
      <c r="K1253" s="2176"/>
      <c r="L1253" s="2261"/>
      <c r="M1253" s="2345"/>
      <c r="N1253" s="3592"/>
      <c r="P1253" s="4592"/>
    </row>
    <row r="1254" spans="1:16" s="4099" customFormat="1" ht="16.5" customHeight="1" x14ac:dyDescent="0.25">
      <c r="A1254" s="4101"/>
      <c r="B1254" s="4119"/>
      <c r="C1254" s="4104" t="s">
        <v>6492</v>
      </c>
      <c r="D1254" s="666">
        <v>200400000</v>
      </c>
      <c r="E1254" s="1160">
        <f>D1254/D807*100</f>
        <v>0.1211934690145825</v>
      </c>
      <c r="F1254" s="838"/>
      <c r="G1254" s="878"/>
      <c r="H1254" s="1463"/>
      <c r="I1254" s="1121"/>
      <c r="J1254" s="1951"/>
      <c r="K1254" s="2293"/>
      <c r="L1254" s="1315"/>
      <c r="M1254" s="2302"/>
      <c r="N1254" s="4109"/>
      <c r="P1254" s="500"/>
    </row>
    <row r="1255" spans="1:16" s="4099" customFormat="1" ht="27" customHeight="1" x14ac:dyDescent="0.25">
      <c r="A1255" s="4101"/>
      <c r="B1255" s="4119"/>
      <c r="C1255" s="4104" t="s">
        <v>6493</v>
      </c>
      <c r="D1255" s="666">
        <v>2332950000</v>
      </c>
      <c r="E1255" s="1160">
        <f>D1255/D807*100</f>
        <v>1.410869778131588</v>
      </c>
      <c r="F1255" s="838"/>
      <c r="G1255" s="878"/>
      <c r="H1255" s="1463"/>
      <c r="I1255" s="1121"/>
      <c r="J1255" s="1951"/>
      <c r="K1255" s="2293"/>
      <c r="L1255" s="1315"/>
      <c r="M1255" s="2302"/>
      <c r="N1255" s="4109"/>
      <c r="P1255" s="500"/>
    </row>
    <row r="1256" spans="1:16" s="4099" customFormat="1" ht="15.75" customHeight="1" x14ac:dyDescent="0.25">
      <c r="A1256" s="4101"/>
      <c r="B1256" s="4119"/>
      <c r="C1256" s="4117"/>
      <c r="D1256" s="671"/>
      <c r="E1256" s="1051"/>
      <c r="F1256" s="840"/>
      <c r="G1256" s="887"/>
      <c r="H1256" s="2346"/>
      <c r="I1256" s="2339"/>
      <c r="J1256" s="2340"/>
      <c r="K1256" s="2301"/>
      <c r="L1256" s="2182"/>
      <c r="M1256" s="2302"/>
      <c r="N1256" s="4109"/>
      <c r="P1256" s="500"/>
    </row>
    <row r="1257" spans="1:16" ht="15.75" customHeight="1" x14ac:dyDescent="0.25">
      <c r="B1257" s="1305"/>
      <c r="C1257" s="3906" t="s">
        <v>6494</v>
      </c>
      <c r="D1257" s="669">
        <f>D1258+D1261</f>
        <v>4947141200</v>
      </c>
      <c r="E1257" s="1050">
        <f>D1257/D807*100</f>
        <v>2.991822373916988</v>
      </c>
      <c r="F1257" s="832"/>
      <c r="G1257" s="832"/>
      <c r="H1257" s="1306"/>
      <c r="I1257" s="2298"/>
      <c r="J1257" s="1813"/>
      <c r="K1257" s="1813"/>
      <c r="L1257" s="1462"/>
      <c r="M1257" s="2066"/>
      <c r="N1257" s="535"/>
    </row>
    <row r="1258" spans="1:16" s="1639" customFormat="1" ht="18.75" customHeight="1" x14ac:dyDescent="0.25">
      <c r="A1258" s="1637"/>
      <c r="B1258" s="1242"/>
      <c r="C1258" s="3907" t="s">
        <v>6495</v>
      </c>
      <c r="D1258" s="673">
        <f>D1259</f>
        <v>4225141200</v>
      </c>
      <c r="E1258" s="1159">
        <f>D1258/D807*100</f>
        <v>2.5551872210800193</v>
      </c>
      <c r="F1258" s="673"/>
      <c r="G1258" s="890"/>
      <c r="H1258" s="1173"/>
      <c r="I1258" s="890"/>
      <c r="J1258" s="673"/>
      <c r="K1258" s="890"/>
      <c r="L1258" s="1173"/>
      <c r="M1258" s="890"/>
      <c r="N1258" s="1638"/>
      <c r="P1258" s="4588"/>
    </row>
    <row r="1259" spans="1:16" s="1639" customFormat="1" ht="15" customHeight="1" x14ac:dyDescent="0.25">
      <c r="A1259" s="1637"/>
      <c r="B1259" s="1242"/>
      <c r="C1259" s="3874" t="s">
        <v>6496</v>
      </c>
      <c r="D1259" s="666">
        <v>4225141200</v>
      </c>
      <c r="E1259" s="1160">
        <f>D1259/D807*100</f>
        <v>2.5551872210800193</v>
      </c>
      <c r="F1259" s="666"/>
      <c r="G1259" s="883"/>
      <c r="H1259" s="1168"/>
      <c r="I1259" s="883"/>
      <c r="J1259" s="666"/>
      <c r="K1259" s="883"/>
      <c r="L1259" s="1168"/>
      <c r="M1259" s="883"/>
      <c r="N1259" s="1638"/>
      <c r="P1259" s="4588"/>
    </row>
    <row r="1260" spans="1:16" ht="10.5" customHeight="1" x14ac:dyDescent="0.25">
      <c r="B1260" s="1242"/>
      <c r="C1260" s="3991"/>
      <c r="D1260" s="894"/>
      <c r="E1260" s="1160"/>
      <c r="F1260" s="894"/>
      <c r="G1260" s="878"/>
      <c r="H1260" s="2335"/>
      <c r="I1260" s="1109"/>
      <c r="J1260" s="894"/>
      <c r="K1260" s="2293"/>
      <c r="L1260" s="1311"/>
      <c r="M1260" s="2230"/>
      <c r="N1260" s="535"/>
    </row>
    <row r="1261" spans="1:16" s="1639" customFormat="1" ht="18" customHeight="1" x14ac:dyDescent="0.25">
      <c r="A1261" s="1637"/>
      <c r="B1261" s="1242"/>
      <c r="C1261" s="3907" t="s">
        <v>6497</v>
      </c>
      <c r="D1261" s="673">
        <v>722000000</v>
      </c>
      <c r="E1261" s="1159">
        <f>D1261/D807*100</f>
        <v>0.43663515283696885</v>
      </c>
      <c r="F1261" s="673"/>
      <c r="G1261" s="673"/>
      <c r="H1261" s="2238"/>
      <c r="I1261" s="2347"/>
      <c r="J1261" s="673"/>
      <c r="K1261" s="673"/>
      <c r="L1261" s="1308"/>
      <c r="M1261" s="2348"/>
      <c r="N1261" s="1638"/>
      <c r="P1261" s="4588"/>
    </row>
    <row r="1262" spans="1:16" s="1639" customFormat="1" ht="18" customHeight="1" x14ac:dyDescent="0.25">
      <c r="A1262" s="1637"/>
      <c r="B1262" s="1242"/>
      <c r="C1262" s="3902" t="s">
        <v>6498</v>
      </c>
      <c r="D1262" s="1852">
        <f>D1261</f>
        <v>722000000</v>
      </c>
      <c r="E1262" s="1160">
        <f>D1262/D807*100</f>
        <v>0.43663515283696885</v>
      </c>
      <c r="F1262" s="611"/>
      <c r="G1262" s="883"/>
      <c r="H1262" s="1168"/>
      <c r="I1262" s="883"/>
      <c r="J1262" s="1852"/>
      <c r="K1262" s="2296"/>
      <c r="L1262" s="1310"/>
      <c r="M1262" s="2227"/>
      <c r="N1262" s="1638"/>
      <c r="P1262" s="4588"/>
    </row>
    <row r="1263" spans="1:16" ht="12" customHeight="1" x14ac:dyDescent="0.25">
      <c r="B1263" s="1242"/>
      <c r="C1263" s="3904"/>
      <c r="D1263" s="868"/>
      <c r="E1263" s="1158"/>
      <c r="F1263" s="835"/>
      <c r="G1263" s="882"/>
      <c r="H1263" s="2234"/>
      <c r="I1263" s="2295"/>
      <c r="J1263" s="2307"/>
      <c r="K1263" s="2296"/>
      <c r="L1263" s="2175"/>
      <c r="M1263" s="2227"/>
      <c r="N1263" s="535"/>
    </row>
    <row r="1264" spans="1:16" ht="15.75" customHeight="1" x14ac:dyDescent="0.25">
      <c r="B1264" s="1305"/>
      <c r="C1264" s="3875" t="s">
        <v>6499</v>
      </c>
      <c r="D1264" s="1853">
        <f>D1265+D1269+D1272</f>
        <v>1561594103</v>
      </c>
      <c r="E1264" s="1050">
        <f>D1264/D807*100</f>
        <v>0.94438626015611404</v>
      </c>
      <c r="F1264" s="388"/>
      <c r="G1264" s="388"/>
      <c r="H1264" s="1075"/>
      <c r="I1264" s="888"/>
      <c r="J1264" s="1853"/>
      <c r="K1264" s="1853"/>
      <c r="L1264" s="1462"/>
      <c r="M1264" s="2317"/>
      <c r="N1264" s="535"/>
    </row>
    <row r="1265" spans="1:16" s="1639" customFormat="1" ht="18" customHeight="1" x14ac:dyDescent="0.25">
      <c r="A1265" s="1637"/>
      <c r="B1265" s="1242"/>
      <c r="C1265" s="3854" t="s">
        <v>6500</v>
      </c>
      <c r="D1265" s="667">
        <v>1176644203</v>
      </c>
      <c r="E1265" s="1051">
        <f>D1265/D807*100</f>
        <v>0.71158479419894516</v>
      </c>
      <c r="F1265" s="667"/>
      <c r="G1265" s="667"/>
      <c r="H1265" s="1178"/>
      <c r="I1265" s="896"/>
      <c r="J1265" s="667"/>
      <c r="K1265" s="667"/>
      <c r="L1265" s="1308"/>
      <c r="M1265" s="2318"/>
      <c r="N1265" s="1638"/>
      <c r="P1265" s="4588"/>
    </row>
    <row r="1266" spans="1:16" s="1639" customFormat="1" ht="16.5" customHeight="1" x14ac:dyDescent="0.25">
      <c r="A1266" s="1637"/>
      <c r="B1266" s="1242"/>
      <c r="C1266" s="3902" t="s">
        <v>6501</v>
      </c>
      <c r="D1266" s="1846">
        <v>712613203</v>
      </c>
      <c r="E1266" s="1162">
        <f>D1266/D807*100</f>
        <v>0.43095841385809824</v>
      </c>
      <c r="F1266" s="386"/>
      <c r="G1266" s="878"/>
      <c r="H1266" s="1167"/>
      <c r="I1266" s="878"/>
      <c r="J1266" s="1846"/>
      <c r="K1266" s="2293"/>
      <c r="L1266" s="1310"/>
      <c r="M1266" s="2297"/>
      <c r="N1266" s="1638"/>
      <c r="P1266" s="4588"/>
    </row>
    <row r="1267" spans="1:16" s="1639" customFormat="1" ht="27" customHeight="1" x14ac:dyDescent="0.25">
      <c r="A1267" s="1637"/>
      <c r="B1267" s="4119"/>
      <c r="C1267" s="1157" t="s">
        <v>6502</v>
      </c>
      <c r="D1267" s="666">
        <v>464031000</v>
      </c>
      <c r="E1267" s="1162">
        <f>D1267/D807*100</f>
        <v>0.28062638034084691</v>
      </c>
      <c r="F1267" s="386"/>
      <c r="G1267" s="878"/>
      <c r="H1267" s="1167"/>
      <c r="I1267" s="878"/>
      <c r="J1267" s="1846"/>
      <c r="K1267" s="2293"/>
      <c r="L1267" s="2174"/>
      <c r="M1267" s="3156"/>
      <c r="N1267" s="1638"/>
      <c r="P1267" s="4588"/>
    </row>
    <row r="1268" spans="1:16" s="1639" customFormat="1" ht="11.25" customHeight="1" x14ac:dyDescent="0.25">
      <c r="A1268" s="1637"/>
      <c r="B1268" s="4119"/>
      <c r="C1268" s="1157"/>
      <c r="D1268" s="1846"/>
      <c r="E1268" s="1162"/>
      <c r="F1268" s="386"/>
      <c r="G1268" s="878"/>
      <c r="H1268" s="1167"/>
      <c r="I1268" s="878"/>
      <c r="J1268" s="1846"/>
      <c r="K1268" s="2293"/>
      <c r="L1268" s="2174"/>
      <c r="M1268" s="3156"/>
      <c r="N1268" s="1638"/>
      <c r="P1268" s="4588"/>
    </row>
    <row r="1269" spans="1:16" s="2079" customFormat="1" ht="16.5" customHeight="1" x14ac:dyDescent="0.25">
      <c r="A1269" s="2070"/>
      <c r="B1269" s="4119"/>
      <c r="C1269" s="4445" t="s">
        <v>6503</v>
      </c>
      <c r="D1269" s="1851">
        <v>179132500</v>
      </c>
      <c r="E1269" s="1052">
        <f>D1269/D807*100</f>
        <v>0.10833178187751846</v>
      </c>
      <c r="F1269" s="390"/>
      <c r="G1269" s="877"/>
      <c r="H1269" s="1166"/>
      <c r="I1269" s="877"/>
      <c r="J1269" s="1851"/>
      <c r="K1269" s="2176"/>
      <c r="L1269" s="2251"/>
      <c r="M1269" s="2324"/>
      <c r="N1269" s="2077"/>
      <c r="P1269" s="4591"/>
    </row>
    <row r="1270" spans="1:16" s="1639" customFormat="1" ht="16.5" customHeight="1" x14ac:dyDescent="0.25">
      <c r="A1270" s="1637"/>
      <c r="B1270" s="4119"/>
      <c r="C1270" s="1157" t="s">
        <v>6504</v>
      </c>
      <c r="D1270" s="1846">
        <v>179132500</v>
      </c>
      <c r="E1270" s="1162">
        <f>D1270/D807*100</f>
        <v>0.10833178187751846</v>
      </c>
      <c r="F1270" s="386"/>
      <c r="G1270" s="878"/>
      <c r="H1270" s="1167"/>
      <c r="I1270" s="878"/>
      <c r="J1270" s="1846"/>
      <c r="K1270" s="2293"/>
      <c r="L1270" s="2174"/>
      <c r="M1270" s="3156"/>
      <c r="N1270" s="1638"/>
      <c r="P1270" s="4588"/>
    </row>
    <row r="1271" spans="1:16" s="1639" customFormat="1" ht="12.75" customHeight="1" x14ac:dyDescent="0.25">
      <c r="A1271" s="1637"/>
      <c r="B1271" s="4119"/>
      <c r="C1271" s="1157"/>
      <c r="D1271" s="1846"/>
      <c r="E1271" s="1162"/>
      <c r="F1271" s="386"/>
      <c r="G1271" s="878"/>
      <c r="H1271" s="1167"/>
      <c r="I1271" s="878"/>
      <c r="J1271" s="1846"/>
      <c r="K1271" s="2293"/>
      <c r="L1271" s="2174"/>
      <c r="M1271" s="3156"/>
      <c r="N1271" s="1638"/>
      <c r="P1271" s="4588"/>
    </row>
    <row r="1272" spans="1:16" s="2079" customFormat="1" ht="16.5" customHeight="1" x14ac:dyDescent="0.25">
      <c r="A1272" s="2070"/>
      <c r="B1272" s="4119"/>
      <c r="C1272" s="4445" t="s">
        <v>6505</v>
      </c>
      <c r="D1272" s="1851">
        <v>205817400</v>
      </c>
      <c r="E1272" s="1052">
        <f>D1272/D807*100</f>
        <v>0.12446968407965037</v>
      </c>
      <c r="F1272" s="390"/>
      <c r="G1272" s="877"/>
      <c r="H1272" s="1166"/>
      <c r="I1272" s="877"/>
      <c r="J1272" s="1851"/>
      <c r="K1272" s="2176"/>
      <c r="L1272" s="2251"/>
      <c r="M1272" s="2324"/>
      <c r="N1272" s="2077"/>
      <c r="P1272" s="4591"/>
    </row>
    <row r="1273" spans="1:16" s="1639" customFormat="1" ht="16.5" customHeight="1" x14ac:dyDescent="0.25">
      <c r="A1273" s="1637"/>
      <c r="B1273" s="4119"/>
      <c r="C1273" s="1157" t="s">
        <v>6506</v>
      </c>
      <c r="D1273" s="1846">
        <v>205817400</v>
      </c>
      <c r="E1273" s="1162">
        <f>D1273/D807*100</f>
        <v>0.12446968407965037</v>
      </c>
      <c r="F1273" s="386"/>
      <c r="G1273" s="878"/>
      <c r="H1273" s="1167"/>
      <c r="I1273" s="878"/>
      <c r="J1273" s="1846"/>
      <c r="K1273" s="2293"/>
      <c r="L1273" s="2174"/>
      <c r="M1273" s="3156"/>
      <c r="N1273" s="1638"/>
      <c r="P1273" s="4588"/>
    </row>
    <row r="1274" spans="1:16" ht="9" customHeight="1" x14ac:dyDescent="0.25">
      <c r="B1274" s="1242"/>
      <c r="C1274" s="3904"/>
      <c r="D1274" s="868"/>
      <c r="E1274" s="1158"/>
      <c r="F1274" s="891"/>
      <c r="G1274" s="882"/>
      <c r="H1274" s="2174"/>
      <c r="I1274" s="1324"/>
      <c r="J1274" s="2307"/>
      <c r="K1274" s="2296"/>
      <c r="L1274" s="1323"/>
      <c r="M1274" s="1323"/>
      <c r="N1274" s="535"/>
    </row>
    <row r="1275" spans="1:16" s="1639" customFormat="1" ht="17.25" customHeight="1" x14ac:dyDescent="0.25">
      <c r="A1275" s="1637"/>
      <c r="B1275" s="1305"/>
      <c r="C1275" s="3994" t="s">
        <v>6507</v>
      </c>
      <c r="D1275" s="669">
        <f>D1276</f>
        <v>100000000</v>
      </c>
      <c r="E1275" s="1050">
        <f>D1275/D807*100</f>
        <v>6.0475782941408429E-2</v>
      </c>
      <c r="F1275" s="832"/>
      <c r="G1275" s="888"/>
      <c r="H1275" s="1075"/>
      <c r="I1275" s="888"/>
      <c r="J1275" s="1813"/>
      <c r="K1275" s="888"/>
      <c r="L1275" s="1075"/>
      <c r="M1275" s="888"/>
      <c r="N1275" s="1638"/>
      <c r="P1275" s="4588"/>
    </row>
    <row r="1276" spans="1:16" s="1639" customFormat="1" ht="18.75" customHeight="1" x14ac:dyDescent="0.25">
      <c r="A1276" s="1637"/>
      <c r="B1276" s="1242"/>
      <c r="C1276" s="3854" t="s">
        <v>6508</v>
      </c>
      <c r="D1276" s="1847">
        <f>D1277</f>
        <v>100000000</v>
      </c>
      <c r="E1276" s="1159">
        <f>D1276/D807*100</f>
        <v>6.0475782941408429E-2</v>
      </c>
      <c r="F1276" s="665"/>
      <c r="G1276" s="890"/>
      <c r="H1276" s="1173"/>
      <c r="I1276" s="890"/>
      <c r="J1276" s="1847"/>
      <c r="K1276" s="890"/>
      <c r="L1276" s="1173"/>
      <c r="M1276" s="890"/>
      <c r="N1276" s="1638"/>
      <c r="P1276" s="4588"/>
    </row>
    <row r="1277" spans="1:16" s="1639" customFormat="1" ht="17.25" customHeight="1" x14ac:dyDescent="0.25">
      <c r="A1277" s="1637"/>
      <c r="B1277" s="1242"/>
      <c r="C1277" s="3856" t="s">
        <v>6509</v>
      </c>
      <c r="D1277" s="1846">
        <v>100000000</v>
      </c>
      <c r="E1277" s="1160">
        <f>D1277/D807*100</f>
        <v>6.0475782941408429E-2</v>
      </c>
      <c r="F1277" s="386"/>
      <c r="G1277" s="883"/>
      <c r="H1277" s="1168"/>
      <c r="I1277" s="883"/>
      <c r="J1277" s="1846"/>
      <c r="K1277" s="883"/>
      <c r="L1277" s="1168"/>
      <c r="M1277" s="883"/>
      <c r="N1277" s="1638"/>
      <c r="P1277" s="4588"/>
    </row>
    <row r="1278" spans="1:16" s="1639" customFormat="1" ht="12" customHeight="1" x14ac:dyDescent="0.25">
      <c r="A1278" s="1637"/>
      <c r="B1278" s="1242"/>
      <c r="C1278" s="3993"/>
      <c r="D1278" s="1858"/>
      <c r="E1278" s="1458"/>
      <c r="F1278" s="675"/>
      <c r="G1278" s="896"/>
      <c r="H1278" s="1178"/>
      <c r="I1278" s="896"/>
      <c r="J1278" s="1858"/>
      <c r="K1278" s="896"/>
      <c r="L1278" s="1178"/>
      <c r="M1278" s="896"/>
      <c r="N1278" s="2086"/>
      <c r="P1278" s="4588"/>
    </row>
    <row r="1279" spans="1:16" s="2079" customFormat="1" ht="16.5" customHeight="1" x14ac:dyDescent="0.25">
      <c r="A1279" s="2070"/>
      <c r="B1279" s="4050"/>
      <c r="C1279" s="3994" t="s">
        <v>6510</v>
      </c>
      <c r="D1279" s="1853">
        <f>D1280</f>
        <v>100000000</v>
      </c>
      <c r="E1279" s="1050">
        <f>D1279/D807*100</f>
        <v>6.0475782941408429E-2</v>
      </c>
      <c r="F1279" s="388"/>
      <c r="G1279" s="888"/>
      <c r="H1279" s="1075"/>
      <c r="I1279" s="888"/>
      <c r="J1279" s="1853"/>
      <c r="K1279" s="888"/>
      <c r="L1279" s="1075"/>
      <c r="M1279" s="888"/>
      <c r="N1279" s="4441"/>
      <c r="P1279" s="4591"/>
    </row>
    <row r="1280" spans="1:16" s="2079" customFormat="1" ht="15" customHeight="1" x14ac:dyDescent="0.25">
      <c r="A1280" s="2070"/>
      <c r="B1280" s="4119"/>
      <c r="C1280" s="4448" t="s">
        <v>6511</v>
      </c>
      <c r="D1280" s="1847">
        <f>D1281</f>
        <v>100000000</v>
      </c>
      <c r="E1280" s="1159">
        <f>D1280/D807*100</f>
        <v>6.0475782941408429E-2</v>
      </c>
      <c r="F1280" s="665"/>
      <c r="G1280" s="890"/>
      <c r="H1280" s="1173"/>
      <c r="I1280" s="890"/>
      <c r="J1280" s="1847"/>
      <c r="K1280" s="890"/>
      <c r="L1280" s="1173"/>
      <c r="M1280" s="890"/>
      <c r="N1280" s="2073"/>
      <c r="P1280" s="4591"/>
    </row>
    <row r="1281" spans="1:16" s="2080" customFormat="1" ht="15.75" customHeight="1" x14ac:dyDescent="0.25">
      <c r="A1281" s="2074"/>
      <c r="B1281" s="2910"/>
      <c r="C1281" s="3856" t="s">
        <v>6512</v>
      </c>
      <c r="D1281" s="1846">
        <v>100000000</v>
      </c>
      <c r="E1281" s="1160">
        <f>D1281/D807*100</f>
        <v>6.0475782941408429E-2</v>
      </c>
      <c r="F1281" s="386"/>
      <c r="G1281" s="4472"/>
      <c r="H1281" s="4491"/>
      <c r="I1281" s="4472"/>
      <c r="J1281" s="1852"/>
      <c r="K1281" s="4472"/>
      <c r="L1281" s="4491"/>
      <c r="M1281" s="4472"/>
      <c r="N1281" s="2076"/>
      <c r="P1281" s="4598"/>
    </row>
    <row r="1282" spans="1:16" s="1639" customFormat="1" ht="12" customHeight="1" x14ac:dyDescent="0.25">
      <c r="A1282" s="1637"/>
      <c r="B1282" s="4119"/>
      <c r="C1282" s="3847"/>
      <c r="D1282" s="4084"/>
      <c r="E1282" s="1458"/>
      <c r="F1282" s="674"/>
      <c r="G1282" s="896"/>
      <c r="H1282" s="1178"/>
      <c r="I1282" s="896"/>
      <c r="J1282" s="4084"/>
      <c r="K1282" s="896"/>
      <c r="L1282" s="1178"/>
      <c r="M1282" s="896"/>
      <c r="N1282" s="1638"/>
      <c r="P1282" s="4588"/>
    </row>
    <row r="1283" spans="1:16" s="2079" customFormat="1" ht="15.75" customHeight="1" x14ac:dyDescent="0.25">
      <c r="A1283" s="2070"/>
      <c r="B1283" s="4050"/>
      <c r="C1283" s="3994" t="s">
        <v>6513</v>
      </c>
      <c r="D1283" s="1853">
        <f>D1284</f>
        <v>100000000</v>
      </c>
      <c r="E1283" s="1050">
        <f>D1283/D807*100</f>
        <v>6.0475782941408429E-2</v>
      </c>
      <c r="F1283" s="388"/>
      <c r="G1283" s="888"/>
      <c r="H1283" s="1075"/>
      <c r="I1283" s="888"/>
      <c r="J1283" s="1853"/>
      <c r="K1283" s="888"/>
      <c r="L1283" s="1075"/>
      <c r="M1283" s="888"/>
      <c r="N1283" s="2077"/>
      <c r="P1283" s="4591"/>
    </row>
    <row r="1284" spans="1:16" s="2079" customFormat="1" ht="16.5" customHeight="1" x14ac:dyDescent="0.25">
      <c r="A1284" s="2070"/>
      <c r="B1284" s="4119"/>
      <c r="C1284" s="4448" t="s">
        <v>6514</v>
      </c>
      <c r="D1284" s="1847">
        <f>D1285</f>
        <v>100000000</v>
      </c>
      <c r="E1284" s="1159">
        <f>D1284/D807*100</f>
        <v>6.0475782941408429E-2</v>
      </c>
      <c r="F1284" s="665"/>
      <c r="G1284" s="890"/>
      <c r="H1284" s="1173"/>
      <c r="I1284" s="890"/>
      <c r="J1284" s="1847"/>
      <c r="K1284" s="890"/>
      <c r="L1284" s="1173"/>
      <c r="M1284" s="890"/>
      <c r="N1284" s="2077"/>
      <c r="P1284" s="4591"/>
    </row>
    <row r="1285" spans="1:16" s="2080" customFormat="1" ht="17.25" customHeight="1" x14ac:dyDescent="0.25">
      <c r="A1285" s="2074"/>
      <c r="B1285" s="2910"/>
      <c r="C1285" s="3856" t="s">
        <v>6515</v>
      </c>
      <c r="D1285" s="1846">
        <v>100000000</v>
      </c>
      <c r="E1285" s="1160">
        <f>D1285/D807*100</f>
        <v>6.0475782941408429E-2</v>
      </c>
      <c r="F1285" s="386"/>
      <c r="G1285" s="4472"/>
      <c r="H1285" s="4491"/>
      <c r="I1285" s="4472"/>
      <c r="J1285" s="1852"/>
      <c r="K1285" s="4472"/>
      <c r="L1285" s="4491"/>
      <c r="M1285" s="4472"/>
      <c r="N1285" s="2076"/>
      <c r="P1285" s="4598"/>
    </row>
    <row r="1286" spans="1:16" s="1639" customFormat="1" ht="12" customHeight="1" x14ac:dyDescent="0.25">
      <c r="A1286" s="1637"/>
      <c r="B1286" s="4119"/>
      <c r="C1286" s="3847"/>
      <c r="D1286" s="4084"/>
      <c r="E1286" s="1458"/>
      <c r="F1286" s="674"/>
      <c r="G1286" s="896"/>
      <c r="H1286" s="1178"/>
      <c r="I1286" s="896"/>
      <c r="J1286" s="4084"/>
      <c r="K1286" s="896"/>
      <c r="L1286" s="1178"/>
      <c r="M1286" s="896"/>
      <c r="N1286" s="1638"/>
      <c r="P1286" s="4588"/>
    </row>
    <row r="1287" spans="1:16" s="2079" customFormat="1" ht="16.5" customHeight="1" x14ac:dyDescent="0.25">
      <c r="A1287" s="2070"/>
      <c r="B1287" s="4050"/>
      <c r="C1287" s="3994" t="s">
        <v>6516</v>
      </c>
      <c r="D1287" s="1853">
        <f>D1288</f>
        <v>100000000</v>
      </c>
      <c r="E1287" s="1050">
        <f>D1287/D807*100</f>
        <v>6.0475782941408429E-2</v>
      </c>
      <c r="F1287" s="388"/>
      <c r="G1287" s="888"/>
      <c r="H1287" s="1075"/>
      <c r="I1287" s="888"/>
      <c r="J1287" s="1853"/>
      <c r="K1287" s="888"/>
      <c r="L1287" s="1075"/>
      <c r="M1287" s="888"/>
      <c r="N1287" s="2077"/>
      <c r="P1287" s="4591"/>
    </row>
    <row r="1288" spans="1:16" s="2079" customFormat="1" ht="15" customHeight="1" x14ac:dyDescent="0.25">
      <c r="A1288" s="2070"/>
      <c r="B1288" s="4119"/>
      <c r="C1288" s="4448" t="s">
        <v>6517</v>
      </c>
      <c r="D1288" s="1847">
        <f>D1289</f>
        <v>100000000</v>
      </c>
      <c r="E1288" s="1159">
        <f>D1288/D807*100</f>
        <v>6.0475782941408429E-2</v>
      </c>
      <c r="F1288" s="665"/>
      <c r="G1288" s="896"/>
      <c r="H1288" s="1173"/>
      <c r="I1288" s="890"/>
      <c r="J1288" s="1847"/>
      <c r="K1288" s="890"/>
      <c r="L1288" s="1173"/>
      <c r="M1288" s="890"/>
      <c r="N1288" s="2077"/>
      <c r="P1288" s="4591"/>
    </row>
    <row r="1289" spans="1:16" s="2080" customFormat="1" ht="16.5" customHeight="1" x14ac:dyDescent="0.25">
      <c r="A1289" s="2074"/>
      <c r="B1289" s="2910"/>
      <c r="C1289" s="3856" t="s">
        <v>6518</v>
      </c>
      <c r="D1289" s="1846">
        <v>100000000</v>
      </c>
      <c r="E1289" s="1160">
        <f>D1289/D807*100</f>
        <v>6.0475782941408429E-2</v>
      </c>
      <c r="F1289" s="386"/>
      <c r="G1289" s="3390"/>
      <c r="H1289" s="4491"/>
      <c r="I1289" s="4472"/>
      <c r="J1289" s="1852"/>
      <c r="K1289" s="4472"/>
      <c r="L1289" s="4491"/>
      <c r="M1289" s="4472"/>
      <c r="N1289" s="2076"/>
      <c r="P1289" s="4598"/>
    </row>
    <row r="1290" spans="1:16" s="1639" customFormat="1" ht="12.75" customHeight="1" x14ac:dyDescent="0.25">
      <c r="A1290" s="1637"/>
      <c r="B1290" s="4119"/>
      <c r="C1290" s="3847"/>
      <c r="D1290" s="4084"/>
      <c r="E1290" s="1458"/>
      <c r="F1290" s="674"/>
      <c r="G1290" s="896"/>
      <c r="H1290" s="1178"/>
      <c r="I1290" s="896"/>
      <c r="J1290" s="4084"/>
      <c r="K1290" s="896"/>
      <c r="L1290" s="1178"/>
      <c r="M1290" s="896"/>
      <c r="N1290" s="1638"/>
      <c r="P1290" s="4588"/>
    </row>
    <row r="1291" spans="1:16" s="2079" customFormat="1" ht="15.75" customHeight="1" x14ac:dyDescent="0.25">
      <c r="A1291" s="2070"/>
      <c r="B1291" s="4050"/>
      <c r="C1291" s="3994" t="s">
        <v>6519</v>
      </c>
      <c r="D1291" s="1853">
        <f>D1292</f>
        <v>100000000</v>
      </c>
      <c r="E1291" s="1050">
        <f>D1291/D807*100</f>
        <v>6.0475782941408429E-2</v>
      </c>
      <c r="F1291" s="388"/>
      <c r="G1291" s="888"/>
      <c r="H1291" s="1075"/>
      <c r="I1291" s="888"/>
      <c r="J1291" s="1853"/>
      <c r="K1291" s="888"/>
      <c r="L1291" s="1075"/>
      <c r="M1291" s="888"/>
      <c r="N1291" s="2077"/>
      <c r="P1291" s="4591"/>
    </row>
    <row r="1292" spans="1:16" s="2079" customFormat="1" ht="15.75" customHeight="1" x14ac:dyDescent="0.25">
      <c r="A1292" s="2070"/>
      <c r="B1292" s="4119"/>
      <c r="C1292" s="4448" t="s">
        <v>6520</v>
      </c>
      <c r="D1292" s="1847">
        <f>D1293</f>
        <v>100000000</v>
      </c>
      <c r="E1292" s="1159">
        <f>D1292/D807*100</f>
        <v>6.0475782941408429E-2</v>
      </c>
      <c r="F1292" s="665"/>
      <c r="G1292" s="890"/>
      <c r="H1292" s="1173"/>
      <c r="I1292" s="890"/>
      <c r="J1292" s="1847"/>
      <c r="K1292" s="890"/>
      <c r="L1292" s="1173"/>
      <c r="M1292" s="890"/>
      <c r="N1292" s="2077"/>
      <c r="P1292" s="4591"/>
    </row>
    <row r="1293" spans="1:16" s="2080" customFormat="1" ht="16.5" customHeight="1" x14ac:dyDescent="0.25">
      <c r="A1293" s="2074"/>
      <c r="B1293" s="2910"/>
      <c r="C1293" s="3856" t="s">
        <v>6521</v>
      </c>
      <c r="D1293" s="1846">
        <v>100000000</v>
      </c>
      <c r="E1293" s="1160">
        <f>D1293/D807*100</f>
        <v>6.0475782941408429E-2</v>
      </c>
      <c r="F1293" s="386"/>
      <c r="G1293" s="4472"/>
      <c r="H1293" s="4491"/>
      <c r="I1293" s="4472"/>
      <c r="J1293" s="1852"/>
      <c r="K1293" s="4472"/>
      <c r="L1293" s="4491"/>
      <c r="M1293" s="4472"/>
      <c r="N1293" s="2076"/>
      <c r="P1293" s="4598"/>
    </row>
    <row r="1294" spans="1:16" s="1639" customFormat="1" ht="12" customHeight="1" x14ac:dyDescent="0.25">
      <c r="A1294" s="1637"/>
      <c r="B1294" s="4119"/>
      <c r="C1294" s="3847"/>
      <c r="D1294" s="4084"/>
      <c r="E1294" s="1458"/>
      <c r="F1294" s="674"/>
      <c r="G1294" s="896"/>
      <c r="H1294" s="1178"/>
      <c r="I1294" s="896"/>
      <c r="J1294" s="4084"/>
      <c r="K1294" s="896"/>
      <c r="L1294" s="1178"/>
      <c r="M1294" s="896"/>
      <c r="N1294" s="1638"/>
      <c r="P1294" s="4588"/>
    </row>
    <row r="1295" spans="1:16" s="2079" customFormat="1" ht="18" customHeight="1" x14ac:dyDescent="0.25">
      <c r="A1295" s="2070"/>
      <c r="B1295" s="4050"/>
      <c r="C1295" s="3994" t="s">
        <v>6522</v>
      </c>
      <c r="D1295" s="1853">
        <f>D1296</f>
        <v>100000000</v>
      </c>
      <c r="E1295" s="1050">
        <f>D1295/D807*100</f>
        <v>6.0475782941408429E-2</v>
      </c>
      <c r="F1295" s="388"/>
      <c r="G1295" s="888"/>
      <c r="H1295" s="1075"/>
      <c r="I1295" s="888"/>
      <c r="J1295" s="1853"/>
      <c r="K1295" s="888"/>
      <c r="L1295" s="1075"/>
      <c r="M1295" s="888"/>
      <c r="N1295" s="2077"/>
      <c r="P1295" s="4591"/>
    </row>
    <row r="1296" spans="1:16" s="2079" customFormat="1" ht="18" customHeight="1" x14ac:dyDescent="0.25">
      <c r="A1296" s="2070"/>
      <c r="B1296" s="4119"/>
      <c r="C1296" s="4448" t="s">
        <v>6523</v>
      </c>
      <c r="D1296" s="1847">
        <f>D1297</f>
        <v>100000000</v>
      </c>
      <c r="E1296" s="1159">
        <f>D1296/D807*100</f>
        <v>6.0475782941408429E-2</v>
      </c>
      <c r="F1296" s="665"/>
      <c r="G1296" s="890"/>
      <c r="H1296" s="1173"/>
      <c r="I1296" s="890"/>
      <c r="J1296" s="1847"/>
      <c r="K1296" s="890"/>
      <c r="L1296" s="1173"/>
      <c r="M1296" s="890"/>
      <c r="N1296" s="2077"/>
      <c r="P1296" s="4591"/>
    </row>
    <row r="1297" spans="1:16" s="2080" customFormat="1" ht="16.5" customHeight="1" x14ac:dyDescent="0.25">
      <c r="A1297" s="2074"/>
      <c r="B1297" s="2910"/>
      <c r="C1297" s="3856" t="s">
        <v>6524</v>
      </c>
      <c r="D1297" s="1846">
        <v>100000000</v>
      </c>
      <c r="E1297" s="1160">
        <f>D1297/D807*100</f>
        <v>6.0475782941408429E-2</v>
      </c>
      <c r="F1297" s="386"/>
      <c r="G1297" s="4472"/>
      <c r="H1297" s="4491"/>
      <c r="I1297" s="4472"/>
      <c r="J1297" s="1852"/>
      <c r="K1297" s="4472"/>
      <c r="L1297" s="4491"/>
      <c r="M1297" s="4472"/>
      <c r="N1297" s="2076"/>
      <c r="P1297" s="4598"/>
    </row>
    <row r="1298" spans="1:16" s="1639" customFormat="1" ht="12" customHeight="1" x14ac:dyDescent="0.25">
      <c r="A1298" s="1637"/>
      <c r="B1298" s="4119"/>
      <c r="C1298" s="3847"/>
      <c r="D1298" s="4084"/>
      <c r="E1298" s="1458"/>
      <c r="F1298" s="674"/>
      <c r="G1298" s="896"/>
      <c r="H1298" s="1178"/>
      <c r="I1298" s="896"/>
      <c r="J1298" s="4084"/>
      <c r="K1298" s="896"/>
      <c r="L1298" s="1178"/>
      <c r="M1298" s="896"/>
      <c r="N1298" s="1638"/>
      <c r="P1298" s="4588"/>
    </row>
    <row r="1299" spans="1:16" s="2079" customFormat="1" ht="14.25" customHeight="1" x14ac:dyDescent="0.25">
      <c r="A1299" s="2070"/>
      <c r="B1299" s="4050"/>
      <c r="C1299" s="3994" t="s">
        <v>6525</v>
      </c>
      <c r="D1299" s="1853">
        <f>D1300</f>
        <v>100000000</v>
      </c>
      <c r="E1299" s="1050">
        <f>D1299/D807*100</f>
        <v>6.0475782941408429E-2</v>
      </c>
      <c r="F1299" s="388"/>
      <c r="G1299" s="888"/>
      <c r="H1299" s="1075"/>
      <c r="I1299" s="888"/>
      <c r="J1299" s="1853"/>
      <c r="K1299" s="888"/>
      <c r="L1299" s="1075"/>
      <c r="M1299" s="888"/>
      <c r="N1299" s="2077"/>
      <c r="P1299" s="4591"/>
    </row>
    <row r="1300" spans="1:16" s="2079" customFormat="1" ht="15.75" customHeight="1" x14ac:dyDescent="0.25">
      <c r="A1300" s="2070"/>
      <c r="B1300" s="4119"/>
      <c r="C1300" s="4448" t="s">
        <v>6526</v>
      </c>
      <c r="D1300" s="1847">
        <f>D1301</f>
        <v>100000000</v>
      </c>
      <c r="E1300" s="1159">
        <f>D1300/D807*100</f>
        <v>6.0475782941408429E-2</v>
      </c>
      <c r="F1300" s="665"/>
      <c r="G1300" s="890"/>
      <c r="H1300" s="1173"/>
      <c r="I1300" s="890"/>
      <c r="J1300" s="1847"/>
      <c r="K1300" s="890"/>
      <c r="L1300" s="1173"/>
      <c r="M1300" s="890"/>
      <c r="N1300" s="2077"/>
      <c r="P1300" s="4591"/>
    </row>
    <row r="1301" spans="1:16" s="2080" customFormat="1" ht="15.75" customHeight="1" x14ac:dyDescent="0.25">
      <c r="A1301" s="2074"/>
      <c r="B1301" s="2910"/>
      <c r="C1301" s="3856" t="s">
        <v>6527</v>
      </c>
      <c r="D1301" s="1846">
        <v>100000000</v>
      </c>
      <c r="E1301" s="1160">
        <f>D1301/D807*100</f>
        <v>6.0475782941408429E-2</v>
      </c>
      <c r="F1301" s="386"/>
      <c r="G1301" s="4472"/>
      <c r="H1301" s="4491"/>
      <c r="I1301" s="4472"/>
      <c r="J1301" s="1852"/>
      <c r="K1301" s="4472"/>
      <c r="L1301" s="4491"/>
      <c r="M1301" s="4472"/>
      <c r="N1301" s="2076"/>
      <c r="P1301" s="4598"/>
    </row>
    <row r="1302" spans="1:16" s="1639" customFormat="1" ht="12" customHeight="1" x14ac:dyDescent="0.25">
      <c r="A1302" s="1637"/>
      <c r="B1302" s="4119"/>
      <c r="C1302" s="3847"/>
      <c r="D1302" s="4084"/>
      <c r="E1302" s="1458"/>
      <c r="F1302" s="674"/>
      <c r="G1302" s="896"/>
      <c r="H1302" s="1178"/>
      <c r="I1302" s="896"/>
      <c r="J1302" s="4084"/>
      <c r="K1302" s="896"/>
      <c r="L1302" s="1178"/>
      <c r="M1302" s="896"/>
      <c r="N1302" s="1638"/>
      <c r="P1302" s="4588"/>
    </row>
    <row r="1303" spans="1:16" s="2079" customFormat="1" ht="16.5" customHeight="1" x14ac:dyDescent="0.25">
      <c r="A1303" s="2070"/>
      <c r="B1303" s="4050"/>
      <c r="C1303" s="3994" t="s">
        <v>6528</v>
      </c>
      <c r="D1303" s="1853">
        <f>D1304</f>
        <v>100000000</v>
      </c>
      <c r="E1303" s="1050">
        <f>D1303/D807*100</f>
        <v>6.0475782941408429E-2</v>
      </c>
      <c r="F1303" s="388"/>
      <c r="G1303" s="888"/>
      <c r="H1303" s="1075"/>
      <c r="I1303" s="888"/>
      <c r="J1303" s="1853"/>
      <c r="K1303" s="888"/>
      <c r="L1303" s="1075"/>
      <c r="M1303" s="888"/>
      <c r="N1303" s="2077"/>
      <c r="P1303" s="4591"/>
    </row>
    <row r="1304" spans="1:16" s="2079" customFormat="1" ht="15.75" customHeight="1" x14ac:dyDescent="0.25">
      <c r="A1304" s="2070"/>
      <c r="B1304" s="4119"/>
      <c r="C1304" s="4448" t="s">
        <v>6529</v>
      </c>
      <c r="D1304" s="1847">
        <f>D1305</f>
        <v>100000000</v>
      </c>
      <c r="E1304" s="1159">
        <f>D1304/D807*100</f>
        <v>6.0475782941408429E-2</v>
      </c>
      <c r="F1304" s="665"/>
      <c r="G1304" s="890"/>
      <c r="H1304" s="1173"/>
      <c r="I1304" s="890"/>
      <c r="J1304" s="1847"/>
      <c r="K1304" s="890"/>
      <c r="L1304" s="1173"/>
      <c r="M1304" s="890"/>
      <c r="N1304" s="2077"/>
      <c r="P1304" s="4591"/>
    </row>
    <row r="1305" spans="1:16" s="2080" customFormat="1" ht="18.75" customHeight="1" x14ac:dyDescent="0.25">
      <c r="A1305" s="2074"/>
      <c r="B1305" s="2910"/>
      <c r="C1305" s="3856" t="s">
        <v>6530</v>
      </c>
      <c r="D1305" s="1846">
        <v>100000000</v>
      </c>
      <c r="E1305" s="1160">
        <f>D1305/D807*100</f>
        <v>6.0475782941408429E-2</v>
      </c>
      <c r="F1305" s="386"/>
      <c r="G1305" s="4472"/>
      <c r="H1305" s="4491"/>
      <c r="I1305" s="4472"/>
      <c r="J1305" s="1852"/>
      <c r="K1305" s="4472"/>
      <c r="L1305" s="4491"/>
      <c r="M1305" s="4472"/>
      <c r="N1305" s="2076"/>
      <c r="P1305" s="4598"/>
    </row>
    <row r="1306" spans="1:16" s="1639" customFormat="1" ht="12" customHeight="1" x14ac:dyDescent="0.25">
      <c r="A1306" s="1637"/>
      <c r="B1306" s="4119"/>
      <c r="C1306" s="3847"/>
      <c r="D1306" s="4084"/>
      <c r="E1306" s="1458"/>
      <c r="F1306" s="674"/>
      <c r="G1306" s="896"/>
      <c r="H1306" s="1178"/>
      <c r="I1306" s="896"/>
      <c r="J1306" s="4084"/>
      <c r="K1306" s="896"/>
      <c r="L1306" s="1178"/>
      <c r="M1306" s="896"/>
      <c r="N1306" s="1638"/>
      <c r="P1306" s="4588"/>
    </row>
    <row r="1307" spans="1:16" s="1639" customFormat="1" ht="18.75" customHeight="1" x14ac:dyDescent="0.25">
      <c r="A1307" s="1637"/>
      <c r="B1307" s="4050"/>
      <c r="C1307" s="3994" t="s">
        <v>6531</v>
      </c>
      <c r="D1307" s="1853">
        <f>D1308</f>
        <v>100000000</v>
      </c>
      <c r="E1307" s="1050">
        <f>D1307/D807*100</f>
        <v>6.0475782941408429E-2</v>
      </c>
      <c r="F1307" s="388"/>
      <c r="G1307" s="888"/>
      <c r="H1307" s="1075"/>
      <c r="I1307" s="888"/>
      <c r="J1307" s="1853"/>
      <c r="K1307" s="888"/>
      <c r="L1307" s="1075"/>
      <c r="M1307" s="888"/>
      <c r="N1307" s="1638"/>
      <c r="P1307" s="4588"/>
    </row>
    <row r="1308" spans="1:16" s="2079" customFormat="1" ht="18.75" customHeight="1" x14ac:dyDescent="0.25">
      <c r="A1308" s="2070"/>
      <c r="B1308" s="4119"/>
      <c r="C1308" s="4494" t="s">
        <v>6532</v>
      </c>
      <c r="D1308" s="4171">
        <f>D1309</f>
        <v>100000000</v>
      </c>
      <c r="E1308" s="1159">
        <f>D1308/D807*100</f>
        <v>6.0475782941408429E-2</v>
      </c>
      <c r="F1308" s="4493"/>
      <c r="G1308" s="4472"/>
      <c r="H1308" s="4491"/>
      <c r="I1308" s="4472"/>
      <c r="J1308" s="4492"/>
      <c r="K1308" s="4472"/>
      <c r="L1308" s="4491"/>
      <c r="M1308" s="4472"/>
      <c r="N1308" s="2077"/>
      <c r="P1308" s="4591"/>
    </row>
    <row r="1309" spans="1:16" s="2080" customFormat="1" ht="15" customHeight="1" x14ac:dyDescent="0.25">
      <c r="A1309" s="2074"/>
      <c r="B1309" s="2910"/>
      <c r="C1309" s="3876" t="s">
        <v>6533</v>
      </c>
      <c r="D1309" s="1846">
        <v>100000000</v>
      </c>
      <c r="E1309" s="1160">
        <f>D1309/D807*100</f>
        <v>6.0475782941408429E-2</v>
      </c>
      <c r="F1309" s="386"/>
      <c r="G1309" s="878"/>
      <c r="H1309" s="1310"/>
      <c r="I1309" s="1111"/>
      <c r="J1309" s="1846"/>
      <c r="K1309" s="878"/>
      <c r="L1309" s="1310"/>
      <c r="M1309" s="1111"/>
      <c r="N1309" s="2076"/>
      <c r="P1309" s="4598"/>
    </row>
    <row r="1310" spans="1:16" s="2080" customFormat="1" ht="11.25" customHeight="1" x14ac:dyDescent="0.25">
      <c r="A1310" s="2074"/>
      <c r="B1310" s="2910"/>
      <c r="C1310" s="4062"/>
      <c r="D1310" s="1852"/>
      <c r="E1310" s="1458"/>
      <c r="F1310" s="611"/>
      <c r="G1310" s="887"/>
      <c r="H1310" s="2255"/>
      <c r="I1310" s="2181"/>
      <c r="J1310" s="1852"/>
      <c r="K1310" s="887"/>
      <c r="L1310" s="2255"/>
      <c r="M1310" s="2181"/>
      <c r="N1310" s="2076"/>
      <c r="P1310" s="4598"/>
    </row>
    <row r="1311" spans="1:16" s="2079" customFormat="1" ht="15" customHeight="1" x14ac:dyDescent="0.25">
      <c r="A1311" s="2070"/>
      <c r="B1311" s="4050"/>
      <c r="C1311" s="3994" t="s">
        <v>6534</v>
      </c>
      <c r="D1311" s="1853">
        <f>D1312</f>
        <v>100000000</v>
      </c>
      <c r="E1311" s="1050">
        <f>D1311/D807*100</f>
        <v>6.0475782941408429E-2</v>
      </c>
      <c r="F1311" s="388"/>
      <c r="G1311" s="888"/>
      <c r="H1311" s="1462"/>
      <c r="I1311" s="669"/>
      <c r="J1311" s="1853"/>
      <c r="K1311" s="888"/>
      <c r="L1311" s="1462"/>
      <c r="M1311" s="669"/>
      <c r="N1311" s="2077"/>
      <c r="P1311" s="4591"/>
    </row>
    <row r="1312" spans="1:16" s="2079" customFormat="1" ht="15" customHeight="1" x14ac:dyDescent="0.25">
      <c r="A1312" s="2070"/>
      <c r="B1312" s="4119"/>
      <c r="C1312" s="4448" t="s">
        <v>6535</v>
      </c>
      <c r="D1312" s="1847">
        <f>D1313</f>
        <v>100000000</v>
      </c>
      <c r="E1312" s="1159">
        <f>D1312/D807*100</f>
        <v>6.0475782941408429E-2</v>
      </c>
      <c r="F1312" s="665"/>
      <c r="G1312" s="890"/>
      <c r="H1312" s="1661"/>
      <c r="I1312" s="1309"/>
      <c r="J1312" s="1847"/>
      <c r="K1312" s="890"/>
      <c r="L1312" s="1661"/>
      <c r="M1312" s="1309"/>
      <c r="N1312" s="2077"/>
      <c r="P1312" s="4591"/>
    </row>
    <row r="1313" spans="1:16" s="2080" customFormat="1" ht="15" customHeight="1" x14ac:dyDescent="0.25">
      <c r="A1313" s="2074"/>
      <c r="B1313" s="2910"/>
      <c r="C1313" s="3856" t="s">
        <v>6536</v>
      </c>
      <c r="D1313" s="1846">
        <v>100000000</v>
      </c>
      <c r="E1313" s="1160">
        <f>D1313/D807*100</f>
        <v>6.0475782941408429E-2</v>
      </c>
      <c r="F1313" s="386"/>
      <c r="G1313" s="883"/>
      <c r="H1313" s="2303"/>
      <c r="I1313" s="1660"/>
      <c r="J1313" s="1852"/>
      <c r="K1313" s="883"/>
      <c r="L1313" s="2303"/>
      <c r="M1313" s="1660"/>
      <c r="N1313" s="2076"/>
      <c r="P1313" s="4598"/>
    </row>
    <row r="1314" spans="1:16" s="2080" customFormat="1" ht="11.25" customHeight="1" x14ac:dyDescent="0.25">
      <c r="A1314" s="2074"/>
      <c r="B1314" s="2910"/>
      <c r="C1314" s="4062"/>
      <c r="D1314" s="1852"/>
      <c r="E1314" s="1458"/>
      <c r="F1314" s="4496"/>
      <c r="G1314" s="887"/>
      <c r="H1314" s="2255"/>
      <c r="I1314" s="2181"/>
      <c r="J1314" s="1852"/>
      <c r="K1314" s="887"/>
      <c r="L1314" s="2255"/>
      <c r="M1314" s="2181"/>
      <c r="N1314" s="2076"/>
      <c r="P1314" s="4598"/>
    </row>
    <row r="1315" spans="1:16" s="2079" customFormat="1" ht="15" customHeight="1" x14ac:dyDescent="0.25">
      <c r="A1315" s="2070"/>
      <c r="B1315" s="4050"/>
      <c r="C1315" s="3994" t="s">
        <v>6537</v>
      </c>
      <c r="D1315" s="1853">
        <f>D1316</f>
        <v>100000000</v>
      </c>
      <c r="E1315" s="1050">
        <f>D1315/D807*100</f>
        <v>6.0475782941408429E-2</v>
      </c>
      <c r="F1315" s="388"/>
      <c r="G1315" s="888"/>
      <c r="H1315" s="1462"/>
      <c r="I1315" s="669"/>
      <c r="J1315" s="1853"/>
      <c r="K1315" s="888"/>
      <c r="L1315" s="1462"/>
      <c r="M1315" s="669"/>
      <c r="N1315" s="2077"/>
      <c r="P1315" s="4591"/>
    </row>
    <row r="1316" spans="1:16" s="2079" customFormat="1" ht="15" customHeight="1" x14ac:dyDescent="0.25">
      <c r="A1316" s="2070"/>
      <c r="B1316" s="4119"/>
      <c r="C1316" s="4448" t="s">
        <v>6538</v>
      </c>
      <c r="D1316" s="1847">
        <f>D1317</f>
        <v>100000000</v>
      </c>
      <c r="E1316" s="1051">
        <f>D1316/D807*100</f>
        <v>6.0475782941408429E-2</v>
      </c>
      <c r="F1316" s="665"/>
      <c r="G1316" s="890"/>
      <c r="H1316" s="1661"/>
      <c r="I1316" s="1309"/>
      <c r="J1316" s="1847"/>
      <c r="K1316" s="890"/>
      <c r="L1316" s="1661"/>
      <c r="M1316" s="1309"/>
      <c r="N1316" s="2077"/>
      <c r="P1316" s="4591"/>
    </row>
    <row r="1317" spans="1:16" s="2080" customFormat="1" ht="17.25" customHeight="1" x14ac:dyDescent="0.25">
      <c r="A1317" s="2074"/>
      <c r="B1317" s="2910"/>
      <c r="C1317" s="3856" t="s">
        <v>6539</v>
      </c>
      <c r="D1317" s="1846">
        <v>100000000</v>
      </c>
      <c r="E1317" s="1162">
        <f>D1317/D807*100</f>
        <v>6.0475782941408429E-2</v>
      </c>
      <c r="F1317" s="386"/>
      <c r="G1317" s="883"/>
      <c r="H1317" s="2303"/>
      <c r="I1317" s="1660"/>
      <c r="J1317" s="1852"/>
      <c r="K1317" s="883"/>
      <c r="L1317" s="2303"/>
      <c r="M1317" s="1660"/>
      <c r="N1317" s="2076"/>
      <c r="P1317" s="4598"/>
    </row>
    <row r="1318" spans="1:16" s="2080" customFormat="1" ht="12" customHeight="1" x14ac:dyDescent="0.25">
      <c r="A1318" s="2074"/>
      <c r="B1318" s="2910"/>
      <c r="C1318" s="4478"/>
      <c r="D1318" s="4479"/>
      <c r="E1318" s="4480"/>
      <c r="F1318" s="4495"/>
      <c r="G1318" s="887"/>
      <c r="H1318" s="2255"/>
      <c r="I1318" s="2181"/>
      <c r="J1318" s="1852"/>
      <c r="K1318" s="887"/>
      <c r="L1318" s="2255"/>
      <c r="M1318" s="2181"/>
      <c r="N1318" s="2076"/>
      <c r="P1318" s="4598"/>
    </row>
    <row r="1319" spans="1:16" s="2079" customFormat="1" ht="15" customHeight="1" x14ac:dyDescent="0.25">
      <c r="A1319" s="2070"/>
      <c r="B1319" s="4050"/>
      <c r="C1319" s="3994" t="s">
        <v>6540</v>
      </c>
      <c r="D1319" s="1853">
        <f>D1320</f>
        <v>100000000</v>
      </c>
      <c r="E1319" s="1050">
        <f>D1319/D807*100</f>
        <v>6.0475782941408429E-2</v>
      </c>
      <c r="F1319" s="388"/>
      <c r="G1319" s="888"/>
      <c r="H1319" s="1462"/>
      <c r="I1319" s="669"/>
      <c r="J1319" s="1853"/>
      <c r="K1319" s="888"/>
      <c r="L1319" s="1462"/>
      <c r="M1319" s="669"/>
      <c r="N1319" s="2077"/>
      <c r="P1319" s="4591"/>
    </row>
    <row r="1320" spans="1:16" s="2079" customFormat="1" ht="15" customHeight="1" x14ac:dyDescent="0.25">
      <c r="A1320" s="2070"/>
      <c r="B1320" s="4119"/>
      <c r="C1320" s="4448" t="s">
        <v>6541</v>
      </c>
      <c r="D1320" s="1847">
        <f>D1321</f>
        <v>100000000</v>
      </c>
      <c r="E1320" s="1159">
        <f>D1320/D807*100</f>
        <v>6.0475782941408429E-2</v>
      </c>
      <c r="F1320" s="665"/>
      <c r="G1320" s="890"/>
      <c r="H1320" s="1661"/>
      <c r="I1320" s="1309"/>
      <c r="J1320" s="1847"/>
      <c r="K1320" s="890"/>
      <c r="L1320" s="1661"/>
      <c r="M1320" s="1309"/>
      <c r="N1320" s="2077"/>
      <c r="P1320" s="4591"/>
    </row>
    <row r="1321" spans="1:16" s="2080" customFormat="1" ht="20.25" customHeight="1" x14ac:dyDescent="0.25">
      <c r="A1321" s="2074"/>
      <c r="B1321" s="2910"/>
      <c r="C1321" s="3856" t="s">
        <v>6542</v>
      </c>
      <c r="D1321" s="1846">
        <v>100000000</v>
      </c>
      <c r="E1321" s="1160">
        <f>D1321/D807*100</f>
        <v>6.0475782941408429E-2</v>
      </c>
      <c r="F1321" s="386"/>
      <c r="G1321" s="883"/>
      <c r="H1321" s="2303"/>
      <c r="I1321" s="1660"/>
      <c r="J1321" s="1852"/>
      <c r="K1321" s="883"/>
      <c r="L1321" s="2303"/>
      <c r="M1321" s="1660"/>
      <c r="N1321" s="2076"/>
      <c r="P1321" s="4598"/>
    </row>
    <row r="1322" spans="1:16" s="2080" customFormat="1" ht="11.25" customHeight="1" x14ac:dyDescent="0.25">
      <c r="A1322" s="2074"/>
      <c r="B1322" s="2910"/>
      <c r="C1322" s="4062"/>
      <c r="D1322" s="1852"/>
      <c r="E1322" s="1458"/>
      <c r="F1322" s="611"/>
      <c r="G1322" s="887"/>
      <c r="H1322" s="2255"/>
      <c r="I1322" s="2181"/>
      <c r="J1322" s="1852"/>
      <c r="K1322" s="887"/>
      <c r="L1322" s="2255"/>
      <c r="M1322" s="2181"/>
      <c r="N1322" s="2076"/>
      <c r="P1322" s="4598"/>
    </row>
    <row r="1323" spans="1:16" s="2079" customFormat="1" ht="15" customHeight="1" x14ac:dyDescent="0.25">
      <c r="A1323" s="2070"/>
      <c r="B1323" s="4050"/>
      <c r="C1323" s="3994" t="s">
        <v>6543</v>
      </c>
      <c r="D1323" s="1853">
        <f>D1324</f>
        <v>100000000</v>
      </c>
      <c r="E1323" s="1050">
        <f>D1323/D807*100</f>
        <v>6.0475782941408429E-2</v>
      </c>
      <c r="F1323" s="388"/>
      <c r="G1323" s="888"/>
      <c r="H1323" s="1462"/>
      <c r="I1323" s="669"/>
      <c r="J1323" s="1853"/>
      <c r="K1323" s="888"/>
      <c r="L1323" s="1462"/>
      <c r="M1323" s="669"/>
      <c r="N1323" s="2077"/>
      <c r="P1323" s="4591"/>
    </row>
    <row r="1324" spans="1:16" s="2079" customFormat="1" ht="17.25" customHeight="1" x14ac:dyDescent="0.25">
      <c r="A1324" s="2070"/>
      <c r="B1324" s="4119"/>
      <c r="C1324" s="4448" t="s">
        <v>6544</v>
      </c>
      <c r="D1324" s="1847">
        <f>D1325</f>
        <v>100000000</v>
      </c>
      <c r="E1324" s="1159">
        <f>D1324/D807*100</f>
        <v>6.0475782941408429E-2</v>
      </c>
      <c r="F1324" s="665"/>
      <c r="G1324" s="890"/>
      <c r="H1324" s="1661"/>
      <c r="I1324" s="1309"/>
      <c r="J1324" s="1847"/>
      <c r="K1324" s="890"/>
      <c r="L1324" s="1661"/>
      <c r="M1324" s="1309"/>
      <c r="N1324" s="2077"/>
      <c r="P1324" s="4591"/>
    </row>
    <row r="1325" spans="1:16" s="2080" customFormat="1" ht="15" customHeight="1" x14ac:dyDescent="0.25">
      <c r="A1325" s="2074"/>
      <c r="B1325" s="2910"/>
      <c r="C1325" s="3856" t="s">
        <v>6545</v>
      </c>
      <c r="D1325" s="1846">
        <v>100000000</v>
      </c>
      <c r="E1325" s="1160">
        <f>D1325/D807*100</f>
        <v>6.0475782941408429E-2</v>
      </c>
      <c r="F1325" s="386"/>
      <c r="G1325" s="883"/>
      <c r="H1325" s="2303"/>
      <c r="I1325" s="1660"/>
      <c r="J1325" s="1852"/>
      <c r="K1325" s="883"/>
      <c r="L1325" s="2303"/>
      <c r="M1325" s="1660"/>
      <c r="N1325" s="2076"/>
      <c r="P1325" s="4598"/>
    </row>
    <row r="1326" spans="1:16" s="2080" customFormat="1" ht="10.5" customHeight="1" x14ac:dyDescent="0.25">
      <c r="A1326" s="2074"/>
      <c r="B1326" s="2910"/>
      <c r="C1326" s="4062"/>
      <c r="D1326" s="1852"/>
      <c r="E1326" s="1458"/>
      <c r="F1326" s="611"/>
      <c r="G1326" s="887"/>
      <c r="H1326" s="2255"/>
      <c r="I1326" s="2181"/>
      <c r="J1326" s="1852"/>
      <c r="K1326" s="887"/>
      <c r="L1326" s="2255"/>
      <c r="M1326" s="2181"/>
      <c r="N1326" s="2076"/>
      <c r="P1326" s="4598"/>
    </row>
    <row r="1327" spans="1:16" s="2079" customFormat="1" ht="15" customHeight="1" x14ac:dyDescent="0.25">
      <c r="A1327" s="2070"/>
      <c r="B1327" s="4050"/>
      <c r="C1327" s="3994" t="s">
        <v>6546</v>
      </c>
      <c r="D1327" s="1853">
        <f>D1328</f>
        <v>100000000</v>
      </c>
      <c r="E1327" s="1050">
        <f>D1327/D807*100</f>
        <v>6.0475782941408429E-2</v>
      </c>
      <c r="F1327" s="388"/>
      <c r="G1327" s="888"/>
      <c r="H1327" s="1462"/>
      <c r="I1327" s="669"/>
      <c r="J1327" s="1853"/>
      <c r="K1327" s="888"/>
      <c r="L1327" s="1462"/>
      <c r="M1327" s="669"/>
      <c r="N1327" s="2077"/>
      <c r="P1327" s="4591"/>
    </row>
    <row r="1328" spans="1:16" s="1639" customFormat="1" ht="16.5" customHeight="1" x14ac:dyDescent="0.25">
      <c r="A1328" s="1637"/>
      <c r="B1328" s="1242"/>
      <c r="C1328" s="3854" t="s">
        <v>6547</v>
      </c>
      <c r="D1328" s="1847">
        <f>D1329</f>
        <v>100000000</v>
      </c>
      <c r="E1328" s="1159">
        <f>D1328/D807*100</f>
        <v>6.0475782941408429E-2</v>
      </c>
      <c r="F1328" s="665"/>
      <c r="G1328" s="890"/>
      <c r="H1328" s="1173"/>
      <c r="I1328" s="890"/>
      <c r="J1328" s="1847"/>
      <c r="K1328" s="890"/>
      <c r="L1328" s="1173"/>
      <c r="M1328" s="890"/>
      <c r="N1328" s="1638"/>
      <c r="P1328" s="4588"/>
    </row>
    <row r="1329" spans="1:16" s="1639" customFormat="1" ht="15.75" customHeight="1" x14ac:dyDescent="0.25">
      <c r="A1329" s="1637"/>
      <c r="B1329" s="1242"/>
      <c r="C1329" s="3876" t="s">
        <v>6548</v>
      </c>
      <c r="D1329" s="1846">
        <v>100000000</v>
      </c>
      <c r="E1329" s="1160">
        <f>D1329/D807*100</f>
        <v>6.0475782941408429E-2</v>
      </c>
      <c r="F1329" s="386"/>
      <c r="G1329" s="883"/>
      <c r="H1329" s="1168"/>
      <c r="I1329" s="883"/>
      <c r="J1329" s="1846"/>
      <c r="K1329" s="883"/>
      <c r="L1329" s="1168"/>
      <c r="M1329" s="883"/>
      <c r="N1329" s="1638"/>
      <c r="P1329" s="4588"/>
    </row>
    <row r="1330" spans="1:16" s="1639" customFormat="1" ht="10.5" customHeight="1" x14ac:dyDescent="0.25">
      <c r="A1330" s="1637"/>
      <c r="B1330" s="1242"/>
      <c r="C1330" s="3990"/>
      <c r="D1330" s="1856"/>
      <c r="E1330" s="1458"/>
      <c r="F1330" s="668"/>
      <c r="G1330" s="887"/>
      <c r="H1330" s="2358"/>
      <c r="I1330" s="887"/>
      <c r="J1330" s="1856"/>
      <c r="K1330" s="887"/>
      <c r="L1330" s="2358"/>
      <c r="M1330" s="887"/>
      <c r="N1330" s="1638"/>
      <c r="P1330" s="4588"/>
    </row>
    <row r="1331" spans="1:16" s="2079" customFormat="1" ht="15.75" customHeight="1" x14ac:dyDescent="0.25">
      <c r="A1331" s="2070"/>
      <c r="B1331" s="4050"/>
      <c r="C1331" s="3994" t="s">
        <v>6549</v>
      </c>
      <c r="D1331" s="1853">
        <f>D1332</f>
        <v>100000000</v>
      </c>
      <c r="E1331" s="1050">
        <f>D1331/D807*100</f>
        <v>6.0475782941408429E-2</v>
      </c>
      <c r="F1331" s="388"/>
      <c r="G1331" s="888"/>
      <c r="H1331" s="1075"/>
      <c r="I1331" s="888"/>
      <c r="J1331" s="1853"/>
      <c r="K1331" s="888"/>
      <c r="L1331" s="1075"/>
      <c r="M1331" s="888"/>
      <c r="N1331" s="2077"/>
      <c r="P1331" s="4591"/>
    </row>
    <row r="1332" spans="1:16" s="2079" customFormat="1" ht="15" customHeight="1" x14ac:dyDescent="0.25">
      <c r="A1332" s="2070"/>
      <c r="B1332" s="4119"/>
      <c r="C1332" s="4494" t="s">
        <v>6550</v>
      </c>
      <c r="D1332" s="4171">
        <f>D1333</f>
        <v>100000000</v>
      </c>
      <c r="E1332" s="1159">
        <f>D1332/D807*100</f>
        <v>6.0475782941408429E-2</v>
      </c>
      <c r="F1332" s="501"/>
      <c r="G1332" s="890"/>
      <c r="H1332" s="1173"/>
      <c r="I1332" s="890"/>
      <c r="J1332" s="4171"/>
      <c r="K1332" s="890"/>
      <c r="L1332" s="1173"/>
      <c r="M1332" s="890"/>
      <c r="N1332" s="2077"/>
      <c r="P1332" s="4591"/>
    </row>
    <row r="1333" spans="1:16" s="2080" customFormat="1" ht="18" customHeight="1" x14ac:dyDescent="0.25">
      <c r="A1333" s="2074"/>
      <c r="B1333" s="2910"/>
      <c r="C1333" s="3876" t="s">
        <v>6551</v>
      </c>
      <c r="D1333" s="1846">
        <v>100000000</v>
      </c>
      <c r="E1333" s="1160">
        <f>D1333/D807*100</f>
        <v>6.0475782941408429E-2</v>
      </c>
      <c r="F1333" s="386"/>
      <c r="G1333" s="878"/>
      <c r="H1333" s="1310"/>
      <c r="I1333" s="1111"/>
      <c r="J1333" s="1846"/>
      <c r="K1333" s="878"/>
      <c r="L1333" s="1310"/>
      <c r="M1333" s="1111"/>
      <c r="N1333" s="2076"/>
      <c r="P1333" s="4598"/>
    </row>
    <row r="1334" spans="1:16" s="1639" customFormat="1" ht="10.5" customHeight="1" x14ac:dyDescent="0.25">
      <c r="A1334" s="1637"/>
      <c r="B1334" s="1242"/>
      <c r="C1334" s="3854"/>
      <c r="D1334" s="1847"/>
      <c r="E1334" s="1051"/>
      <c r="F1334" s="665"/>
      <c r="G1334" s="896"/>
      <c r="H1334" s="1178"/>
      <c r="I1334" s="896"/>
      <c r="J1334" s="1847"/>
      <c r="K1334" s="896"/>
      <c r="L1334" s="1178"/>
      <c r="M1334" s="896"/>
      <c r="N1334" s="1638"/>
      <c r="P1334" s="4588"/>
    </row>
    <row r="1335" spans="1:16" s="1639" customFormat="1" ht="17.25" customHeight="1" x14ac:dyDescent="0.25">
      <c r="A1335" s="1637"/>
      <c r="B1335" s="4050"/>
      <c r="C1335" s="3994" t="s">
        <v>6552</v>
      </c>
      <c r="D1335" s="1853">
        <f>D1336</f>
        <v>100000000</v>
      </c>
      <c r="E1335" s="1050">
        <f>D1335/D807*100</f>
        <v>6.0475782941408429E-2</v>
      </c>
      <c r="F1335" s="388"/>
      <c r="G1335" s="888"/>
      <c r="H1335" s="1075"/>
      <c r="I1335" s="888"/>
      <c r="J1335" s="1853"/>
      <c r="K1335" s="888"/>
      <c r="L1335" s="1075"/>
      <c r="M1335" s="888"/>
      <c r="N1335" s="1638"/>
      <c r="P1335" s="4588"/>
    </row>
    <row r="1336" spans="1:16" s="1639" customFormat="1" ht="18.75" customHeight="1" x14ac:dyDescent="0.25">
      <c r="A1336" s="1637"/>
      <c r="B1336" s="4119"/>
      <c r="C1336" s="4102" t="s">
        <v>6553</v>
      </c>
      <c r="D1336" s="1847">
        <f>D1337</f>
        <v>100000000</v>
      </c>
      <c r="E1336" s="1159">
        <f>D1336/D807*100</f>
        <v>6.0475782941408429E-2</v>
      </c>
      <c r="F1336" s="665"/>
      <c r="G1336" s="890"/>
      <c r="H1336" s="1173"/>
      <c r="I1336" s="890"/>
      <c r="J1336" s="1847"/>
      <c r="K1336" s="890"/>
      <c r="L1336" s="1173"/>
      <c r="M1336" s="890"/>
      <c r="N1336" s="1638"/>
      <c r="P1336" s="4588"/>
    </row>
    <row r="1337" spans="1:16" s="2080" customFormat="1" ht="15.75" customHeight="1" x14ac:dyDescent="0.25">
      <c r="A1337" s="2074"/>
      <c r="B1337" s="3604"/>
      <c r="C1337" s="3856" t="s">
        <v>6554</v>
      </c>
      <c r="D1337" s="1846">
        <v>100000000</v>
      </c>
      <c r="E1337" s="1160">
        <f>D1337/D807*100</f>
        <v>6.0475782941408429E-2</v>
      </c>
      <c r="F1337" s="386"/>
      <c r="G1337" s="883"/>
      <c r="H1337" s="1168"/>
      <c r="I1337" s="883"/>
      <c r="J1337" s="1852"/>
      <c r="K1337" s="883"/>
      <c r="L1337" s="1168"/>
      <c r="M1337" s="883"/>
      <c r="N1337" s="2076"/>
      <c r="P1337" s="4598"/>
    </row>
    <row r="1338" spans="1:16" s="1639" customFormat="1" ht="9.75" customHeight="1" x14ac:dyDescent="0.25">
      <c r="A1338" s="1637"/>
      <c r="B1338" s="4119"/>
      <c r="C1338" s="4102"/>
      <c r="D1338" s="1847"/>
      <c r="E1338" s="1051"/>
      <c r="F1338" s="665"/>
      <c r="G1338" s="896"/>
      <c r="H1338" s="1178"/>
      <c r="I1338" s="896"/>
      <c r="J1338" s="1847"/>
      <c r="K1338" s="896"/>
      <c r="L1338" s="1178"/>
      <c r="M1338" s="896"/>
      <c r="N1338" s="1638"/>
      <c r="P1338" s="4588"/>
    </row>
    <row r="1339" spans="1:16" s="1639" customFormat="1" ht="15.75" customHeight="1" x14ac:dyDescent="0.25">
      <c r="A1339" s="1637"/>
      <c r="B1339" s="4050"/>
      <c r="C1339" s="3994" t="s">
        <v>6555</v>
      </c>
      <c r="D1339" s="1853">
        <f>D1340</f>
        <v>100000000</v>
      </c>
      <c r="E1339" s="1050">
        <f>D1339/D807*100</f>
        <v>6.0475782941408429E-2</v>
      </c>
      <c r="F1339" s="388"/>
      <c r="G1339" s="888"/>
      <c r="H1339" s="1075"/>
      <c r="I1339" s="888"/>
      <c r="J1339" s="1853"/>
      <c r="K1339" s="888"/>
      <c r="L1339" s="1075"/>
      <c r="M1339" s="888"/>
      <c r="N1339" s="1638"/>
      <c r="P1339" s="4588"/>
    </row>
    <row r="1340" spans="1:16" s="1639" customFormat="1" ht="15" customHeight="1" x14ac:dyDescent="0.25">
      <c r="A1340" s="1637"/>
      <c r="B1340" s="4119"/>
      <c r="C1340" s="4102" t="s">
        <v>6557</v>
      </c>
      <c r="D1340" s="1847">
        <f>D1341</f>
        <v>100000000</v>
      </c>
      <c r="E1340" s="1159">
        <f>D1340/D807*100</f>
        <v>6.0475782941408429E-2</v>
      </c>
      <c r="F1340" s="665"/>
      <c r="G1340" s="890"/>
      <c r="H1340" s="1173"/>
      <c r="I1340" s="890"/>
      <c r="J1340" s="1847"/>
      <c r="K1340" s="890"/>
      <c r="L1340" s="1173"/>
      <c r="M1340" s="890"/>
      <c r="N1340" s="1638"/>
      <c r="P1340" s="4588"/>
    </row>
    <row r="1341" spans="1:16" s="1639" customFormat="1" ht="16.5" customHeight="1" x14ac:dyDescent="0.25">
      <c r="A1341" s="1637"/>
      <c r="B1341" s="1242"/>
      <c r="C1341" s="3876" t="s">
        <v>6556</v>
      </c>
      <c r="D1341" s="1846">
        <v>100000000</v>
      </c>
      <c r="E1341" s="1160">
        <f>D1341/D807*100</f>
        <v>6.0475782941408429E-2</v>
      </c>
      <c r="F1341" s="386"/>
      <c r="G1341" s="883"/>
      <c r="H1341" s="1168"/>
      <c r="I1341" s="883"/>
      <c r="J1341" s="1846"/>
      <c r="K1341" s="883"/>
      <c r="L1341" s="1168"/>
      <c r="M1341" s="883"/>
      <c r="N1341" s="1638"/>
      <c r="P1341" s="4588"/>
    </row>
    <row r="1342" spans="1:16" s="1639" customFormat="1" ht="8.25" customHeight="1" x14ac:dyDescent="0.25">
      <c r="A1342" s="1637"/>
      <c r="B1342" s="1242"/>
      <c r="C1342" s="3897"/>
      <c r="D1342" s="671"/>
      <c r="E1342" s="1164"/>
      <c r="F1342" s="840"/>
      <c r="G1342" s="887"/>
      <c r="H1342" s="2255"/>
      <c r="I1342" s="2181"/>
      <c r="J1342" s="2182"/>
      <c r="K1342" s="2182"/>
      <c r="L1342" s="2182"/>
      <c r="M1342" s="2182"/>
      <c r="N1342" s="2086"/>
      <c r="P1342" s="4588"/>
    </row>
    <row r="1343" spans="1:16" s="2079" customFormat="1" ht="18" customHeight="1" x14ac:dyDescent="0.25">
      <c r="A1343" s="2070"/>
      <c r="B1343" s="4050"/>
      <c r="C1343" s="3858" t="s">
        <v>6558</v>
      </c>
      <c r="D1343" s="669">
        <f>D1344</f>
        <v>2897550000</v>
      </c>
      <c r="E1343" s="1050">
        <f>D1343/D807*100</f>
        <v>1.7523160486187801</v>
      </c>
      <c r="F1343" s="832"/>
      <c r="G1343" s="888"/>
      <c r="H1343" s="1462"/>
      <c r="I1343" s="669"/>
      <c r="J1343" s="2356"/>
      <c r="K1343" s="2356"/>
      <c r="L1343" s="2356"/>
      <c r="M1343" s="2356"/>
      <c r="N1343" s="3263"/>
      <c r="P1343" s="4591"/>
    </row>
    <row r="1344" spans="1:16" s="2079" customFormat="1" ht="29.25" customHeight="1" x14ac:dyDescent="0.25">
      <c r="A1344" s="2070"/>
      <c r="B1344" s="4119"/>
      <c r="C1344" s="3953" t="s">
        <v>6559</v>
      </c>
      <c r="D1344" s="667">
        <f>D1345</f>
        <v>2897550000</v>
      </c>
      <c r="E1344" s="1159">
        <f>D1344/D807*100</f>
        <v>1.7523160486187801</v>
      </c>
      <c r="F1344" s="836"/>
      <c r="G1344" s="896"/>
      <c r="H1344" s="2238"/>
      <c r="I1344" s="2409"/>
      <c r="J1344" s="1671"/>
      <c r="K1344" s="1671"/>
      <c r="L1344" s="1671"/>
      <c r="M1344" s="1671"/>
      <c r="N1344" s="3263"/>
      <c r="P1344" s="4591"/>
    </row>
    <row r="1345" spans="1:16" s="1639" customFormat="1" ht="18.75" customHeight="1" x14ac:dyDescent="0.25">
      <c r="A1345" s="1637"/>
      <c r="B1345" s="4119"/>
      <c r="C1345" s="4104" t="s">
        <v>6560</v>
      </c>
      <c r="D1345" s="666">
        <v>2897550000</v>
      </c>
      <c r="E1345" s="1160">
        <f>D1345/D807*100</f>
        <v>1.7523160486187801</v>
      </c>
      <c r="F1345" s="838"/>
      <c r="G1345" s="878"/>
      <c r="H1345" s="880"/>
      <c r="I1345" s="666"/>
      <c r="J1345" s="1315"/>
      <c r="K1345" s="1315"/>
      <c r="L1345" s="1315"/>
      <c r="M1345" s="1315"/>
      <c r="N1345" s="4497"/>
      <c r="P1345" s="4588"/>
    </row>
    <row r="1346" spans="1:16" s="1639" customFormat="1" ht="12" customHeight="1" x14ac:dyDescent="0.25">
      <c r="A1346" s="1637"/>
      <c r="B1346" s="4119"/>
      <c r="C1346" s="3861"/>
      <c r="D1346" s="868"/>
      <c r="E1346" s="1158"/>
      <c r="F1346" s="835"/>
      <c r="G1346" s="882"/>
      <c r="H1346" s="995"/>
      <c r="I1346" s="868"/>
      <c r="J1346" s="2285"/>
      <c r="K1346" s="2285"/>
      <c r="L1346" s="2285"/>
      <c r="M1346" s="2285"/>
      <c r="N1346" s="4497"/>
      <c r="P1346" s="4588"/>
    </row>
    <row r="1347" spans="1:16" s="2079" customFormat="1" ht="25.5" customHeight="1" x14ac:dyDescent="0.25">
      <c r="A1347" s="2070"/>
      <c r="B1347" s="4050"/>
      <c r="C1347" s="3858" t="s">
        <v>6561</v>
      </c>
      <c r="D1347" s="669">
        <f>SUM(D1348+D1353)</f>
        <v>2349520000</v>
      </c>
      <c r="E1347" s="1050">
        <f>D1347/D807*100</f>
        <v>1.4208906153649792</v>
      </c>
      <c r="F1347" s="832"/>
      <c r="G1347" s="888"/>
      <c r="H1347" s="1462"/>
      <c r="I1347" s="669"/>
      <c r="J1347" s="2356"/>
      <c r="K1347" s="2356"/>
      <c r="L1347" s="2356"/>
      <c r="M1347" s="2356"/>
      <c r="N1347" s="4498"/>
      <c r="P1347" s="4591"/>
    </row>
    <row r="1348" spans="1:16" s="2079" customFormat="1" ht="18.75" customHeight="1" x14ac:dyDescent="0.25">
      <c r="A1348" s="2070"/>
      <c r="B1348" s="4119"/>
      <c r="C1348" s="3881" t="s">
        <v>6562</v>
      </c>
      <c r="D1348" s="889">
        <f>SUM(D1349:D1351)</f>
        <v>1902100000</v>
      </c>
      <c r="E1348" s="1159">
        <f>D1348/D807*100</f>
        <v>1.1503098673285297</v>
      </c>
      <c r="F1348" s="854"/>
      <c r="G1348" s="890"/>
      <c r="H1348" s="1461"/>
      <c r="I1348" s="889"/>
      <c r="J1348" s="2562"/>
      <c r="K1348" s="2562"/>
      <c r="L1348" s="2562"/>
      <c r="M1348" s="2562"/>
      <c r="N1348" s="4498"/>
      <c r="P1348" s="4591"/>
    </row>
    <row r="1349" spans="1:16" s="1639" customFormat="1" ht="30" customHeight="1" x14ac:dyDescent="0.25">
      <c r="A1349" s="1637"/>
      <c r="B1349" s="4119"/>
      <c r="C1349" s="4104" t="s">
        <v>6563</v>
      </c>
      <c r="D1349" s="666">
        <v>737800000</v>
      </c>
      <c r="E1349" s="1160">
        <f>D1349/D807*100</f>
        <v>0.44619032654171142</v>
      </c>
      <c r="F1349" s="838"/>
      <c r="G1349" s="878"/>
      <c r="H1349" s="880"/>
      <c r="I1349" s="666"/>
      <c r="J1349" s="1315"/>
      <c r="K1349" s="1315"/>
      <c r="L1349" s="1315"/>
      <c r="M1349" s="1315"/>
      <c r="N1349" s="4497"/>
      <c r="P1349" s="4588"/>
    </row>
    <row r="1350" spans="1:16" s="1639" customFormat="1" ht="18.75" customHeight="1" x14ac:dyDescent="0.25">
      <c r="A1350" s="1637"/>
      <c r="B1350" s="4119"/>
      <c r="C1350" s="4104" t="s">
        <v>6564</v>
      </c>
      <c r="D1350" s="666">
        <v>771150000</v>
      </c>
      <c r="E1350" s="1160">
        <f>D1350/D807*100</f>
        <v>0.46635900015267118</v>
      </c>
      <c r="F1350" s="838"/>
      <c r="G1350" s="878"/>
      <c r="H1350" s="880"/>
      <c r="I1350" s="666"/>
      <c r="J1350" s="1315"/>
      <c r="K1350" s="1315"/>
      <c r="L1350" s="1315"/>
      <c r="M1350" s="1315"/>
      <c r="N1350" s="4497"/>
      <c r="P1350" s="4588"/>
    </row>
    <row r="1351" spans="1:16" s="1639" customFormat="1" ht="15" customHeight="1" x14ac:dyDescent="0.25">
      <c r="A1351" s="1637"/>
      <c r="B1351" s="4119"/>
      <c r="C1351" s="4104" t="s">
        <v>6565</v>
      </c>
      <c r="D1351" s="666">
        <v>393150000</v>
      </c>
      <c r="E1351" s="1160">
        <f>D1351/D807*100</f>
        <v>0.23776054063414723</v>
      </c>
      <c r="F1351" s="838"/>
      <c r="G1351" s="878"/>
      <c r="H1351" s="880"/>
      <c r="I1351" s="666"/>
      <c r="J1351" s="1315"/>
      <c r="K1351" s="1315"/>
      <c r="L1351" s="1315"/>
      <c r="M1351" s="1315"/>
      <c r="N1351" s="4497"/>
      <c r="P1351" s="4588"/>
    </row>
    <row r="1352" spans="1:16" s="1639" customFormat="1" ht="15" customHeight="1" x14ac:dyDescent="0.25">
      <c r="A1352" s="1637"/>
      <c r="B1352" s="4119"/>
      <c r="C1352" s="4104"/>
      <c r="D1352" s="666"/>
      <c r="E1352" s="1160"/>
      <c r="F1352" s="838"/>
      <c r="G1352" s="878"/>
      <c r="H1352" s="880"/>
      <c r="I1352" s="666"/>
      <c r="J1352" s="1315"/>
      <c r="K1352" s="1315"/>
      <c r="L1352" s="1315"/>
      <c r="M1352" s="1315"/>
      <c r="N1352" s="4497"/>
      <c r="P1352" s="4588"/>
    </row>
    <row r="1353" spans="1:16" s="2079" customFormat="1" ht="18" customHeight="1" x14ac:dyDescent="0.25">
      <c r="A1353" s="2070"/>
      <c r="B1353" s="4119"/>
      <c r="C1353" s="4116" t="s">
        <v>6566</v>
      </c>
      <c r="D1353" s="673">
        <f>D1354</f>
        <v>447420000</v>
      </c>
      <c r="E1353" s="1159">
        <f>D1353/D807*100</f>
        <v>0.2705807480364496</v>
      </c>
      <c r="F1353" s="839"/>
      <c r="G1353" s="877"/>
      <c r="H1353" s="1415"/>
      <c r="I1353" s="673"/>
      <c r="J1353" s="2261"/>
      <c r="K1353" s="2261"/>
      <c r="L1353" s="2261"/>
      <c r="M1353" s="2261"/>
      <c r="N1353" s="4498"/>
      <c r="P1353" s="4591"/>
    </row>
    <row r="1354" spans="1:16" s="1639" customFormat="1" ht="16.5" customHeight="1" x14ac:dyDescent="0.25">
      <c r="A1354" s="1637"/>
      <c r="B1354" s="4119"/>
      <c r="C1354" s="4104" t="s">
        <v>6567</v>
      </c>
      <c r="D1354" s="666">
        <v>447420000</v>
      </c>
      <c r="E1354" s="1160">
        <f>D1354/D807*100</f>
        <v>0.2705807480364496</v>
      </c>
      <c r="F1354" s="838"/>
      <c r="G1354" s="878"/>
      <c r="H1354" s="880"/>
      <c r="I1354" s="666"/>
      <c r="J1354" s="1315"/>
      <c r="K1354" s="1315"/>
      <c r="L1354" s="1315"/>
      <c r="M1354" s="1315"/>
      <c r="N1354" s="4497"/>
      <c r="P1354" s="4588"/>
    </row>
    <row r="1355" spans="1:16" s="1639" customFormat="1" ht="12" customHeight="1" x14ac:dyDescent="0.25">
      <c r="A1355" s="1637"/>
      <c r="B1355" s="4119"/>
      <c r="C1355" s="4117"/>
      <c r="D1355" s="671"/>
      <c r="E1355" s="1164"/>
      <c r="F1355" s="840"/>
      <c r="G1355" s="887"/>
      <c r="H1355" s="2255"/>
      <c r="I1355" s="2181"/>
      <c r="J1355" s="2182"/>
      <c r="K1355" s="2182"/>
      <c r="L1355" s="2182"/>
      <c r="M1355" s="2182"/>
      <c r="N1355" s="2115"/>
      <c r="P1355" s="4588"/>
    </row>
    <row r="1356" spans="1:16" ht="15.75" customHeight="1" x14ac:dyDescent="0.25">
      <c r="B1356" s="1305"/>
      <c r="C1356" s="3875" t="s">
        <v>6568</v>
      </c>
      <c r="D1356" s="1853">
        <f>D1357+D1364</f>
        <v>23118333822</v>
      </c>
      <c r="E1356" s="1050">
        <f>D1356/D807*100</f>
        <v>13.980993381862932</v>
      </c>
      <c r="F1356" s="388"/>
      <c r="G1356" s="910"/>
      <c r="H1356" s="1306"/>
      <c r="I1356" s="1645"/>
      <c r="J1356" s="1853"/>
      <c r="K1356" s="1853"/>
      <c r="L1356" s="1462"/>
      <c r="M1356" s="1307"/>
      <c r="N1356" s="578"/>
    </row>
    <row r="1357" spans="1:16" s="1639" customFormat="1" ht="21.75" customHeight="1" x14ac:dyDescent="0.25">
      <c r="A1357" s="1637"/>
      <c r="B1357" s="1242"/>
      <c r="C1357" s="3854" t="s">
        <v>6569</v>
      </c>
      <c r="D1357" s="1847">
        <f>SUM(D1358+D1361)</f>
        <v>6031588000</v>
      </c>
      <c r="E1357" s="1159">
        <f>D1357/D807*100</f>
        <v>3.647650066800038</v>
      </c>
      <c r="F1357" s="665"/>
      <c r="G1357" s="911"/>
      <c r="H1357" s="2304"/>
      <c r="I1357" s="2349"/>
      <c r="J1357" s="1847"/>
      <c r="K1357" s="1847"/>
      <c r="L1357" s="1308"/>
      <c r="M1357" s="2254"/>
      <c r="N1357" s="2117"/>
      <c r="P1357" s="4588"/>
    </row>
    <row r="1358" spans="1:16" s="2079" customFormat="1" ht="15.75" customHeight="1" x14ac:dyDescent="0.25">
      <c r="A1358" s="2070"/>
      <c r="B1358" s="4119"/>
      <c r="C1358" s="4103" t="s">
        <v>6570</v>
      </c>
      <c r="D1358" s="1851">
        <f>D1359</f>
        <v>4592088000</v>
      </c>
      <c r="E1358" s="1159">
        <f>D1358/D807*100</f>
        <v>2.7771011713584639</v>
      </c>
      <c r="F1358" s="390"/>
      <c r="G1358" s="613"/>
      <c r="H1358" s="1415"/>
      <c r="I1358" s="1316"/>
      <c r="J1358" s="1851"/>
      <c r="K1358" s="1650"/>
      <c r="L1358" s="1308"/>
      <c r="M1358" s="1650"/>
      <c r="N1358" s="2077"/>
      <c r="P1358" s="4591"/>
    </row>
    <row r="1359" spans="1:16" s="1639" customFormat="1" ht="19.5" customHeight="1" x14ac:dyDescent="0.25">
      <c r="A1359" s="1637"/>
      <c r="B1359" s="1242"/>
      <c r="C1359" s="3856" t="s">
        <v>6571</v>
      </c>
      <c r="D1359" s="666">
        <v>4592088000</v>
      </c>
      <c r="E1359" s="1160">
        <f>D1359/D807*100</f>
        <v>2.7771011713584639</v>
      </c>
      <c r="F1359" s="666"/>
      <c r="G1359" s="608"/>
      <c r="H1359" s="880"/>
      <c r="I1359" s="1111"/>
      <c r="J1359" s="666"/>
      <c r="K1359" s="1312"/>
      <c r="L1359" s="1310"/>
      <c r="M1359" s="1312"/>
      <c r="N1359" s="1638"/>
      <c r="P1359" s="4588"/>
    </row>
    <row r="1360" spans="1:16" s="1639" customFormat="1" ht="9.75" customHeight="1" x14ac:dyDescent="0.25">
      <c r="A1360" s="1637"/>
      <c r="B1360" s="1242"/>
      <c r="C1360" s="3874"/>
      <c r="D1360" s="1846"/>
      <c r="E1360" s="1160"/>
      <c r="F1360" s="386"/>
      <c r="G1360" s="608"/>
      <c r="H1360" s="880"/>
      <c r="I1360" s="1111"/>
      <c r="J1360" s="1846"/>
      <c r="K1360" s="1312"/>
      <c r="L1360" s="1310"/>
      <c r="M1360" s="1312"/>
      <c r="N1360" s="1638"/>
      <c r="P1360" s="4588"/>
    </row>
    <row r="1361" spans="1:16" s="2079" customFormat="1" ht="16.5" customHeight="1" x14ac:dyDescent="0.25">
      <c r="A1361" s="2070"/>
      <c r="B1361" s="4119"/>
      <c r="C1361" s="3901" t="s">
        <v>6572</v>
      </c>
      <c r="D1361" s="673">
        <v>1439500000</v>
      </c>
      <c r="E1361" s="1159">
        <f>D1361/D807*100</f>
        <v>0.87054889544157432</v>
      </c>
      <c r="F1361" s="673"/>
      <c r="G1361" s="613"/>
      <c r="H1361" s="1415"/>
      <c r="I1361" s="1316"/>
      <c r="J1361" s="673"/>
      <c r="K1361" s="1650"/>
      <c r="L1361" s="1308"/>
      <c r="M1361" s="1650"/>
      <c r="N1361" s="2077"/>
      <c r="P1361" s="4591"/>
    </row>
    <row r="1362" spans="1:16" s="3387" customFormat="1" ht="18" customHeight="1" x14ac:dyDescent="0.25">
      <c r="A1362" s="3587"/>
      <c r="B1362" s="2910"/>
      <c r="C1362" s="3856" t="s">
        <v>6573</v>
      </c>
      <c r="D1362" s="1846">
        <v>1439500000</v>
      </c>
      <c r="E1362" s="1160">
        <f>D1362/D807*100</f>
        <v>0.87054889544157432</v>
      </c>
      <c r="F1362" s="3681"/>
      <c r="G1362" s="4499"/>
      <c r="H1362" s="880"/>
      <c r="I1362" s="666"/>
      <c r="J1362" s="4500"/>
      <c r="K1362" s="1717"/>
      <c r="L1362" s="1717"/>
      <c r="M1362" s="1717"/>
      <c r="N1362" s="3590"/>
      <c r="P1362" s="612"/>
    </row>
    <row r="1363" spans="1:16" s="3387" customFormat="1" ht="8.25" customHeight="1" x14ac:dyDescent="0.25">
      <c r="A1363" s="3587"/>
      <c r="B1363" s="2910"/>
      <c r="C1363" s="3856"/>
      <c r="D1363" s="1846"/>
      <c r="E1363" s="1162"/>
      <c r="F1363" s="3681"/>
      <c r="G1363" s="4499"/>
      <c r="H1363" s="880"/>
      <c r="I1363" s="666"/>
      <c r="J1363" s="4500"/>
      <c r="K1363" s="1717"/>
      <c r="L1363" s="1717"/>
      <c r="M1363" s="1717"/>
      <c r="N1363" s="3590"/>
      <c r="P1363" s="612"/>
    </row>
    <row r="1364" spans="1:16" ht="18" customHeight="1" x14ac:dyDescent="0.25">
      <c r="B1364" s="1242"/>
      <c r="C1364" s="4103" t="s">
        <v>6574</v>
      </c>
      <c r="D1364" s="1851">
        <f>SUM(D1365+D1368)</f>
        <v>17086745822</v>
      </c>
      <c r="E1364" s="1052">
        <f>D1364/D807*100</f>
        <v>10.333343315062894</v>
      </c>
      <c r="F1364" s="390"/>
      <c r="G1364" s="4501"/>
      <c r="H1364" s="1415"/>
      <c r="I1364" s="673"/>
      <c r="J1364" s="1851"/>
      <c r="K1364" s="1851"/>
      <c r="L1364" s="1415"/>
      <c r="M1364" s="2261"/>
      <c r="N1364" s="535"/>
    </row>
    <row r="1365" spans="1:16" s="2079" customFormat="1" ht="17.25" customHeight="1" x14ac:dyDescent="0.25">
      <c r="A1365" s="2070"/>
      <c r="B1365" s="4119"/>
      <c r="C1365" s="4103" t="s">
        <v>6575</v>
      </c>
      <c r="D1365" s="673">
        <f>D1366</f>
        <v>7622029867</v>
      </c>
      <c r="E1365" s="1052">
        <f>D1365/D807*100</f>
        <v>4.6094822380962412</v>
      </c>
      <c r="F1365" s="673"/>
      <c r="G1365" s="613"/>
      <c r="H1365" s="1415"/>
      <c r="I1365" s="673"/>
      <c r="J1365" s="673"/>
      <c r="K1365" s="2261"/>
      <c r="L1365" s="1415"/>
      <c r="M1365" s="2261"/>
      <c r="N1365" s="2077"/>
      <c r="P1365" s="4591"/>
    </row>
    <row r="1366" spans="1:16" s="3387" customFormat="1" ht="17.25" customHeight="1" x14ac:dyDescent="0.25">
      <c r="A1366" s="3587"/>
      <c r="B1366" s="3604"/>
      <c r="C1366" s="3856" t="s">
        <v>6576</v>
      </c>
      <c r="D1366" s="666">
        <v>7622029867</v>
      </c>
      <c r="E1366" s="1162">
        <f>D1366/D807*100</f>
        <v>4.6094822380962412</v>
      </c>
      <c r="F1366" s="666"/>
      <c r="G1366" s="608"/>
      <c r="H1366" s="880"/>
      <c r="I1366" s="666"/>
      <c r="J1366" s="666"/>
      <c r="K1366" s="1717"/>
      <c r="L1366" s="880"/>
      <c r="M1366" s="1717"/>
      <c r="N1366" s="3590"/>
      <c r="P1366" s="612"/>
    </row>
    <row r="1367" spans="1:16" s="3387" customFormat="1" ht="11.25" customHeight="1" x14ac:dyDescent="0.25">
      <c r="A1367" s="3587"/>
      <c r="B1367" s="3604"/>
      <c r="C1367" s="3856"/>
      <c r="D1367" s="666"/>
      <c r="E1367" s="1162"/>
      <c r="F1367" s="666"/>
      <c r="G1367" s="608"/>
      <c r="H1367" s="880"/>
      <c r="I1367" s="666"/>
      <c r="J1367" s="666"/>
      <c r="K1367" s="1717"/>
      <c r="L1367" s="880"/>
      <c r="M1367" s="1717"/>
      <c r="N1367" s="3590"/>
      <c r="P1367" s="612"/>
    </row>
    <row r="1368" spans="1:16" s="3598" customFormat="1" ht="15.75" customHeight="1" x14ac:dyDescent="0.25">
      <c r="A1368" s="3588"/>
      <c r="B1368" s="4119"/>
      <c r="C1368" s="4103" t="s">
        <v>6577</v>
      </c>
      <c r="D1368" s="673">
        <f>D1369</f>
        <v>9464715955</v>
      </c>
      <c r="E1368" s="1052">
        <f>D1368/D807*100</f>
        <v>5.723861076966652</v>
      </c>
      <c r="F1368" s="673"/>
      <c r="G1368" s="613"/>
      <c r="H1368" s="1415"/>
      <c r="I1368" s="673"/>
      <c r="J1368" s="673"/>
      <c r="K1368" s="2261"/>
      <c r="L1368" s="1415"/>
      <c r="M1368" s="2261"/>
      <c r="N1368" s="3592"/>
      <c r="P1368" s="4592"/>
    </row>
    <row r="1369" spans="1:16" s="4099" customFormat="1" ht="14.25" customHeight="1" x14ac:dyDescent="0.25">
      <c r="A1369" s="4101"/>
      <c r="B1369" s="4119"/>
      <c r="C1369" s="3856" t="s">
        <v>6578</v>
      </c>
      <c r="D1369" s="666">
        <f>9496425955-31710000</f>
        <v>9464715955</v>
      </c>
      <c r="E1369" s="1162">
        <f>D1369/D807*100</f>
        <v>5.723861076966652</v>
      </c>
      <c r="F1369" s="666"/>
      <c r="G1369" s="608"/>
      <c r="H1369" s="880"/>
      <c r="I1369" s="666"/>
      <c r="J1369" s="666"/>
      <c r="K1369" s="1717"/>
      <c r="L1369" s="880"/>
      <c r="M1369" s="1717"/>
      <c r="N1369" s="4109"/>
      <c r="P1369" s="500"/>
    </row>
    <row r="1370" spans="1:16" s="4099" customFormat="1" ht="14.25" customHeight="1" x14ac:dyDescent="0.25">
      <c r="A1370" s="4101"/>
      <c r="B1370" s="4119"/>
      <c r="C1370" s="4460"/>
      <c r="D1370" s="671"/>
      <c r="E1370" s="1458"/>
      <c r="F1370" s="671"/>
      <c r="G1370" s="4304"/>
      <c r="H1370" s="2255"/>
      <c r="I1370" s="2181"/>
      <c r="J1370" s="2181"/>
      <c r="K1370" s="1703"/>
      <c r="L1370" s="2255"/>
      <c r="M1370" s="1703"/>
      <c r="N1370" s="4109"/>
      <c r="P1370" s="500"/>
    </row>
    <row r="1371" spans="1:16" s="2058" customFormat="1" ht="17.25" customHeight="1" x14ac:dyDescent="0.25">
      <c r="A1371" s="5078"/>
      <c r="B1371" s="2916"/>
      <c r="C1371" s="4037" t="s">
        <v>7101</v>
      </c>
      <c r="D1371" s="2530">
        <f>D1373+D1402+D1437+D1446+D1468+D1473+D1477+D1481+D1485+D1496+D1516+D1533+D1539+D1543+D1555+D1562+D1568+D1572+D1582+D1589+D1593+D1597+D1601+D1605+D1609+D1613+D1617+D1621+D1625+D1629+D1633+D1648</f>
        <v>164852857000</v>
      </c>
      <c r="E1371" s="5071">
        <f>D1371/2507241496000*100</f>
        <v>6.5750689458116724</v>
      </c>
      <c r="F1371" s="3403"/>
      <c r="G1371" s="2699"/>
      <c r="H1371" s="2505"/>
      <c r="I1371" s="3035"/>
      <c r="J1371" s="1612"/>
      <c r="K1371" s="1943"/>
      <c r="L1371" s="5079"/>
      <c r="M1371" s="2701"/>
      <c r="N1371" s="5080"/>
      <c r="P1371" s="5081"/>
    </row>
    <row r="1372" spans="1:16" s="4099" customFormat="1" ht="7.5" customHeight="1" x14ac:dyDescent="0.25">
      <c r="A1372" s="4101"/>
      <c r="B1372" s="1242"/>
      <c r="C1372" s="3893"/>
      <c r="D1372" s="671"/>
      <c r="E1372" s="1164"/>
      <c r="F1372" s="840"/>
      <c r="G1372" s="887"/>
      <c r="H1372" s="2346"/>
      <c r="I1372" s="2339"/>
      <c r="J1372" s="1311"/>
      <c r="K1372" s="1311"/>
      <c r="L1372" s="2175"/>
      <c r="M1372" s="1311"/>
      <c r="N1372" s="535"/>
      <c r="P1372" s="500"/>
    </row>
    <row r="1373" spans="1:16" s="4099" customFormat="1" ht="16.5" customHeight="1" x14ac:dyDescent="0.25">
      <c r="A1373" s="4101"/>
      <c r="B1373" s="1305"/>
      <c r="C1373" s="3858" t="s">
        <v>238</v>
      </c>
      <c r="D1373" s="669">
        <f>D1374+D1381+D1384+D1388+D1392+D1396+D1399</f>
        <v>26575685000</v>
      </c>
      <c r="E1373" s="1050">
        <f>D1373/D1371*100</f>
        <v>16.120851942529573</v>
      </c>
      <c r="F1373" s="832"/>
      <c r="G1373" s="832"/>
      <c r="H1373" s="1306"/>
      <c r="I1373" s="2298"/>
      <c r="J1373" s="1813"/>
      <c r="K1373" s="1813"/>
      <c r="L1373" s="1726"/>
      <c r="M1373" s="2066"/>
      <c r="N1373" s="553"/>
      <c r="P1373" s="500"/>
    </row>
    <row r="1374" spans="1:16" s="4099" customFormat="1" ht="14.25" customHeight="1" x14ac:dyDescent="0.25">
      <c r="A1374" s="4101"/>
      <c r="B1374" s="1242"/>
      <c r="C1374" s="3881" t="s">
        <v>239</v>
      </c>
      <c r="D1374" s="889">
        <f>SUM(D1375:D1379)</f>
        <v>16715734000</v>
      </c>
      <c r="E1374" s="1159">
        <f>D1374/D1371*100</f>
        <v>10.139790297962502</v>
      </c>
      <c r="F1374" s="854"/>
      <c r="G1374" s="753"/>
      <c r="H1374" s="753"/>
      <c r="I1374" s="753"/>
      <c r="J1374" s="1836"/>
      <c r="K1374" s="1772"/>
      <c r="L1374" s="753"/>
      <c r="M1374" s="753"/>
      <c r="N1374" s="553"/>
      <c r="P1374" s="500"/>
    </row>
    <row r="1375" spans="1:16" s="4099" customFormat="1" ht="14.25" customHeight="1" x14ac:dyDescent="0.25">
      <c r="A1375" s="4101"/>
      <c r="B1375" s="2910"/>
      <c r="C1375" s="3860" t="s">
        <v>3226</v>
      </c>
      <c r="D1375" s="666">
        <v>50000000</v>
      </c>
      <c r="E1375" s="1162">
        <f>D1375/D1371*100</f>
        <v>3.0330077931254782E-2</v>
      </c>
      <c r="F1375" s="838"/>
      <c r="G1375" s="878"/>
      <c r="H1375" s="878"/>
      <c r="I1375" s="878"/>
      <c r="J1375" s="1818"/>
      <c r="K1375" s="878"/>
      <c r="L1375" s="878"/>
      <c r="M1375" s="878"/>
      <c r="N1375" s="354"/>
      <c r="P1375" s="500"/>
    </row>
    <row r="1376" spans="1:16" s="4099" customFormat="1" ht="14.25" customHeight="1" x14ac:dyDescent="0.25">
      <c r="A1376" s="4101"/>
      <c r="B1376" s="2910"/>
      <c r="C1376" s="3860" t="s">
        <v>3227</v>
      </c>
      <c r="D1376" s="666">
        <v>50000000</v>
      </c>
      <c r="E1376" s="1162">
        <f>D1376/D1371*100</f>
        <v>3.0330077931254782E-2</v>
      </c>
      <c r="F1376" s="838"/>
      <c r="G1376" s="878"/>
      <c r="H1376" s="802"/>
      <c r="I1376" s="1109"/>
      <c r="J1376" s="1818"/>
      <c r="K1376" s="1312"/>
      <c r="L1376" s="1312"/>
      <c r="M1376" s="1312"/>
      <c r="N1376" s="354"/>
      <c r="P1376" s="500"/>
    </row>
    <row r="1377" spans="1:16" s="4099" customFormat="1" ht="14.25" customHeight="1" x14ac:dyDescent="0.25">
      <c r="A1377" s="4101"/>
      <c r="B1377" s="2910"/>
      <c r="C1377" s="3860" t="s">
        <v>3228</v>
      </c>
      <c r="D1377" s="666">
        <v>70000000</v>
      </c>
      <c r="E1377" s="1162">
        <f>D1377/D1371*100</f>
        <v>4.2462109103756689E-2</v>
      </c>
      <c r="F1377" s="838"/>
      <c r="G1377" s="878"/>
      <c r="H1377" s="802"/>
      <c r="I1377" s="1109"/>
      <c r="J1377" s="1818"/>
      <c r="K1377" s="1312"/>
      <c r="L1377" s="1312"/>
      <c r="M1377" s="1312"/>
      <c r="N1377" s="354"/>
      <c r="P1377" s="500"/>
    </row>
    <row r="1378" spans="1:16" s="4099" customFormat="1" ht="14.25" customHeight="1" x14ac:dyDescent="0.25">
      <c r="A1378" s="4101"/>
      <c r="B1378" s="2910"/>
      <c r="C1378" s="3860" t="s">
        <v>3229</v>
      </c>
      <c r="D1378" s="666">
        <v>1379999960</v>
      </c>
      <c r="E1378" s="1162">
        <f>D1378/D1371*100</f>
        <v>0.83711012663856954</v>
      </c>
      <c r="F1378" s="838"/>
      <c r="G1378" s="878"/>
      <c r="H1378" s="802"/>
      <c r="I1378" s="1109"/>
      <c r="J1378" s="1818"/>
      <c r="K1378" s="1312"/>
      <c r="L1378" s="1312"/>
      <c r="M1378" s="1312"/>
      <c r="N1378" s="354"/>
      <c r="P1378" s="500"/>
    </row>
    <row r="1379" spans="1:16" s="4099" customFormat="1" ht="14.25" customHeight="1" x14ac:dyDescent="0.25">
      <c r="A1379" s="4101"/>
      <c r="B1379" s="2910"/>
      <c r="C1379" s="3860" t="s">
        <v>3230</v>
      </c>
      <c r="D1379" s="666">
        <v>15165734040</v>
      </c>
      <c r="E1379" s="1162">
        <f>D1379/D1371*100</f>
        <v>9.1995579063576685</v>
      </c>
      <c r="F1379" s="838"/>
      <c r="G1379" s="878"/>
      <c r="H1379" s="802"/>
      <c r="I1379" s="1109"/>
      <c r="J1379" s="1818"/>
      <c r="K1379" s="1312"/>
      <c r="L1379" s="1312"/>
      <c r="M1379" s="1312"/>
      <c r="N1379" s="354"/>
      <c r="P1379" s="500"/>
    </row>
    <row r="1380" spans="1:16" s="4099" customFormat="1" ht="14.25" customHeight="1" x14ac:dyDescent="0.25">
      <c r="A1380" s="4101"/>
      <c r="B1380" s="2910"/>
      <c r="C1380" s="3860"/>
      <c r="D1380" s="666"/>
      <c r="E1380" s="1162"/>
      <c r="F1380" s="838"/>
      <c r="G1380" s="878"/>
      <c r="H1380" s="802"/>
      <c r="I1380" s="1109"/>
      <c r="J1380" s="1818"/>
      <c r="K1380" s="1312"/>
      <c r="L1380" s="1312"/>
      <c r="M1380" s="1312"/>
      <c r="N1380" s="354"/>
      <c r="P1380" s="500"/>
    </row>
    <row r="1381" spans="1:16" s="4099" customFormat="1" ht="14.25" customHeight="1" x14ac:dyDescent="0.25">
      <c r="A1381" s="4101"/>
      <c r="B1381" s="1242"/>
      <c r="C1381" s="3882" t="s">
        <v>3225</v>
      </c>
      <c r="D1381" s="673">
        <f>SUM(D1382:D1382)</f>
        <v>100000000</v>
      </c>
      <c r="E1381" s="1052">
        <f>D1381/D1371*100</f>
        <v>6.0660155862509564E-2</v>
      </c>
      <c r="F1381" s="839"/>
      <c r="G1381" s="839"/>
      <c r="H1381" s="1308"/>
      <c r="I1381" s="1110"/>
      <c r="J1381" s="1381"/>
      <c r="K1381" s="1381"/>
      <c r="L1381" s="2176"/>
      <c r="M1381" s="2006"/>
      <c r="N1381" s="553"/>
      <c r="P1381" s="500"/>
    </row>
    <row r="1382" spans="1:16" s="4099" customFormat="1" ht="14.25" customHeight="1" x14ac:dyDescent="0.25">
      <c r="A1382" s="4101"/>
      <c r="B1382" s="2910"/>
      <c r="C1382" s="3860" t="s">
        <v>3231</v>
      </c>
      <c r="D1382" s="666">
        <v>100000000</v>
      </c>
      <c r="E1382" s="1162">
        <f>D1382/D1371*100</f>
        <v>6.0660155862509564E-2</v>
      </c>
      <c r="F1382" s="838"/>
      <c r="G1382" s="838"/>
      <c r="H1382" s="1310"/>
      <c r="I1382" s="1109"/>
      <c r="J1382" s="1818"/>
      <c r="K1382" s="1818"/>
      <c r="L1382" s="1310"/>
      <c r="M1382" s="2230"/>
      <c r="N1382" s="354"/>
      <c r="P1382" s="500"/>
    </row>
    <row r="1383" spans="1:16" s="4099" customFormat="1" ht="14.25" customHeight="1" x14ac:dyDescent="0.25">
      <c r="A1383" s="4101"/>
      <c r="B1383" s="2910"/>
      <c r="C1383" s="3860"/>
      <c r="D1383" s="666"/>
      <c r="E1383" s="1162"/>
      <c r="F1383" s="838"/>
      <c r="G1383" s="878"/>
      <c r="H1383" s="878"/>
      <c r="I1383" s="878"/>
      <c r="J1383" s="1818"/>
      <c r="K1383" s="1312"/>
      <c r="L1383" s="1312"/>
      <c r="M1383" s="1312"/>
      <c r="N1383" s="354"/>
      <c r="P1383" s="500"/>
    </row>
    <row r="1384" spans="1:16" s="4099" customFormat="1" ht="14.25" customHeight="1" x14ac:dyDescent="0.25">
      <c r="A1384" s="4101"/>
      <c r="B1384" s="1242"/>
      <c r="C1384" s="3882" t="s">
        <v>3232</v>
      </c>
      <c r="D1384" s="673">
        <f>SUM(D1385:D1386)</f>
        <v>360000000</v>
      </c>
      <c r="E1384" s="1052">
        <f>D1384/D1371*100</f>
        <v>0.21837656110503442</v>
      </c>
      <c r="F1384" s="839"/>
      <c r="G1384" s="877"/>
      <c r="H1384" s="877"/>
      <c r="I1384" s="877"/>
      <c r="J1384" s="1381"/>
      <c r="K1384" s="877"/>
      <c r="L1384" s="877"/>
      <c r="M1384" s="877"/>
      <c r="N1384" s="553"/>
      <c r="P1384" s="500"/>
    </row>
    <row r="1385" spans="1:16" s="4099" customFormat="1" ht="14.25" customHeight="1" x14ac:dyDescent="0.25">
      <c r="A1385" s="4101"/>
      <c r="B1385" s="2910"/>
      <c r="C1385" s="3860" t="s">
        <v>3233</v>
      </c>
      <c r="D1385" s="666">
        <v>300000000</v>
      </c>
      <c r="E1385" s="1162">
        <f>D1385/D1371*100</f>
        <v>0.18198046758752867</v>
      </c>
      <c r="F1385" s="838"/>
      <c r="G1385" s="878"/>
      <c r="H1385" s="878"/>
      <c r="I1385" s="878"/>
      <c r="J1385" s="1818"/>
      <c r="K1385" s="878"/>
      <c r="L1385" s="878"/>
      <c r="M1385" s="878"/>
      <c r="N1385" s="354"/>
      <c r="P1385" s="500"/>
    </row>
    <row r="1386" spans="1:16" s="4099" customFormat="1" ht="14.25" customHeight="1" x14ac:dyDescent="0.25">
      <c r="A1386" s="4101"/>
      <c r="B1386" s="2910"/>
      <c r="C1386" s="3860" t="s">
        <v>3234</v>
      </c>
      <c r="D1386" s="666">
        <v>60000000</v>
      </c>
      <c r="E1386" s="1162">
        <f>D1386/D1371*100</f>
        <v>3.6396093517505737E-2</v>
      </c>
      <c r="F1386" s="838"/>
      <c r="G1386" s="878"/>
      <c r="H1386" s="2361"/>
      <c r="I1386" s="1109"/>
      <c r="J1386" s="1818"/>
      <c r="K1386" s="1312"/>
      <c r="L1386" s="1312"/>
      <c r="M1386" s="1312"/>
      <c r="N1386" s="354"/>
      <c r="P1386" s="500"/>
    </row>
    <row r="1387" spans="1:16" s="4099" customFormat="1" ht="14.25" customHeight="1" x14ac:dyDescent="0.25">
      <c r="A1387" s="4101"/>
      <c r="B1387" s="2910"/>
      <c r="C1387" s="3860"/>
      <c r="D1387" s="666"/>
      <c r="E1387" s="1162"/>
      <c r="F1387" s="838"/>
      <c r="G1387" s="878"/>
      <c r="H1387" s="2361"/>
      <c r="I1387" s="1109"/>
      <c r="J1387" s="1818"/>
      <c r="K1387" s="1312"/>
      <c r="L1387" s="1312"/>
      <c r="M1387" s="1312"/>
      <c r="N1387" s="354"/>
      <c r="P1387" s="500"/>
    </row>
    <row r="1388" spans="1:16" s="4099" customFormat="1" ht="14.25" customHeight="1" x14ac:dyDescent="0.25">
      <c r="A1388" s="4101"/>
      <c r="B1388" s="1242"/>
      <c r="C1388" s="3882" t="s">
        <v>3235</v>
      </c>
      <c r="D1388" s="673">
        <f>SUM(D1389:D1390)</f>
        <v>8699951000</v>
      </c>
      <c r="E1388" s="1052">
        <f>D1388/D1371*100</f>
        <v>5.2774038365619589</v>
      </c>
      <c r="F1388" s="839"/>
      <c r="G1388" s="839"/>
      <c r="H1388" s="1308"/>
      <c r="I1388" s="1110"/>
      <c r="J1388" s="1381"/>
      <c r="K1388" s="1381"/>
      <c r="L1388" s="2176"/>
      <c r="M1388" s="2006"/>
      <c r="N1388" s="553"/>
      <c r="P1388" s="500"/>
    </row>
    <row r="1389" spans="1:16" s="4099" customFormat="1" ht="14.25" customHeight="1" x14ac:dyDescent="0.25">
      <c r="A1389" s="4101"/>
      <c r="B1389" s="2910"/>
      <c r="C1389" s="3860" t="s">
        <v>3236</v>
      </c>
      <c r="D1389" s="666">
        <v>999950000</v>
      </c>
      <c r="E1389" s="1162">
        <f>D1389/D1371*100</f>
        <v>0.60657122854716439</v>
      </c>
      <c r="F1389" s="838"/>
      <c r="G1389" s="838"/>
      <c r="H1389" s="1310"/>
      <c r="I1389" s="1109"/>
      <c r="J1389" s="1818"/>
      <c r="K1389" s="1818"/>
      <c r="L1389" s="1310"/>
      <c r="M1389" s="2230"/>
      <c r="N1389" s="354"/>
      <c r="P1389" s="500"/>
    </row>
    <row r="1390" spans="1:16" s="4099" customFormat="1" ht="14.25" customHeight="1" x14ac:dyDescent="0.25">
      <c r="A1390" s="4101"/>
      <c r="B1390" s="2910"/>
      <c r="C1390" s="3860" t="s">
        <v>3237</v>
      </c>
      <c r="D1390" s="666">
        <v>7700001000</v>
      </c>
      <c r="E1390" s="1162">
        <f>D1390/D1371*100</f>
        <v>4.6708326080147948</v>
      </c>
      <c r="F1390" s="838"/>
      <c r="G1390" s="878"/>
      <c r="H1390" s="878"/>
      <c r="I1390" s="878"/>
      <c r="J1390" s="1818"/>
      <c r="K1390" s="878"/>
      <c r="L1390" s="878"/>
      <c r="M1390" s="878"/>
      <c r="N1390" s="354"/>
      <c r="P1390" s="500"/>
    </row>
    <row r="1391" spans="1:16" s="4099" customFormat="1" ht="14.25" customHeight="1" x14ac:dyDescent="0.25">
      <c r="A1391" s="4101"/>
      <c r="B1391" s="2910"/>
      <c r="C1391" s="3860"/>
      <c r="D1391" s="666"/>
      <c r="E1391" s="1162"/>
      <c r="F1391" s="838"/>
      <c r="G1391" s="878"/>
      <c r="H1391" s="1310"/>
      <c r="I1391" s="1109"/>
      <c r="J1391" s="1818"/>
      <c r="K1391" s="1312"/>
      <c r="L1391" s="1312"/>
      <c r="M1391" s="1312"/>
      <c r="N1391" s="354"/>
      <c r="P1391" s="500"/>
    </row>
    <row r="1392" spans="1:16" s="4099" customFormat="1" ht="14.25" customHeight="1" x14ac:dyDescent="0.25">
      <c r="A1392" s="4101"/>
      <c r="B1392" s="1242"/>
      <c r="C1392" s="3882" t="s">
        <v>3238</v>
      </c>
      <c r="D1392" s="673">
        <v>350000000</v>
      </c>
      <c r="E1392" s="1052">
        <f>D1392/D1371*100</f>
        <v>0.21231054551878345</v>
      </c>
      <c r="F1392" s="839"/>
      <c r="G1392" s="839"/>
      <c r="H1392" s="1308"/>
      <c r="I1392" s="1110"/>
      <c r="J1392" s="1381"/>
      <c r="K1392" s="1381"/>
      <c r="L1392" s="2176"/>
      <c r="M1392" s="2006"/>
      <c r="N1392" s="553"/>
      <c r="P1392" s="500"/>
    </row>
    <row r="1393" spans="1:16" s="4099" customFormat="1" ht="14.25" customHeight="1" x14ac:dyDescent="0.25">
      <c r="A1393" s="4101"/>
      <c r="B1393" s="2910"/>
      <c r="C1393" s="3860" t="s">
        <v>3239</v>
      </c>
      <c r="D1393" s="666">
        <v>100000000</v>
      </c>
      <c r="E1393" s="1162">
        <f>D1393/D1371*100</f>
        <v>6.0660155862509564E-2</v>
      </c>
      <c r="F1393" s="838"/>
      <c r="G1393" s="878"/>
      <c r="H1393" s="878"/>
      <c r="I1393" s="878"/>
      <c r="J1393" s="1818"/>
      <c r="K1393" s="878"/>
      <c r="L1393" s="878"/>
      <c r="M1393" s="878"/>
      <c r="N1393" s="354"/>
      <c r="P1393" s="500"/>
    </row>
    <row r="1394" spans="1:16" s="4099" customFormat="1" ht="14.25" customHeight="1" x14ac:dyDescent="0.25">
      <c r="A1394" s="4101"/>
      <c r="B1394" s="2910"/>
      <c r="C1394" s="3860" t="s">
        <v>3240</v>
      </c>
      <c r="D1394" s="666">
        <v>250000000</v>
      </c>
      <c r="E1394" s="1162">
        <f>D1394/D1371*100</f>
        <v>0.15165038965627389</v>
      </c>
      <c r="F1394" s="838"/>
      <c r="G1394" s="838"/>
      <c r="H1394" s="1310"/>
      <c r="I1394" s="1109"/>
      <c r="J1394" s="1818"/>
      <c r="K1394" s="1818"/>
      <c r="L1394" s="1310"/>
      <c r="M1394" s="2230"/>
      <c r="N1394" s="354"/>
      <c r="P1394" s="500"/>
    </row>
    <row r="1395" spans="1:16" s="4099" customFormat="1" ht="14.25" customHeight="1" x14ac:dyDescent="0.25">
      <c r="A1395" s="4101"/>
      <c r="B1395" s="2910"/>
      <c r="C1395" s="3860"/>
      <c r="D1395" s="666"/>
      <c r="E1395" s="1162"/>
      <c r="F1395" s="838"/>
      <c r="G1395" s="838"/>
      <c r="H1395" s="1310"/>
      <c r="I1395" s="1109"/>
      <c r="J1395" s="1818"/>
      <c r="K1395" s="1818"/>
      <c r="L1395" s="1310"/>
      <c r="M1395" s="2230"/>
      <c r="N1395" s="354"/>
      <c r="P1395" s="500"/>
    </row>
    <row r="1396" spans="1:16" s="4099" customFormat="1" ht="14.25" customHeight="1" x14ac:dyDescent="0.25">
      <c r="A1396" s="4101"/>
      <c r="B1396" s="2910"/>
      <c r="C1396" s="3882" t="s">
        <v>3241</v>
      </c>
      <c r="D1396" s="673">
        <v>100000000</v>
      </c>
      <c r="E1396" s="1052">
        <f>D1396/D1371*100</f>
        <v>6.0660155862509564E-2</v>
      </c>
      <c r="F1396" s="838"/>
      <c r="G1396" s="878"/>
      <c r="H1396" s="878"/>
      <c r="I1396" s="878"/>
      <c r="J1396" s="1818"/>
      <c r="K1396" s="878"/>
      <c r="L1396" s="878"/>
      <c r="M1396" s="878"/>
      <c r="N1396" s="354"/>
      <c r="P1396" s="500"/>
    </row>
    <row r="1397" spans="1:16" s="4099" customFormat="1" ht="14.25" customHeight="1" x14ac:dyDescent="0.25">
      <c r="A1397" s="4101"/>
      <c r="B1397" s="2910"/>
      <c r="C1397" s="3860" t="s">
        <v>3242</v>
      </c>
      <c r="D1397" s="666">
        <v>100000000</v>
      </c>
      <c r="E1397" s="1162">
        <f>D1397/D1371*100</f>
        <v>6.0660155862509564E-2</v>
      </c>
      <c r="F1397" s="838"/>
      <c r="G1397" s="878"/>
      <c r="H1397" s="878"/>
      <c r="I1397" s="878"/>
      <c r="J1397" s="1818"/>
      <c r="K1397" s="1818"/>
      <c r="L1397" s="1310"/>
      <c r="M1397" s="2230"/>
      <c r="N1397" s="354"/>
      <c r="P1397" s="500"/>
    </row>
    <row r="1398" spans="1:16" s="4099" customFormat="1" ht="14.25" customHeight="1" x14ac:dyDescent="0.25">
      <c r="A1398" s="4101"/>
      <c r="B1398" s="2910"/>
      <c r="C1398" s="3860"/>
      <c r="D1398" s="666"/>
      <c r="E1398" s="1162"/>
      <c r="F1398" s="838"/>
      <c r="G1398" s="878"/>
      <c r="H1398" s="878"/>
      <c r="I1398" s="878"/>
      <c r="J1398" s="1818"/>
      <c r="K1398" s="1818"/>
      <c r="L1398" s="1310"/>
      <c r="M1398" s="2230"/>
      <c r="N1398" s="354"/>
      <c r="P1398" s="500"/>
    </row>
    <row r="1399" spans="1:16" s="4099" customFormat="1" ht="14.25" customHeight="1" x14ac:dyDescent="0.25">
      <c r="A1399" s="4101"/>
      <c r="B1399" s="2910"/>
      <c r="C1399" s="3882" t="s">
        <v>3243</v>
      </c>
      <c r="D1399" s="673">
        <v>250000000</v>
      </c>
      <c r="E1399" s="1052">
        <f>D1399/D1371*100</f>
        <v>0.15165038965627389</v>
      </c>
      <c r="F1399" s="838"/>
      <c r="G1399" s="878"/>
      <c r="H1399" s="878"/>
      <c r="I1399" s="878"/>
      <c r="J1399" s="1818"/>
      <c r="K1399" s="2293"/>
      <c r="L1399" s="1310"/>
      <c r="M1399" s="2230"/>
      <c r="N1399" s="354"/>
      <c r="P1399" s="500"/>
    </row>
    <row r="1400" spans="1:16" s="4099" customFormat="1" ht="14.25" customHeight="1" x14ac:dyDescent="0.25">
      <c r="A1400" s="4101"/>
      <c r="B1400" s="1242"/>
      <c r="C1400" s="3861" t="s">
        <v>3244</v>
      </c>
      <c r="D1400" s="868">
        <v>250000000</v>
      </c>
      <c r="E1400" s="1162">
        <f>D1400/D1371*100</f>
        <v>0.15165038965627389</v>
      </c>
      <c r="F1400" s="835"/>
      <c r="G1400" s="878"/>
      <c r="H1400" s="878"/>
      <c r="I1400" s="878"/>
      <c r="J1400" s="1815"/>
      <c r="K1400" s="878"/>
      <c r="L1400" s="878"/>
      <c r="M1400" s="878"/>
      <c r="N1400" s="535"/>
      <c r="P1400" s="500"/>
    </row>
    <row r="1401" spans="1:16" s="4099" customFormat="1" ht="14.25" customHeight="1" x14ac:dyDescent="0.25">
      <c r="A1401" s="4101"/>
      <c r="B1401" s="1242"/>
      <c r="C1401" s="3918"/>
      <c r="D1401" s="1094"/>
      <c r="E1401" s="1051"/>
      <c r="F1401" s="852"/>
      <c r="G1401" s="887"/>
      <c r="H1401" s="2255"/>
      <c r="I1401" s="2339"/>
      <c r="J1401" s="2182"/>
      <c r="K1401" s="2182"/>
      <c r="L1401" s="2182"/>
      <c r="M1401" s="2182"/>
      <c r="N1401" s="535"/>
      <c r="P1401" s="500"/>
    </row>
    <row r="1402" spans="1:16" s="4099" customFormat="1" ht="14.25" customHeight="1" x14ac:dyDescent="0.25">
      <c r="A1402" s="4101"/>
      <c r="B1402" s="1305"/>
      <c r="C1402" s="3858" t="s">
        <v>248</v>
      </c>
      <c r="D1402" s="669">
        <f>D1403+D1407+D1411+D1414+D1418+D1421+D1427+D1430+D1433</f>
        <v>17536000000</v>
      </c>
      <c r="E1402" s="1050">
        <f>D1402/D1371*100</f>
        <v>10.637364932049676</v>
      </c>
      <c r="F1402" s="832"/>
      <c r="G1402" s="832"/>
      <c r="H1402" s="1306"/>
      <c r="I1402" s="2298"/>
      <c r="J1402" s="1813"/>
      <c r="K1402" s="1813"/>
      <c r="L1402" s="1726"/>
      <c r="M1402" s="2317"/>
      <c r="N1402" s="553"/>
      <c r="P1402" s="500"/>
    </row>
    <row r="1403" spans="1:16" s="4099" customFormat="1" ht="18" customHeight="1" x14ac:dyDescent="0.25">
      <c r="A1403" s="4101"/>
      <c r="B1403" s="1242"/>
      <c r="C1403" s="3881" t="s">
        <v>1692</v>
      </c>
      <c r="D1403" s="889">
        <f>D1404+D1405</f>
        <v>5336000000</v>
      </c>
      <c r="E1403" s="1159">
        <f>D1403/D1371*100</f>
        <v>3.2368259168235101</v>
      </c>
      <c r="F1403" s="854"/>
      <c r="G1403" s="877"/>
      <c r="H1403" s="877"/>
      <c r="I1403" s="877"/>
      <c r="J1403" s="1836"/>
      <c r="K1403" s="877"/>
      <c r="L1403" s="877"/>
      <c r="M1403" s="877"/>
      <c r="N1403" s="553"/>
      <c r="P1403" s="500"/>
    </row>
    <row r="1404" spans="1:16" s="4099" customFormat="1" ht="14.25" customHeight="1" x14ac:dyDescent="0.25">
      <c r="A1404" s="4101"/>
      <c r="B1404" s="2910"/>
      <c r="C1404" s="3860" t="s">
        <v>1693</v>
      </c>
      <c r="D1404" s="666">
        <v>336000000</v>
      </c>
      <c r="E1404" s="1162">
        <f>D1404/D1371*100</f>
        <v>0.20381812369803212</v>
      </c>
      <c r="F1404" s="838"/>
      <c r="G1404" s="878"/>
      <c r="H1404" s="878"/>
      <c r="I1404" s="878"/>
      <c r="J1404" s="1818"/>
      <c r="K1404" s="878"/>
      <c r="L1404" s="878"/>
      <c r="M1404" s="878"/>
      <c r="N1404" s="354"/>
      <c r="P1404" s="500"/>
    </row>
    <row r="1405" spans="1:16" s="4099" customFormat="1" ht="14.25" customHeight="1" x14ac:dyDescent="0.25">
      <c r="A1405" s="4101"/>
      <c r="B1405" s="2910"/>
      <c r="C1405" s="3860" t="s">
        <v>3245</v>
      </c>
      <c r="D1405" s="666">
        <v>5000000000</v>
      </c>
      <c r="E1405" s="1162">
        <f>D1405/D1371*100</f>
        <v>3.0330077931254777</v>
      </c>
      <c r="F1405" s="838"/>
      <c r="G1405" s="878"/>
      <c r="H1405" s="878"/>
      <c r="I1405" s="878"/>
      <c r="J1405" s="1818"/>
      <c r="K1405" s="3047"/>
      <c r="L1405" s="3047"/>
      <c r="M1405" s="3047"/>
      <c r="N1405" s="354"/>
      <c r="P1405" s="500"/>
    </row>
    <row r="1406" spans="1:16" s="4099" customFormat="1" ht="14.25" customHeight="1" x14ac:dyDescent="0.25">
      <c r="A1406" s="4101"/>
      <c r="B1406" s="2910"/>
      <c r="C1406" s="3860"/>
      <c r="D1406" s="666"/>
      <c r="E1406" s="1162"/>
      <c r="F1406" s="838"/>
      <c r="G1406" s="878"/>
      <c r="H1406" s="878"/>
      <c r="I1406" s="878"/>
      <c r="J1406" s="1818"/>
      <c r="K1406" s="1312"/>
      <c r="L1406" s="1312"/>
      <c r="M1406" s="1312"/>
      <c r="N1406" s="354"/>
      <c r="P1406" s="500"/>
    </row>
    <row r="1407" spans="1:16" s="4099" customFormat="1" ht="14.25" customHeight="1" x14ac:dyDescent="0.25">
      <c r="A1407" s="4101"/>
      <c r="B1407" s="1242"/>
      <c r="C1407" s="3882" t="s">
        <v>370</v>
      </c>
      <c r="D1407" s="673">
        <v>600000000</v>
      </c>
      <c r="E1407" s="1052">
        <f>D1407/D1371*100</f>
        <v>0.36396093517505734</v>
      </c>
      <c r="F1407" s="839"/>
      <c r="G1407" s="877"/>
      <c r="H1407" s="877"/>
      <c r="I1407" s="877"/>
      <c r="J1407" s="1381"/>
      <c r="K1407" s="1381"/>
      <c r="L1407" s="2176"/>
      <c r="M1407" s="2006"/>
      <c r="N1407" s="553"/>
      <c r="P1407" s="500"/>
    </row>
    <row r="1408" spans="1:16" s="4099" customFormat="1" ht="14.25" customHeight="1" x14ac:dyDescent="0.25">
      <c r="A1408" s="4101"/>
      <c r="B1408" s="2910"/>
      <c r="C1408" s="3860" t="s">
        <v>3246</v>
      </c>
      <c r="D1408" s="666">
        <v>350000000</v>
      </c>
      <c r="E1408" s="1162">
        <f>D1408/D1371*100</f>
        <v>0.21231054551878345</v>
      </c>
      <c r="F1408" s="838"/>
      <c r="G1408" s="878"/>
      <c r="H1408" s="878"/>
      <c r="I1408" s="878"/>
      <c r="J1408" s="1818"/>
      <c r="K1408" s="2293"/>
      <c r="L1408" s="1310"/>
      <c r="M1408" s="2230"/>
      <c r="N1408" s="354"/>
      <c r="P1408" s="500"/>
    </row>
    <row r="1409" spans="1:16" s="4099" customFormat="1" ht="14.25" customHeight="1" x14ac:dyDescent="0.25">
      <c r="A1409" s="4101"/>
      <c r="B1409" s="2910"/>
      <c r="C1409" s="3860" t="s">
        <v>3247</v>
      </c>
      <c r="D1409" s="666">
        <v>250000000</v>
      </c>
      <c r="E1409" s="1162">
        <f>D1409/D1371*100</f>
        <v>0.15165038965627389</v>
      </c>
      <c r="F1409" s="838"/>
      <c r="G1409" s="878"/>
      <c r="H1409" s="878"/>
      <c r="I1409" s="878"/>
      <c r="J1409" s="1818"/>
      <c r="K1409" s="1312"/>
      <c r="L1409" s="1310"/>
      <c r="M1409" s="1312"/>
      <c r="N1409" s="354"/>
      <c r="P1409" s="500"/>
    </row>
    <row r="1410" spans="1:16" s="4099" customFormat="1" ht="14.25" customHeight="1" x14ac:dyDescent="0.25">
      <c r="A1410" s="4101"/>
      <c r="B1410" s="2910"/>
      <c r="C1410" s="3860"/>
      <c r="D1410" s="666"/>
      <c r="E1410" s="1162"/>
      <c r="F1410" s="838"/>
      <c r="G1410" s="878"/>
      <c r="H1410" s="878"/>
      <c r="I1410" s="878"/>
      <c r="J1410" s="1818"/>
      <c r="K1410" s="1312"/>
      <c r="L1410" s="1310"/>
      <c r="M1410" s="1312"/>
      <c r="N1410" s="354"/>
      <c r="P1410" s="500"/>
    </row>
    <row r="1411" spans="1:16" s="4099" customFormat="1" ht="14.25" customHeight="1" x14ac:dyDescent="0.25">
      <c r="A1411" s="4101"/>
      <c r="B1411" s="1242"/>
      <c r="C1411" s="3882" t="s">
        <v>445</v>
      </c>
      <c r="D1411" s="673">
        <v>800000000</v>
      </c>
      <c r="E1411" s="1052">
        <f>D1411/D1371*100</f>
        <v>0.48528124690007651</v>
      </c>
      <c r="F1411" s="838"/>
      <c r="G1411" s="878"/>
      <c r="H1411" s="878"/>
      <c r="I1411" s="878"/>
      <c r="J1411" s="1818"/>
      <c r="K1411" s="878"/>
      <c r="L1411" s="878"/>
      <c r="M1411" s="878"/>
      <c r="N1411" s="553"/>
      <c r="P1411" s="500"/>
    </row>
    <row r="1412" spans="1:16" s="4099" customFormat="1" ht="14.25" customHeight="1" x14ac:dyDescent="0.25">
      <c r="A1412" s="4101"/>
      <c r="B1412" s="1242"/>
      <c r="C1412" s="3860" t="s">
        <v>3248</v>
      </c>
      <c r="D1412" s="666">
        <v>800000000</v>
      </c>
      <c r="E1412" s="1162">
        <f>D1412/D1371*100</f>
        <v>0.48528124690007651</v>
      </c>
      <c r="F1412" s="839"/>
      <c r="G1412" s="839"/>
      <c r="H1412" s="1308"/>
      <c r="I1412" s="1110"/>
      <c r="J1412" s="1381"/>
      <c r="K1412" s="1988"/>
      <c r="L1412" s="1650"/>
      <c r="M1412" s="2006"/>
      <c r="N1412" s="553"/>
      <c r="P1412" s="500"/>
    </row>
    <row r="1413" spans="1:16" s="4099" customFormat="1" ht="14.25" customHeight="1" x14ac:dyDescent="0.25">
      <c r="A1413" s="4101"/>
      <c r="B1413" s="1242"/>
      <c r="C1413" s="3860"/>
      <c r="D1413" s="673"/>
      <c r="E1413" s="1162"/>
      <c r="F1413" s="839"/>
      <c r="G1413" s="839"/>
      <c r="H1413" s="1308"/>
      <c r="I1413" s="1110"/>
      <c r="J1413" s="1381"/>
      <c r="K1413" s="1988"/>
      <c r="L1413" s="1650"/>
      <c r="M1413" s="2006"/>
      <c r="N1413" s="553"/>
      <c r="P1413" s="500"/>
    </row>
    <row r="1414" spans="1:16" s="4099" customFormat="1" ht="14.25" customHeight="1" x14ac:dyDescent="0.25">
      <c r="A1414" s="4101"/>
      <c r="B1414" s="1242"/>
      <c r="C1414" s="3882" t="s">
        <v>453</v>
      </c>
      <c r="D1414" s="4230">
        <v>600000000</v>
      </c>
      <c r="E1414" s="1052">
        <f>D1414/D1371*100</f>
        <v>0.36396093517505734</v>
      </c>
      <c r="F1414" s="958"/>
      <c r="G1414" s="958"/>
      <c r="H1414" s="1308"/>
      <c r="I1414" s="1117"/>
      <c r="J1414" s="1886"/>
      <c r="K1414" s="1886"/>
      <c r="L1414" s="2176"/>
      <c r="M1414" s="2362"/>
      <c r="N1414" s="553"/>
      <c r="P1414" s="500"/>
    </row>
    <row r="1415" spans="1:16" s="4099" customFormat="1" ht="14.25" customHeight="1" x14ac:dyDescent="0.25">
      <c r="A1415" s="4101"/>
      <c r="B1415" s="2910"/>
      <c r="C1415" s="3860" t="s">
        <v>3249</v>
      </c>
      <c r="D1415" s="666">
        <v>200000000</v>
      </c>
      <c r="E1415" s="1162">
        <f>D1415/D1371*100</f>
        <v>0.12132031172501913</v>
      </c>
      <c r="F1415" s="838"/>
      <c r="G1415" s="838"/>
      <c r="H1415" s="1310"/>
      <c r="I1415" s="1109"/>
      <c r="J1415" s="1818"/>
      <c r="K1415" s="1818"/>
      <c r="L1415" s="1310"/>
      <c r="M1415" s="2230"/>
      <c r="N1415" s="354"/>
      <c r="P1415" s="500"/>
    </row>
    <row r="1416" spans="1:16" s="4099" customFormat="1" ht="14.25" customHeight="1" x14ac:dyDescent="0.25">
      <c r="A1416" s="4101"/>
      <c r="B1416" s="2910"/>
      <c r="C1416" s="3860" t="s">
        <v>3250</v>
      </c>
      <c r="D1416" s="666">
        <v>400000000</v>
      </c>
      <c r="E1416" s="1162">
        <f>D1416/D1371*100</f>
        <v>0.24264062345003826</v>
      </c>
      <c r="F1416" s="838"/>
      <c r="G1416" s="878"/>
      <c r="H1416" s="1310"/>
      <c r="I1416" s="1109"/>
      <c r="J1416" s="1818"/>
      <c r="K1416" s="2293"/>
      <c r="L1416" s="1312"/>
      <c r="M1416" s="2230"/>
      <c r="N1416" s="354"/>
      <c r="P1416" s="500"/>
    </row>
    <row r="1417" spans="1:16" s="4099" customFormat="1" ht="14.25" customHeight="1" x14ac:dyDescent="0.25">
      <c r="A1417" s="4101"/>
      <c r="B1417" s="2910"/>
      <c r="C1417" s="3860"/>
      <c r="D1417" s="666"/>
      <c r="E1417" s="1162"/>
      <c r="F1417" s="838"/>
      <c r="G1417" s="878"/>
      <c r="H1417" s="1310"/>
      <c r="I1417" s="1109"/>
      <c r="J1417" s="1818"/>
      <c r="K1417" s="2293"/>
      <c r="L1417" s="1312"/>
      <c r="M1417" s="2230"/>
      <c r="N1417" s="354"/>
      <c r="P1417" s="500"/>
    </row>
    <row r="1418" spans="1:16" s="4099" customFormat="1" ht="14.25" customHeight="1" x14ac:dyDescent="0.25">
      <c r="A1418" s="4101"/>
      <c r="B1418" s="2910"/>
      <c r="C1418" s="3882" t="s">
        <v>3251</v>
      </c>
      <c r="D1418" s="673">
        <v>200000000</v>
      </c>
      <c r="E1418" s="1052">
        <f>D1418/D1371*100</f>
        <v>0.12132031172501913</v>
      </c>
      <c r="F1418" s="839"/>
      <c r="G1418" s="877"/>
      <c r="H1418" s="877"/>
      <c r="I1418" s="877"/>
      <c r="J1418" s="1381"/>
      <c r="K1418" s="1381"/>
      <c r="L1418" s="2176"/>
      <c r="M1418" s="2006"/>
      <c r="N1418" s="354"/>
      <c r="P1418" s="500"/>
    </row>
    <row r="1419" spans="1:16" s="4099" customFormat="1" ht="14.25" customHeight="1" x14ac:dyDescent="0.25">
      <c r="A1419" s="4101"/>
      <c r="B1419" s="2910"/>
      <c r="C1419" s="3860" t="s">
        <v>3252</v>
      </c>
      <c r="D1419" s="666">
        <v>200000000</v>
      </c>
      <c r="E1419" s="1162">
        <f>D1419/D1371*100</f>
        <v>0.12132031172501913</v>
      </c>
      <c r="F1419" s="838"/>
      <c r="G1419" s="878"/>
      <c r="H1419" s="878"/>
      <c r="I1419" s="878"/>
      <c r="J1419" s="1818"/>
      <c r="K1419" s="1818"/>
      <c r="L1419" s="1310"/>
      <c r="M1419" s="1312"/>
      <c r="N1419" s="354"/>
      <c r="P1419" s="500"/>
    </row>
    <row r="1420" spans="1:16" s="4099" customFormat="1" ht="14.25" customHeight="1" x14ac:dyDescent="0.25">
      <c r="A1420" s="4101"/>
      <c r="B1420" s="2910"/>
      <c r="C1420" s="3860"/>
      <c r="D1420" s="666"/>
      <c r="E1420" s="1162"/>
      <c r="F1420" s="838"/>
      <c r="G1420" s="878"/>
      <c r="H1420" s="878"/>
      <c r="I1420" s="878"/>
      <c r="J1420" s="1818"/>
      <c r="K1420" s="1818"/>
      <c r="L1420" s="1310"/>
      <c r="M1420" s="1312"/>
      <c r="N1420" s="354"/>
      <c r="P1420" s="500"/>
    </row>
    <row r="1421" spans="1:16" s="4099" customFormat="1" ht="14.25" customHeight="1" x14ac:dyDescent="0.25">
      <c r="A1421" s="4101"/>
      <c r="B1421" s="1242"/>
      <c r="C1421" s="3882" t="s">
        <v>3253</v>
      </c>
      <c r="D1421" s="673">
        <f>SUM(D1422:D1425)</f>
        <v>7100000000</v>
      </c>
      <c r="E1421" s="1052">
        <f>D1421/D1371*100</f>
        <v>4.3068710662381786</v>
      </c>
      <c r="F1421" s="838"/>
      <c r="G1421" s="878"/>
      <c r="H1421" s="878"/>
      <c r="I1421" s="878"/>
      <c r="J1421" s="1818"/>
      <c r="K1421" s="1818"/>
      <c r="L1421" s="1310"/>
      <c r="M1421" s="2230"/>
      <c r="N1421" s="553"/>
      <c r="P1421" s="500"/>
    </row>
    <row r="1422" spans="1:16" s="4099" customFormat="1" ht="14.25" customHeight="1" x14ac:dyDescent="0.25">
      <c r="A1422" s="4101"/>
      <c r="B1422" s="2910"/>
      <c r="C1422" s="3860" t="s">
        <v>3254</v>
      </c>
      <c r="D1422" s="666">
        <v>1000000000</v>
      </c>
      <c r="E1422" s="1161">
        <f>D1422/D1371*100</f>
        <v>0.60660155862509557</v>
      </c>
      <c r="F1422" s="838"/>
      <c r="G1422" s="878"/>
      <c r="H1422" s="1310"/>
      <c r="I1422" s="1109"/>
      <c r="J1422" s="1818"/>
      <c r="K1422" s="2293"/>
      <c r="L1422" s="2230"/>
      <c r="M1422" s="2230"/>
      <c r="N1422" s="354"/>
      <c r="P1422" s="500"/>
    </row>
    <row r="1423" spans="1:16" s="4099" customFormat="1" ht="14.25" customHeight="1" x14ac:dyDescent="0.25">
      <c r="A1423" s="4101"/>
      <c r="B1423" s="2910"/>
      <c r="C1423" s="3860" t="s">
        <v>3255</v>
      </c>
      <c r="D1423" s="666">
        <v>700000000</v>
      </c>
      <c r="E1423" s="1162">
        <f>D1423/D1371*100</f>
        <v>0.4246210910375669</v>
      </c>
      <c r="F1423" s="839"/>
      <c r="G1423" s="839"/>
      <c r="H1423" s="1308"/>
      <c r="I1423" s="1110"/>
      <c r="J1423" s="1381"/>
      <c r="K1423" s="1381"/>
      <c r="L1423" s="2176"/>
      <c r="M1423" s="2006"/>
      <c r="N1423" s="354"/>
      <c r="P1423" s="500"/>
    </row>
    <row r="1424" spans="1:16" s="4099" customFormat="1" ht="14.25" customHeight="1" x14ac:dyDescent="0.25">
      <c r="A1424" s="4101"/>
      <c r="B1424" s="1242"/>
      <c r="C1424" s="3860" t="s">
        <v>3256</v>
      </c>
      <c r="D1424" s="666">
        <v>1000000000</v>
      </c>
      <c r="E1424" s="1162">
        <f>D1424/D1371*100</f>
        <v>0.60660155862509557</v>
      </c>
      <c r="F1424" s="838"/>
      <c r="G1424" s="878"/>
      <c r="H1424" s="878"/>
      <c r="I1424" s="878"/>
      <c r="J1424" s="1818"/>
      <c r="K1424" s="1311"/>
      <c r="L1424" s="1310"/>
      <c r="M1424" s="1312"/>
      <c r="N1424" s="535"/>
      <c r="P1424" s="500"/>
    </row>
    <row r="1425" spans="1:16" s="4099" customFormat="1" ht="14.25" customHeight="1" x14ac:dyDescent="0.25">
      <c r="A1425" s="4101"/>
      <c r="B1425" s="1242"/>
      <c r="C1425" s="3860" t="s">
        <v>3257</v>
      </c>
      <c r="D1425" s="666">
        <v>4400000000</v>
      </c>
      <c r="E1425" s="1162">
        <f>D1425/D1371*100</f>
        <v>2.6690468579504207</v>
      </c>
      <c r="F1425" s="838"/>
      <c r="G1425" s="878"/>
      <c r="H1425" s="878"/>
      <c r="I1425" s="878"/>
      <c r="J1425" s="1818"/>
      <c r="K1425" s="1818"/>
      <c r="L1425" s="1310"/>
      <c r="M1425" s="1312"/>
      <c r="N1425" s="535"/>
      <c r="P1425" s="500"/>
    </row>
    <row r="1426" spans="1:16" s="4099" customFormat="1" ht="14.25" customHeight="1" x14ac:dyDescent="0.25">
      <c r="A1426" s="4101"/>
      <c r="B1426" s="1242"/>
      <c r="C1426" s="3860"/>
      <c r="D1426" s="666"/>
      <c r="E1426" s="1162"/>
      <c r="F1426" s="838"/>
      <c r="G1426" s="878"/>
      <c r="H1426" s="878"/>
      <c r="I1426" s="878"/>
      <c r="J1426" s="1818"/>
      <c r="K1426" s="3386"/>
      <c r="L1426" s="1310"/>
      <c r="M1426" s="1312"/>
      <c r="N1426" s="535"/>
      <c r="P1426" s="500"/>
    </row>
    <row r="1427" spans="1:16" s="4099" customFormat="1" ht="14.25" customHeight="1" x14ac:dyDescent="0.25">
      <c r="A1427" s="4101"/>
      <c r="B1427" s="1242"/>
      <c r="C1427" s="3882" t="s">
        <v>3258</v>
      </c>
      <c r="D1427" s="673">
        <f>D1428</f>
        <v>1300000000</v>
      </c>
      <c r="E1427" s="1052">
        <f>D1427/D1371*100</f>
        <v>0.7885820262126243</v>
      </c>
      <c r="F1427" s="838"/>
      <c r="G1427" s="878"/>
      <c r="H1427" s="878"/>
      <c r="I1427" s="878"/>
      <c r="J1427" s="1818"/>
      <c r="K1427" s="1311"/>
      <c r="L1427" s="1310"/>
      <c r="M1427" s="1312"/>
      <c r="N1427" s="535"/>
      <c r="P1427" s="500"/>
    </row>
    <row r="1428" spans="1:16" s="4099" customFormat="1" ht="14.25" customHeight="1" x14ac:dyDescent="0.25">
      <c r="A1428" s="4101"/>
      <c r="B1428" s="1242"/>
      <c r="C1428" s="3860" t="s">
        <v>3415</v>
      </c>
      <c r="D1428" s="666">
        <v>1300000000</v>
      </c>
      <c r="E1428" s="1162">
        <f>D1428/D1371*100</f>
        <v>0.7885820262126243</v>
      </c>
      <c r="F1428" s="838"/>
      <c r="G1428" s="878"/>
      <c r="H1428" s="1310"/>
      <c r="I1428" s="1109"/>
      <c r="J1428" s="1818"/>
      <c r="K1428" s="1311"/>
      <c r="L1428" s="1310"/>
      <c r="M1428" s="1312"/>
      <c r="N1428" s="535"/>
      <c r="P1428" s="500"/>
    </row>
    <row r="1429" spans="1:16" s="4099" customFormat="1" ht="14.25" customHeight="1" x14ac:dyDescent="0.25">
      <c r="A1429" s="4101"/>
      <c r="B1429" s="1242"/>
      <c r="C1429" s="3860"/>
      <c r="D1429" s="666"/>
      <c r="E1429" s="1162"/>
      <c r="F1429" s="838"/>
      <c r="G1429" s="878"/>
      <c r="H1429" s="1310"/>
      <c r="I1429" s="1109"/>
      <c r="J1429" s="1818"/>
      <c r="K1429" s="1311"/>
      <c r="L1429" s="1310"/>
      <c r="M1429" s="1312"/>
      <c r="N1429" s="535"/>
      <c r="P1429" s="500"/>
    </row>
    <row r="1430" spans="1:16" s="4099" customFormat="1" ht="14.25" customHeight="1" x14ac:dyDescent="0.25">
      <c r="A1430" s="4101"/>
      <c r="B1430" s="1242"/>
      <c r="C1430" s="3882" t="s">
        <v>3259</v>
      </c>
      <c r="D1430" s="673">
        <v>1000000000</v>
      </c>
      <c r="E1430" s="1052">
        <f>D1430/D1371*100</f>
        <v>0.60660155862509557</v>
      </c>
      <c r="F1430" s="838"/>
      <c r="G1430" s="878"/>
      <c r="H1430" s="1310"/>
      <c r="I1430" s="1109"/>
      <c r="J1430" s="1818"/>
      <c r="K1430" s="1311"/>
      <c r="L1430" s="1311"/>
      <c r="M1430" s="1311"/>
      <c r="N1430" s="535"/>
      <c r="P1430" s="500"/>
    </row>
    <row r="1431" spans="1:16" s="4099" customFormat="1" ht="14.25" customHeight="1" x14ac:dyDescent="0.25">
      <c r="A1431" s="4101"/>
      <c r="B1431" s="1242"/>
      <c r="C1431" s="3860" t="s">
        <v>3260</v>
      </c>
      <c r="D1431" s="666">
        <v>1000000000</v>
      </c>
      <c r="E1431" s="1162">
        <f>D1431/D1371*100</f>
        <v>0.60660155862509557</v>
      </c>
      <c r="F1431" s="839"/>
      <c r="G1431" s="839"/>
      <c r="H1431" s="1308"/>
      <c r="I1431" s="1110"/>
      <c r="J1431" s="1381"/>
      <c r="K1431" s="1381"/>
      <c r="L1431" s="2176"/>
      <c r="M1431" s="1650"/>
      <c r="N1431" s="535"/>
      <c r="P1431" s="500"/>
    </row>
    <row r="1432" spans="1:16" s="4099" customFormat="1" ht="14.25" customHeight="1" x14ac:dyDescent="0.25">
      <c r="A1432" s="4101"/>
      <c r="B1432" s="1242"/>
      <c r="C1432" s="3860"/>
      <c r="D1432" s="666"/>
      <c r="E1432" s="1162"/>
      <c r="F1432" s="838"/>
      <c r="G1432" s="838"/>
      <c r="H1432" s="1310"/>
      <c r="I1432" s="1109"/>
      <c r="J1432" s="1818"/>
      <c r="K1432" s="1818"/>
      <c r="L1432" s="1310"/>
      <c r="M1432" s="1312"/>
      <c r="N1432" s="535"/>
      <c r="P1432" s="500"/>
    </row>
    <row r="1433" spans="1:16" s="4099" customFormat="1" ht="14.25" customHeight="1" x14ac:dyDescent="0.25">
      <c r="A1433" s="4101"/>
      <c r="B1433" s="1242"/>
      <c r="C1433" s="3882" t="s">
        <v>3261</v>
      </c>
      <c r="D1433" s="673">
        <f>SUM(D1434:D1435)</f>
        <v>600000000</v>
      </c>
      <c r="E1433" s="1052">
        <f>D1433/D1371*100</f>
        <v>0.36396093517505734</v>
      </c>
      <c r="F1433" s="838"/>
      <c r="G1433" s="878"/>
      <c r="H1433" s="880"/>
      <c r="I1433" s="1121"/>
      <c r="J1433" s="1315"/>
      <c r="K1433" s="1315"/>
      <c r="L1433" s="1315"/>
      <c r="M1433" s="1315"/>
      <c r="N1433" s="3330"/>
      <c r="P1433" s="500"/>
    </row>
    <row r="1434" spans="1:16" s="4099" customFormat="1" ht="14.25" customHeight="1" x14ac:dyDescent="0.25">
      <c r="A1434" s="4101"/>
      <c r="B1434" s="1242"/>
      <c r="C1434" s="3860" t="s">
        <v>3262</v>
      </c>
      <c r="D1434" s="666">
        <v>350000000</v>
      </c>
      <c r="E1434" s="1162">
        <f>D1434/D1371*100</f>
        <v>0.21231054551878345</v>
      </c>
      <c r="F1434" s="838"/>
      <c r="G1434" s="878"/>
      <c r="H1434" s="880"/>
      <c r="I1434" s="1121"/>
      <c r="J1434" s="1315"/>
      <c r="K1434" s="1315"/>
      <c r="L1434" s="1315"/>
      <c r="M1434" s="1315"/>
      <c r="N1434" s="3330"/>
      <c r="P1434" s="500"/>
    </row>
    <row r="1435" spans="1:16" s="4099" customFormat="1" ht="14.25" customHeight="1" x14ac:dyDescent="0.25">
      <c r="A1435" s="4101"/>
      <c r="B1435" s="1242"/>
      <c r="C1435" s="3860" t="s">
        <v>3263</v>
      </c>
      <c r="D1435" s="666">
        <v>250000000</v>
      </c>
      <c r="E1435" s="1162">
        <f>D1435/D1371*100</f>
        <v>0.15165038965627389</v>
      </c>
      <c r="F1435" s="838"/>
      <c r="G1435" s="878"/>
      <c r="H1435" s="880"/>
      <c r="I1435" s="1121"/>
      <c r="J1435" s="1315"/>
      <c r="K1435" s="1315"/>
      <c r="L1435" s="1315"/>
      <c r="M1435" s="1315"/>
      <c r="N1435" s="3330"/>
      <c r="P1435" s="500"/>
    </row>
    <row r="1436" spans="1:16" s="4099" customFormat="1" ht="14.25" customHeight="1" x14ac:dyDescent="0.25">
      <c r="A1436" s="4101"/>
      <c r="B1436" s="1242"/>
      <c r="C1436" s="3857"/>
      <c r="D1436" s="671"/>
      <c r="E1436" s="1051"/>
      <c r="F1436" s="840"/>
      <c r="G1436" s="887"/>
      <c r="H1436" s="2255"/>
      <c r="I1436" s="2339"/>
      <c r="J1436" s="2182"/>
      <c r="K1436" s="2182"/>
      <c r="L1436" s="2182"/>
      <c r="M1436" s="2182"/>
      <c r="N1436" s="535"/>
      <c r="P1436" s="500"/>
    </row>
    <row r="1437" spans="1:16" s="4099" customFormat="1" ht="14.25" customHeight="1" x14ac:dyDescent="0.25">
      <c r="A1437" s="4101"/>
      <c r="B1437" s="1305"/>
      <c r="C1437" s="3858" t="s">
        <v>300</v>
      </c>
      <c r="D1437" s="669">
        <f>D1438</f>
        <v>11700000000</v>
      </c>
      <c r="E1437" s="1050">
        <f>D1437/D1371*100</f>
        <v>7.0972382359136184</v>
      </c>
      <c r="F1437" s="832"/>
      <c r="G1437" s="832"/>
      <c r="H1437" s="1306"/>
      <c r="I1437" s="2298"/>
      <c r="J1437" s="1813"/>
      <c r="K1437" s="1813"/>
      <c r="L1437" s="1726"/>
      <c r="M1437" s="2066"/>
      <c r="N1437" s="553"/>
      <c r="P1437" s="500"/>
    </row>
    <row r="1438" spans="1:16" s="4099" customFormat="1" ht="14.25" customHeight="1" x14ac:dyDescent="0.25">
      <c r="A1438" s="4101"/>
      <c r="B1438" s="1242"/>
      <c r="C1438" s="3881" t="s">
        <v>1799</v>
      </c>
      <c r="D1438" s="673">
        <f>SUM(D1439:D1444)</f>
        <v>11700000000</v>
      </c>
      <c r="E1438" s="1159">
        <f>D1438/D1371*100</f>
        <v>7.0972382359136184</v>
      </c>
      <c r="F1438" s="839"/>
      <c r="G1438" s="839"/>
      <c r="H1438" s="1308"/>
      <c r="I1438" s="1120"/>
      <c r="J1438" s="1381"/>
      <c r="K1438" s="1381"/>
      <c r="L1438" s="2176"/>
      <c r="M1438" s="2308"/>
      <c r="N1438" s="553"/>
      <c r="P1438" s="500"/>
    </row>
    <row r="1439" spans="1:16" s="4099" customFormat="1" ht="14.25" customHeight="1" x14ac:dyDescent="0.25">
      <c r="A1439" s="4101"/>
      <c r="B1439" s="2910"/>
      <c r="C1439" s="3860" t="s">
        <v>3264</v>
      </c>
      <c r="D1439" s="666">
        <v>2000000000</v>
      </c>
      <c r="E1439" s="1162">
        <f>D1439/D1371*100</f>
        <v>1.2132031172501911</v>
      </c>
      <c r="F1439" s="838"/>
      <c r="G1439" s="878"/>
      <c r="H1439" s="878"/>
      <c r="I1439" s="878"/>
      <c r="J1439" s="1818"/>
      <c r="K1439" s="2293"/>
      <c r="L1439" s="1310"/>
      <c r="M1439" s="2230"/>
      <c r="N1439" s="354"/>
      <c r="P1439" s="500"/>
    </row>
    <row r="1440" spans="1:16" s="4099" customFormat="1" ht="14.25" customHeight="1" x14ac:dyDescent="0.25">
      <c r="A1440" s="4101"/>
      <c r="B1440" s="2910"/>
      <c r="C1440" s="3860" t="s">
        <v>3265</v>
      </c>
      <c r="D1440" s="666">
        <v>6800000</v>
      </c>
      <c r="E1440" s="1162">
        <f>D1440/D1371*100</f>
        <v>4.1248905986506499E-3</v>
      </c>
      <c r="F1440" s="838"/>
      <c r="G1440" s="878"/>
      <c r="H1440" s="878"/>
      <c r="I1440" s="878"/>
      <c r="J1440" s="1818"/>
      <c r="K1440" s="878"/>
      <c r="L1440" s="878"/>
      <c r="M1440" s="878"/>
      <c r="N1440" s="354"/>
      <c r="P1440" s="500"/>
    </row>
    <row r="1441" spans="1:16" s="4099" customFormat="1" ht="14.25" customHeight="1" x14ac:dyDescent="0.25">
      <c r="A1441" s="4101"/>
      <c r="B1441" s="2910"/>
      <c r="C1441" s="3860" t="s">
        <v>3266</v>
      </c>
      <c r="D1441" s="666">
        <v>6800000</v>
      </c>
      <c r="E1441" s="1162">
        <f>D1441/D1371*100</f>
        <v>4.1248905986506499E-3</v>
      </c>
      <c r="F1441" s="838"/>
      <c r="G1441" s="878"/>
      <c r="H1441" s="878"/>
      <c r="I1441" s="878"/>
      <c r="J1441" s="1818"/>
      <c r="K1441" s="878"/>
      <c r="L1441" s="878"/>
      <c r="M1441" s="878"/>
      <c r="N1441" s="354"/>
      <c r="P1441" s="500"/>
    </row>
    <row r="1442" spans="1:16" s="4099" customFormat="1" ht="14.25" customHeight="1" x14ac:dyDescent="0.25">
      <c r="A1442" s="4101"/>
      <c r="B1442" s="2910"/>
      <c r="C1442" s="3860" t="s">
        <v>3267</v>
      </c>
      <c r="D1442" s="666">
        <v>3757320000</v>
      </c>
      <c r="E1442" s="1162">
        <f>D1442/D1371*100</f>
        <v>2.2791961682532444</v>
      </c>
      <c r="F1442" s="838"/>
      <c r="G1442" s="878"/>
      <c r="H1442" s="1310"/>
      <c r="I1442" s="1109"/>
      <c r="J1442" s="1818"/>
      <c r="K1442" s="2293"/>
      <c r="L1442" s="1310"/>
      <c r="M1442" s="2230"/>
      <c r="N1442" s="354"/>
      <c r="P1442" s="500"/>
    </row>
    <row r="1443" spans="1:16" s="4099" customFormat="1" ht="14.25" customHeight="1" x14ac:dyDescent="0.25">
      <c r="A1443" s="4101"/>
      <c r="B1443" s="1242"/>
      <c r="C1443" s="3861" t="s">
        <v>3268</v>
      </c>
      <c r="D1443" s="868">
        <v>1238899450</v>
      </c>
      <c r="E1443" s="1162">
        <f>D1443/D1371*100</f>
        <v>0.75151833734977369</v>
      </c>
      <c r="F1443" s="835"/>
      <c r="G1443" s="882"/>
      <c r="H1443" s="882"/>
      <c r="I1443" s="882"/>
      <c r="J1443" s="1815"/>
      <c r="K1443" s="2175"/>
      <c r="L1443" s="1310"/>
      <c r="M1443" s="1323"/>
      <c r="N1443" s="535"/>
      <c r="P1443" s="500"/>
    </row>
    <row r="1444" spans="1:16" s="4099" customFormat="1" ht="14.25" customHeight="1" x14ac:dyDescent="0.25">
      <c r="A1444" s="4101"/>
      <c r="B1444" s="1242"/>
      <c r="C1444" s="3860" t="s">
        <v>3269</v>
      </c>
      <c r="D1444" s="666">
        <v>4690180550</v>
      </c>
      <c r="E1444" s="1162">
        <f>D1444/D1371*100</f>
        <v>2.8450708318631079</v>
      </c>
      <c r="F1444" s="838"/>
      <c r="G1444" s="878"/>
      <c r="H1444" s="1310"/>
      <c r="I1444" s="1109"/>
      <c r="J1444" s="1818"/>
      <c r="K1444" s="1312"/>
      <c r="L1444" s="1310"/>
      <c r="M1444" s="1312"/>
      <c r="N1444" s="535"/>
      <c r="P1444" s="500"/>
    </row>
    <row r="1445" spans="1:16" s="4099" customFormat="1" ht="14.25" customHeight="1" x14ac:dyDescent="0.25">
      <c r="A1445" s="4101"/>
      <c r="B1445" s="1242"/>
      <c r="C1445" s="3857"/>
      <c r="D1445" s="671"/>
      <c r="E1445" s="1051"/>
      <c r="F1445" s="840"/>
      <c r="G1445" s="887"/>
      <c r="H1445" s="2255"/>
      <c r="I1445" s="2339"/>
      <c r="J1445" s="2182"/>
      <c r="K1445" s="2182"/>
      <c r="L1445" s="2182"/>
      <c r="M1445" s="2182"/>
      <c r="N1445" s="535"/>
      <c r="P1445" s="500"/>
    </row>
    <row r="1446" spans="1:16" s="4099" customFormat="1" ht="14.25" customHeight="1" x14ac:dyDescent="0.25">
      <c r="A1446" s="4101"/>
      <c r="B1446" s="1305"/>
      <c r="C1446" s="3858" t="s">
        <v>364</v>
      </c>
      <c r="D1446" s="669">
        <f>D1447+D1451+D1455+D1458+D1462+D1465</f>
        <v>66150000000</v>
      </c>
      <c r="E1446" s="1050">
        <f>D1446/D1371*100</f>
        <v>40.126693103050073</v>
      </c>
      <c r="F1446" s="832"/>
      <c r="G1446" s="832"/>
      <c r="H1446" s="1306"/>
      <c r="I1446" s="2298"/>
      <c r="J1446" s="1813"/>
      <c r="K1446" s="1813"/>
      <c r="L1446" s="1726"/>
      <c r="M1446" s="2066"/>
      <c r="N1446" s="553"/>
      <c r="P1446" s="500"/>
    </row>
    <row r="1447" spans="1:16" s="4099" customFormat="1" ht="14.25" customHeight="1" x14ac:dyDescent="0.25">
      <c r="A1447" s="4101"/>
      <c r="B1447" s="1242"/>
      <c r="C1447" s="3881" t="s">
        <v>301</v>
      </c>
      <c r="D1447" s="889">
        <f>SUM(D1448:D1449)</f>
        <v>44150000000</v>
      </c>
      <c r="E1447" s="1159">
        <f>D1447/D1371*100</f>
        <v>26.78145881329797</v>
      </c>
      <c r="F1447" s="854"/>
      <c r="G1447" s="854"/>
      <c r="H1447" s="1308"/>
      <c r="I1447" s="1120"/>
      <c r="J1447" s="1836"/>
      <c r="K1447" s="1836"/>
      <c r="L1447" s="2176"/>
      <c r="M1447" s="2308"/>
      <c r="N1447" s="553"/>
      <c r="P1447" s="500"/>
    </row>
    <row r="1448" spans="1:16" s="4099" customFormat="1" ht="14.25" customHeight="1" x14ac:dyDescent="0.25">
      <c r="A1448" s="4101"/>
      <c r="B1448" s="2910"/>
      <c r="C1448" s="1274" t="s">
        <v>3270</v>
      </c>
      <c r="D1448" s="4231">
        <v>23450000000</v>
      </c>
      <c r="E1448" s="1162">
        <f>D1448/D1371*100</f>
        <v>14.224806549758492</v>
      </c>
      <c r="F1448" s="959"/>
      <c r="G1448" s="878"/>
      <c r="H1448" s="1310"/>
      <c r="I1448" s="1109"/>
      <c r="J1448" s="1887"/>
      <c r="K1448" s="2293"/>
      <c r="L1448" s="1310"/>
      <c r="M1448" s="2230"/>
      <c r="N1448" s="354"/>
      <c r="P1448" s="500"/>
    </row>
    <row r="1449" spans="1:16" s="4099" customFormat="1" ht="14.25" customHeight="1" x14ac:dyDescent="0.25">
      <c r="A1449" s="4101"/>
      <c r="B1449" s="2910"/>
      <c r="C1449" s="1275" t="s">
        <v>3271</v>
      </c>
      <c r="D1449" s="4231">
        <v>20700000000</v>
      </c>
      <c r="E1449" s="1162">
        <f>D1449/D1371*100</f>
        <v>12.556652263539478</v>
      </c>
      <c r="F1449" s="959"/>
      <c r="G1449" s="878"/>
      <c r="H1449" s="1310"/>
      <c r="I1449" s="1109"/>
      <c r="J1449" s="1887"/>
      <c r="K1449" s="2293"/>
      <c r="L1449" s="1310"/>
      <c r="M1449" s="2230"/>
      <c r="N1449" s="354"/>
      <c r="P1449" s="500"/>
    </row>
    <row r="1450" spans="1:16" s="4099" customFormat="1" ht="14.25" customHeight="1" x14ac:dyDescent="0.25">
      <c r="A1450" s="4101"/>
      <c r="B1450" s="2910"/>
      <c r="C1450" s="3860"/>
      <c r="D1450" s="666"/>
      <c r="E1450" s="1162"/>
      <c r="F1450" s="838"/>
      <c r="G1450" s="878"/>
      <c r="H1450" s="1310"/>
      <c r="I1450" s="1109"/>
      <c r="J1450" s="1818"/>
      <c r="K1450" s="2293"/>
      <c r="L1450" s="1312"/>
      <c r="M1450" s="2230"/>
      <c r="N1450" s="354"/>
      <c r="P1450" s="500"/>
    </row>
    <row r="1451" spans="1:16" s="4099" customFormat="1" ht="14.25" customHeight="1" x14ac:dyDescent="0.25">
      <c r="A1451" s="4101"/>
      <c r="B1451" s="2910"/>
      <c r="C1451" s="3882" t="s">
        <v>1711</v>
      </c>
      <c r="D1451" s="673">
        <f>SUM(D1452:D1453)</f>
        <v>3500000000</v>
      </c>
      <c r="E1451" s="1159">
        <f>D1451/D1371*100</f>
        <v>2.1231054551878343</v>
      </c>
      <c r="F1451" s="839"/>
      <c r="G1451" s="839"/>
      <c r="H1451" s="1308"/>
      <c r="I1451" s="1110"/>
      <c r="J1451" s="1381"/>
      <c r="K1451" s="1381"/>
      <c r="L1451" s="2176"/>
      <c r="M1451" s="2006"/>
      <c r="N1451" s="354"/>
      <c r="P1451" s="500"/>
    </row>
    <row r="1452" spans="1:16" s="4099" customFormat="1" ht="14.25" customHeight="1" x14ac:dyDescent="0.25">
      <c r="A1452" s="4101"/>
      <c r="B1452" s="2910"/>
      <c r="C1452" s="3860" t="s">
        <v>3274</v>
      </c>
      <c r="D1452" s="666">
        <v>1000000000</v>
      </c>
      <c r="E1452" s="1162">
        <f>D1452/D1371*100</f>
        <v>0.60660155862509557</v>
      </c>
      <c r="F1452" s="838"/>
      <c r="G1452" s="878"/>
      <c r="H1452" s="1310"/>
      <c r="I1452" s="1109"/>
      <c r="J1452" s="1818"/>
      <c r="K1452" s="2293"/>
      <c r="L1452" s="1310"/>
      <c r="M1452" s="2230"/>
      <c r="N1452" s="354"/>
      <c r="P1452" s="500"/>
    </row>
    <row r="1453" spans="1:16" s="4099" customFormat="1" ht="14.25" customHeight="1" x14ac:dyDescent="0.25">
      <c r="A1453" s="4101"/>
      <c r="B1453" s="2910"/>
      <c r="C1453" s="3860" t="s">
        <v>3275</v>
      </c>
      <c r="D1453" s="666">
        <v>2500000000</v>
      </c>
      <c r="E1453" s="1162">
        <f>D1453/D1371*100</f>
        <v>1.5165038965627389</v>
      </c>
      <c r="F1453" s="838"/>
      <c r="G1453" s="878"/>
      <c r="H1453" s="878"/>
      <c r="I1453" s="878"/>
      <c r="J1453" s="1818"/>
      <c r="K1453" s="2293"/>
      <c r="L1453" s="1310"/>
      <c r="M1453" s="2230"/>
      <c r="N1453" s="354"/>
      <c r="P1453" s="500"/>
    </row>
    <row r="1454" spans="1:16" s="4099" customFormat="1" ht="14.25" customHeight="1" x14ac:dyDescent="0.25">
      <c r="A1454" s="4101"/>
      <c r="B1454" s="2910"/>
      <c r="C1454" s="3860"/>
      <c r="D1454" s="666"/>
      <c r="E1454" s="1162"/>
      <c r="F1454" s="838"/>
      <c r="G1454" s="878"/>
      <c r="H1454" s="1310"/>
      <c r="I1454" s="1109"/>
      <c r="J1454" s="1818"/>
      <c r="K1454" s="2293"/>
      <c r="L1454" s="1312"/>
      <c r="M1454" s="2230"/>
      <c r="N1454" s="354"/>
      <c r="P1454" s="500"/>
    </row>
    <row r="1455" spans="1:16" s="4099" customFormat="1" ht="14.25" customHeight="1" x14ac:dyDescent="0.25">
      <c r="A1455" s="4101"/>
      <c r="B1455" s="1242"/>
      <c r="C1455" s="3882" t="s">
        <v>3272</v>
      </c>
      <c r="D1455" s="673">
        <f>D1456</f>
        <v>1500000000</v>
      </c>
      <c r="E1455" s="1052">
        <f>D1455/D1371*100</f>
        <v>0.90990233793764341</v>
      </c>
      <c r="F1455" s="839"/>
      <c r="G1455" s="839"/>
      <c r="H1455" s="1308"/>
      <c r="I1455" s="1110"/>
      <c r="J1455" s="1381"/>
      <c r="K1455" s="1381"/>
      <c r="L1455" s="2176"/>
      <c r="M1455" s="2006"/>
      <c r="N1455" s="553"/>
      <c r="P1455" s="500"/>
    </row>
    <row r="1456" spans="1:16" s="4099" customFormat="1" ht="14.25" customHeight="1" x14ac:dyDescent="0.25">
      <c r="A1456" s="4101"/>
      <c r="B1456" s="2910"/>
      <c r="C1456" s="3860" t="s">
        <v>3273</v>
      </c>
      <c r="D1456" s="666">
        <v>1500000000</v>
      </c>
      <c r="E1456" s="1162">
        <f>D1456/D1371*100</f>
        <v>0.90990233793764341</v>
      </c>
      <c r="F1456" s="838"/>
      <c r="G1456" s="878"/>
      <c r="H1456" s="1310"/>
      <c r="I1456" s="1109"/>
      <c r="J1456" s="1818"/>
      <c r="K1456" s="2293"/>
      <c r="L1456" s="1310"/>
      <c r="M1456" s="2230"/>
      <c r="N1456" s="354"/>
      <c r="P1456" s="500"/>
    </row>
    <row r="1457" spans="1:16" s="4099" customFormat="1" ht="14.25" customHeight="1" x14ac:dyDescent="0.25">
      <c r="A1457" s="4101"/>
      <c r="B1457" s="2910"/>
      <c r="C1457" s="3860"/>
      <c r="D1457" s="666"/>
      <c r="E1457" s="1162"/>
      <c r="F1457" s="838"/>
      <c r="G1457" s="878"/>
      <c r="H1457" s="1310"/>
      <c r="I1457" s="1109"/>
      <c r="J1457" s="1818"/>
      <c r="K1457" s="2293"/>
      <c r="L1457" s="1312"/>
      <c r="M1457" s="2230"/>
      <c r="N1457" s="354"/>
      <c r="P1457" s="500"/>
    </row>
    <row r="1458" spans="1:16" s="4099" customFormat="1" ht="14.25" customHeight="1" x14ac:dyDescent="0.25">
      <c r="A1458" s="4101"/>
      <c r="B1458" s="1242"/>
      <c r="C1458" s="3882" t="s">
        <v>3276</v>
      </c>
      <c r="D1458" s="673">
        <f>SUM(D1459:D1460)</f>
        <v>12800000000</v>
      </c>
      <c r="E1458" s="1052">
        <f>D1458/D1371*100</f>
        <v>7.7644999504012242</v>
      </c>
      <c r="F1458" s="839"/>
      <c r="G1458" s="877"/>
      <c r="H1458" s="877"/>
      <c r="I1458" s="877"/>
      <c r="J1458" s="1381"/>
      <c r="K1458" s="1381"/>
      <c r="L1458" s="2176"/>
      <c r="M1458" s="2006"/>
      <c r="N1458" s="553"/>
      <c r="P1458" s="500"/>
    </row>
    <row r="1459" spans="1:16" s="4099" customFormat="1" ht="14.25" customHeight="1" x14ac:dyDescent="0.25">
      <c r="A1459" s="4101"/>
      <c r="B1459" s="2910"/>
      <c r="C1459" s="3860" t="s">
        <v>3277</v>
      </c>
      <c r="D1459" s="666">
        <v>2500000000</v>
      </c>
      <c r="E1459" s="1162">
        <f>D1459/D1371*100</f>
        <v>1.5165038965627389</v>
      </c>
      <c r="F1459" s="838"/>
      <c r="G1459" s="878"/>
      <c r="H1459" s="878"/>
      <c r="I1459" s="878"/>
      <c r="J1459" s="1818"/>
      <c r="K1459" s="2293"/>
      <c r="L1459" s="1310"/>
      <c r="M1459" s="2230"/>
      <c r="N1459" s="354"/>
      <c r="P1459" s="500"/>
    </row>
    <row r="1460" spans="1:16" s="4099" customFormat="1" ht="14.25" customHeight="1" x14ac:dyDescent="0.25">
      <c r="A1460" s="4101"/>
      <c r="B1460" s="1242"/>
      <c r="C1460" s="3861" t="s">
        <v>3278</v>
      </c>
      <c r="D1460" s="868">
        <v>10300000000</v>
      </c>
      <c r="E1460" s="1162">
        <f>D1460/D1371*100</f>
        <v>6.2479960538384844</v>
      </c>
      <c r="F1460" s="835"/>
      <c r="G1460" s="882"/>
      <c r="H1460" s="2174"/>
      <c r="I1460" s="2295"/>
      <c r="J1460" s="2175"/>
      <c r="K1460" s="2175"/>
      <c r="L1460" s="2175"/>
      <c r="M1460" s="2175"/>
      <c r="N1460" s="535"/>
      <c r="P1460" s="500"/>
    </row>
    <row r="1461" spans="1:16" s="4099" customFormat="1" ht="14.25" customHeight="1" x14ac:dyDescent="0.25">
      <c r="A1461" s="4101"/>
      <c r="B1461" s="1242"/>
      <c r="C1461" s="3890"/>
      <c r="D1461" s="666"/>
      <c r="E1461" s="1052"/>
      <c r="F1461" s="838"/>
      <c r="G1461" s="878"/>
      <c r="H1461" s="880"/>
      <c r="I1461" s="1121"/>
      <c r="J1461" s="1315"/>
      <c r="K1461" s="1315"/>
      <c r="L1461" s="1315"/>
      <c r="M1461" s="1315"/>
      <c r="N1461" s="535"/>
      <c r="P1461" s="500"/>
    </row>
    <row r="1462" spans="1:16" s="4099" customFormat="1" ht="14.25" customHeight="1" x14ac:dyDescent="0.25">
      <c r="A1462" s="4101"/>
      <c r="B1462" s="1242"/>
      <c r="C1462" s="3882" t="s">
        <v>3279</v>
      </c>
      <c r="D1462" s="673">
        <v>1700000000</v>
      </c>
      <c r="E1462" s="1052">
        <f>D1462/D1371*100</f>
        <v>1.0312226496626624</v>
      </c>
      <c r="F1462" s="838"/>
      <c r="G1462" s="878"/>
      <c r="H1462" s="880"/>
      <c r="I1462" s="1121"/>
      <c r="J1462" s="1315"/>
      <c r="K1462" s="1315"/>
      <c r="L1462" s="1315"/>
      <c r="M1462" s="1315"/>
      <c r="N1462" s="535"/>
      <c r="P1462" s="500"/>
    </row>
    <row r="1463" spans="1:16" s="4099" customFormat="1" ht="14.25" customHeight="1" x14ac:dyDescent="0.25">
      <c r="A1463" s="4101"/>
      <c r="B1463" s="1242"/>
      <c r="C1463" s="3860" t="s">
        <v>3280</v>
      </c>
      <c r="D1463" s="666">
        <v>1700000000</v>
      </c>
      <c r="E1463" s="1162">
        <f>D1463/D1371*100</f>
        <v>1.0312226496626624</v>
      </c>
      <c r="F1463" s="838"/>
      <c r="G1463" s="878"/>
      <c r="H1463" s="880"/>
      <c r="I1463" s="1121"/>
      <c r="J1463" s="1315"/>
      <c r="K1463" s="1315"/>
      <c r="L1463" s="1315"/>
      <c r="M1463" s="1315"/>
      <c r="N1463" s="535"/>
      <c r="P1463" s="500"/>
    </row>
    <row r="1464" spans="1:16" s="4099" customFormat="1" ht="14.25" customHeight="1" x14ac:dyDescent="0.25">
      <c r="A1464" s="4101"/>
      <c r="B1464" s="1242"/>
      <c r="C1464" s="3890"/>
      <c r="D1464" s="666"/>
      <c r="E1464" s="1052"/>
      <c r="F1464" s="838"/>
      <c r="G1464" s="878"/>
      <c r="H1464" s="880"/>
      <c r="I1464" s="1121"/>
      <c r="J1464" s="1315"/>
      <c r="K1464" s="1315"/>
      <c r="L1464" s="1315"/>
      <c r="M1464" s="1315"/>
      <c r="N1464" s="535"/>
      <c r="P1464" s="500"/>
    </row>
    <row r="1465" spans="1:16" s="4099" customFormat="1" ht="14.25" customHeight="1" x14ac:dyDescent="0.25">
      <c r="A1465" s="4101"/>
      <c r="B1465" s="1242"/>
      <c r="C1465" s="3882" t="s">
        <v>3281</v>
      </c>
      <c r="D1465" s="673">
        <v>2500000000</v>
      </c>
      <c r="E1465" s="1052">
        <f>D1465/D1371*100</f>
        <v>1.5165038965627389</v>
      </c>
      <c r="F1465" s="838"/>
      <c r="G1465" s="878"/>
      <c r="H1465" s="880"/>
      <c r="I1465" s="1121"/>
      <c r="J1465" s="1315"/>
      <c r="K1465" s="1315"/>
      <c r="L1465" s="1315"/>
      <c r="M1465" s="1315"/>
      <c r="N1465" s="535"/>
      <c r="P1465" s="500"/>
    </row>
    <row r="1466" spans="1:16" s="4099" customFormat="1" ht="14.25" customHeight="1" x14ac:dyDescent="0.25">
      <c r="A1466" s="4101"/>
      <c r="B1466" s="1242"/>
      <c r="C1466" s="3860" t="s">
        <v>3282</v>
      </c>
      <c r="D1466" s="666">
        <v>2500000000</v>
      </c>
      <c r="E1466" s="1162">
        <f>D1466/D1371*100</f>
        <v>1.5165038965627389</v>
      </c>
      <c r="F1466" s="838"/>
      <c r="G1466" s="878"/>
      <c r="H1466" s="880"/>
      <c r="I1466" s="1121"/>
      <c r="J1466" s="1315"/>
      <c r="K1466" s="1315"/>
      <c r="L1466" s="1315"/>
      <c r="M1466" s="1315"/>
      <c r="N1466" s="535"/>
      <c r="P1466" s="500"/>
    </row>
    <row r="1467" spans="1:16" s="4099" customFormat="1" ht="14.25" customHeight="1" x14ac:dyDescent="0.25">
      <c r="A1467" s="4101"/>
      <c r="B1467" s="1242"/>
      <c r="C1467" s="3857"/>
      <c r="D1467" s="671"/>
      <c r="E1467" s="1051"/>
      <c r="F1467" s="840"/>
      <c r="G1467" s="887"/>
      <c r="H1467" s="2255"/>
      <c r="I1467" s="2339"/>
      <c r="J1467" s="2182"/>
      <c r="K1467" s="2182"/>
      <c r="L1467" s="2182"/>
      <c r="M1467" s="2182"/>
      <c r="N1467" s="535"/>
      <c r="P1467" s="500"/>
    </row>
    <row r="1468" spans="1:16" s="4099" customFormat="1" ht="15.75" customHeight="1" x14ac:dyDescent="0.25">
      <c r="A1468" s="4101"/>
      <c r="B1468" s="1305"/>
      <c r="C1468" s="3858" t="s">
        <v>2274</v>
      </c>
      <c r="D1468" s="669">
        <f>D1469</f>
        <v>8216365000</v>
      </c>
      <c r="E1468" s="1050">
        <f>D1468/D1371*100</f>
        <v>4.9840598152326843</v>
      </c>
      <c r="F1468" s="832"/>
      <c r="G1468" s="888"/>
      <c r="H1468" s="888"/>
      <c r="I1468" s="888"/>
      <c r="J1468" s="1813"/>
      <c r="K1468" s="1813"/>
      <c r="L1468" s="1307"/>
      <c r="M1468" s="2066"/>
      <c r="N1468" s="553"/>
      <c r="P1468" s="500"/>
    </row>
    <row r="1469" spans="1:16" s="4099" customFormat="1" ht="14.25" customHeight="1" x14ac:dyDescent="0.25">
      <c r="A1469" s="4101"/>
      <c r="B1469" s="1242"/>
      <c r="C1469" s="3881" t="s">
        <v>1718</v>
      </c>
      <c r="D1469" s="889">
        <f>SUM(D1470:D1471)</f>
        <v>8216365000</v>
      </c>
      <c r="E1469" s="1159">
        <f>D1469/D1371*100</f>
        <v>4.9840598152326843</v>
      </c>
      <c r="F1469" s="854"/>
      <c r="G1469" s="960"/>
      <c r="H1469" s="960"/>
      <c r="I1469" s="960"/>
      <c r="J1469" s="1836"/>
      <c r="K1469" s="960"/>
      <c r="L1469" s="960"/>
      <c r="M1469" s="960"/>
      <c r="N1469" s="553"/>
      <c r="P1469" s="500"/>
    </row>
    <row r="1470" spans="1:16" s="4099" customFormat="1" ht="14.25" customHeight="1" x14ac:dyDescent="0.25">
      <c r="A1470" s="4101"/>
      <c r="B1470" s="2910"/>
      <c r="C1470" s="3860" t="s">
        <v>3283</v>
      </c>
      <c r="D1470" s="666">
        <v>5832730000</v>
      </c>
      <c r="E1470" s="1162">
        <f>D1470/D1371*100</f>
        <v>3.5381431090393538</v>
      </c>
      <c r="F1470" s="838"/>
      <c r="G1470" s="878"/>
      <c r="H1470" s="878"/>
      <c r="I1470" s="878"/>
      <c r="J1470" s="1818"/>
      <c r="K1470" s="878"/>
      <c r="L1470" s="878"/>
      <c r="M1470" s="878"/>
      <c r="N1470" s="354"/>
      <c r="P1470" s="500"/>
    </row>
    <row r="1471" spans="1:16" s="4099" customFormat="1" ht="14.25" customHeight="1" x14ac:dyDescent="0.25">
      <c r="A1471" s="4101"/>
      <c r="B1471" s="2910"/>
      <c r="C1471" s="3860" t="s">
        <v>3284</v>
      </c>
      <c r="D1471" s="666">
        <v>2383635000</v>
      </c>
      <c r="E1471" s="1162">
        <f>D1471/D1371*100</f>
        <v>1.4459167061933298</v>
      </c>
      <c r="F1471" s="838"/>
      <c r="G1471" s="882"/>
      <c r="H1471" s="882"/>
      <c r="I1471" s="882"/>
      <c r="J1471" s="1818"/>
      <c r="K1471" s="2293"/>
      <c r="L1471" s="2293"/>
      <c r="M1471" s="2230"/>
      <c r="N1471" s="354"/>
      <c r="P1471" s="500"/>
    </row>
    <row r="1472" spans="1:16" s="4099" customFormat="1" ht="14.25" customHeight="1" x14ac:dyDescent="0.25">
      <c r="A1472" s="4101"/>
      <c r="B1472" s="1242"/>
      <c r="C1472" s="3848"/>
      <c r="D1472" s="868"/>
      <c r="E1472" s="1047"/>
      <c r="F1472" s="835"/>
      <c r="G1472" s="882"/>
      <c r="H1472" s="2174"/>
      <c r="I1472" s="2295"/>
      <c r="J1472" s="1311"/>
      <c r="K1472" s="1311"/>
      <c r="L1472" s="1311"/>
      <c r="M1472" s="1311"/>
      <c r="N1472" s="535"/>
      <c r="P1472" s="500"/>
    </row>
    <row r="1473" spans="1:16" s="4099" customFormat="1" ht="14.25" customHeight="1" x14ac:dyDescent="0.25">
      <c r="A1473" s="4101"/>
      <c r="B1473" s="1305"/>
      <c r="C1473" s="3858" t="s">
        <v>1722</v>
      </c>
      <c r="D1473" s="669">
        <f>D1474</f>
        <v>200000000</v>
      </c>
      <c r="E1473" s="1050">
        <f>D1473/D1371*100</f>
        <v>0.12132031172501913</v>
      </c>
      <c r="F1473" s="832"/>
      <c r="G1473" s="832"/>
      <c r="H1473" s="1306"/>
      <c r="I1473" s="2298"/>
      <c r="J1473" s="1813"/>
      <c r="K1473" s="1813"/>
      <c r="L1473" s="1307"/>
      <c r="M1473" s="2066"/>
      <c r="N1473" s="553"/>
      <c r="P1473" s="500"/>
    </row>
    <row r="1474" spans="1:16" s="4099" customFormat="1" ht="14.25" customHeight="1" x14ac:dyDescent="0.25">
      <c r="A1474" s="4101"/>
      <c r="B1474" s="1242"/>
      <c r="C1474" s="3881" t="s">
        <v>3285</v>
      </c>
      <c r="D1474" s="889">
        <f>D1475</f>
        <v>200000000</v>
      </c>
      <c r="E1474" s="1159">
        <f>D1474/D1371*100</f>
        <v>0.12132031172501913</v>
      </c>
      <c r="F1474" s="854"/>
      <c r="G1474" s="854"/>
      <c r="H1474" s="1308"/>
      <c r="I1474" s="1120"/>
      <c r="J1474" s="1836"/>
      <c r="K1474" s="1836"/>
      <c r="L1474" s="2176"/>
      <c r="M1474" s="2308"/>
      <c r="N1474" s="553"/>
      <c r="P1474" s="500"/>
    </row>
    <row r="1475" spans="1:16" s="4099" customFormat="1" ht="14.25" customHeight="1" x14ac:dyDescent="0.25">
      <c r="A1475" s="4101"/>
      <c r="B1475" s="2910"/>
      <c r="C1475" s="3860" t="s">
        <v>3286</v>
      </c>
      <c r="D1475" s="666">
        <v>200000000</v>
      </c>
      <c r="E1475" s="1162">
        <f>D1475/D1371*100</f>
        <v>0.12132031172501913</v>
      </c>
      <c r="F1475" s="838"/>
      <c r="G1475" s="878"/>
      <c r="H1475" s="1310"/>
      <c r="I1475" s="1109"/>
      <c r="J1475" s="1818"/>
      <c r="K1475" s="2293"/>
      <c r="L1475" s="1310"/>
      <c r="M1475" s="2230"/>
      <c r="N1475" s="354"/>
      <c r="P1475" s="500"/>
    </row>
    <row r="1476" spans="1:16" s="4099" customFormat="1" ht="14.25" customHeight="1" x14ac:dyDescent="0.25">
      <c r="A1476" s="4101"/>
      <c r="B1476" s="1242"/>
      <c r="C1476" s="3848"/>
      <c r="D1476" s="868"/>
      <c r="E1476" s="1047"/>
      <c r="F1476" s="835"/>
      <c r="G1476" s="882"/>
      <c r="H1476" s="2174"/>
      <c r="I1476" s="2295"/>
      <c r="J1476" s="1311"/>
      <c r="K1476" s="1311"/>
      <c r="L1476" s="1311"/>
      <c r="M1476" s="1311"/>
      <c r="N1476" s="535"/>
      <c r="P1476" s="500"/>
    </row>
    <row r="1477" spans="1:16" s="4099" customFormat="1" ht="14.25" customHeight="1" x14ac:dyDescent="0.25">
      <c r="A1477" s="4101"/>
      <c r="B1477" s="1305"/>
      <c r="C1477" s="3858" t="s">
        <v>254</v>
      </c>
      <c r="D1477" s="669">
        <f>D1478</f>
        <v>200000000</v>
      </c>
      <c r="E1477" s="1050">
        <f>D1477/D1371*100</f>
        <v>0.12132031172501913</v>
      </c>
      <c r="F1477" s="832"/>
      <c r="G1477" s="888"/>
      <c r="H1477" s="888"/>
      <c r="I1477" s="888"/>
      <c r="J1477" s="1813"/>
      <c r="K1477" s="1813"/>
      <c r="L1477" s="1307"/>
      <c r="M1477" s="2066"/>
      <c r="N1477" s="553"/>
      <c r="P1477" s="500"/>
    </row>
    <row r="1478" spans="1:16" s="4099" customFormat="1" ht="14.25" customHeight="1" x14ac:dyDescent="0.25">
      <c r="A1478" s="4101"/>
      <c r="B1478" s="1242"/>
      <c r="C1478" s="3881" t="s">
        <v>3287</v>
      </c>
      <c r="D1478" s="889">
        <f>D1479</f>
        <v>200000000</v>
      </c>
      <c r="E1478" s="1159">
        <f>D1478/D1371*100</f>
        <v>0.12132031172501913</v>
      </c>
      <c r="F1478" s="854"/>
      <c r="G1478" s="960"/>
      <c r="H1478" s="960"/>
      <c r="I1478" s="960"/>
      <c r="J1478" s="1836"/>
      <c r="K1478" s="1836"/>
      <c r="L1478" s="2176"/>
      <c r="M1478" s="2308"/>
      <c r="N1478" s="553"/>
      <c r="P1478" s="500"/>
    </row>
    <row r="1479" spans="1:16" s="4099" customFormat="1" ht="14.25" customHeight="1" x14ac:dyDescent="0.25">
      <c r="A1479" s="4101"/>
      <c r="B1479" s="2910"/>
      <c r="C1479" s="3860" t="s">
        <v>3288</v>
      </c>
      <c r="D1479" s="666">
        <v>200000000</v>
      </c>
      <c r="E1479" s="1162">
        <f>D1479/D1371*100</f>
        <v>0.12132031172501913</v>
      </c>
      <c r="F1479" s="838"/>
      <c r="G1479" s="878"/>
      <c r="H1479" s="878"/>
      <c r="I1479" s="878"/>
      <c r="J1479" s="1818"/>
      <c r="K1479" s="2293"/>
      <c r="L1479" s="1310"/>
      <c r="M1479" s="2230"/>
      <c r="N1479" s="354"/>
      <c r="P1479" s="500"/>
    </row>
    <row r="1480" spans="1:16" s="4099" customFormat="1" ht="14.25" customHeight="1" x14ac:dyDescent="0.25">
      <c r="A1480" s="4101"/>
      <c r="B1480" s="1242"/>
      <c r="C1480" s="3857"/>
      <c r="D1480" s="671"/>
      <c r="E1480" s="1051"/>
      <c r="F1480" s="840"/>
      <c r="G1480" s="887"/>
      <c r="H1480" s="2255"/>
      <c r="I1480" s="2339"/>
      <c r="J1480" s="2300"/>
      <c r="K1480" s="2301"/>
      <c r="L1480" s="1703"/>
      <c r="M1480" s="2302"/>
      <c r="N1480" s="535"/>
      <c r="P1480" s="500"/>
    </row>
    <row r="1481" spans="1:16" s="4099" customFormat="1" ht="14.25" customHeight="1" x14ac:dyDescent="0.25">
      <c r="A1481" s="4101"/>
      <c r="B1481" s="1305"/>
      <c r="C1481" s="3858" t="s">
        <v>3289</v>
      </c>
      <c r="D1481" s="669">
        <f>SUM(D1482)</f>
        <v>100000000</v>
      </c>
      <c r="E1481" s="1050">
        <f>D1481/D1371*100</f>
        <v>6.0660155862509564E-2</v>
      </c>
      <c r="F1481" s="832"/>
      <c r="G1481" s="832"/>
      <c r="H1481" s="1306"/>
      <c r="I1481" s="2298"/>
      <c r="J1481" s="1813"/>
      <c r="K1481" s="1813"/>
      <c r="L1481" s="1307"/>
      <c r="M1481" s="2066"/>
      <c r="N1481" s="553"/>
      <c r="P1481" s="500"/>
    </row>
    <row r="1482" spans="1:16" s="4099" customFormat="1" ht="14.25" customHeight="1" x14ac:dyDescent="0.25">
      <c r="A1482" s="4101"/>
      <c r="B1482" s="1242"/>
      <c r="C1482" s="3881" t="s">
        <v>3290</v>
      </c>
      <c r="D1482" s="889">
        <f>D1483</f>
        <v>100000000</v>
      </c>
      <c r="E1482" s="1159">
        <f>D1482/D1371*100</f>
        <v>6.0660155862509564E-2</v>
      </c>
      <c r="F1482" s="854"/>
      <c r="G1482" s="854"/>
      <c r="H1482" s="1308"/>
      <c r="I1482" s="1120"/>
      <c r="J1482" s="1836"/>
      <c r="K1482" s="1836"/>
      <c r="L1482" s="2176"/>
      <c r="M1482" s="2308"/>
      <c r="N1482" s="553"/>
      <c r="P1482" s="500"/>
    </row>
    <row r="1483" spans="1:16" s="4099" customFormat="1" ht="14.25" customHeight="1" x14ac:dyDescent="0.25">
      <c r="A1483" s="4101"/>
      <c r="B1483" s="2910"/>
      <c r="C1483" s="3860" t="s">
        <v>3291</v>
      </c>
      <c r="D1483" s="666">
        <v>100000000</v>
      </c>
      <c r="E1483" s="1162">
        <f>D1483/D1371*100</f>
        <v>6.0660155862509564E-2</v>
      </c>
      <c r="F1483" s="838"/>
      <c r="G1483" s="878"/>
      <c r="H1483" s="878"/>
      <c r="I1483" s="878"/>
      <c r="J1483" s="1818"/>
      <c r="K1483" s="2293"/>
      <c r="L1483" s="1310"/>
      <c r="M1483" s="2230"/>
      <c r="N1483" s="354"/>
      <c r="P1483" s="500"/>
    </row>
    <row r="1484" spans="1:16" s="4099" customFormat="1" ht="14.25" customHeight="1" x14ac:dyDescent="0.25">
      <c r="A1484" s="4101"/>
      <c r="B1484" s="1242"/>
      <c r="C1484" s="3857"/>
      <c r="D1484" s="671"/>
      <c r="E1484" s="1051"/>
      <c r="F1484" s="840"/>
      <c r="G1484" s="887"/>
      <c r="H1484" s="2255"/>
      <c r="I1484" s="2339"/>
      <c r="J1484" s="2300"/>
      <c r="K1484" s="2301"/>
      <c r="L1484" s="1703"/>
      <c r="M1484" s="2302"/>
      <c r="N1484" s="535"/>
      <c r="P1484" s="500"/>
    </row>
    <row r="1485" spans="1:16" s="4099" customFormat="1" ht="14.25" customHeight="1" x14ac:dyDescent="0.25">
      <c r="A1485" s="4101"/>
      <c r="B1485" s="1305"/>
      <c r="C1485" s="3858" t="s">
        <v>3292</v>
      </c>
      <c r="D1485" s="669">
        <f>D1486+D1490+D1493</f>
        <v>2800000000</v>
      </c>
      <c r="E1485" s="1050">
        <f>D1485/D1371*100</f>
        <v>1.6984843641502676</v>
      </c>
      <c r="F1485" s="832"/>
      <c r="G1485" s="888"/>
      <c r="H1485" s="888"/>
      <c r="I1485" s="888"/>
      <c r="J1485" s="1813"/>
      <c r="K1485" s="888"/>
      <c r="L1485" s="888"/>
      <c r="M1485" s="888"/>
      <c r="N1485" s="553"/>
      <c r="P1485" s="500"/>
    </row>
    <row r="1486" spans="1:16" s="4099" customFormat="1" ht="14.25" customHeight="1" x14ac:dyDescent="0.25">
      <c r="A1486" s="4101"/>
      <c r="B1486" s="1242"/>
      <c r="C1486" s="3881" t="s">
        <v>1653</v>
      </c>
      <c r="D1486" s="889">
        <f>SUM(D1487:D1488)</f>
        <v>850000000</v>
      </c>
      <c r="E1486" s="1159">
        <f>D1486/D1371*100</f>
        <v>0.51561132483133121</v>
      </c>
      <c r="F1486" s="854"/>
      <c r="G1486" s="960"/>
      <c r="H1486" s="960"/>
      <c r="I1486" s="960"/>
      <c r="J1486" s="1836"/>
      <c r="K1486" s="960"/>
      <c r="L1486" s="960"/>
      <c r="M1486" s="960"/>
      <c r="N1486" s="553"/>
      <c r="P1486" s="500"/>
    </row>
    <row r="1487" spans="1:16" s="4099" customFormat="1" ht="14.25" customHeight="1" x14ac:dyDescent="0.25">
      <c r="A1487" s="4101"/>
      <c r="B1487" s="2910"/>
      <c r="C1487" s="3860" t="s">
        <v>3293</v>
      </c>
      <c r="D1487" s="666">
        <v>500000000</v>
      </c>
      <c r="E1487" s="1162">
        <f>D1487/D1371*100</f>
        <v>0.30330077931254779</v>
      </c>
      <c r="F1487" s="838"/>
      <c r="G1487" s="878"/>
      <c r="H1487" s="878"/>
      <c r="I1487" s="878"/>
      <c r="J1487" s="1818"/>
      <c r="K1487" s="878"/>
      <c r="L1487" s="878"/>
      <c r="M1487" s="878"/>
      <c r="N1487" s="354"/>
      <c r="P1487" s="500"/>
    </row>
    <row r="1488" spans="1:16" s="4099" customFormat="1" ht="14.25" customHeight="1" x14ac:dyDescent="0.25">
      <c r="A1488" s="4101"/>
      <c r="B1488" s="1242"/>
      <c r="C1488" s="3861" t="s">
        <v>3294</v>
      </c>
      <c r="D1488" s="868">
        <v>350000000</v>
      </c>
      <c r="E1488" s="1162">
        <f>D1488/D1371*100</f>
        <v>0.21231054551878345</v>
      </c>
      <c r="F1488" s="835"/>
      <c r="G1488" s="882"/>
      <c r="H1488" s="882"/>
      <c r="I1488" s="882"/>
      <c r="J1488" s="1815"/>
      <c r="K1488" s="2175"/>
      <c r="L1488" s="2175"/>
      <c r="M1488" s="2175"/>
      <c r="N1488" s="535"/>
      <c r="P1488" s="500"/>
    </row>
    <row r="1489" spans="1:16" s="4099" customFormat="1" ht="11.25" customHeight="1" x14ac:dyDescent="0.25">
      <c r="A1489" s="4101"/>
      <c r="B1489" s="1242"/>
      <c r="C1489" s="3882"/>
      <c r="D1489" s="4230"/>
      <c r="E1489" s="1052"/>
      <c r="F1489" s="838"/>
      <c r="G1489" s="878"/>
      <c r="H1489" s="878"/>
      <c r="I1489" s="878"/>
      <c r="J1489" s="1818"/>
      <c r="K1489" s="1315"/>
      <c r="L1489" s="1315"/>
      <c r="M1489" s="1315"/>
      <c r="N1489" s="535"/>
      <c r="P1489" s="500"/>
    </row>
    <row r="1490" spans="1:16" s="4099" customFormat="1" ht="14.25" customHeight="1" x14ac:dyDescent="0.25">
      <c r="A1490" s="4101"/>
      <c r="B1490" s="1242"/>
      <c r="C1490" s="3882" t="s">
        <v>3295</v>
      </c>
      <c r="D1490" s="673">
        <f>D1491</f>
        <v>450000000</v>
      </c>
      <c r="E1490" s="1159">
        <f>D1490/D1371*100</f>
        <v>0.27297070138129298</v>
      </c>
      <c r="F1490" s="838"/>
      <c r="G1490" s="878"/>
      <c r="H1490" s="878"/>
      <c r="I1490" s="878"/>
      <c r="J1490" s="1818"/>
      <c r="K1490" s="1315"/>
      <c r="L1490" s="1315"/>
      <c r="M1490" s="1315"/>
      <c r="N1490" s="535"/>
      <c r="P1490" s="500"/>
    </row>
    <row r="1491" spans="1:16" s="4099" customFormat="1" ht="14.25" customHeight="1" x14ac:dyDescent="0.25">
      <c r="A1491" s="4101"/>
      <c r="B1491" s="1242"/>
      <c r="C1491" s="3860" t="s">
        <v>3296</v>
      </c>
      <c r="D1491" s="666">
        <v>450000000</v>
      </c>
      <c r="E1491" s="1162">
        <f>D1491/D1371*100</f>
        <v>0.27297070138129298</v>
      </c>
      <c r="F1491" s="838"/>
      <c r="G1491" s="878"/>
      <c r="H1491" s="878"/>
      <c r="I1491" s="878"/>
      <c r="J1491" s="1818"/>
      <c r="K1491" s="1315"/>
      <c r="L1491" s="1315"/>
      <c r="M1491" s="1315"/>
      <c r="N1491" s="535"/>
      <c r="P1491" s="500"/>
    </row>
    <row r="1492" spans="1:16" s="4099" customFormat="1" ht="10.5" customHeight="1" x14ac:dyDescent="0.25">
      <c r="A1492" s="4101"/>
      <c r="B1492" s="1242"/>
      <c r="C1492" s="3890"/>
      <c r="D1492" s="666"/>
      <c r="E1492" s="1052"/>
      <c r="F1492" s="838"/>
      <c r="G1492" s="878"/>
      <c r="H1492" s="878"/>
      <c r="I1492" s="878"/>
      <c r="J1492" s="1818"/>
      <c r="K1492" s="1315"/>
      <c r="L1492" s="1315"/>
      <c r="M1492" s="1315"/>
      <c r="N1492" s="535"/>
      <c r="P1492" s="500"/>
    </row>
    <row r="1493" spans="1:16" s="4099" customFormat="1" ht="14.25" customHeight="1" x14ac:dyDescent="0.25">
      <c r="A1493" s="4101"/>
      <c r="B1493" s="1242"/>
      <c r="C1493" s="3882" t="s">
        <v>3297</v>
      </c>
      <c r="D1493" s="673">
        <f>D1494</f>
        <v>1500000000</v>
      </c>
      <c r="E1493" s="1159">
        <f>D1493/D1371*100</f>
        <v>0.90990233793764341</v>
      </c>
      <c r="F1493" s="838"/>
      <c r="G1493" s="878"/>
      <c r="H1493" s="878"/>
      <c r="I1493" s="878"/>
      <c r="J1493" s="1818"/>
      <c r="K1493" s="1315"/>
      <c r="L1493" s="1315"/>
      <c r="M1493" s="1315"/>
      <c r="N1493" s="535"/>
      <c r="P1493" s="500"/>
    </row>
    <row r="1494" spans="1:16" s="4099" customFormat="1" ht="14.25" customHeight="1" x14ac:dyDescent="0.25">
      <c r="A1494" s="4101"/>
      <c r="B1494" s="1242"/>
      <c r="C1494" s="3860" t="s">
        <v>3298</v>
      </c>
      <c r="D1494" s="666">
        <v>1500000000</v>
      </c>
      <c r="E1494" s="1162">
        <f>D1494/D1371*100</f>
        <v>0.90990233793764341</v>
      </c>
      <c r="F1494" s="838"/>
      <c r="G1494" s="878"/>
      <c r="H1494" s="878"/>
      <c r="I1494" s="878"/>
      <c r="J1494" s="1818"/>
      <c r="K1494" s="1315"/>
      <c r="L1494" s="1315"/>
      <c r="M1494" s="1315"/>
      <c r="N1494" s="535"/>
      <c r="P1494" s="500"/>
    </row>
    <row r="1495" spans="1:16" s="4099" customFormat="1" ht="14.25" customHeight="1" x14ac:dyDescent="0.25">
      <c r="A1495" s="4101"/>
      <c r="B1495" s="1242"/>
      <c r="C1495" s="3857"/>
      <c r="D1495" s="671"/>
      <c r="E1495" s="1051"/>
      <c r="F1495" s="840"/>
      <c r="G1495" s="887"/>
      <c r="H1495" s="887"/>
      <c r="I1495" s="887"/>
      <c r="J1495" s="1819"/>
      <c r="K1495" s="2182"/>
      <c r="L1495" s="2182"/>
      <c r="M1495" s="2182"/>
      <c r="N1495" s="535"/>
      <c r="P1495" s="500"/>
    </row>
    <row r="1496" spans="1:16" s="4099" customFormat="1" ht="14.25" customHeight="1" x14ac:dyDescent="0.25">
      <c r="A1496" s="4101"/>
      <c r="B1496" s="1305"/>
      <c r="C1496" s="3858" t="s">
        <v>3299</v>
      </c>
      <c r="D1496" s="669">
        <f>D1497+D1500+D1505+D1508+D1512</f>
        <v>1989735000</v>
      </c>
      <c r="E1496" s="1050">
        <f>D1496/D1371*100</f>
        <v>1.2069763522509045</v>
      </c>
      <c r="F1496" s="832"/>
      <c r="G1496" s="888"/>
      <c r="H1496" s="888"/>
      <c r="I1496" s="888"/>
      <c r="J1496" s="1813"/>
      <c r="K1496" s="888"/>
      <c r="L1496" s="888"/>
      <c r="M1496" s="888"/>
      <c r="N1496" s="553"/>
      <c r="P1496" s="500"/>
    </row>
    <row r="1497" spans="1:16" s="4099" customFormat="1" ht="15.75" customHeight="1" x14ac:dyDescent="0.25">
      <c r="A1497" s="4101"/>
      <c r="B1497" s="1242"/>
      <c r="C1497" s="3881" t="s">
        <v>3300</v>
      </c>
      <c r="D1497" s="889">
        <f>D1498</f>
        <v>100000000</v>
      </c>
      <c r="E1497" s="1159">
        <f>D1497/D1371*100</f>
        <v>6.0660155862509564E-2</v>
      </c>
      <c r="F1497" s="854"/>
      <c r="G1497" s="960"/>
      <c r="H1497" s="960"/>
      <c r="I1497" s="960"/>
      <c r="J1497" s="1836"/>
      <c r="K1497" s="960"/>
      <c r="L1497" s="960"/>
      <c r="M1497" s="960"/>
      <c r="N1497" s="553"/>
      <c r="P1497" s="500"/>
    </row>
    <row r="1498" spans="1:16" s="4099" customFormat="1" ht="14.25" customHeight="1" x14ac:dyDescent="0.25">
      <c r="A1498" s="4101"/>
      <c r="B1498" s="2910"/>
      <c r="C1498" s="3860" t="s">
        <v>3301</v>
      </c>
      <c r="D1498" s="666">
        <v>100000000</v>
      </c>
      <c r="E1498" s="1162">
        <f>D1498/D1371*100</f>
        <v>6.0660155862509564E-2</v>
      </c>
      <c r="F1498" s="838"/>
      <c r="G1498" s="878"/>
      <c r="H1498" s="878"/>
      <c r="I1498" s="878"/>
      <c r="J1498" s="1818"/>
      <c r="K1498" s="878"/>
      <c r="L1498" s="878"/>
      <c r="M1498" s="878"/>
      <c r="N1498" s="354"/>
      <c r="P1498" s="500"/>
    </row>
    <row r="1499" spans="1:16" s="4099" customFormat="1" ht="10.5" customHeight="1" x14ac:dyDescent="0.25">
      <c r="A1499" s="4101"/>
      <c r="B1499" s="2910"/>
      <c r="C1499" s="3892"/>
      <c r="D1499" s="671"/>
      <c r="E1499" s="1458"/>
      <c r="F1499" s="840"/>
      <c r="G1499" s="887"/>
      <c r="H1499" s="2255"/>
      <c r="I1499" s="2339"/>
      <c r="J1499" s="1703"/>
      <c r="K1499" s="1703"/>
      <c r="L1499" s="1703"/>
      <c r="M1499" s="1703"/>
      <c r="N1499" s="354"/>
      <c r="P1499" s="500"/>
    </row>
    <row r="1500" spans="1:16" s="4099" customFormat="1" ht="15.75" customHeight="1" x14ac:dyDescent="0.25">
      <c r="A1500" s="4101"/>
      <c r="B1500" s="1242"/>
      <c r="C1500" s="3882" t="s">
        <v>3302</v>
      </c>
      <c r="D1500" s="673">
        <f>SUM(D1501:D1503)</f>
        <v>789735000</v>
      </c>
      <c r="E1500" s="1159">
        <f>D1500/D1371*100</f>
        <v>0.47905448190078986</v>
      </c>
      <c r="F1500" s="838"/>
      <c r="G1500" s="878"/>
      <c r="H1500" s="1310"/>
      <c r="I1500" s="1109"/>
      <c r="J1500" s="1311"/>
      <c r="K1500" s="1311"/>
      <c r="L1500" s="1311"/>
      <c r="M1500" s="1311"/>
      <c r="N1500" s="535"/>
      <c r="P1500" s="500"/>
    </row>
    <row r="1501" spans="1:16" s="4099" customFormat="1" ht="14.25" customHeight="1" x14ac:dyDescent="0.25">
      <c r="A1501" s="4101"/>
      <c r="B1501" s="1242"/>
      <c r="C1501" s="3860" t="s">
        <v>3303</v>
      </c>
      <c r="D1501" s="666">
        <v>100000000</v>
      </c>
      <c r="E1501" s="1162">
        <f>D1501/D1371*100</f>
        <v>6.0660155862509564E-2</v>
      </c>
      <c r="F1501" s="838"/>
      <c r="G1501" s="878"/>
      <c r="H1501" s="1310"/>
      <c r="I1501" s="1109"/>
      <c r="J1501" s="1311"/>
      <c r="K1501" s="1311"/>
      <c r="L1501" s="1311"/>
      <c r="M1501" s="1311"/>
      <c r="N1501" s="535"/>
      <c r="P1501" s="500"/>
    </row>
    <row r="1502" spans="1:16" s="4099" customFormat="1" ht="14.25" customHeight="1" x14ac:dyDescent="0.25">
      <c r="A1502" s="4101"/>
      <c r="B1502" s="1242"/>
      <c r="C1502" s="3860" t="s">
        <v>3304</v>
      </c>
      <c r="D1502" s="666">
        <v>189735000</v>
      </c>
      <c r="E1502" s="1162">
        <f>D1502/D1371*100</f>
        <v>0.11509354672573251</v>
      </c>
      <c r="F1502" s="838"/>
      <c r="G1502" s="878"/>
      <c r="H1502" s="1310"/>
      <c r="I1502" s="1109"/>
      <c r="J1502" s="1311"/>
      <c r="K1502" s="1311"/>
      <c r="L1502" s="1311"/>
      <c r="M1502" s="1311"/>
      <c r="N1502" s="535"/>
      <c r="P1502" s="500"/>
    </row>
    <row r="1503" spans="1:16" s="4099" customFormat="1" ht="14.25" customHeight="1" x14ac:dyDescent="0.25">
      <c r="A1503" s="4101"/>
      <c r="B1503" s="1242"/>
      <c r="C1503" s="3860" t="s">
        <v>3305</v>
      </c>
      <c r="D1503" s="666">
        <v>500000000</v>
      </c>
      <c r="E1503" s="1162">
        <f>D1503/D1371*100</f>
        <v>0.30330077931254779</v>
      </c>
      <c r="F1503" s="838"/>
      <c r="G1503" s="878"/>
      <c r="H1503" s="1310"/>
      <c r="I1503" s="1109"/>
      <c r="J1503" s="1311"/>
      <c r="K1503" s="1311"/>
      <c r="L1503" s="1311"/>
      <c r="M1503" s="1311"/>
      <c r="N1503" s="535"/>
      <c r="P1503" s="500"/>
    </row>
    <row r="1504" spans="1:16" s="4099" customFormat="1" ht="9.75" customHeight="1" x14ac:dyDescent="0.25">
      <c r="A1504" s="4101"/>
      <c r="B1504" s="1242"/>
      <c r="C1504" s="3890"/>
      <c r="D1504" s="666"/>
      <c r="E1504" s="1162"/>
      <c r="F1504" s="838"/>
      <c r="G1504" s="878"/>
      <c r="H1504" s="1310"/>
      <c r="I1504" s="1109"/>
      <c r="J1504" s="1311"/>
      <c r="K1504" s="1311"/>
      <c r="L1504" s="1311"/>
      <c r="M1504" s="1311"/>
      <c r="N1504" s="535"/>
      <c r="P1504" s="500"/>
    </row>
    <row r="1505" spans="1:16" s="4099" customFormat="1" ht="14.25" customHeight="1" x14ac:dyDescent="0.25">
      <c r="A1505" s="4101"/>
      <c r="B1505" s="1242"/>
      <c r="C1505" s="3882" t="s">
        <v>3306</v>
      </c>
      <c r="D1505" s="673">
        <f>D1506</f>
        <v>150000000</v>
      </c>
      <c r="E1505" s="1159">
        <f>D1505/D1371*100</f>
        <v>9.0990233793764336E-2</v>
      </c>
      <c r="F1505" s="838"/>
      <c r="G1505" s="878"/>
      <c r="H1505" s="1310"/>
      <c r="I1505" s="1109"/>
      <c r="J1505" s="1311"/>
      <c r="K1505" s="1311"/>
      <c r="L1505" s="1311"/>
      <c r="M1505" s="1311"/>
      <c r="N1505" s="535"/>
      <c r="P1505" s="500"/>
    </row>
    <row r="1506" spans="1:16" s="4099" customFormat="1" ht="14.25" customHeight="1" x14ac:dyDescent="0.25">
      <c r="A1506" s="4101"/>
      <c r="B1506" s="1242"/>
      <c r="C1506" s="3860" t="s">
        <v>3307</v>
      </c>
      <c r="D1506" s="666">
        <v>150000000</v>
      </c>
      <c r="E1506" s="1162">
        <f>D1506/D1371*100</f>
        <v>9.0990233793764336E-2</v>
      </c>
      <c r="F1506" s="838"/>
      <c r="G1506" s="878"/>
      <c r="H1506" s="1310"/>
      <c r="I1506" s="1109"/>
      <c r="J1506" s="1311"/>
      <c r="K1506" s="1311"/>
      <c r="L1506" s="1311"/>
      <c r="M1506" s="1311"/>
      <c r="N1506" s="535"/>
      <c r="P1506" s="500"/>
    </row>
    <row r="1507" spans="1:16" s="4099" customFormat="1" ht="9.75" customHeight="1" x14ac:dyDescent="0.25">
      <c r="A1507" s="4101"/>
      <c r="B1507" s="1242"/>
      <c r="C1507" s="3890"/>
      <c r="D1507" s="666"/>
      <c r="E1507" s="1162"/>
      <c r="F1507" s="838"/>
      <c r="G1507" s="878"/>
      <c r="H1507" s="1310"/>
      <c r="I1507" s="1109"/>
      <c r="J1507" s="1311"/>
      <c r="K1507" s="1311"/>
      <c r="L1507" s="1311"/>
      <c r="M1507" s="1311"/>
      <c r="N1507" s="535"/>
      <c r="P1507" s="500"/>
    </row>
    <row r="1508" spans="1:16" s="4099" customFormat="1" ht="14.25" customHeight="1" x14ac:dyDescent="0.25">
      <c r="A1508" s="4101"/>
      <c r="B1508" s="1242"/>
      <c r="C1508" s="3882" t="s">
        <v>3308</v>
      </c>
      <c r="D1508" s="673">
        <f>SUM(D1509:D1510)</f>
        <v>200000000</v>
      </c>
      <c r="E1508" s="1159">
        <f>D1508/D1371*100</f>
        <v>0.12132031172501913</v>
      </c>
      <c r="F1508" s="838"/>
      <c r="G1508" s="878"/>
      <c r="H1508" s="1310"/>
      <c r="I1508" s="1109"/>
      <c r="J1508" s="1311"/>
      <c r="K1508" s="1311"/>
      <c r="L1508" s="1311"/>
      <c r="M1508" s="1311"/>
      <c r="N1508" s="535"/>
      <c r="P1508" s="500"/>
    </row>
    <row r="1509" spans="1:16" s="4099" customFormat="1" ht="14.25" customHeight="1" x14ac:dyDescent="0.25">
      <c r="A1509" s="4101"/>
      <c r="B1509" s="1242"/>
      <c r="C1509" s="3860" t="s">
        <v>3309</v>
      </c>
      <c r="D1509" s="666">
        <v>100000000</v>
      </c>
      <c r="E1509" s="1162">
        <f>D1509/D1371*100</f>
        <v>6.0660155862509564E-2</v>
      </c>
      <c r="F1509" s="838"/>
      <c r="G1509" s="878"/>
      <c r="H1509" s="1310"/>
      <c r="I1509" s="1109"/>
      <c r="J1509" s="1311"/>
      <c r="K1509" s="1311"/>
      <c r="L1509" s="1311"/>
      <c r="M1509" s="1311"/>
      <c r="N1509" s="535"/>
      <c r="P1509" s="500"/>
    </row>
    <row r="1510" spans="1:16" s="4099" customFormat="1" ht="14.25" customHeight="1" x14ac:dyDescent="0.25">
      <c r="A1510" s="4101"/>
      <c r="B1510" s="1242"/>
      <c r="C1510" s="3860" t="s">
        <v>3310</v>
      </c>
      <c r="D1510" s="666">
        <v>100000000</v>
      </c>
      <c r="E1510" s="1162">
        <f>D1510/D1371*100</f>
        <v>6.0660155862509564E-2</v>
      </c>
      <c r="F1510" s="838"/>
      <c r="G1510" s="878"/>
      <c r="H1510" s="1310"/>
      <c r="I1510" s="1109"/>
      <c r="J1510" s="1311"/>
      <c r="K1510" s="1311"/>
      <c r="L1510" s="1311"/>
      <c r="M1510" s="1311"/>
      <c r="N1510" s="535"/>
      <c r="P1510" s="500"/>
    </row>
    <row r="1511" spans="1:16" s="4099" customFormat="1" ht="10.5" customHeight="1" x14ac:dyDescent="0.25">
      <c r="A1511" s="4101"/>
      <c r="B1511" s="1242"/>
      <c r="C1511" s="3890"/>
      <c r="D1511" s="666"/>
      <c r="E1511" s="1162"/>
      <c r="F1511" s="838"/>
      <c r="G1511" s="878"/>
      <c r="H1511" s="1310"/>
      <c r="I1511" s="1109"/>
      <c r="J1511" s="1311"/>
      <c r="K1511" s="1311"/>
      <c r="L1511" s="1311"/>
      <c r="M1511" s="1311"/>
      <c r="N1511" s="535"/>
      <c r="P1511" s="500"/>
    </row>
    <row r="1512" spans="1:16" s="4099" customFormat="1" ht="14.25" customHeight="1" x14ac:dyDescent="0.25">
      <c r="A1512" s="4101"/>
      <c r="B1512" s="1242"/>
      <c r="C1512" s="3882" t="s">
        <v>3311</v>
      </c>
      <c r="D1512" s="673">
        <f>SUM(D1513:D1514)</f>
        <v>750000000</v>
      </c>
      <c r="E1512" s="1159">
        <f>D1512/D1371*100</f>
        <v>0.45495116896882171</v>
      </c>
      <c r="F1512" s="838"/>
      <c r="G1512" s="878"/>
      <c r="H1512" s="1310"/>
      <c r="I1512" s="1109"/>
      <c r="J1512" s="1311"/>
      <c r="K1512" s="1311"/>
      <c r="L1512" s="1311"/>
      <c r="M1512" s="1311"/>
      <c r="N1512" s="535"/>
      <c r="P1512" s="500"/>
    </row>
    <row r="1513" spans="1:16" s="4099" customFormat="1" ht="14.25" customHeight="1" x14ac:dyDescent="0.25">
      <c r="A1513" s="4101"/>
      <c r="B1513" s="1242"/>
      <c r="C1513" s="3860" t="s">
        <v>3312</v>
      </c>
      <c r="D1513" s="666">
        <v>200000000</v>
      </c>
      <c r="E1513" s="1162">
        <f>D1513/D1371*100</f>
        <v>0.12132031172501913</v>
      </c>
      <c r="F1513" s="838"/>
      <c r="G1513" s="878"/>
      <c r="H1513" s="1310"/>
      <c r="I1513" s="1109"/>
      <c r="J1513" s="1311"/>
      <c r="K1513" s="1311"/>
      <c r="L1513" s="1311"/>
      <c r="M1513" s="1311"/>
      <c r="N1513" s="535"/>
      <c r="P1513" s="500"/>
    </row>
    <row r="1514" spans="1:16" s="4099" customFormat="1" ht="14.25" customHeight="1" x14ac:dyDescent="0.25">
      <c r="A1514" s="4101"/>
      <c r="B1514" s="1242"/>
      <c r="C1514" s="3860" t="s">
        <v>3313</v>
      </c>
      <c r="D1514" s="666">
        <v>550000000</v>
      </c>
      <c r="E1514" s="1162">
        <f>D1514/D1371*100</f>
        <v>0.33363085724380259</v>
      </c>
      <c r="F1514" s="838"/>
      <c r="G1514" s="878"/>
      <c r="H1514" s="1310"/>
      <c r="I1514" s="1109"/>
      <c r="J1514" s="1311"/>
      <c r="K1514" s="1311"/>
      <c r="L1514" s="1311"/>
      <c r="M1514" s="1311"/>
      <c r="N1514" s="535"/>
      <c r="P1514" s="500"/>
    </row>
    <row r="1515" spans="1:16" s="4099" customFormat="1" ht="14.25" customHeight="1" x14ac:dyDescent="0.25">
      <c r="A1515" s="4101"/>
      <c r="B1515" s="1242"/>
      <c r="C1515" s="3857"/>
      <c r="D1515" s="671"/>
      <c r="E1515" s="1458"/>
      <c r="F1515" s="840"/>
      <c r="G1515" s="887"/>
      <c r="H1515" s="2255"/>
      <c r="I1515" s="2339"/>
      <c r="J1515" s="2182"/>
      <c r="K1515" s="2182"/>
      <c r="L1515" s="2182"/>
      <c r="M1515" s="2182"/>
      <c r="N1515" s="535"/>
      <c r="P1515" s="500"/>
    </row>
    <row r="1516" spans="1:16" s="4099" customFormat="1" ht="14.25" customHeight="1" x14ac:dyDescent="0.25">
      <c r="A1516" s="4101"/>
      <c r="B1516" s="1305"/>
      <c r="C1516" s="3858" t="s">
        <v>3314</v>
      </c>
      <c r="D1516" s="669">
        <f>D1517+D1526+D1530</f>
        <v>1800000000</v>
      </c>
      <c r="E1516" s="1050">
        <f>D1516/D1371*100</f>
        <v>1.0918828055251719</v>
      </c>
      <c r="F1516" s="832"/>
      <c r="G1516" s="832"/>
      <c r="H1516" s="1306"/>
      <c r="I1516" s="2298"/>
      <c r="J1516" s="1813"/>
      <c r="K1516" s="1813"/>
      <c r="L1516" s="1307"/>
      <c r="M1516" s="2066"/>
      <c r="N1516" s="553"/>
      <c r="P1516" s="500"/>
    </row>
    <row r="1517" spans="1:16" s="4099" customFormat="1" ht="16.5" customHeight="1" x14ac:dyDescent="0.25">
      <c r="A1517" s="4101"/>
      <c r="B1517" s="1242"/>
      <c r="C1517" s="3881" t="s">
        <v>3316</v>
      </c>
      <c r="D1517" s="889">
        <f>SUM(D1518:D1524)</f>
        <v>1250000000</v>
      </c>
      <c r="E1517" s="1159">
        <f>D1517/D1371*100</f>
        <v>0.75825194828136944</v>
      </c>
      <c r="F1517" s="854"/>
      <c r="G1517" s="854"/>
      <c r="H1517" s="1308"/>
      <c r="I1517" s="1120"/>
      <c r="J1517" s="1836"/>
      <c r="K1517" s="1836"/>
      <c r="L1517" s="2176"/>
      <c r="M1517" s="2308"/>
      <c r="N1517" s="553"/>
      <c r="P1517" s="500"/>
    </row>
    <row r="1518" spans="1:16" s="4099" customFormat="1" ht="17.25" customHeight="1" x14ac:dyDescent="0.25">
      <c r="A1518" s="4101"/>
      <c r="B1518" s="2910"/>
      <c r="C1518" s="3860" t="s">
        <v>3317</v>
      </c>
      <c r="D1518" s="666">
        <v>150000000</v>
      </c>
      <c r="E1518" s="1162">
        <f>D1518/D1371*100</f>
        <v>9.0990233793764336E-2</v>
      </c>
      <c r="F1518" s="838"/>
      <c r="G1518" s="878"/>
      <c r="H1518" s="1310"/>
      <c r="I1518" s="1109"/>
      <c r="J1518" s="1818"/>
      <c r="K1518" s="2293"/>
      <c r="L1518" s="1310"/>
      <c r="M1518" s="2230"/>
      <c r="N1518" s="354"/>
      <c r="P1518" s="500"/>
    </row>
    <row r="1519" spans="1:16" s="4099" customFormat="1" ht="16.5" customHeight="1" x14ac:dyDescent="0.25">
      <c r="A1519" s="4101"/>
      <c r="B1519" s="2910"/>
      <c r="C1519" s="3860" t="s">
        <v>3318</v>
      </c>
      <c r="D1519" s="666">
        <v>200000000</v>
      </c>
      <c r="E1519" s="1162">
        <f>D1519/D1371*100</f>
        <v>0.12132031172501913</v>
      </c>
      <c r="F1519" s="838"/>
      <c r="G1519" s="878"/>
      <c r="H1519" s="1167"/>
      <c r="I1519" s="1109"/>
      <c r="J1519" s="1818"/>
      <c r="K1519" s="2293"/>
      <c r="L1519" s="2293"/>
      <c r="M1519" s="2230"/>
      <c r="N1519" s="354"/>
      <c r="P1519" s="500"/>
    </row>
    <row r="1520" spans="1:16" s="4099" customFormat="1" ht="14.25" customHeight="1" x14ac:dyDescent="0.25">
      <c r="A1520" s="4101"/>
      <c r="B1520" s="2910"/>
      <c r="C1520" s="3860" t="s">
        <v>3319</v>
      </c>
      <c r="D1520" s="666">
        <v>150000000</v>
      </c>
      <c r="E1520" s="1162">
        <f>D1520/D1371*100</f>
        <v>9.0990233793764336E-2</v>
      </c>
      <c r="F1520" s="839"/>
      <c r="G1520" s="839"/>
      <c r="H1520" s="1308"/>
      <c r="I1520" s="1110"/>
      <c r="J1520" s="1381"/>
      <c r="K1520" s="1381"/>
      <c r="L1520" s="2176"/>
      <c r="M1520" s="2006"/>
      <c r="N1520" s="354"/>
      <c r="P1520" s="500"/>
    </row>
    <row r="1521" spans="1:16" s="4099" customFormat="1" ht="14.25" customHeight="1" x14ac:dyDescent="0.25">
      <c r="A1521" s="4101"/>
      <c r="B1521" s="2910"/>
      <c r="C1521" s="3860" t="s">
        <v>3320</v>
      </c>
      <c r="D1521" s="666">
        <v>200000000</v>
      </c>
      <c r="E1521" s="1162">
        <f>D1521/D1371*100</f>
        <v>0.12132031172501913</v>
      </c>
      <c r="F1521" s="838"/>
      <c r="G1521" s="878"/>
      <c r="H1521" s="1310"/>
      <c r="I1521" s="1109"/>
      <c r="J1521" s="1818"/>
      <c r="K1521" s="2293"/>
      <c r="L1521" s="1310"/>
      <c r="M1521" s="2230"/>
      <c r="N1521" s="354"/>
      <c r="P1521" s="500"/>
    </row>
    <row r="1522" spans="1:16" s="4099" customFormat="1" ht="14.25" customHeight="1" x14ac:dyDescent="0.25">
      <c r="A1522" s="4101"/>
      <c r="B1522" s="2910"/>
      <c r="C1522" s="3860" t="s">
        <v>3321</v>
      </c>
      <c r="D1522" s="666">
        <v>200000000</v>
      </c>
      <c r="E1522" s="1162">
        <f>D1522/D1371*100</f>
        <v>0.12132031172501913</v>
      </c>
      <c r="F1522" s="838"/>
      <c r="G1522" s="878"/>
      <c r="H1522" s="1310"/>
      <c r="I1522" s="1117"/>
      <c r="J1522" s="1818"/>
      <c r="K1522" s="1312"/>
      <c r="L1522" s="2334"/>
      <c r="M1522" s="1312"/>
      <c r="N1522" s="354"/>
      <c r="P1522" s="500"/>
    </row>
    <row r="1523" spans="1:16" s="4099" customFormat="1" ht="14.25" customHeight="1" x14ac:dyDescent="0.25">
      <c r="A1523" s="4101"/>
      <c r="B1523" s="1242"/>
      <c r="C1523" s="3860" t="s">
        <v>3322</v>
      </c>
      <c r="D1523" s="666">
        <v>200000000</v>
      </c>
      <c r="E1523" s="1162">
        <f>D1523/D1371*100</f>
        <v>0.12132031172501913</v>
      </c>
      <c r="F1523" s="839"/>
      <c r="G1523" s="839"/>
      <c r="H1523" s="1308"/>
      <c r="I1523" s="1110"/>
      <c r="J1523" s="1381"/>
      <c r="K1523" s="1381"/>
      <c r="L1523" s="2176"/>
      <c r="M1523" s="2006"/>
      <c r="N1523" s="553"/>
      <c r="P1523" s="500"/>
    </row>
    <row r="1524" spans="1:16" s="4099" customFormat="1" ht="14.25" customHeight="1" x14ac:dyDescent="0.25">
      <c r="A1524" s="4101"/>
      <c r="B1524" s="2910"/>
      <c r="C1524" s="3860" t="s">
        <v>3416</v>
      </c>
      <c r="D1524" s="666">
        <v>150000000</v>
      </c>
      <c r="E1524" s="1162">
        <f>D1524/D1371*100</f>
        <v>9.0990233793764336E-2</v>
      </c>
      <c r="F1524" s="838"/>
      <c r="G1524" s="878"/>
      <c r="H1524" s="1310"/>
      <c r="I1524" s="1109"/>
      <c r="J1524" s="1818"/>
      <c r="K1524" s="878"/>
      <c r="L1524" s="1310"/>
      <c r="M1524" s="2230"/>
      <c r="N1524" s="354"/>
      <c r="P1524" s="500"/>
    </row>
    <row r="1525" spans="1:16" s="4099" customFormat="1" ht="9.75" customHeight="1" x14ac:dyDescent="0.25">
      <c r="A1525" s="4101"/>
      <c r="B1525" s="2910"/>
      <c r="C1525" s="3861"/>
      <c r="D1525" s="868"/>
      <c r="E1525" s="1162" t="s">
        <v>3315</v>
      </c>
      <c r="F1525" s="835"/>
      <c r="G1525" s="882"/>
      <c r="H1525" s="1310"/>
      <c r="I1525" s="2295"/>
      <c r="J1525" s="1815"/>
      <c r="K1525" s="882"/>
      <c r="L1525" s="1310"/>
      <c r="M1525" s="2230"/>
      <c r="N1525" s="354"/>
      <c r="P1525" s="500"/>
    </row>
    <row r="1526" spans="1:16" s="4099" customFormat="1" ht="16.5" customHeight="1" x14ac:dyDescent="0.25">
      <c r="A1526" s="4101"/>
      <c r="B1526" s="1242"/>
      <c r="C1526" s="3882" t="s">
        <v>3323</v>
      </c>
      <c r="D1526" s="673">
        <f>SUM(D1527:D1528)</f>
        <v>350000000</v>
      </c>
      <c r="E1526" s="1159">
        <f>D1526/D1371*100</f>
        <v>0.21231054551878345</v>
      </c>
      <c r="F1526" s="839"/>
      <c r="G1526" s="877"/>
      <c r="H1526" s="1415"/>
      <c r="I1526" s="1118"/>
      <c r="J1526" s="2261"/>
      <c r="K1526" s="2261"/>
      <c r="L1526" s="2261"/>
      <c r="M1526" s="2261"/>
      <c r="N1526" s="553"/>
      <c r="P1526" s="500"/>
    </row>
    <row r="1527" spans="1:16" s="4099" customFormat="1" ht="14.25" customHeight="1" x14ac:dyDescent="0.25">
      <c r="A1527" s="4101"/>
      <c r="B1527" s="1242"/>
      <c r="C1527" s="3860" t="s">
        <v>3324</v>
      </c>
      <c r="D1527" s="666">
        <v>150000000</v>
      </c>
      <c r="E1527" s="1162">
        <f>D1527/D1371*100</f>
        <v>9.0990233793764336E-2</v>
      </c>
      <c r="F1527" s="838"/>
      <c r="G1527" s="878"/>
      <c r="H1527" s="880"/>
      <c r="I1527" s="1121"/>
      <c r="J1527" s="1315"/>
      <c r="K1527" s="1315"/>
      <c r="L1527" s="1315"/>
      <c r="M1527" s="1315"/>
      <c r="N1527" s="535"/>
      <c r="P1527" s="500"/>
    </row>
    <row r="1528" spans="1:16" s="4099" customFormat="1" ht="14.25" customHeight="1" x14ac:dyDescent="0.25">
      <c r="A1528" s="4101"/>
      <c r="B1528" s="1242"/>
      <c r="C1528" s="3860" t="s">
        <v>3325</v>
      </c>
      <c r="D1528" s="666">
        <v>200000000</v>
      </c>
      <c r="E1528" s="1162">
        <f>D1528/D1371*100</f>
        <v>0.12132031172501913</v>
      </c>
      <c r="F1528" s="838"/>
      <c r="G1528" s="878"/>
      <c r="H1528" s="880"/>
      <c r="I1528" s="1121"/>
      <c r="J1528" s="1315"/>
      <c r="K1528" s="1315"/>
      <c r="L1528" s="1315"/>
      <c r="M1528" s="1315"/>
      <c r="N1528" s="535"/>
      <c r="P1528" s="500"/>
    </row>
    <row r="1529" spans="1:16" s="4099" customFormat="1" ht="8.25" customHeight="1" x14ac:dyDescent="0.25">
      <c r="A1529" s="4101"/>
      <c r="B1529" s="1242"/>
      <c r="C1529" s="3860"/>
      <c r="D1529" s="666"/>
      <c r="E1529" s="1052"/>
      <c r="F1529" s="838"/>
      <c r="G1529" s="878"/>
      <c r="H1529" s="880"/>
      <c r="I1529" s="1121"/>
      <c r="J1529" s="1315"/>
      <c r="K1529" s="1315"/>
      <c r="L1529" s="1315"/>
      <c r="M1529" s="1315"/>
      <c r="N1529" s="535"/>
      <c r="P1529" s="500"/>
    </row>
    <row r="1530" spans="1:16" s="4099" customFormat="1" ht="14.25" customHeight="1" x14ac:dyDescent="0.25">
      <c r="A1530" s="4101"/>
      <c r="B1530" s="1242"/>
      <c r="C1530" s="3882" t="s">
        <v>3326</v>
      </c>
      <c r="D1530" s="673">
        <f>D1531</f>
        <v>200000000</v>
      </c>
      <c r="E1530" s="1159">
        <f>D1530/D1371*100</f>
        <v>0.12132031172501913</v>
      </c>
      <c r="F1530" s="839"/>
      <c r="G1530" s="877"/>
      <c r="H1530" s="1415"/>
      <c r="I1530" s="1118"/>
      <c r="J1530" s="2261"/>
      <c r="K1530" s="2261"/>
      <c r="L1530" s="2261"/>
      <c r="M1530" s="2261"/>
      <c r="N1530" s="553"/>
      <c r="P1530" s="500"/>
    </row>
    <row r="1531" spans="1:16" s="4099" customFormat="1" ht="14.25" customHeight="1" x14ac:dyDescent="0.25">
      <c r="A1531" s="4101"/>
      <c r="B1531" s="1242"/>
      <c r="C1531" s="3860" t="s">
        <v>3327</v>
      </c>
      <c r="D1531" s="666">
        <v>200000000</v>
      </c>
      <c r="E1531" s="1162">
        <f>D1531/D1371*100</f>
        <v>0.12132031172501913</v>
      </c>
      <c r="F1531" s="838"/>
      <c r="G1531" s="878"/>
      <c r="H1531" s="880"/>
      <c r="I1531" s="1121"/>
      <c r="J1531" s="1315"/>
      <c r="K1531" s="1315"/>
      <c r="L1531" s="1315"/>
      <c r="M1531" s="1315"/>
      <c r="N1531" s="535"/>
      <c r="P1531" s="500"/>
    </row>
    <row r="1532" spans="1:16" s="4099" customFormat="1" ht="14.25" customHeight="1" x14ac:dyDescent="0.25">
      <c r="A1532" s="4101"/>
      <c r="B1532" s="1242"/>
      <c r="C1532" s="3857"/>
      <c r="D1532" s="671"/>
      <c r="E1532" s="1051"/>
      <c r="F1532" s="840"/>
      <c r="G1532" s="887"/>
      <c r="H1532" s="2255"/>
      <c r="I1532" s="2339"/>
      <c r="J1532" s="2182"/>
      <c r="K1532" s="2182"/>
      <c r="L1532" s="2182"/>
      <c r="M1532" s="2182"/>
      <c r="N1532" s="535"/>
      <c r="P1532" s="500"/>
    </row>
    <row r="1533" spans="1:16" s="4099" customFormat="1" ht="14.25" customHeight="1" x14ac:dyDescent="0.25">
      <c r="A1533" s="4101"/>
      <c r="B1533" s="1305"/>
      <c r="C1533" s="3858" t="s">
        <v>3328</v>
      </c>
      <c r="D1533" s="669">
        <f>D1534</f>
        <v>1200000000</v>
      </c>
      <c r="E1533" s="1050">
        <f>D1533/D1371*100</f>
        <v>0.72792187035011469</v>
      </c>
      <c r="F1533" s="832"/>
      <c r="G1533" s="888"/>
      <c r="H1533" s="888"/>
      <c r="I1533" s="888"/>
      <c r="J1533" s="1813"/>
      <c r="K1533" s="1813"/>
      <c r="L1533" s="1307"/>
      <c r="M1533" s="1307"/>
      <c r="N1533" s="535"/>
      <c r="P1533" s="500"/>
    </row>
    <row r="1534" spans="1:16" s="4099" customFormat="1" ht="14.25" customHeight="1" x14ac:dyDescent="0.25">
      <c r="A1534" s="4101"/>
      <c r="B1534" s="1242"/>
      <c r="C1534" s="3893" t="s">
        <v>3329</v>
      </c>
      <c r="D1534" s="667">
        <f>SUM(D1535:D1537)</f>
        <v>1200000000</v>
      </c>
      <c r="E1534" s="1159">
        <f>D1534/D1371*100</f>
        <v>0.72792187035011469</v>
      </c>
      <c r="F1534" s="836"/>
      <c r="G1534" s="960"/>
      <c r="H1534" s="960"/>
      <c r="I1534" s="960"/>
      <c r="J1534" s="1816"/>
      <c r="K1534" s="1816"/>
      <c r="L1534" s="2176"/>
      <c r="M1534" s="1671"/>
      <c r="N1534" s="535"/>
      <c r="P1534" s="500"/>
    </row>
    <row r="1535" spans="1:16" s="4099" customFormat="1" ht="14.25" customHeight="1" x14ac:dyDescent="0.25">
      <c r="A1535" s="4101"/>
      <c r="B1535" s="1242"/>
      <c r="C1535" s="3860" t="s">
        <v>3330</v>
      </c>
      <c r="D1535" s="666">
        <v>500000000</v>
      </c>
      <c r="E1535" s="1162">
        <f>D1535/D1371*100</f>
        <v>0.30330077931254779</v>
      </c>
      <c r="F1535" s="838"/>
      <c r="G1535" s="878"/>
      <c r="H1535" s="878"/>
      <c r="I1535" s="878"/>
      <c r="J1535" s="1818"/>
      <c r="K1535" s="878"/>
      <c r="L1535" s="878"/>
      <c r="M1535" s="878"/>
      <c r="N1535" s="535"/>
      <c r="P1535" s="500"/>
    </row>
    <row r="1536" spans="1:16" s="4099" customFormat="1" ht="14.25" customHeight="1" x14ac:dyDescent="0.25">
      <c r="A1536" s="4101"/>
      <c r="B1536" s="1242"/>
      <c r="C1536" s="3860" t="s">
        <v>3331</v>
      </c>
      <c r="D1536" s="666">
        <v>400000000</v>
      </c>
      <c r="E1536" s="1162">
        <f>D1536/D1371*100</f>
        <v>0.24264062345003826</v>
      </c>
      <c r="F1536" s="838"/>
      <c r="G1536" s="878"/>
      <c r="H1536" s="878"/>
      <c r="I1536" s="878"/>
      <c r="J1536" s="1818"/>
      <c r="K1536" s="1818"/>
      <c r="L1536" s="1310"/>
      <c r="M1536" s="1312"/>
      <c r="N1536" s="535"/>
      <c r="P1536" s="500"/>
    </row>
    <row r="1537" spans="1:16" s="4099" customFormat="1" ht="14.25" customHeight="1" x14ac:dyDescent="0.25">
      <c r="A1537" s="4101"/>
      <c r="B1537" s="1242"/>
      <c r="C1537" s="3860" t="s">
        <v>3332</v>
      </c>
      <c r="D1537" s="666">
        <v>300000000</v>
      </c>
      <c r="E1537" s="1162">
        <f>D1537/D1371*100</f>
        <v>0.18198046758752867</v>
      </c>
      <c r="F1537" s="838"/>
      <c r="G1537" s="878"/>
      <c r="H1537" s="878"/>
      <c r="I1537" s="878"/>
      <c r="J1537" s="1818"/>
      <c r="K1537" s="878"/>
      <c r="L1537" s="878"/>
      <c r="M1537" s="878"/>
      <c r="N1537" s="535"/>
      <c r="P1537" s="500"/>
    </row>
    <row r="1538" spans="1:16" s="4099" customFormat="1" ht="14.25" customHeight="1" x14ac:dyDescent="0.25">
      <c r="A1538" s="4101"/>
      <c r="B1538" s="1242"/>
      <c r="C1538" s="3857"/>
      <c r="D1538" s="671"/>
      <c r="E1538" s="1051"/>
      <c r="F1538" s="840"/>
      <c r="G1538" s="887"/>
      <c r="H1538" s="2255"/>
      <c r="I1538" s="2339"/>
      <c r="J1538" s="2182"/>
      <c r="K1538" s="2182"/>
      <c r="L1538" s="2182"/>
      <c r="M1538" s="2182"/>
      <c r="N1538" s="535"/>
      <c r="P1538" s="500"/>
    </row>
    <row r="1539" spans="1:16" s="4099" customFormat="1" ht="14.25" customHeight="1" x14ac:dyDescent="0.25">
      <c r="A1539" s="4101"/>
      <c r="B1539" s="1305"/>
      <c r="C1539" s="3858" t="s">
        <v>3333</v>
      </c>
      <c r="D1539" s="669">
        <f>D1540</f>
        <v>450000000</v>
      </c>
      <c r="E1539" s="1050">
        <f>D1539/D1371*100</f>
        <v>0.27297070138129298</v>
      </c>
      <c r="F1539" s="832"/>
      <c r="G1539" s="832"/>
      <c r="H1539" s="1306"/>
      <c r="I1539" s="2298"/>
      <c r="J1539" s="1813"/>
      <c r="K1539" s="1813"/>
      <c r="L1539" s="1307"/>
      <c r="M1539" s="2356"/>
      <c r="N1539" s="535"/>
      <c r="P1539" s="500"/>
    </row>
    <row r="1540" spans="1:16" s="4099" customFormat="1" ht="17.25" customHeight="1" x14ac:dyDescent="0.25">
      <c r="A1540" s="4101"/>
      <c r="B1540" s="1242"/>
      <c r="C1540" s="3893" t="s">
        <v>3334</v>
      </c>
      <c r="D1540" s="667">
        <f>SUM(D1541:D1541)</f>
        <v>450000000</v>
      </c>
      <c r="E1540" s="1159">
        <f>D1540/D1371*100</f>
        <v>0.27297070138129298</v>
      </c>
      <c r="F1540" s="836"/>
      <c r="G1540" s="836"/>
      <c r="H1540" s="1308"/>
      <c r="I1540" s="2344"/>
      <c r="J1540" s="1816"/>
      <c r="K1540" s="1816"/>
      <c r="L1540" s="2176"/>
      <c r="M1540" s="1671"/>
      <c r="N1540" s="535"/>
      <c r="P1540" s="500"/>
    </row>
    <row r="1541" spans="1:16" s="4099" customFormat="1" ht="15.75" customHeight="1" x14ac:dyDescent="0.25">
      <c r="A1541" s="4101"/>
      <c r="B1541" s="1242"/>
      <c r="C1541" s="3860" t="s">
        <v>3335</v>
      </c>
      <c r="D1541" s="666">
        <v>450000000</v>
      </c>
      <c r="E1541" s="1162">
        <f>D1541/D1371*100</f>
        <v>0.27297070138129298</v>
      </c>
      <c r="F1541" s="838"/>
      <c r="G1541" s="878"/>
      <c r="H1541" s="1310"/>
      <c r="I1541" s="1109"/>
      <c r="J1541" s="1818"/>
      <c r="K1541" s="1312"/>
      <c r="L1541" s="1310"/>
      <c r="M1541" s="1717"/>
      <c r="N1541" s="535"/>
      <c r="P1541" s="500"/>
    </row>
    <row r="1542" spans="1:16" s="4099" customFormat="1" ht="14.25" customHeight="1" x14ac:dyDescent="0.25">
      <c r="A1542" s="4101"/>
      <c r="B1542" s="1242"/>
      <c r="C1542" s="3857"/>
      <c r="D1542" s="671"/>
      <c r="E1542" s="1051"/>
      <c r="F1542" s="840"/>
      <c r="G1542" s="887"/>
      <c r="H1542" s="2255"/>
      <c r="I1542" s="2339"/>
      <c r="J1542" s="2182"/>
      <c r="K1542" s="2182"/>
      <c r="L1542" s="2182"/>
      <c r="M1542" s="2182"/>
      <c r="N1542" s="535"/>
      <c r="P1542" s="500"/>
    </row>
    <row r="1543" spans="1:16" s="4099" customFormat="1" ht="14.25" customHeight="1" x14ac:dyDescent="0.25">
      <c r="A1543" s="4101"/>
      <c r="B1543" s="1305"/>
      <c r="C1543" s="3858" t="s">
        <v>3345</v>
      </c>
      <c r="D1543" s="669">
        <f>SUM(D1544+D1552)</f>
        <v>1250000000</v>
      </c>
      <c r="E1543" s="1050">
        <f>D1543/D1371*100</f>
        <v>0.75825194828136944</v>
      </c>
      <c r="F1543" s="832"/>
      <c r="G1543" s="888"/>
      <c r="H1543" s="888"/>
      <c r="I1543" s="888"/>
      <c r="J1543" s="1813"/>
      <c r="K1543" s="1813"/>
      <c r="L1543" s="1307"/>
      <c r="M1543" s="2066"/>
      <c r="N1543" s="553"/>
      <c r="P1543" s="500"/>
    </row>
    <row r="1544" spans="1:16" s="4099" customFormat="1" ht="14.25" customHeight="1" x14ac:dyDescent="0.25">
      <c r="A1544" s="4101"/>
      <c r="B1544" s="1242"/>
      <c r="C1544" s="3881" t="s">
        <v>3336</v>
      </c>
      <c r="D1544" s="889">
        <f>SUM(D1545:D1550)</f>
        <v>1000000000</v>
      </c>
      <c r="E1544" s="1159">
        <f>D1544/D1371*100</f>
        <v>0.60660155862509557</v>
      </c>
      <c r="F1544" s="854"/>
      <c r="G1544" s="960"/>
      <c r="H1544" s="960"/>
      <c r="I1544" s="960"/>
      <c r="J1544" s="1836"/>
      <c r="K1544" s="1836"/>
      <c r="L1544" s="2176"/>
      <c r="M1544" s="2363"/>
      <c r="N1544" s="553"/>
      <c r="P1544" s="500"/>
    </row>
    <row r="1545" spans="1:16" s="4099" customFormat="1" ht="14.25" customHeight="1" x14ac:dyDescent="0.25">
      <c r="A1545" s="4101"/>
      <c r="B1545" s="1242"/>
      <c r="C1545" s="3861" t="s">
        <v>3337</v>
      </c>
      <c r="D1545" s="868">
        <v>150000000</v>
      </c>
      <c r="E1545" s="1160">
        <f>D1545/D1371*100</f>
        <v>9.0990233793764336E-2</v>
      </c>
      <c r="F1545" s="835"/>
      <c r="G1545" s="882"/>
      <c r="H1545" s="882"/>
      <c r="I1545" s="882"/>
      <c r="J1545" s="2175"/>
      <c r="K1545" s="2175"/>
      <c r="L1545" s="2175"/>
      <c r="M1545" s="2175"/>
      <c r="N1545" s="535"/>
      <c r="P1545" s="500"/>
    </row>
    <row r="1546" spans="1:16" s="4099" customFormat="1" ht="14.25" customHeight="1" x14ac:dyDescent="0.25">
      <c r="A1546" s="4101"/>
      <c r="B1546" s="1242"/>
      <c r="C1546" s="3860" t="s">
        <v>3338</v>
      </c>
      <c r="D1546" s="666">
        <v>150000000</v>
      </c>
      <c r="E1546" s="1160">
        <f>D1546/D1371*100</f>
        <v>9.0990233793764336E-2</v>
      </c>
      <c r="F1546" s="838"/>
      <c r="G1546" s="878"/>
      <c r="H1546" s="878"/>
      <c r="I1546" s="878"/>
      <c r="J1546" s="1315"/>
      <c r="K1546" s="1315"/>
      <c r="L1546" s="1315"/>
      <c r="M1546" s="1315"/>
      <c r="N1546" s="535"/>
      <c r="P1546" s="500"/>
    </row>
    <row r="1547" spans="1:16" s="4099" customFormat="1" ht="14.25" customHeight="1" x14ac:dyDescent="0.25">
      <c r="A1547" s="4101"/>
      <c r="B1547" s="1242"/>
      <c r="C1547" s="3860" t="s">
        <v>3339</v>
      </c>
      <c r="D1547" s="666">
        <v>50000000</v>
      </c>
      <c r="E1547" s="1160">
        <f>D1547/D1371*100</f>
        <v>3.0330077931254782E-2</v>
      </c>
      <c r="F1547" s="838"/>
      <c r="G1547" s="878"/>
      <c r="H1547" s="878"/>
      <c r="I1547" s="878"/>
      <c r="J1547" s="1315"/>
      <c r="K1547" s="1315"/>
      <c r="L1547" s="1315"/>
      <c r="M1547" s="1315"/>
      <c r="N1547" s="535"/>
      <c r="P1547" s="500"/>
    </row>
    <row r="1548" spans="1:16" s="4099" customFormat="1" ht="14.25" customHeight="1" x14ac:dyDescent="0.25">
      <c r="A1548" s="4101"/>
      <c r="B1548" s="1242"/>
      <c r="C1548" s="3860" t="s">
        <v>3340</v>
      </c>
      <c r="D1548" s="666">
        <v>300000000</v>
      </c>
      <c r="E1548" s="1160">
        <f>D1548/D1371*100</f>
        <v>0.18198046758752867</v>
      </c>
      <c r="F1548" s="838"/>
      <c r="G1548" s="878"/>
      <c r="H1548" s="878"/>
      <c r="I1548" s="878"/>
      <c r="J1548" s="1315"/>
      <c r="K1548" s="1315"/>
      <c r="L1548" s="1315"/>
      <c r="M1548" s="1315"/>
      <c r="N1548" s="535"/>
      <c r="P1548" s="500"/>
    </row>
    <row r="1549" spans="1:16" s="4099" customFormat="1" ht="14.25" customHeight="1" x14ac:dyDescent="0.25">
      <c r="A1549" s="4101"/>
      <c r="B1549" s="1242"/>
      <c r="C1549" s="3860" t="s">
        <v>3341</v>
      </c>
      <c r="D1549" s="666">
        <v>200000000</v>
      </c>
      <c r="E1549" s="1160">
        <f>D1549/D1371*100</f>
        <v>0.12132031172501913</v>
      </c>
      <c r="F1549" s="838"/>
      <c r="G1549" s="878"/>
      <c r="H1549" s="878"/>
      <c r="I1549" s="878"/>
      <c r="J1549" s="1315"/>
      <c r="K1549" s="1315"/>
      <c r="L1549" s="1315"/>
      <c r="M1549" s="1315"/>
      <c r="N1549" s="535"/>
      <c r="P1549" s="500"/>
    </row>
    <row r="1550" spans="1:16" s="4099" customFormat="1" ht="14.25" customHeight="1" x14ac:dyDescent="0.25">
      <c r="A1550" s="4101"/>
      <c r="B1550" s="1242"/>
      <c r="C1550" s="3860" t="s">
        <v>3342</v>
      </c>
      <c r="D1550" s="666">
        <v>150000000</v>
      </c>
      <c r="E1550" s="1160">
        <f>D1550/D1371*100</f>
        <v>9.0990233793764336E-2</v>
      </c>
      <c r="F1550" s="838"/>
      <c r="G1550" s="878"/>
      <c r="H1550" s="878"/>
      <c r="I1550" s="878"/>
      <c r="J1550" s="1315"/>
      <c r="K1550" s="1315"/>
      <c r="L1550" s="1315"/>
      <c r="M1550" s="1315"/>
      <c r="N1550" s="535"/>
      <c r="P1550" s="500"/>
    </row>
    <row r="1551" spans="1:16" s="4099" customFormat="1" ht="10.5" customHeight="1" x14ac:dyDescent="0.25">
      <c r="A1551" s="4101"/>
      <c r="B1551" s="1242"/>
      <c r="C1551" s="3890"/>
      <c r="D1551" s="666"/>
      <c r="E1551" s="1052"/>
      <c r="F1551" s="838"/>
      <c r="G1551" s="878"/>
      <c r="H1551" s="878"/>
      <c r="I1551" s="878"/>
      <c r="J1551" s="1315"/>
      <c r="K1551" s="1315"/>
      <c r="L1551" s="1315"/>
      <c r="M1551" s="1315"/>
      <c r="N1551" s="535"/>
      <c r="P1551" s="500"/>
    </row>
    <row r="1552" spans="1:16" s="4099" customFormat="1" ht="14.25" customHeight="1" x14ac:dyDescent="0.25">
      <c r="A1552" s="4101"/>
      <c r="B1552" s="1242"/>
      <c r="C1552" s="3882" t="s">
        <v>3343</v>
      </c>
      <c r="D1552" s="673">
        <f>D1553</f>
        <v>250000000</v>
      </c>
      <c r="E1552" s="1159">
        <f>D1552/D1371*100</f>
        <v>0.15165038965627389</v>
      </c>
      <c r="F1552" s="838"/>
      <c r="G1552" s="878"/>
      <c r="H1552" s="878"/>
      <c r="I1552" s="878"/>
      <c r="J1552" s="1315"/>
      <c r="K1552" s="1315"/>
      <c r="L1552" s="1315"/>
      <c r="M1552" s="1315"/>
      <c r="N1552" s="535"/>
      <c r="P1552" s="500"/>
    </row>
    <row r="1553" spans="1:16" s="4099" customFormat="1" ht="14.25" customHeight="1" x14ac:dyDescent="0.25">
      <c r="A1553" s="4101"/>
      <c r="B1553" s="1242"/>
      <c r="C1553" s="3860" t="s">
        <v>3344</v>
      </c>
      <c r="D1553" s="666">
        <v>250000000</v>
      </c>
      <c r="E1553" s="1160">
        <f>D1553/D1371*100</f>
        <v>0.15165038965627389</v>
      </c>
      <c r="F1553" s="838"/>
      <c r="G1553" s="878"/>
      <c r="H1553" s="878"/>
      <c r="I1553" s="878"/>
      <c r="J1553" s="1315"/>
      <c r="K1553" s="1315"/>
      <c r="L1553" s="1315"/>
      <c r="M1553" s="1315"/>
      <c r="N1553" s="535"/>
      <c r="P1553" s="500"/>
    </row>
    <row r="1554" spans="1:16" s="4099" customFormat="1" ht="14.25" customHeight="1" x14ac:dyDescent="0.25">
      <c r="A1554" s="4101"/>
      <c r="B1554" s="1242"/>
      <c r="C1554" s="3857"/>
      <c r="D1554" s="671"/>
      <c r="E1554" s="1051"/>
      <c r="F1554" s="840"/>
      <c r="G1554" s="887"/>
      <c r="H1554" s="887"/>
      <c r="I1554" s="887"/>
      <c r="J1554" s="2182"/>
      <c r="K1554" s="2182"/>
      <c r="L1554" s="2182"/>
      <c r="M1554" s="2182"/>
      <c r="N1554" s="535"/>
      <c r="P1554" s="500"/>
    </row>
    <row r="1555" spans="1:16" s="4099" customFormat="1" ht="14.25" customHeight="1" x14ac:dyDescent="0.25">
      <c r="A1555" s="4101"/>
      <c r="B1555" s="1305"/>
      <c r="C1555" s="3858" t="s">
        <v>3346</v>
      </c>
      <c r="D1555" s="669">
        <f>SUM(D1556+D1559)</f>
        <v>1600000000</v>
      </c>
      <c r="E1555" s="1050">
        <f>D1555/D1371*100</f>
        <v>0.97056249380015303</v>
      </c>
      <c r="F1555" s="832"/>
      <c r="G1555" s="888"/>
      <c r="H1555" s="888"/>
      <c r="I1555" s="888"/>
      <c r="J1555" s="1813"/>
      <c r="K1555" s="1813"/>
      <c r="L1555" s="1307"/>
      <c r="M1555" s="2066"/>
      <c r="N1555" s="553"/>
      <c r="P1555" s="500"/>
    </row>
    <row r="1556" spans="1:16" s="4099" customFormat="1" ht="14.25" customHeight="1" x14ac:dyDescent="0.25">
      <c r="A1556" s="4101"/>
      <c r="B1556" s="1242"/>
      <c r="C1556" s="3881" t="s">
        <v>3347</v>
      </c>
      <c r="D1556" s="889">
        <f>D1557</f>
        <v>1200000000</v>
      </c>
      <c r="E1556" s="1159">
        <f>D1556/D1371*100</f>
        <v>0.72792187035011469</v>
      </c>
      <c r="F1556" s="854"/>
      <c r="G1556" s="960"/>
      <c r="H1556" s="960"/>
      <c r="I1556" s="960"/>
      <c r="J1556" s="1836"/>
      <c r="K1556" s="1836"/>
      <c r="L1556" s="2176"/>
      <c r="M1556" s="2363"/>
      <c r="N1556" s="553"/>
      <c r="P1556" s="500"/>
    </row>
    <row r="1557" spans="1:16" s="4099" customFormat="1" ht="14.25" customHeight="1" x14ac:dyDescent="0.25">
      <c r="A1557" s="4101"/>
      <c r="B1557" s="2910"/>
      <c r="C1557" s="3860" t="s">
        <v>3348</v>
      </c>
      <c r="D1557" s="666">
        <v>1200000000</v>
      </c>
      <c r="E1557" s="1162">
        <f>D1557/D1371*100</f>
        <v>0.72792187035011469</v>
      </c>
      <c r="F1557" s="838"/>
      <c r="G1557" s="878"/>
      <c r="H1557" s="878"/>
      <c r="I1557" s="878"/>
      <c r="J1557" s="1818"/>
      <c r="K1557" s="1818"/>
      <c r="L1557" s="1310"/>
      <c r="M1557" s="2230"/>
      <c r="N1557" s="354"/>
      <c r="P1557" s="500"/>
    </row>
    <row r="1558" spans="1:16" s="4099" customFormat="1" ht="9.75" customHeight="1" x14ac:dyDescent="0.25">
      <c r="A1558" s="4101"/>
      <c r="B1558" s="2910"/>
      <c r="C1558" s="3861"/>
      <c r="D1558" s="868"/>
      <c r="E1558" s="1053"/>
      <c r="F1558" s="835"/>
      <c r="G1558" s="882"/>
      <c r="H1558" s="882"/>
      <c r="I1558" s="882"/>
      <c r="J1558" s="3386"/>
      <c r="K1558" s="3386"/>
      <c r="L1558" s="1310"/>
      <c r="M1558" s="2230"/>
      <c r="N1558" s="354"/>
      <c r="P1558" s="500"/>
    </row>
    <row r="1559" spans="1:16" s="4099" customFormat="1" ht="14.25" customHeight="1" x14ac:dyDescent="0.25">
      <c r="A1559" s="4101"/>
      <c r="B1559" s="1242"/>
      <c r="C1559" s="3882" t="s">
        <v>3349</v>
      </c>
      <c r="D1559" s="673">
        <f>D1560</f>
        <v>400000000</v>
      </c>
      <c r="E1559" s="1052">
        <f>D1559/D1371*100</f>
        <v>0.24264062345003826</v>
      </c>
      <c r="F1559" s="838"/>
      <c r="G1559" s="878"/>
      <c r="H1559" s="878"/>
      <c r="I1559" s="878"/>
      <c r="J1559" s="1315"/>
      <c r="K1559" s="1315"/>
      <c r="L1559" s="1315"/>
      <c r="M1559" s="1315"/>
      <c r="N1559" s="535"/>
      <c r="P1559" s="500"/>
    </row>
    <row r="1560" spans="1:16" s="4099" customFormat="1" ht="14.25" customHeight="1" x14ac:dyDescent="0.25">
      <c r="A1560" s="4101"/>
      <c r="B1560" s="1242"/>
      <c r="C1560" s="3860" t="s">
        <v>3350</v>
      </c>
      <c r="D1560" s="666">
        <v>400000000</v>
      </c>
      <c r="E1560" s="1162">
        <f>D1560/D1371*100</f>
        <v>0.24264062345003826</v>
      </c>
      <c r="F1560" s="838"/>
      <c r="G1560" s="878"/>
      <c r="H1560" s="878"/>
      <c r="I1560" s="878"/>
      <c r="J1560" s="1315"/>
      <c r="K1560" s="1315"/>
      <c r="L1560" s="1315"/>
      <c r="M1560" s="1315"/>
      <c r="N1560" s="535"/>
      <c r="P1560" s="500"/>
    </row>
    <row r="1561" spans="1:16" s="4099" customFormat="1" ht="14.25" customHeight="1" x14ac:dyDescent="0.25">
      <c r="A1561" s="4101"/>
      <c r="B1561" s="1242"/>
      <c r="C1561" s="3857"/>
      <c r="D1561" s="671"/>
      <c r="E1561" s="1051"/>
      <c r="F1561" s="840"/>
      <c r="G1561" s="887"/>
      <c r="H1561" s="887"/>
      <c r="I1561" s="887"/>
      <c r="J1561" s="2182"/>
      <c r="K1561" s="2182"/>
      <c r="L1561" s="2182"/>
      <c r="M1561" s="2182"/>
      <c r="N1561" s="535"/>
      <c r="P1561" s="500"/>
    </row>
    <row r="1562" spans="1:16" s="4099" customFormat="1" ht="14.25" customHeight="1" x14ac:dyDescent="0.25">
      <c r="A1562" s="4101"/>
      <c r="B1562" s="1305"/>
      <c r="C1562" s="3858" t="s">
        <v>3351</v>
      </c>
      <c r="D1562" s="669">
        <f>D1563</f>
        <v>850000000</v>
      </c>
      <c r="E1562" s="1050">
        <f>D1562/D1371*100</f>
        <v>0.51561132483133121</v>
      </c>
      <c r="F1562" s="832"/>
      <c r="G1562" s="888"/>
      <c r="H1562" s="888"/>
      <c r="I1562" s="888"/>
      <c r="J1562" s="1813"/>
      <c r="K1562" s="1813"/>
      <c r="L1562" s="1307"/>
      <c r="M1562" s="2066"/>
      <c r="N1562" s="553"/>
      <c r="P1562" s="500"/>
    </row>
    <row r="1563" spans="1:16" s="4099" customFormat="1" ht="14.25" customHeight="1" x14ac:dyDescent="0.25">
      <c r="A1563" s="4101"/>
      <c r="B1563" s="1242"/>
      <c r="C1563" s="3881" t="s">
        <v>3352</v>
      </c>
      <c r="D1563" s="889">
        <f>SUM(D1564:D1566)</f>
        <v>850000000</v>
      </c>
      <c r="E1563" s="1159">
        <f>D1563/D1371*100</f>
        <v>0.51561132483133121</v>
      </c>
      <c r="F1563" s="854"/>
      <c r="G1563" s="960"/>
      <c r="H1563" s="960"/>
      <c r="I1563" s="960"/>
      <c r="J1563" s="1836"/>
      <c r="K1563" s="1836"/>
      <c r="L1563" s="2176"/>
      <c r="M1563" s="2363"/>
      <c r="N1563" s="553"/>
      <c r="P1563" s="500"/>
    </row>
    <row r="1564" spans="1:16" s="4099" customFormat="1" ht="14.25" customHeight="1" x14ac:dyDescent="0.25">
      <c r="A1564" s="4101"/>
      <c r="B1564" s="2910"/>
      <c r="C1564" s="3860" t="s">
        <v>3353</v>
      </c>
      <c r="D1564" s="666">
        <v>400000000</v>
      </c>
      <c r="E1564" s="1162">
        <f>D1564/D1371*100</f>
        <v>0.24264062345003826</v>
      </c>
      <c r="F1564" s="838"/>
      <c r="G1564" s="878"/>
      <c r="H1564" s="878"/>
      <c r="I1564" s="878"/>
      <c r="J1564" s="1818"/>
      <c r="K1564" s="1818"/>
      <c r="L1564" s="1310"/>
      <c r="M1564" s="2230"/>
      <c r="N1564" s="354"/>
      <c r="P1564" s="500"/>
    </row>
    <row r="1565" spans="1:16" s="4099" customFormat="1" ht="14.25" customHeight="1" x14ac:dyDescent="0.25">
      <c r="A1565" s="4101"/>
      <c r="B1565" s="2910"/>
      <c r="C1565" s="3861" t="s">
        <v>3354</v>
      </c>
      <c r="D1565" s="868">
        <v>250000000</v>
      </c>
      <c r="E1565" s="1162">
        <f>D1565/D1371*100</f>
        <v>0.15165038965627389</v>
      </c>
      <c r="F1565" s="835"/>
      <c r="G1565" s="882"/>
      <c r="H1565" s="882"/>
      <c r="I1565" s="882"/>
      <c r="J1565" s="3386"/>
      <c r="K1565" s="3386"/>
      <c r="L1565" s="1310"/>
      <c r="M1565" s="2230"/>
      <c r="N1565" s="354"/>
      <c r="P1565" s="500"/>
    </row>
    <row r="1566" spans="1:16" s="4099" customFormat="1" ht="14.25" customHeight="1" x14ac:dyDescent="0.25">
      <c r="A1566" s="4101"/>
      <c r="B1566" s="2910"/>
      <c r="C1566" s="3861" t="s">
        <v>3355</v>
      </c>
      <c r="D1566" s="868">
        <v>200000000</v>
      </c>
      <c r="E1566" s="1162">
        <f>D1566/D1371*100</f>
        <v>0.12132031172501913</v>
      </c>
      <c r="F1566" s="835"/>
      <c r="G1566" s="882"/>
      <c r="H1566" s="882"/>
      <c r="I1566" s="882"/>
      <c r="J1566" s="3386"/>
      <c r="K1566" s="3386"/>
      <c r="L1566" s="1310"/>
      <c r="M1566" s="2230"/>
      <c r="N1566" s="354"/>
      <c r="P1566" s="500"/>
    </row>
    <row r="1567" spans="1:16" s="4099" customFormat="1" ht="14.25" customHeight="1" x14ac:dyDescent="0.25">
      <c r="A1567" s="4101"/>
      <c r="B1567" s="1242"/>
      <c r="C1567" s="3848"/>
      <c r="D1567" s="868"/>
      <c r="E1567" s="1047"/>
      <c r="F1567" s="835"/>
      <c r="G1567" s="882"/>
      <c r="H1567" s="882"/>
      <c r="I1567" s="882"/>
      <c r="J1567" s="1311"/>
      <c r="K1567" s="1311"/>
      <c r="L1567" s="1311"/>
      <c r="M1567" s="1311"/>
      <c r="N1567" s="535"/>
      <c r="P1567" s="500"/>
    </row>
    <row r="1568" spans="1:16" s="4099" customFormat="1" ht="14.25" customHeight="1" x14ac:dyDescent="0.25">
      <c r="A1568" s="4101"/>
      <c r="B1568" s="1305"/>
      <c r="C1568" s="3858" t="s">
        <v>3356</v>
      </c>
      <c r="D1568" s="669">
        <f>D1569</f>
        <v>300000000</v>
      </c>
      <c r="E1568" s="1050">
        <f>D1568/D1371*100</f>
        <v>0.18198046758752867</v>
      </c>
      <c r="F1568" s="832"/>
      <c r="G1568" s="888"/>
      <c r="H1568" s="888"/>
      <c r="I1568" s="888"/>
      <c r="J1568" s="1813"/>
      <c r="K1568" s="1813"/>
      <c r="L1568" s="1307"/>
      <c r="M1568" s="2066"/>
      <c r="N1568" s="553"/>
      <c r="P1568" s="500"/>
    </row>
    <row r="1569" spans="1:16" s="4099" customFormat="1" ht="14.25" customHeight="1" x14ac:dyDescent="0.25">
      <c r="A1569" s="4101"/>
      <c r="B1569" s="1242"/>
      <c r="C1569" s="3881" t="s">
        <v>3357</v>
      </c>
      <c r="D1569" s="889">
        <f>D1570</f>
        <v>300000000</v>
      </c>
      <c r="E1569" s="1159">
        <f>D1569/D1371*100</f>
        <v>0.18198046758752867</v>
      </c>
      <c r="F1569" s="854"/>
      <c r="G1569" s="960"/>
      <c r="H1569" s="960"/>
      <c r="I1569" s="960"/>
      <c r="J1569" s="1836"/>
      <c r="K1569" s="1836"/>
      <c r="L1569" s="2176"/>
      <c r="M1569" s="2363"/>
      <c r="N1569" s="553"/>
      <c r="P1569" s="500"/>
    </row>
    <row r="1570" spans="1:16" s="4099" customFormat="1" ht="14.25" customHeight="1" x14ac:dyDescent="0.25">
      <c r="A1570" s="4101"/>
      <c r="B1570" s="2910"/>
      <c r="C1570" s="3860" t="s">
        <v>3358</v>
      </c>
      <c r="D1570" s="666">
        <v>300000000</v>
      </c>
      <c r="E1570" s="1162">
        <f>D1570/D1371*100</f>
        <v>0.18198046758752867</v>
      </c>
      <c r="F1570" s="838"/>
      <c r="G1570" s="878"/>
      <c r="H1570" s="878"/>
      <c r="I1570" s="878"/>
      <c r="J1570" s="1818"/>
      <c r="K1570" s="1818"/>
      <c r="L1570" s="1310"/>
      <c r="M1570" s="2230"/>
      <c r="N1570" s="354"/>
      <c r="P1570" s="500"/>
    </row>
    <row r="1571" spans="1:16" s="4099" customFormat="1" ht="14.25" customHeight="1" x14ac:dyDescent="0.25">
      <c r="A1571" s="4101"/>
      <c r="B1571" s="1242"/>
      <c r="C1571" s="3848"/>
      <c r="D1571" s="868"/>
      <c r="E1571" s="1047"/>
      <c r="F1571" s="835"/>
      <c r="G1571" s="882"/>
      <c r="H1571" s="882"/>
      <c r="I1571" s="882"/>
      <c r="J1571" s="1311"/>
      <c r="K1571" s="1311"/>
      <c r="L1571" s="1311"/>
      <c r="M1571" s="1311"/>
      <c r="N1571" s="535"/>
      <c r="P1571" s="500"/>
    </row>
    <row r="1572" spans="1:16" s="4099" customFormat="1" ht="14.25" customHeight="1" x14ac:dyDescent="0.25">
      <c r="A1572" s="4101"/>
      <c r="B1572" s="1305"/>
      <c r="C1572" s="3858" t="s">
        <v>3359</v>
      </c>
      <c r="D1572" s="669">
        <f>SUM(D1573+D1577)</f>
        <v>1284000000</v>
      </c>
      <c r="E1572" s="1050">
        <f>D1572/D1371*100</f>
        <v>0.77887640127462276</v>
      </c>
      <c r="F1572" s="832"/>
      <c r="G1572" s="888"/>
      <c r="H1572" s="888"/>
      <c r="I1572" s="888"/>
      <c r="J1572" s="832"/>
      <c r="K1572" s="888"/>
      <c r="L1572" s="888"/>
      <c r="M1572" s="888"/>
      <c r="N1572" s="553"/>
      <c r="P1572" s="500"/>
    </row>
    <row r="1573" spans="1:16" s="4099" customFormat="1" ht="15.75" customHeight="1" x14ac:dyDescent="0.25">
      <c r="A1573" s="4101"/>
      <c r="B1573" s="1242"/>
      <c r="C1573" s="3881" t="s">
        <v>3360</v>
      </c>
      <c r="D1573" s="889">
        <f>SUM(D1574:D1575)</f>
        <v>655980000</v>
      </c>
      <c r="E1573" s="1159">
        <f>D1573/D1371*100</f>
        <v>0.3979184904268902</v>
      </c>
      <c r="F1573" s="854"/>
      <c r="G1573" s="960"/>
      <c r="H1573" s="960"/>
      <c r="I1573" s="960"/>
      <c r="J1573" s="854"/>
      <c r="K1573" s="960"/>
      <c r="L1573" s="960"/>
      <c r="M1573" s="960"/>
      <c r="N1573" s="553"/>
      <c r="P1573" s="500"/>
    </row>
    <row r="1574" spans="1:16" s="4099" customFormat="1" ht="16.5" customHeight="1" x14ac:dyDescent="0.25">
      <c r="A1574" s="4101"/>
      <c r="B1574" s="2910"/>
      <c r="C1574" s="3860" t="s">
        <v>3361</v>
      </c>
      <c r="D1574" s="666">
        <v>400000000</v>
      </c>
      <c r="E1574" s="1162">
        <f>D1574/D1371*100</f>
        <v>0.24264062345003826</v>
      </c>
      <c r="F1574" s="838"/>
      <c r="G1574" s="878"/>
      <c r="H1574" s="878"/>
      <c r="I1574" s="878"/>
      <c r="J1574" s="838"/>
      <c r="K1574" s="878"/>
      <c r="L1574" s="878"/>
      <c r="M1574" s="878"/>
      <c r="N1574" s="354"/>
      <c r="P1574" s="500"/>
    </row>
    <row r="1575" spans="1:16" s="4099" customFormat="1" ht="15" customHeight="1" x14ac:dyDescent="0.25">
      <c r="A1575" s="4101"/>
      <c r="B1575" s="1242"/>
      <c r="C1575" s="3861" t="s">
        <v>3362</v>
      </c>
      <c r="D1575" s="868">
        <v>255980000</v>
      </c>
      <c r="E1575" s="1162">
        <f>D1575/D1371*100</f>
        <v>0.15527786697685197</v>
      </c>
      <c r="F1575" s="835"/>
      <c r="G1575" s="882"/>
      <c r="H1575" s="882"/>
      <c r="I1575" s="882"/>
      <c r="J1575" s="2175"/>
      <c r="K1575" s="2175"/>
      <c r="L1575" s="2175"/>
      <c r="M1575" s="2175"/>
      <c r="N1575" s="535"/>
      <c r="P1575" s="500"/>
    </row>
    <row r="1576" spans="1:16" s="4099" customFormat="1" ht="14.25" customHeight="1" x14ac:dyDescent="0.25">
      <c r="A1576" s="4101"/>
      <c r="B1576" s="1242"/>
      <c r="C1576" s="3890"/>
      <c r="D1576" s="666"/>
      <c r="E1576" s="1052"/>
      <c r="F1576" s="838"/>
      <c r="G1576" s="878"/>
      <c r="H1576" s="878"/>
      <c r="I1576" s="878"/>
      <c r="J1576" s="1315"/>
      <c r="K1576" s="1315"/>
      <c r="L1576" s="1315"/>
      <c r="M1576" s="1315"/>
      <c r="N1576" s="535"/>
      <c r="P1576" s="500"/>
    </row>
    <row r="1577" spans="1:16" s="4099" customFormat="1" ht="14.25" customHeight="1" x14ac:dyDescent="0.25">
      <c r="A1577" s="4101"/>
      <c r="B1577" s="1242"/>
      <c r="C1577" s="3882" t="s">
        <v>3363</v>
      </c>
      <c r="D1577" s="673">
        <v>628020000</v>
      </c>
      <c r="E1577" s="1159">
        <f>D1577/D1371*100</f>
        <v>0.38095791084773251</v>
      </c>
      <c r="F1577" s="958"/>
      <c r="G1577" s="3390"/>
      <c r="H1577" s="3390"/>
      <c r="I1577" s="3390"/>
      <c r="J1577" s="2261"/>
      <c r="K1577" s="2261"/>
      <c r="L1577" s="2261"/>
      <c r="M1577" s="2261"/>
      <c r="N1577" s="553"/>
      <c r="P1577" s="500"/>
    </row>
    <row r="1578" spans="1:16" s="4099" customFormat="1" ht="14.25" customHeight="1" x14ac:dyDescent="0.25">
      <c r="A1578" s="4101"/>
      <c r="B1578" s="1242"/>
      <c r="C1578" s="3860" t="s">
        <v>3364</v>
      </c>
      <c r="D1578" s="666">
        <v>263740000</v>
      </c>
      <c r="E1578" s="1162">
        <f>D1578/D1371*100</f>
        <v>0.15998509507178271</v>
      </c>
      <c r="F1578" s="838"/>
      <c r="G1578" s="878"/>
      <c r="H1578" s="878"/>
      <c r="I1578" s="878"/>
      <c r="J1578" s="1315"/>
      <c r="K1578" s="1315"/>
      <c r="L1578" s="1315"/>
      <c r="M1578" s="1315"/>
      <c r="N1578" s="535"/>
      <c r="P1578" s="500"/>
    </row>
    <row r="1579" spans="1:16" s="4099" customFormat="1" ht="14.25" customHeight="1" x14ac:dyDescent="0.25">
      <c r="A1579" s="4101"/>
      <c r="B1579" s="1242"/>
      <c r="C1579" s="3860" t="s">
        <v>3365</v>
      </c>
      <c r="D1579" s="666">
        <v>150285000</v>
      </c>
      <c r="E1579" s="1162">
        <f>D1579/D1371*100</f>
        <v>9.1163115237972492E-2</v>
      </c>
      <c r="F1579" s="838"/>
      <c r="G1579" s="878"/>
      <c r="H1579" s="878"/>
      <c r="I1579" s="878"/>
      <c r="J1579" s="1315"/>
      <c r="K1579" s="1315"/>
      <c r="L1579" s="1315"/>
      <c r="M1579" s="1315"/>
      <c r="N1579" s="535"/>
      <c r="P1579" s="500"/>
    </row>
    <row r="1580" spans="1:16" s="4099" customFormat="1" ht="14.25" customHeight="1" x14ac:dyDescent="0.25">
      <c r="A1580" s="4101"/>
      <c r="B1580" s="1242"/>
      <c r="C1580" s="3860" t="s">
        <v>3366</v>
      </c>
      <c r="D1580" s="666">
        <v>213995000</v>
      </c>
      <c r="E1580" s="1162">
        <f>D1580/D1371*100</f>
        <v>0.12980970053797733</v>
      </c>
      <c r="F1580" s="838"/>
      <c r="G1580" s="878"/>
      <c r="H1580" s="878"/>
      <c r="I1580" s="878"/>
      <c r="J1580" s="1315"/>
      <c r="K1580" s="1315"/>
      <c r="L1580" s="1315"/>
      <c r="M1580" s="1315"/>
      <c r="N1580" s="535"/>
      <c r="P1580" s="500"/>
    </row>
    <row r="1581" spans="1:16" s="4099" customFormat="1" ht="14.25" customHeight="1" x14ac:dyDescent="0.25">
      <c r="A1581" s="4101"/>
      <c r="B1581" s="1242"/>
      <c r="C1581" s="3857"/>
      <c r="D1581" s="671"/>
      <c r="E1581" s="1051"/>
      <c r="F1581" s="840"/>
      <c r="G1581" s="887"/>
      <c r="H1581" s="887"/>
      <c r="I1581" s="887"/>
      <c r="J1581" s="2182"/>
      <c r="K1581" s="2182"/>
      <c r="L1581" s="2182"/>
      <c r="M1581" s="2182"/>
      <c r="N1581" s="535"/>
      <c r="P1581" s="500"/>
    </row>
    <row r="1582" spans="1:16" s="4099" customFormat="1" ht="14.25" customHeight="1" x14ac:dyDescent="0.25">
      <c r="A1582" s="4101"/>
      <c r="B1582" s="1305"/>
      <c r="C1582" s="3858" t="s">
        <v>3367</v>
      </c>
      <c r="D1582" s="669">
        <f>D1583</f>
        <v>1400000000</v>
      </c>
      <c r="E1582" s="1050">
        <f>D1582/D1371*100</f>
        <v>0.8492421820751338</v>
      </c>
      <c r="F1582" s="832"/>
      <c r="G1582" s="888"/>
      <c r="H1582" s="888"/>
      <c r="I1582" s="888"/>
      <c r="J1582" s="1813"/>
      <c r="K1582" s="1813"/>
      <c r="L1582" s="1307"/>
      <c r="M1582" s="2066"/>
      <c r="N1582" s="553"/>
      <c r="P1582" s="500"/>
    </row>
    <row r="1583" spans="1:16" s="4099" customFormat="1" ht="16.5" customHeight="1" x14ac:dyDescent="0.25">
      <c r="A1583" s="4101"/>
      <c r="B1583" s="1242"/>
      <c r="C1583" s="3881" t="s">
        <v>3368</v>
      </c>
      <c r="D1583" s="889">
        <f>SUM(D1584:D1587)</f>
        <v>1400000000</v>
      </c>
      <c r="E1583" s="1159">
        <f>D1583/D1371*100</f>
        <v>0.8492421820751338</v>
      </c>
      <c r="F1583" s="854"/>
      <c r="G1583" s="960"/>
      <c r="H1583" s="960"/>
      <c r="I1583" s="960"/>
      <c r="J1583" s="1836"/>
      <c r="K1583" s="1836"/>
      <c r="L1583" s="2176"/>
      <c r="M1583" s="2363"/>
      <c r="N1583" s="553"/>
      <c r="P1583" s="500"/>
    </row>
    <row r="1584" spans="1:16" s="4099" customFormat="1" ht="14.25" customHeight="1" x14ac:dyDescent="0.25">
      <c r="A1584" s="4101"/>
      <c r="B1584" s="2910"/>
      <c r="C1584" s="3860" t="s">
        <v>3369</v>
      </c>
      <c r="D1584" s="666">
        <v>400000000</v>
      </c>
      <c r="E1584" s="1162">
        <f>D1584/D1371*100</f>
        <v>0.24264062345003826</v>
      </c>
      <c r="F1584" s="838"/>
      <c r="G1584" s="878"/>
      <c r="H1584" s="878"/>
      <c r="I1584" s="878"/>
      <c r="J1584" s="1818"/>
      <c r="K1584" s="1818"/>
      <c r="L1584" s="1310"/>
      <c r="M1584" s="2230"/>
      <c r="N1584" s="354"/>
      <c r="P1584" s="500"/>
    </row>
    <row r="1585" spans="1:16" s="4099" customFormat="1" ht="14.25" customHeight="1" x14ac:dyDescent="0.25">
      <c r="A1585" s="4101"/>
      <c r="B1585" s="1242"/>
      <c r="C1585" s="3860" t="s">
        <v>3370</v>
      </c>
      <c r="D1585" s="666">
        <v>350000000</v>
      </c>
      <c r="E1585" s="1162">
        <f>D1585/D1371*100</f>
        <v>0.21231054551878345</v>
      </c>
      <c r="F1585" s="838"/>
      <c r="G1585" s="878"/>
      <c r="H1585" s="878"/>
      <c r="I1585" s="878"/>
      <c r="J1585" s="1315"/>
      <c r="K1585" s="1315"/>
      <c r="L1585" s="1315"/>
      <c r="M1585" s="1315"/>
      <c r="N1585" s="535"/>
      <c r="P1585" s="500"/>
    </row>
    <row r="1586" spans="1:16" s="4099" customFormat="1" ht="14.25" customHeight="1" x14ac:dyDescent="0.25">
      <c r="A1586" s="4101"/>
      <c r="B1586" s="1242"/>
      <c r="C1586" s="3860" t="s">
        <v>3371</v>
      </c>
      <c r="D1586" s="666">
        <v>350000000</v>
      </c>
      <c r="E1586" s="1162">
        <f>D1586/D1371*100</f>
        <v>0.21231054551878345</v>
      </c>
      <c r="F1586" s="838"/>
      <c r="G1586" s="878"/>
      <c r="H1586" s="878"/>
      <c r="I1586" s="878"/>
      <c r="J1586" s="1315"/>
      <c r="K1586" s="1315"/>
      <c r="L1586" s="1315"/>
      <c r="M1586" s="1315"/>
      <c r="N1586" s="535"/>
      <c r="P1586" s="500"/>
    </row>
    <row r="1587" spans="1:16" s="4099" customFormat="1" ht="14.25" customHeight="1" x14ac:dyDescent="0.25">
      <c r="A1587" s="4101"/>
      <c r="B1587" s="1242"/>
      <c r="C1587" s="3860" t="s">
        <v>3372</v>
      </c>
      <c r="D1587" s="666">
        <v>300000000</v>
      </c>
      <c r="E1587" s="1162">
        <f>D1587/D1371*100</f>
        <v>0.18198046758752867</v>
      </c>
      <c r="F1587" s="838"/>
      <c r="G1587" s="878"/>
      <c r="H1587" s="878"/>
      <c r="I1587" s="878"/>
      <c r="J1587" s="1315"/>
      <c r="K1587" s="1315"/>
      <c r="L1587" s="1315"/>
      <c r="M1587" s="1315"/>
      <c r="N1587" s="535"/>
      <c r="P1587" s="500"/>
    </row>
    <row r="1588" spans="1:16" s="4099" customFormat="1" ht="14.25" customHeight="1" x14ac:dyDescent="0.25">
      <c r="A1588" s="4101"/>
      <c r="B1588" s="1242"/>
      <c r="C1588" s="3892"/>
      <c r="D1588" s="671"/>
      <c r="E1588" s="1051"/>
      <c r="F1588" s="840"/>
      <c r="G1588" s="887"/>
      <c r="H1588" s="887"/>
      <c r="I1588" s="887"/>
      <c r="J1588" s="2182"/>
      <c r="K1588" s="2182"/>
      <c r="L1588" s="2182"/>
      <c r="M1588" s="2182"/>
      <c r="N1588" s="535"/>
      <c r="P1588" s="500"/>
    </row>
    <row r="1589" spans="1:16" s="4099" customFormat="1" ht="14.25" customHeight="1" x14ac:dyDescent="0.25">
      <c r="A1589" s="4101"/>
      <c r="B1589" s="1305"/>
      <c r="C1589" s="3858" t="s">
        <v>3373</v>
      </c>
      <c r="D1589" s="669">
        <f>D1590</f>
        <v>500000000</v>
      </c>
      <c r="E1589" s="1050">
        <f>D1589/D1371*100</f>
        <v>0.30330077931254779</v>
      </c>
      <c r="F1589" s="832"/>
      <c r="G1589" s="888"/>
      <c r="H1589" s="888"/>
      <c r="I1589" s="888"/>
      <c r="J1589" s="1813"/>
      <c r="K1589" s="1813"/>
      <c r="L1589" s="1307"/>
      <c r="M1589" s="2066"/>
      <c r="N1589" s="553"/>
      <c r="P1589" s="500"/>
    </row>
    <row r="1590" spans="1:16" s="4099" customFormat="1" ht="14.25" customHeight="1" x14ac:dyDescent="0.25">
      <c r="A1590" s="4101"/>
      <c r="B1590" s="1242"/>
      <c r="C1590" s="3881" t="s">
        <v>309</v>
      </c>
      <c r="D1590" s="889">
        <f>D1591</f>
        <v>500000000</v>
      </c>
      <c r="E1590" s="1159">
        <f>D1590/D1371*100</f>
        <v>0.30330077931254779</v>
      </c>
      <c r="F1590" s="854"/>
      <c r="G1590" s="960"/>
      <c r="H1590" s="960"/>
      <c r="I1590" s="960"/>
      <c r="J1590" s="1836"/>
      <c r="K1590" s="1836"/>
      <c r="L1590" s="2176"/>
      <c r="M1590" s="2363"/>
      <c r="N1590" s="553"/>
      <c r="P1590" s="500"/>
    </row>
    <row r="1591" spans="1:16" s="4099" customFormat="1" ht="14.25" customHeight="1" x14ac:dyDescent="0.25">
      <c r="A1591" s="4101"/>
      <c r="B1591" s="2910"/>
      <c r="C1591" s="3860" t="s">
        <v>1785</v>
      </c>
      <c r="D1591" s="666">
        <v>500000000</v>
      </c>
      <c r="E1591" s="1162">
        <f>D1591/D1371*100</f>
        <v>0.30330077931254779</v>
      </c>
      <c r="F1591" s="838"/>
      <c r="G1591" s="878"/>
      <c r="H1591" s="878"/>
      <c r="I1591" s="878"/>
      <c r="J1591" s="1818"/>
      <c r="K1591" s="1818"/>
      <c r="L1591" s="1310"/>
      <c r="M1591" s="2230"/>
      <c r="N1591" s="354"/>
      <c r="P1591" s="500"/>
    </row>
    <row r="1592" spans="1:16" s="4099" customFormat="1" ht="14.25" customHeight="1" x14ac:dyDescent="0.25">
      <c r="A1592" s="4101"/>
      <c r="B1592" s="1242"/>
      <c r="C1592" s="3848"/>
      <c r="D1592" s="868"/>
      <c r="E1592" s="1047"/>
      <c r="F1592" s="835"/>
      <c r="G1592" s="882"/>
      <c r="H1592" s="882"/>
      <c r="I1592" s="882"/>
      <c r="J1592" s="1311"/>
      <c r="K1592" s="1311"/>
      <c r="L1592" s="1311"/>
      <c r="M1592" s="1311"/>
      <c r="N1592" s="535"/>
      <c r="P1592" s="500"/>
    </row>
    <row r="1593" spans="1:16" s="4099" customFormat="1" ht="14.25" customHeight="1" x14ac:dyDescent="0.25">
      <c r="A1593" s="4101"/>
      <c r="B1593" s="1305"/>
      <c r="C1593" s="3858" t="s">
        <v>3374</v>
      </c>
      <c r="D1593" s="669">
        <f>D1594</f>
        <v>500000000</v>
      </c>
      <c r="E1593" s="1050">
        <f>D1593/D1371*100</f>
        <v>0.30330077931254779</v>
      </c>
      <c r="F1593" s="832"/>
      <c r="G1593" s="888"/>
      <c r="H1593" s="888"/>
      <c r="I1593" s="888"/>
      <c r="J1593" s="1813"/>
      <c r="K1593" s="1813"/>
      <c r="L1593" s="1307"/>
      <c r="M1593" s="2066"/>
      <c r="N1593" s="553"/>
      <c r="P1593" s="500"/>
    </row>
    <row r="1594" spans="1:16" s="4099" customFormat="1" ht="14.25" customHeight="1" x14ac:dyDescent="0.25">
      <c r="A1594" s="4101"/>
      <c r="B1594" s="1242"/>
      <c r="C1594" s="3881" t="s">
        <v>310</v>
      </c>
      <c r="D1594" s="889">
        <f>D1595</f>
        <v>500000000</v>
      </c>
      <c r="E1594" s="1159">
        <f>D1594/D1371*100</f>
        <v>0.30330077931254779</v>
      </c>
      <c r="F1594" s="854"/>
      <c r="G1594" s="960"/>
      <c r="H1594" s="960"/>
      <c r="I1594" s="960"/>
      <c r="J1594" s="1836"/>
      <c r="K1594" s="1836"/>
      <c r="L1594" s="2176"/>
      <c r="M1594" s="2363"/>
      <c r="N1594" s="553"/>
      <c r="P1594" s="500"/>
    </row>
    <row r="1595" spans="1:16" s="4099" customFormat="1" ht="14.25" customHeight="1" x14ac:dyDescent="0.25">
      <c r="A1595" s="4101"/>
      <c r="B1595" s="2910"/>
      <c r="C1595" s="3860" t="s">
        <v>311</v>
      </c>
      <c r="D1595" s="666">
        <v>500000000</v>
      </c>
      <c r="E1595" s="1162">
        <f>D1595/D1371*100</f>
        <v>0.30330077931254779</v>
      </c>
      <c r="F1595" s="838"/>
      <c r="G1595" s="878"/>
      <c r="H1595" s="878"/>
      <c r="I1595" s="878"/>
      <c r="J1595" s="1818"/>
      <c r="K1595" s="1818"/>
      <c r="L1595" s="1310"/>
      <c r="M1595" s="2230"/>
      <c r="N1595" s="354"/>
      <c r="P1595" s="500"/>
    </row>
    <row r="1596" spans="1:16" s="4099" customFormat="1" ht="14.25" customHeight="1" x14ac:dyDescent="0.25">
      <c r="A1596" s="4101"/>
      <c r="B1596" s="1242"/>
      <c r="C1596" s="3848"/>
      <c r="D1596" s="868"/>
      <c r="E1596" s="1047"/>
      <c r="F1596" s="835"/>
      <c r="G1596" s="882"/>
      <c r="H1596" s="882"/>
      <c r="I1596" s="882"/>
      <c r="J1596" s="1311"/>
      <c r="K1596" s="1311"/>
      <c r="L1596" s="1311"/>
      <c r="M1596" s="1311"/>
      <c r="N1596" s="535"/>
      <c r="P1596" s="500"/>
    </row>
    <row r="1597" spans="1:16" s="4099" customFormat="1" ht="14.25" customHeight="1" x14ac:dyDescent="0.25">
      <c r="A1597" s="4101"/>
      <c r="B1597" s="1305"/>
      <c r="C1597" s="3858" t="s">
        <v>3375</v>
      </c>
      <c r="D1597" s="669">
        <f>D1598</f>
        <v>500000000</v>
      </c>
      <c r="E1597" s="1050">
        <f>D1597/D1371*100</f>
        <v>0.30330077931254779</v>
      </c>
      <c r="F1597" s="832"/>
      <c r="G1597" s="888"/>
      <c r="H1597" s="888"/>
      <c r="I1597" s="888"/>
      <c r="J1597" s="1813"/>
      <c r="K1597" s="1813"/>
      <c r="L1597" s="1307"/>
      <c r="M1597" s="2066"/>
      <c r="N1597" s="553"/>
      <c r="P1597" s="500"/>
    </row>
    <row r="1598" spans="1:16" s="4099" customFormat="1" ht="14.25" customHeight="1" x14ac:dyDescent="0.25">
      <c r="A1598" s="4101"/>
      <c r="B1598" s="1242"/>
      <c r="C1598" s="3881" t="s">
        <v>1788</v>
      </c>
      <c r="D1598" s="889">
        <f>D1599</f>
        <v>500000000</v>
      </c>
      <c r="E1598" s="1159">
        <f>D1598/D1371*100</f>
        <v>0.30330077931254779</v>
      </c>
      <c r="F1598" s="854"/>
      <c r="G1598" s="960"/>
      <c r="H1598" s="960"/>
      <c r="I1598" s="960"/>
      <c r="J1598" s="1836"/>
      <c r="K1598" s="1836"/>
      <c r="L1598" s="2176"/>
      <c r="M1598" s="2363"/>
      <c r="N1598" s="553"/>
      <c r="P1598" s="500"/>
    </row>
    <row r="1599" spans="1:16" s="4099" customFormat="1" ht="14.25" customHeight="1" x14ac:dyDescent="0.25">
      <c r="A1599" s="4101"/>
      <c r="B1599" s="2910"/>
      <c r="C1599" s="3860" t="s">
        <v>1789</v>
      </c>
      <c r="D1599" s="666">
        <v>500000000</v>
      </c>
      <c r="E1599" s="1162">
        <f>D1599/D1371*100</f>
        <v>0.30330077931254779</v>
      </c>
      <c r="F1599" s="838"/>
      <c r="G1599" s="878"/>
      <c r="H1599" s="878"/>
      <c r="I1599" s="878"/>
      <c r="J1599" s="1818"/>
      <c r="K1599" s="1818"/>
      <c r="L1599" s="1310"/>
      <c r="M1599" s="2230"/>
      <c r="N1599" s="354"/>
      <c r="P1599" s="500"/>
    </row>
    <row r="1600" spans="1:16" s="4099" customFormat="1" ht="14.25" customHeight="1" x14ac:dyDescent="0.25">
      <c r="A1600" s="4101"/>
      <c r="B1600" s="1242"/>
      <c r="C1600" s="3848"/>
      <c r="D1600" s="868"/>
      <c r="E1600" s="1047"/>
      <c r="F1600" s="835"/>
      <c r="G1600" s="882"/>
      <c r="H1600" s="882"/>
      <c r="I1600" s="882"/>
      <c r="J1600" s="1311"/>
      <c r="K1600" s="1311"/>
      <c r="L1600" s="1311"/>
      <c r="M1600" s="1311"/>
      <c r="N1600" s="535"/>
      <c r="P1600" s="500"/>
    </row>
    <row r="1601" spans="1:16" s="4099" customFormat="1" ht="14.25" customHeight="1" x14ac:dyDescent="0.25">
      <c r="A1601" s="4101"/>
      <c r="B1601" s="1305"/>
      <c r="C1601" s="3858" t="s">
        <v>3376</v>
      </c>
      <c r="D1601" s="669">
        <f>D1602</f>
        <v>500000000</v>
      </c>
      <c r="E1601" s="1050">
        <f>D1601/D1371*100</f>
        <v>0.30330077931254779</v>
      </c>
      <c r="F1601" s="832"/>
      <c r="G1601" s="888"/>
      <c r="H1601" s="888"/>
      <c r="I1601" s="888"/>
      <c r="J1601" s="1813"/>
      <c r="K1601" s="1813"/>
      <c r="L1601" s="1307"/>
      <c r="M1601" s="2066"/>
      <c r="N1601" s="553"/>
      <c r="P1601" s="500"/>
    </row>
    <row r="1602" spans="1:16" s="4099" customFormat="1" ht="14.25" customHeight="1" x14ac:dyDescent="0.25">
      <c r="A1602" s="4101"/>
      <c r="B1602" s="1242"/>
      <c r="C1602" s="3881" t="s">
        <v>341</v>
      </c>
      <c r="D1602" s="889">
        <f>D1603</f>
        <v>500000000</v>
      </c>
      <c r="E1602" s="1159">
        <f>D1602/D1371*100</f>
        <v>0.30330077931254779</v>
      </c>
      <c r="F1602" s="854"/>
      <c r="G1602" s="960"/>
      <c r="H1602" s="960"/>
      <c r="I1602" s="960"/>
      <c r="J1602" s="1836"/>
      <c r="K1602" s="1836"/>
      <c r="L1602" s="2176"/>
      <c r="M1602" s="2363"/>
      <c r="N1602" s="553"/>
      <c r="P1602" s="500"/>
    </row>
    <row r="1603" spans="1:16" s="4099" customFormat="1" ht="14.25" customHeight="1" x14ac:dyDescent="0.25">
      <c r="A1603" s="4101"/>
      <c r="B1603" s="2910"/>
      <c r="C1603" s="3860" t="s">
        <v>1791</v>
      </c>
      <c r="D1603" s="666">
        <v>500000000</v>
      </c>
      <c r="E1603" s="1162">
        <f>D1603/D1371*100</f>
        <v>0.30330077931254779</v>
      </c>
      <c r="F1603" s="838"/>
      <c r="G1603" s="878"/>
      <c r="H1603" s="878"/>
      <c r="I1603" s="878"/>
      <c r="J1603" s="1818"/>
      <c r="K1603" s="1818"/>
      <c r="L1603" s="1310"/>
      <c r="M1603" s="2230"/>
      <c r="N1603" s="354"/>
      <c r="P1603" s="500"/>
    </row>
    <row r="1604" spans="1:16" s="4099" customFormat="1" ht="14.25" customHeight="1" x14ac:dyDescent="0.25">
      <c r="A1604" s="4101"/>
      <c r="B1604" s="1242"/>
      <c r="C1604" s="3848"/>
      <c r="D1604" s="868"/>
      <c r="E1604" s="1047"/>
      <c r="F1604" s="835"/>
      <c r="G1604" s="882"/>
      <c r="H1604" s="882"/>
      <c r="I1604" s="882"/>
      <c r="J1604" s="1311"/>
      <c r="K1604" s="1311"/>
      <c r="L1604" s="1311"/>
      <c r="M1604" s="1311"/>
      <c r="N1604" s="535"/>
      <c r="P1604" s="500"/>
    </row>
    <row r="1605" spans="1:16" s="4099" customFormat="1" ht="14.25" customHeight="1" x14ac:dyDescent="0.25">
      <c r="A1605" s="4101"/>
      <c r="B1605" s="1305"/>
      <c r="C1605" s="3858" t="s">
        <v>3377</v>
      </c>
      <c r="D1605" s="669">
        <f>D1606</f>
        <v>500000000</v>
      </c>
      <c r="E1605" s="1050">
        <f>D1605/D1371*100</f>
        <v>0.30330077931254779</v>
      </c>
      <c r="F1605" s="832"/>
      <c r="G1605" s="888"/>
      <c r="H1605" s="888"/>
      <c r="I1605" s="888"/>
      <c r="J1605" s="1813"/>
      <c r="K1605" s="1813"/>
      <c r="L1605" s="1307"/>
      <c r="M1605" s="2066"/>
      <c r="N1605" s="553"/>
      <c r="P1605" s="500"/>
    </row>
    <row r="1606" spans="1:16" s="4099" customFormat="1" ht="14.25" customHeight="1" x14ac:dyDescent="0.25">
      <c r="A1606" s="4101"/>
      <c r="B1606" s="1242"/>
      <c r="C1606" s="3881" t="s">
        <v>3378</v>
      </c>
      <c r="D1606" s="889">
        <f>D1607</f>
        <v>500000000</v>
      </c>
      <c r="E1606" s="1159">
        <f>D1606/D1371*100</f>
        <v>0.30330077931254779</v>
      </c>
      <c r="F1606" s="854"/>
      <c r="G1606" s="960"/>
      <c r="H1606" s="960"/>
      <c r="I1606" s="960"/>
      <c r="J1606" s="1836"/>
      <c r="K1606" s="1836"/>
      <c r="L1606" s="2176"/>
      <c r="M1606" s="2308"/>
      <c r="N1606" s="553"/>
      <c r="P1606" s="500"/>
    </row>
    <row r="1607" spans="1:16" s="4099" customFormat="1" ht="14.25" customHeight="1" x14ac:dyDescent="0.25">
      <c r="A1607" s="4101"/>
      <c r="B1607" s="2910"/>
      <c r="C1607" s="3860" t="s">
        <v>3379</v>
      </c>
      <c r="D1607" s="666">
        <v>500000000</v>
      </c>
      <c r="E1607" s="1162">
        <f>D1607/D1371*100</f>
        <v>0.30330077931254779</v>
      </c>
      <c r="F1607" s="838"/>
      <c r="G1607" s="878"/>
      <c r="H1607" s="878"/>
      <c r="I1607" s="878"/>
      <c r="J1607" s="1818"/>
      <c r="K1607" s="2293"/>
      <c r="L1607" s="1310"/>
      <c r="M1607" s="2230"/>
      <c r="N1607" s="354"/>
      <c r="P1607" s="500"/>
    </row>
    <row r="1608" spans="1:16" s="4099" customFormat="1" ht="14.25" customHeight="1" x14ac:dyDescent="0.25">
      <c r="A1608" s="4101"/>
      <c r="B1608" s="1242"/>
      <c r="C1608" s="3848"/>
      <c r="D1608" s="868"/>
      <c r="E1608" s="1047"/>
      <c r="F1608" s="835"/>
      <c r="G1608" s="882"/>
      <c r="H1608" s="2174"/>
      <c r="I1608" s="2295"/>
      <c r="J1608" s="2175"/>
      <c r="K1608" s="2175"/>
      <c r="L1608" s="2175"/>
      <c r="M1608" s="2175"/>
      <c r="N1608" s="535"/>
      <c r="P1608" s="500"/>
    </row>
    <row r="1609" spans="1:16" s="4099" customFormat="1" ht="14.25" customHeight="1" x14ac:dyDescent="0.25">
      <c r="A1609" s="4101"/>
      <c r="B1609" s="1305"/>
      <c r="C1609" s="3858" t="s">
        <v>3380</v>
      </c>
      <c r="D1609" s="669">
        <f>D1610</f>
        <v>600000000</v>
      </c>
      <c r="E1609" s="1050">
        <f>D1609/D1371*100</f>
        <v>0.36396093517505734</v>
      </c>
      <c r="F1609" s="3391"/>
      <c r="G1609" s="3392"/>
      <c r="H1609" s="3393"/>
      <c r="I1609" s="3394"/>
      <c r="J1609" s="2356"/>
      <c r="K1609" s="2356"/>
      <c r="L1609" s="2356"/>
      <c r="M1609" s="2356"/>
      <c r="N1609" s="553"/>
      <c r="P1609" s="500"/>
    </row>
    <row r="1610" spans="1:16" s="4099" customFormat="1" ht="14.25" customHeight="1" x14ac:dyDescent="0.25">
      <c r="A1610" s="4101"/>
      <c r="B1610" s="1242"/>
      <c r="C1610" s="3893" t="s">
        <v>3381</v>
      </c>
      <c r="D1610" s="667">
        <f>D1611</f>
        <v>600000000</v>
      </c>
      <c r="E1610" s="1159">
        <f>D1610/D1371*100</f>
        <v>0.36396093517505734</v>
      </c>
      <c r="F1610" s="3388"/>
      <c r="G1610" s="3389"/>
      <c r="H1610" s="2458"/>
      <c r="I1610" s="2498"/>
      <c r="J1610" s="1671"/>
      <c r="K1610" s="1671"/>
      <c r="L1610" s="1671"/>
      <c r="M1610" s="1671"/>
      <c r="N1610" s="553"/>
      <c r="P1610" s="500"/>
    </row>
    <row r="1611" spans="1:16" s="4099" customFormat="1" ht="14.25" customHeight="1" x14ac:dyDescent="0.25">
      <c r="A1611" s="4101"/>
      <c r="B1611" s="1242"/>
      <c r="C1611" s="3860" t="s">
        <v>3382</v>
      </c>
      <c r="D1611" s="666">
        <v>600000000</v>
      </c>
      <c r="E1611" s="1162">
        <f>D1611/D1371*100</f>
        <v>0.36396093517505734</v>
      </c>
      <c r="F1611" s="838"/>
      <c r="G1611" s="878"/>
      <c r="H1611" s="880"/>
      <c r="I1611" s="1121"/>
      <c r="J1611" s="1315"/>
      <c r="K1611" s="1315"/>
      <c r="L1611" s="1315"/>
      <c r="M1611" s="1315"/>
      <c r="N1611" s="535"/>
      <c r="P1611" s="500"/>
    </row>
    <row r="1612" spans="1:16" s="4099" customFormat="1" ht="14.25" customHeight="1" x14ac:dyDescent="0.25">
      <c r="A1612" s="4101"/>
      <c r="B1612" s="1242"/>
      <c r="C1612" s="3857"/>
      <c r="D1612" s="671"/>
      <c r="E1612" s="1051"/>
      <c r="F1612" s="840"/>
      <c r="G1612" s="887"/>
      <c r="H1612" s="2255"/>
      <c r="I1612" s="2339"/>
      <c r="J1612" s="2182"/>
      <c r="K1612" s="2182"/>
      <c r="L1612" s="2182"/>
      <c r="M1612" s="2182"/>
      <c r="N1612" s="535"/>
      <c r="P1612" s="500"/>
    </row>
    <row r="1613" spans="1:16" s="4099" customFormat="1" ht="14.25" customHeight="1" x14ac:dyDescent="0.25">
      <c r="A1613" s="4101"/>
      <c r="B1613" s="1305"/>
      <c r="C1613" s="3858" t="s">
        <v>3383</v>
      </c>
      <c r="D1613" s="669">
        <f>D1614</f>
        <v>500000000</v>
      </c>
      <c r="E1613" s="1050">
        <f>D1613/D1371*100</f>
        <v>0.30330077931254779</v>
      </c>
      <c r="F1613" s="832"/>
      <c r="G1613" s="888"/>
      <c r="H1613" s="1462"/>
      <c r="I1613" s="1107"/>
      <c r="J1613" s="2356"/>
      <c r="K1613" s="2356"/>
      <c r="L1613" s="2356"/>
      <c r="M1613" s="2356"/>
      <c r="N1613" s="553"/>
      <c r="P1613" s="500"/>
    </row>
    <row r="1614" spans="1:16" s="4099" customFormat="1" ht="14.25" customHeight="1" x14ac:dyDescent="0.25">
      <c r="A1614" s="4101"/>
      <c r="B1614" s="1242"/>
      <c r="C1614" s="3893" t="s">
        <v>3384</v>
      </c>
      <c r="D1614" s="667">
        <f>D1615</f>
        <v>500000000</v>
      </c>
      <c r="E1614" s="1159">
        <f>D1614/D1371*100</f>
        <v>0.30330077931254779</v>
      </c>
      <c r="F1614" s="836"/>
      <c r="G1614" s="896"/>
      <c r="H1614" s="2238"/>
      <c r="I1614" s="2344"/>
      <c r="J1614" s="1671"/>
      <c r="K1614" s="1671"/>
      <c r="L1614" s="1671"/>
      <c r="M1614" s="1671"/>
      <c r="N1614" s="553"/>
      <c r="P1614" s="500"/>
    </row>
    <row r="1615" spans="1:16" s="4099" customFormat="1" ht="14.25" customHeight="1" x14ac:dyDescent="0.25">
      <c r="A1615" s="4101"/>
      <c r="B1615" s="1242"/>
      <c r="C1615" s="3860" t="s">
        <v>3385</v>
      </c>
      <c r="D1615" s="666">
        <v>500000000</v>
      </c>
      <c r="E1615" s="1162">
        <f>D1615/D1371*100</f>
        <v>0.30330077931254779</v>
      </c>
      <c r="F1615" s="838"/>
      <c r="G1615" s="878"/>
      <c r="H1615" s="880"/>
      <c r="I1615" s="1121"/>
      <c r="J1615" s="1315"/>
      <c r="K1615" s="1315"/>
      <c r="L1615" s="1315"/>
      <c r="M1615" s="1315"/>
      <c r="N1615" s="535"/>
      <c r="P1615" s="500"/>
    </row>
    <row r="1616" spans="1:16" s="4099" customFormat="1" ht="14.25" customHeight="1" x14ac:dyDescent="0.25">
      <c r="A1616" s="4101"/>
      <c r="B1616" s="1242"/>
      <c r="C1616" s="3857"/>
      <c r="D1616" s="671"/>
      <c r="E1616" s="1051"/>
      <c r="F1616" s="840"/>
      <c r="G1616" s="887"/>
      <c r="H1616" s="2255"/>
      <c r="I1616" s="2339"/>
      <c r="J1616" s="2182"/>
      <c r="K1616" s="2182"/>
      <c r="L1616" s="2182"/>
      <c r="M1616" s="2182"/>
      <c r="N1616" s="535"/>
      <c r="P1616" s="500"/>
    </row>
    <row r="1617" spans="1:16" s="4099" customFormat="1" ht="14.25" customHeight="1" x14ac:dyDescent="0.25">
      <c r="A1617" s="4101"/>
      <c r="B1617" s="1305"/>
      <c r="C1617" s="3858" t="s">
        <v>3386</v>
      </c>
      <c r="D1617" s="669">
        <f>D1618</f>
        <v>500000000</v>
      </c>
      <c r="E1617" s="1050">
        <f>D1617/D1371*100</f>
        <v>0.30330077931254779</v>
      </c>
      <c r="F1617" s="832"/>
      <c r="G1617" s="888"/>
      <c r="H1617" s="1462"/>
      <c r="I1617" s="1107"/>
      <c r="J1617" s="2356"/>
      <c r="K1617" s="2356"/>
      <c r="L1617" s="2356"/>
      <c r="M1617" s="2356"/>
      <c r="N1617" s="553"/>
      <c r="P1617" s="500"/>
    </row>
    <row r="1618" spans="1:16" s="4099" customFormat="1" ht="14.25" customHeight="1" x14ac:dyDescent="0.25">
      <c r="A1618" s="4101"/>
      <c r="B1618" s="1242"/>
      <c r="C1618" s="3893" t="s">
        <v>3387</v>
      </c>
      <c r="D1618" s="667">
        <f>D1619</f>
        <v>500000000</v>
      </c>
      <c r="E1618" s="1159">
        <f>D1618/D1371*100</f>
        <v>0.30330077931254779</v>
      </c>
      <c r="F1618" s="836"/>
      <c r="G1618" s="896"/>
      <c r="H1618" s="2238"/>
      <c r="I1618" s="2344"/>
      <c r="J1618" s="1671"/>
      <c r="K1618" s="1671"/>
      <c r="L1618" s="1671"/>
      <c r="M1618" s="1671"/>
      <c r="N1618" s="553"/>
      <c r="P1618" s="500"/>
    </row>
    <row r="1619" spans="1:16" s="4099" customFormat="1" ht="14.25" customHeight="1" x14ac:dyDescent="0.25">
      <c r="A1619" s="4101"/>
      <c r="B1619" s="2910"/>
      <c r="C1619" s="3860" t="s">
        <v>3388</v>
      </c>
      <c r="D1619" s="666">
        <v>500000000</v>
      </c>
      <c r="E1619" s="1162">
        <f>D1619/D1371*100</f>
        <v>0.30330077931254779</v>
      </c>
      <c r="F1619" s="838"/>
      <c r="G1619" s="878"/>
      <c r="H1619" s="880"/>
      <c r="I1619" s="1121"/>
      <c r="J1619" s="1717"/>
      <c r="K1619" s="1717"/>
      <c r="L1619" s="1717"/>
      <c r="M1619" s="1717"/>
      <c r="N1619" s="354"/>
      <c r="P1619" s="500"/>
    </row>
    <row r="1620" spans="1:16" s="4099" customFormat="1" ht="14.25" customHeight="1" x14ac:dyDescent="0.25">
      <c r="A1620" s="4101"/>
      <c r="B1620" s="1242"/>
      <c r="C1620" s="3857"/>
      <c r="D1620" s="671"/>
      <c r="E1620" s="1051"/>
      <c r="F1620" s="840"/>
      <c r="G1620" s="887"/>
      <c r="H1620" s="2255"/>
      <c r="I1620" s="2339"/>
      <c r="J1620" s="2182"/>
      <c r="K1620" s="2182"/>
      <c r="L1620" s="2182"/>
      <c r="M1620" s="2182"/>
      <c r="N1620" s="535"/>
      <c r="P1620" s="500"/>
    </row>
    <row r="1621" spans="1:16" s="4099" customFormat="1" ht="14.25" customHeight="1" x14ac:dyDescent="0.25">
      <c r="A1621" s="4101"/>
      <c r="B1621" s="1305"/>
      <c r="C1621" s="3858" t="s">
        <v>3389</v>
      </c>
      <c r="D1621" s="669">
        <f>D1622</f>
        <v>500000000</v>
      </c>
      <c r="E1621" s="1050">
        <f>D1621/D1371*100</f>
        <v>0.30330077931254779</v>
      </c>
      <c r="F1621" s="832"/>
      <c r="G1621" s="888"/>
      <c r="H1621" s="1462"/>
      <c r="I1621" s="1107"/>
      <c r="J1621" s="2356"/>
      <c r="K1621" s="2356"/>
      <c r="L1621" s="2356"/>
      <c r="M1621" s="2356"/>
      <c r="N1621" s="553"/>
      <c r="P1621" s="500"/>
    </row>
    <row r="1622" spans="1:16" s="4099" customFormat="1" ht="14.25" customHeight="1" x14ac:dyDescent="0.25">
      <c r="A1622" s="4101"/>
      <c r="B1622" s="1242"/>
      <c r="C1622" s="3893" t="s">
        <v>3390</v>
      </c>
      <c r="D1622" s="667">
        <f>D1623</f>
        <v>500000000</v>
      </c>
      <c r="E1622" s="1159">
        <f>D1622/D1371*100</f>
        <v>0.30330077931254779</v>
      </c>
      <c r="F1622" s="836"/>
      <c r="G1622" s="896"/>
      <c r="H1622" s="2238"/>
      <c r="I1622" s="2344"/>
      <c r="J1622" s="1671"/>
      <c r="K1622" s="1671"/>
      <c r="L1622" s="1671"/>
      <c r="M1622" s="1671"/>
      <c r="N1622" s="553"/>
      <c r="P1622" s="500"/>
    </row>
    <row r="1623" spans="1:16" s="4099" customFormat="1" ht="14.25" customHeight="1" x14ac:dyDescent="0.25">
      <c r="A1623" s="4101"/>
      <c r="B1623" s="1242"/>
      <c r="C1623" s="3860" t="s">
        <v>3391</v>
      </c>
      <c r="D1623" s="666">
        <v>500000000</v>
      </c>
      <c r="E1623" s="1162">
        <f>D1623/D1371*100</f>
        <v>0.30330077931254779</v>
      </c>
      <c r="F1623" s="838"/>
      <c r="G1623" s="878"/>
      <c r="H1623" s="880"/>
      <c r="I1623" s="1121"/>
      <c r="J1623" s="1315"/>
      <c r="K1623" s="1315"/>
      <c r="L1623" s="1315"/>
      <c r="M1623" s="1315"/>
      <c r="N1623" s="535"/>
      <c r="P1623" s="500"/>
    </row>
    <row r="1624" spans="1:16" s="4099" customFormat="1" ht="14.25" customHeight="1" x14ac:dyDescent="0.25">
      <c r="A1624" s="4101"/>
      <c r="B1624" s="1242"/>
      <c r="C1624" s="3857"/>
      <c r="D1624" s="671"/>
      <c r="E1624" s="1051"/>
      <c r="F1624" s="840"/>
      <c r="G1624" s="887"/>
      <c r="H1624" s="2255"/>
      <c r="I1624" s="2339"/>
      <c r="J1624" s="2182"/>
      <c r="K1624" s="2182"/>
      <c r="L1624" s="2182"/>
      <c r="M1624" s="2182"/>
      <c r="N1624" s="535"/>
      <c r="P1624" s="500"/>
    </row>
    <row r="1625" spans="1:16" s="4099" customFormat="1" ht="14.25" customHeight="1" x14ac:dyDescent="0.25">
      <c r="A1625" s="4101"/>
      <c r="B1625" s="1305"/>
      <c r="C1625" s="3858" t="s">
        <v>3392</v>
      </c>
      <c r="D1625" s="669">
        <f>D1626</f>
        <v>500000000</v>
      </c>
      <c r="E1625" s="1050">
        <f>D1625/D1371*100</f>
        <v>0.30330077931254779</v>
      </c>
      <c r="F1625" s="832"/>
      <c r="G1625" s="888"/>
      <c r="H1625" s="1462"/>
      <c r="I1625" s="1107"/>
      <c r="J1625" s="2356"/>
      <c r="K1625" s="2356"/>
      <c r="L1625" s="2356"/>
      <c r="M1625" s="2356"/>
      <c r="N1625" s="535"/>
      <c r="P1625" s="500"/>
    </row>
    <row r="1626" spans="1:16" s="4099" customFormat="1" ht="14.25" customHeight="1" x14ac:dyDescent="0.25">
      <c r="A1626" s="4101"/>
      <c r="B1626" s="1242"/>
      <c r="C1626" s="3893" t="s">
        <v>3393</v>
      </c>
      <c r="D1626" s="667">
        <f>D1627</f>
        <v>500000000</v>
      </c>
      <c r="E1626" s="1159">
        <f>D1626/D1371*100</f>
        <v>0.30330077931254779</v>
      </c>
      <c r="F1626" s="836"/>
      <c r="G1626" s="896"/>
      <c r="H1626" s="2238"/>
      <c r="I1626" s="2344"/>
      <c r="J1626" s="1671"/>
      <c r="K1626" s="1671"/>
      <c r="L1626" s="1671"/>
      <c r="M1626" s="1671"/>
      <c r="N1626" s="553"/>
      <c r="P1626" s="500"/>
    </row>
    <row r="1627" spans="1:16" s="4099" customFormat="1" ht="14.25" customHeight="1" x14ac:dyDescent="0.25">
      <c r="A1627" s="4101"/>
      <c r="B1627" s="2910"/>
      <c r="C1627" s="3860" t="s">
        <v>3394</v>
      </c>
      <c r="D1627" s="666">
        <v>500000000</v>
      </c>
      <c r="E1627" s="1162">
        <f>D1627/D1371*100</f>
        <v>0.30330077931254779</v>
      </c>
      <c r="F1627" s="838"/>
      <c r="G1627" s="878"/>
      <c r="H1627" s="880"/>
      <c r="I1627" s="1121"/>
      <c r="J1627" s="1717"/>
      <c r="K1627" s="1717"/>
      <c r="L1627" s="1717"/>
      <c r="M1627" s="1717"/>
      <c r="N1627" s="354"/>
      <c r="P1627" s="500"/>
    </row>
    <row r="1628" spans="1:16" s="4099" customFormat="1" ht="14.25" customHeight="1" x14ac:dyDescent="0.25">
      <c r="A1628" s="4101"/>
      <c r="B1628" s="1242"/>
      <c r="C1628" s="3857"/>
      <c r="D1628" s="671"/>
      <c r="E1628" s="1051"/>
      <c r="F1628" s="840"/>
      <c r="G1628" s="887"/>
      <c r="H1628" s="2255"/>
      <c r="I1628" s="2339"/>
      <c r="J1628" s="2182"/>
      <c r="K1628" s="2182"/>
      <c r="L1628" s="2182"/>
      <c r="M1628" s="2182"/>
      <c r="N1628" s="535"/>
      <c r="P1628" s="500"/>
    </row>
    <row r="1629" spans="1:16" s="4099" customFormat="1" ht="14.25" customHeight="1" x14ac:dyDescent="0.25">
      <c r="A1629" s="4101"/>
      <c r="B1629" s="1305"/>
      <c r="C1629" s="3858" t="s">
        <v>3395</v>
      </c>
      <c r="D1629" s="669">
        <f>D1630</f>
        <v>250250000</v>
      </c>
      <c r="E1629" s="1050">
        <f>D1629/D1371*100</f>
        <v>0.15180204004593018</v>
      </c>
      <c r="F1629" s="832"/>
      <c r="G1629" s="888"/>
      <c r="H1629" s="1462"/>
      <c r="I1629" s="1107"/>
      <c r="J1629" s="2356"/>
      <c r="K1629" s="2356"/>
      <c r="L1629" s="2356"/>
      <c r="M1629" s="2356"/>
      <c r="N1629" s="535"/>
      <c r="P1629" s="500"/>
    </row>
    <row r="1630" spans="1:16" s="4099" customFormat="1" ht="14.25" customHeight="1" x14ac:dyDescent="0.25">
      <c r="A1630" s="4101"/>
      <c r="B1630" s="1242"/>
      <c r="C1630" s="3893" t="s">
        <v>3396</v>
      </c>
      <c r="D1630" s="667">
        <f>D1631</f>
        <v>250250000</v>
      </c>
      <c r="E1630" s="1159">
        <f>D1630/D1371*100</f>
        <v>0.15180204004593018</v>
      </c>
      <c r="F1630" s="836"/>
      <c r="G1630" s="896"/>
      <c r="H1630" s="2238"/>
      <c r="I1630" s="2344"/>
      <c r="J1630" s="1671"/>
      <c r="K1630" s="1671"/>
      <c r="L1630" s="1671"/>
      <c r="M1630" s="1671"/>
      <c r="N1630" s="553"/>
      <c r="P1630" s="500"/>
    </row>
    <row r="1631" spans="1:16" s="4099" customFormat="1" ht="14.25" customHeight="1" x14ac:dyDescent="0.25">
      <c r="A1631" s="4101"/>
      <c r="B1631" s="1242"/>
      <c r="C1631" s="3860" t="s">
        <v>3397</v>
      </c>
      <c r="D1631" s="666">
        <v>250250000</v>
      </c>
      <c r="E1631" s="1162">
        <f>D1631/D1371*100</f>
        <v>0.15180204004593018</v>
      </c>
      <c r="F1631" s="838"/>
      <c r="G1631" s="878"/>
      <c r="H1631" s="880"/>
      <c r="I1631" s="1121"/>
      <c r="J1631" s="1315"/>
      <c r="K1631" s="1315"/>
      <c r="L1631" s="1315"/>
      <c r="M1631" s="1315"/>
      <c r="N1631" s="535"/>
      <c r="P1631" s="500"/>
    </row>
    <row r="1632" spans="1:16" s="4099" customFormat="1" ht="14.25" customHeight="1" x14ac:dyDescent="0.25">
      <c r="A1632" s="4101"/>
      <c r="B1632" s="1242"/>
      <c r="C1632" s="3848"/>
      <c r="D1632" s="868"/>
      <c r="E1632" s="1051"/>
      <c r="F1632" s="835"/>
      <c r="G1632" s="882"/>
      <c r="H1632" s="995"/>
      <c r="I1632" s="1916"/>
      <c r="J1632" s="2285"/>
      <c r="K1632" s="2285"/>
      <c r="L1632" s="2285"/>
      <c r="M1632" s="2285"/>
      <c r="N1632" s="535"/>
      <c r="P1632" s="500"/>
    </row>
    <row r="1633" spans="1:16" s="4099" customFormat="1" ht="14.25" customHeight="1" x14ac:dyDescent="0.25">
      <c r="A1633" s="4101"/>
      <c r="B1633" s="1305"/>
      <c r="C1633" s="3858" t="s">
        <v>3398</v>
      </c>
      <c r="D1633" s="669">
        <f>SUM(D1634+D1639+D1642)</f>
        <v>5350000000</v>
      </c>
      <c r="E1633" s="1050">
        <f>D1633/D1371*100</f>
        <v>3.2453183386442617</v>
      </c>
      <c r="F1633" s="832"/>
      <c r="G1633" s="888"/>
      <c r="H1633" s="1462"/>
      <c r="I1633" s="1107"/>
      <c r="J1633" s="2356"/>
      <c r="K1633" s="2356"/>
      <c r="L1633" s="2356"/>
      <c r="M1633" s="2356"/>
      <c r="N1633" s="553"/>
      <c r="P1633" s="500"/>
    </row>
    <row r="1634" spans="1:16" s="4099" customFormat="1" ht="14.25" customHeight="1" x14ac:dyDescent="0.25">
      <c r="A1634" s="4101"/>
      <c r="B1634" s="1242"/>
      <c r="C1634" s="3881" t="s">
        <v>3399</v>
      </c>
      <c r="D1634" s="889">
        <f>SUM(D1635:D1637)</f>
        <v>1800000000</v>
      </c>
      <c r="E1634" s="1159">
        <f>D1634/D1371*100</f>
        <v>1.0918828055251719</v>
      </c>
      <c r="F1634" s="854"/>
      <c r="G1634" s="890"/>
      <c r="H1634" s="1461"/>
      <c r="I1634" s="3395"/>
      <c r="J1634" s="2562"/>
      <c r="K1634" s="2562"/>
      <c r="L1634" s="2562"/>
      <c r="M1634" s="2562"/>
      <c r="N1634" s="553"/>
      <c r="P1634" s="500"/>
    </row>
    <row r="1635" spans="1:16" s="4099" customFormat="1" ht="14.25" customHeight="1" x14ac:dyDescent="0.25">
      <c r="A1635" s="4101"/>
      <c r="B1635" s="1242"/>
      <c r="C1635" s="3860" t="s">
        <v>3400</v>
      </c>
      <c r="D1635" s="666">
        <v>1200000000</v>
      </c>
      <c r="E1635" s="1162">
        <f>D1635/D1371*100</f>
        <v>0.72792187035011469</v>
      </c>
      <c r="F1635" s="838"/>
      <c r="G1635" s="878"/>
      <c r="H1635" s="880"/>
      <c r="I1635" s="1121"/>
      <c r="J1635" s="1315"/>
      <c r="K1635" s="1315"/>
      <c r="L1635" s="1315"/>
      <c r="M1635" s="1315"/>
      <c r="N1635" s="535"/>
      <c r="P1635" s="500"/>
    </row>
    <row r="1636" spans="1:16" s="4099" customFormat="1" ht="14.25" customHeight="1" x14ac:dyDescent="0.25">
      <c r="A1636" s="4101"/>
      <c r="B1636" s="1242"/>
      <c r="C1636" s="3860" t="s">
        <v>3401</v>
      </c>
      <c r="D1636" s="666">
        <v>200000000</v>
      </c>
      <c r="E1636" s="1162">
        <f>D1636/D1371*100</f>
        <v>0.12132031172501913</v>
      </c>
      <c r="F1636" s="838"/>
      <c r="G1636" s="878"/>
      <c r="H1636" s="880"/>
      <c r="I1636" s="1121"/>
      <c r="J1636" s="1315"/>
      <c r="K1636" s="1315"/>
      <c r="L1636" s="1315"/>
      <c r="M1636" s="1315"/>
      <c r="N1636" s="535"/>
      <c r="P1636" s="500"/>
    </row>
    <row r="1637" spans="1:16" s="4099" customFormat="1" ht="14.25" customHeight="1" x14ac:dyDescent="0.25">
      <c r="A1637" s="4101"/>
      <c r="B1637" s="1242"/>
      <c r="C1637" s="3860" t="s">
        <v>3402</v>
      </c>
      <c r="D1637" s="666">
        <v>400000000</v>
      </c>
      <c r="E1637" s="1162">
        <f>D1637/D1371*100</f>
        <v>0.24264062345003826</v>
      </c>
      <c r="F1637" s="838"/>
      <c r="G1637" s="878"/>
      <c r="H1637" s="880"/>
      <c r="I1637" s="1121"/>
      <c r="J1637" s="1315"/>
      <c r="K1637" s="1315"/>
      <c r="L1637" s="1315"/>
      <c r="M1637" s="1315"/>
      <c r="N1637" s="535"/>
      <c r="P1637" s="500"/>
    </row>
    <row r="1638" spans="1:16" s="4099" customFormat="1" ht="9.75" customHeight="1" x14ac:dyDescent="0.25">
      <c r="A1638" s="4101"/>
      <c r="B1638" s="1242"/>
      <c r="C1638" s="3890"/>
      <c r="D1638" s="666"/>
      <c r="E1638" s="1052"/>
      <c r="F1638" s="838"/>
      <c r="G1638" s="878"/>
      <c r="H1638" s="880"/>
      <c r="I1638" s="1121"/>
      <c r="J1638" s="1315"/>
      <c r="K1638" s="1315"/>
      <c r="L1638" s="1315"/>
      <c r="M1638" s="1315"/>
      <c r="N1638" s="535"/>
      <c r="P1638" s="500"/>
    </row>
    <row r="1639" spans="1:16" s="4099" customFormat="1" ht="17.25" customHeight="1" x14ac:dyDescent="0.25">
      <c r="A1639" s="4101"/>
      <c r="B1639" s="1242"/>
      <c r="C1639" s="3882" t="s">
        <v>3403</v>
      </c>
      <c r="D1639" s="673">
        <f>D1640</f>
        <v>200000000</v>
      </c>
      <c r="E1639" s="1159">
        <f>D1639/D1371*100</f>
        <v>0.12132031172501913</v>
      </c>
      <c r="F1639" s="839"/>
      <c r="G1639" s="877"/>
      <c r="H1639" s="1415"/>
      <c r="I1639" s="1118"/>
      <c r="J1639" s="2261"/>
      <c r="K1639" s="2261"/>
      <c r="L1639" s="2261"/>
      <c r="M1639" s="2261"/>
      <c r="N1639" s="553"/>
      <c r="P1639" s="500"/>
    </row>
    <row r="1640" spans="1:16" s="4099" customFormat="1" ht="14.25" customHeight="1" x14ac:dyDescent="0.25">
      <c r="A1640" s="4101"/>
      <c r="B1640" s="2910"/>
      <c r="C1640" s="3860" t="s">
        <v>3404</v>
      </c>
      <c r="D1640" s="666">
        <v>200000000</v>
      </c>
      <c r="E1640" s="1162">
        <f>D1640/D1371*100</f>
        <v>0.12132031172501913</v>
      </c>
      <c r="F1640" s="838"/>
      <c r="G1640" s="878"/>
      <c r="H1640" s="880"/>
      <c r="I1640" s="1121"/>
      <c r="J1640" s="1717"/>
      <c r="K1640" s="1717"/>
      <c r="L1640" s="1717"/>
      <c r="M1640" s="1717"/>
      <c r="N1640" s="354"/>
      <c r="P1640" s="500"/>
    </row>
    <row r="1641" spans="1:16" s="4099" customFormat="1" ht="11.25" customHeight="1" x14ac:dyDescent="0.25">
      <c r="A1641" s="4101"/>
      <c r="B1641" s="1242"/>
      <c r="C1641" s="3890"/>
      <c r="D1641" s="666"/>
      <c r="E1641" s="1052"/>
      <c r="F1641" s="838"/>
      <c r="G1641" s="878"/>
      <c r="H1641" s="880"/>
      <c r="I1641" s="1121"/>
      <c r="J1641" s="1315"/>
      <c r="K1641" s="1315"/>
      <c r="L1641" s="1315"/>
      <c r="M1641" s="1315"/>
      <c r="N1641" s="535"/>
      <c r="P1641" s="500"/>
    </row>
    <row r="1642" spans="1:16" s="4099" customFormat="1" ht="14.25" customHeight="1" x14ac:dyDescent="0.25">
      <c r="A1642" s="4101"/>
      <c r="B1642" s="1242"/>
      <c r="C1642" s="3882" t="s">
        <v>3405</v>
      </c>
      <c r="D1642" s="673">
        <f>SUM(D1643:D1646)</f>
        <v>3350000000</v>
      </c>
      <c r="E1642" s="1159">
        <f>D1642/D1371*100</f>
        <v>2.0321152213940703</v>
      </c>
      <c r="F1642" s="839"/>
      <c r="G1642" s="877"/>
      <c r="H1642" s="1415"/>
      <c r="I1642" s="1118"/>
      <c r="J1642" s="2261"/>
      <c r="K1642" s="2261"/>
      <c r="L1642" s="2261"/>
      <c r="M1642" s="2261"/>
      <c r="N1642" s="553"/>
      <c r="P1642" s="500"/>
    </row>
    <row r="1643" spans="1:16" s="4099" customFormat="1" ht="14.25" customHeight="1" x14ac:dyDescent="0.25">
      <c r="A1643" s="4101"/>
      <c r="B1643" s="1242"/>
      <c r="C1643" s="3860" t="s">
        <v>3406</v>
      </c>
      <c r="D1643" s="666">
        <v>1300000000</v>
      </c>
      <c r="E1643" s="1162">
        <f>D1643/D1371*100</f>
        <v>0.7885820262126243</v>
      </c>
      <c r="F1643" s="838"/>
      <c r="G1643" s="878"/>
      <c r="H1643" s="880"/>
      <c r="I1643" s="1121"/>
      <c r="J1643" s="1315"/>
      <c r="K1643" s="1315"/>
      <c r="L1643" s="1315"/>
      <c r="M1643" s="1315"/>
      <c r="N1643" s="535"/>
      <c r="P1643" s="500"/>
    </row>
    <row r="1644" spans="1:16" s="4099" customFormat="1" ht="15.75" customHeight="1" x14ac:dyDescent="0.25">
      <c r="A1644" s="4101"/>
      <c r="B1644" s="1242"/>
      <c r="C1644" s="3860" t="s">
        <v>3407</v>
      </c>
      <c r="D1644" s="666">
        <v>350000000</v>
      </c>
      <c r="E1644" s="1162">
        <f>D1644/D1371*100</f>
        <v>0.21231054551878345</v>
      </c>
      <c r="F1644" s="838"/>
      <c r="G1644" s="878"/>
      <c r="H1644" s="880"/>
      <c r="I1644" s="1121"/>
      <c r="J1644" s="1315"/>
      <c r="K1644" s="1315"/>
      <c r="L1644" s="1315"/>
      <c r="M1644" s="1315"/>
      <c r="N1644" s="535"/>
      <c r="P1644" s="500"/>
    </row>
    <row r="1645" spans="1:16" s="4099" customFormat="1" ht="16.5" customHeight="1" x14ac:dyDescent="0.25">
      <c r="A1645" s="4101"/>
      <c r="B1645" s="1242"/>
      <c r="C1645" s="3860" t="s">
        <v>3408</v>
      </c>
      <c r="D1645" s="666">
        <v>1400000000</v>
      </c>
      <c r="E1645" s="1162">
        <f>D1645/D1371*100</f>
        <v>0.8492421820751338</v>
      </c>
      <c r="F1645" s="838"/>
      <c r="G1645" s="878"/>
      <c r="H1645" s="880"/>
      <c r="I1645" s="1121"/>
      <c r="J1645" s="1315"/>
      <c r="K1645" s="1315"/>
      <c r="L1645" s="1315"/>
      <c r="M1645" s="1315"/>
      <c r="N1645" s="535"/>
      <c r="P1645" s="500"/>
    </row>
    <row r="1646" spans="1:16" s="4099" customFormat="1" ht="27" customHeight="1" x14ac:dyDescent="0.25">
      <c r="A1646" s="4101"/>
      <c r="B1646" s="1242"/>
      <c r="C1646" s="3860" t="s">
        <v>3409</v>
      </c>
      <c r="D1646" s="666">
        <v>300000000</v>
      </c>
      <c r="E1646" s="1162">
        <f>D1646/D1371*100</f>
        <v>0.18198046758752867</v>
      </c>
      <c r="F1646" s="838"/>
      <c r="G1646" s="878"/>
      <c r="H1646" s="880"/>
      <c r="I1646" s="1121"/>
      <c r="J1646" s="1315"/>
      <c r="K1646" s="1315"/>
      <c r="L1646" s="1315"/>
      <c r="M1646" s="1315"/>
      <c r="N1646" s="535"/>
      <c r="P1646" s="500"/>
    </row>
    <row r="1647" spans="1:16" s="4099" customFormat="1" ht="14.25" customHeight="1" x14ac:dyDescent="0.25">
      <c r="A1647" s="4101"/>
      <c r="B1647" s="1242"/>
      <c r="C1647" s="3857"/>
      <c r="D1647" s="671"/>
      <c r="E1647" s="1051"/>
      <c r="F1647" s="840"/>
      <c r="G1647" s="887"/>
      <c r="H1647" s="2255"/>
      <c r="I1647" s="2339"/>
      <c r="J1647" s="2182"/>
      <c r="K1647" s="2182"/>
      <c r="L1647" s="2182"/>
      <c r="M1647" s="2182"/>
      <c r="N1647" s="535"/>
      <c r="P1647" s="500"/>
    </row>
    <row r="1648" spans="1:16" s="4099" customFormat="1" ht="14.25" customHeight="1" x14ac:dyDescent="0.25">
      <c r="A1648" s="4101"/>
      <c r="B1648" s="1305"/>
      <c r="C1648" s="3858" t="s">
        <v>3410</v>
      </c>
      <c r="D1648" s="669">
        <f>SUM(D1649:D1652)</f>
        <v>8550822000</v>
      </c>
      <c r="E1648" s="1050">
        <f>D1648/D1371*100</f>
        <v>5.186941952725757</v>
      </c>
      <c r="F1648" s="832"/>
      <c r="G1648" s="832"/>
      <c r="H1648" s="1306"/>
      <c r="I1648" s="2298"/>
      <c r="J1648" s="1813"/>
      <c r="K1648" s="1813"/>
      <c r="L1648" s="1307"/>
      <c r="M1648" s="2066"/>
      <c r="N1648" s="553"/>
      <c r="P1648" s="500"/>
    </row>
    <row r="1649" spans="1:18" s="4099" customFormat="1" ht="16.5" customHeight="1" x14ac:dyDescent="0.25">
      <c r="A1649" s="4101"/>
      <c r="B1649" s="2910"/>
      <c r="C1649" s="3899" t="s">
        <v>3411</v>
      </c>
      <c r="D1649" s="1855">
        <v>600000000</v>
      </c>
      <c r="E1649" s="1160">
        <f>D1649/D1371*100</f>
        <v>0.36396093517505734</v>
      </c>
      <c r="F1649" s="892"/>
      <c r="G1649" s="883"/>
      <c r="H1649" s="1310"/>
      <c r="I1649" s="1108"/>
      <c r="J1649" s="1888"/>
      <c r="K1649" s="1888"/>
      <c r="L1649" s="2176"/>
      <c r="M1649" s="2308"/>
      <c r="N1649" s="354"/>
      <c r="P1649" s="500"/>
    </row>
    <row r="1650" spans="1:18" s="4099" customFormat="1" ht="14.25" customHeight="1" x14ac:dyDescent="0.25">
      <c r="A1650" s="4101"/>
      <c r="B1650" s="2910"/>
      <c r="C1650" s="3860" t="s">
        <v>3412</v>
      </c>
      <c r="D1650" s="666">
        <v>800000000</v>
      </c>
      <c r="E1650" s="1162">
        <f>D1650/D1371*100</f>
        <v>0.48528124690007651</v>
      </c>
      <c r="F1650" s="838"/>
      <c r="G1650" s="878"/>
      <c r="H1650" s="1310"/>
      <c r="I1650" s="1109"/>
      <c r="J1650" s="1818"/>
      <c r="K1650" s="1818"/>
      <c r="L1650" s="1310"/>
      <c r="M1650" s="2230"/>
      <c r="N1650" s="354"/>
      <c r="P1650" s="500"/>
    </row>
    <row r="1651" spans="1:18" s="4099" customFormat="1" ht="14.25" customHeight="1" x14ac:dyDescent="0.25">
      <c r="A1651" s="4101"/>
      <c r="B1651" s="2910"/>
      <c r="C1651" s="3860" t="s">
        <v>3413</v>
      </c>
      <c r="D1651" s="666">
        <v>750000000</v>
      </c>
      <c r="E1651" s="1162">
        <f>D1651/D1371*100</f>
        <v>0.45495116896882171</v>
      </c>
      <c r="F1651" s="838"/>
      <c r="G1651" s="878"/>
      <c r="H1651" s="1310"/>
      <c r="I1651" s="1109"/>
      <c r="J1651" s="1818"/>
      <c r="K1651" s="1818"/>
      <c r="L1651" s="1310"/>
      <c r="M1651" s="2230"/>
      <c r="N1651" s="354"/>
      <c r="P1651" s="500"/>
    </row>
    <row r="1652" spans="1:18" s="4099" customFormat="1" ht="14.25" customHeight="1" x14ac:dyDescent="0.25">
      <c r="A1652" s="4101"/>
      <c r="B1652" s="1242"/>
      <c r="C1652" s="4104" t="s">
        <v>3414</v>
      </c>
      <c r="D1652" s="666">
        <f>170000000+6230822000</f>
        <v>6400822000</v>
      </c>
      <c r="E1652" s="1162">
        <f>D1652/D1371*100</f>
        <v>3.8827486016818016</v>
      </c>
      <c r="F1652" s="780"/>
      <c r="G1652" s="878"/>
      <c r="H1652" s="1463"/>
      <c r="I1652" s="1121"/>
      <c r="J1652" s="1315"/>
      <c r="K1652" s="1315"/>
      <c r="L1652" s="1315"/>
      <c r="M1652" s="1315"/>
      <c r="N1652" s="535"/>
      <c r="P1652" s="500"/>
    </row>
    <row r="1653" spans="1:18" ht="12" customHeight="1" x14ac:dyDescent="0.25">
      <c r="B1653" s="1242"/>
      <c r="C1653" s="3897"/>
      <c r="D1653" s="4084"/>
      <c r="E1653" s="1164"/>
      <c r="F1653" s="840"/>
      <c r="G1653" s="887"/>
      <c r="H1653" s="2255"/>
      <c r="I1653" s="2181"/>
      <c r="J1653" s="2182"/>
      <c r="K1653" s="2182"/>
      <c r="L1653" s="2182"/>
      <c r="M1653" s="2182"/>
      <c r="N1653" s="535"/>
    </row>
    <row r="1654" spans="1:18" ht="15.75" customHeight="1" x14ac:dyDescent="0.25">
      <c r="B1654" s="2911"/>
      <c r="C1654" s="3967" t="s">
        <v>7102</v>
      </c>
      <c r="D1654" s="2650">
        <f>SUM(D1656+D1702+D1762+D1769+D1786+D1790+D1801+D1807+D1835+D1859+D1877+D1892+D1902+D1906+D1914+D1922+D1934)</f>
        <v>164029053000</v>
      </c>
      <c r="E1654" s="4625">
        <f>D1654/2507241496000*100</f>
        <v>6.5422119593062131</v>
      </c>
      <c r="F1654" s="4626"/>
      <c r="G1654" s="4626"/>
      <c r="H1654" s="1444"/>
      <c r="I1654" s="2650"/>
      <c r="J1654" s="4627"/>
      <c r="K1654" s="4627"/>
      <c r="L1654" s="4628"/>
      <c r="M1654" s="4628"/>
      <c r="N1654" s="1735"/>
      <c r="Q1654" s="267">
        <f>SUM(K1654-P1654)</f>
        <v>0</v>
      </c>
    </row>
    <row r="1655" spans="1:18" s="2029" customFormat="1" ht="7.5" customHeight="1" x14ac:dyDescent="0.25">
      <c r="A1655" s="2041"/>
      <c r="B1655" s="5087"/>
      <c r="C1655" s="3977"/>
      <c r="D1655" s="2404"/>
      <c r="E1655" s="5088"/>
      <c r="F1655" s="5089"/>
      <c r="G1655" s="5089"/>
      <c r="H1655" s="1468"/>
      <c r="I1655" s="2404"/>
      <c r="J1655" s="1896"/>
      <c r="K1655" s="5090"/>
      <c r="L1655" s="5091"/>
      <c r="M1655" s="2408"/>
      <c r="N1655" s="1735"/>
      <c r="P1655" s="740"/>
      <c r="Q1655" s="5092"/>
    </row>
    <row r="1656" spans="1:18" s="1639" customFormat="1" ht="19.5" customHeight="1" x14ac:dyDescent="0.25">
      <c r="A1656" s="1637"/>
      <c r="B1656" s="1305"/>
      <c r="C1656" s="3995" t="s">
        <v>342</v>
      </c>
      <c r="D1656" s="2404">
        <f>SUM(D1657+D1662+D1677+D1682+D1686+D1699)</f>
        <v>41039358880</v>
      </c>
      <c r="E1656" s="4622">
        <f>D1656/D1654*100</f>
        <v>25.019567039748747</v>
      </c>
      <c r="F1656" s="3637"/>
      <c r="G1656" s="3637"/>
      <c r="H1656" s="2016"/>
      <c r="I1656" s="1713"/>
      <c r="J1656" s="1896"/>
      <c r="K1656" s="4623"/>
      <c r="L1656" s="4624"/>
      <c r="M1656" s="2291"/>
      <c r="N1656" s="1638"/>
      <c r="P1656" s="4599"/>
      <c r="Q1656" s="2153"/>
      <c r="R1656" s="2154"/>
    </row>
    <row r="1657" spans="1:18" s="1639" customFormat="1" ht="21" customHeight="1" x14ac:dyDescent="0.25">
      <c r="A1657" s="1637"/>
      <c r="B1657" s="1242"/>
      <c r="C1657" s="3938" t="s">
        <v>288</v>
      </c>
      <c r="D1657" s="768">
        <f>SUM(D1658:D1660)</f>
        <v>839245000</v>
      </c>
      <c r="E1657" s="1166">
        <f>D1657/D1654*100</f>
        <v>0.51164411709430524</v>
      </c>
      <c r="F1657" s="753"/>
      <c r="G1657" s="753"/>
      <c r="H1657" s="2167"/>
      <c r="I1657" s="2168"/>
      <c r="J1657" s="1772"/>
      <c r="K1657" s="1772"/>
      <c r="L1657" s="2176"/>
      <c r="M1657" s="2176"/>
      <c r="N1657" s="1638"/>
      <c r="P1657" s="4599"/>
    </row>
    <row r="1658" spans="1:18" s="1639" customFormat="1" ht="15.75" customHeight="1" x14ac:dyDescent="0.25">
      <c r="A1658" s="1637"/>
      <c r="B1658" s="1242"/>
      <c r="C1658" s="3860" t="s">
        <v>3438</v>
      </c>
      <c r="D1658" s="4207">
        <v>468000000</v>
      </c>
      <c r="E1658" s="1167">
        <f>D1658/D1654*100</f>
        <v>0.28531530935559324</v>
      </c>
      <c r="F1658" s="912"/>
      <c r="G1658" s="913"/>
      <c r="H1658" s="2159"/>
      <c r="I1658" s="913"/>
      <c r="J1658" s="1860"/>
      <c r="K1658" s="1968"/>
      <c r="L1658" s="1310"/>
      <c r="M1658" s="2350"/>
      <c r="N1658" s="1638"/>
      <c r="P1658" s="4600"/>
    </row>
    <row r="1659" spans="1:18" s="1639" customFormat="1" ht="18.75" customHeight="1" x14ac:dyDescent="0.25">
      <c r="A1659" s="1637"/>
      <c r="B1659" s="1242"/>
      <c r="C1659" s="3996" t="s">
        <v>3439</v>
      </c>
      <c r="D1659" s="4207">
        <v>239245000</v>
      </c>
      <c r="E1659" s="1168">
        <f>D1659/D1654*100</f>
        <v>0.14585525894610876</v>
      </c>
      <c r="F1659" s="912"/>
      <c r="G1659" s="913"/>
      <c r="H1659" s="2159"/>
      <c r="I1659" s="913"/>
      <c r="J1659" s="1861"/>
      <c r="K1659" s="1863"/>
      <c r="L1659" s="1310"/>
      <c r="M1659" s="2297"/>
      <c r="N1659" s="1638"/>
      <c r="P1659" s="4600"/>
    </row>
    <row r="1660" spans="1:18" s="1639" customFormat="1" ht="18.75" customHeight="1" x14ac:dyDescent="0.25">
      <c r="A1660" s="1637"/>
      <c r="B1660" s="1242"/>
      <c r="C1660" s="3996" t="s">
        <v>3440</v>
      </c>
      <c r="D1660" s="4207">
        <v>132000000</v>
      </c>
      <c r="E1660" s="1168">
        <f>D1660/D1654*100</f>
        <v>8.0473548792603225E-2</v>
      </c>
      <c r="F1660" s="912"/>
      <c r="G1660" s="913"/>
      <c r="H1660" s="2159"/>
      <c r="I1660" s="913"/>
      <c r="J1660" s="1861"/>
      <c r="K1660" s="1863"/>
      <c r="L1660" s="1310"/>
      <c r="M1660" s="2351"/>
      <c r="N1660" s="1638"/>
      <c r="P1660" s="4600"/>
    </row>
    <row r="1661" spans="1:18" s="1639" customFormat="1" ht="10.5" customHeight="1" x14ac:dyDescent="0.25">
      <c r="A1661" s="1637"/>
      <c r="B1661" s="1242"/>
      <c r="C1661" s="3996"/>
      <c r="D1661" s="4207"/>
      <c r="E1661" s="1168"/>
      <c r="F1661" s="912"/>
      <c r="G1661" s="913"/>
      <c r="H1661" s="2159"/>
      <c r="I1661" s="913"/>
      <c r="J1661" s="1861"/>
      <c r="K1661" s="1969"/>
      <c r="L1661" s="2161"/>
      <c r="M1661" s="913"/>
      <c r="N1661" s="1638"/>
      <c r="P1661" s="4601"/>
    </row>
    <row r="1662" spans="1:18" s="1639" customFormat="1" ht="18.75" customHeight="1" x14ac:dyDescent="0.25">
      <c r="A1662" s="1637"/>
      <c r="B1662" s="1242"/>
      <c r="C1662" s="3447" t="s">
        <v>279</v>
      </c>
      <c r="D1662" s="4208">
        <f>SUM(D1663:D1675)</f>
        <v>33107213880</v>
      </c>
      <c r="E1662" s="1173">
        <f>D1662/D1654*100</f>
        <v>20.183749936055534</v>
      </c>
      <c r="F1662" s="912"/>
      <c r="G1662" s="913"/>
      <c r="H1662" s="2159"/>
      <c r="I1662" s="913"/>
      <c r="J1662" s="1861"/>
      <c r="K1662" s="1863"/>
      <c r="L1662" s="1310"/>
      <c r="M1662" s="2351"/>
      <c r="N1662" s="1638"/>
      <c r="P1662" s="4602"/>
    </row>
    <row r="1663" spans="1:18" s="1639" customFormat="1" ht="17.25" customHeight="1" x14ac:dyDescent="0.25">
      <c r="A1663" s="1637"/>
      <c r="B1663" s="1242"/>
      <c r="C1663" s="3996" t="s">
        <v>3441</v>
      </c>
      <c r="D1663" s="4207">
        <v>12963059242</v>
      </c>
      <c r="E1663" s="1168">
        <f>D1663/D1654*100</f>
        <v>7.9029043970643418</v>
      </c>
      <c r="F1663" s="912"/>
      <c r="G1663" s="913"/>
      <c r="H1663" s="2159"/>
      <c r="I1663" s="913"/>
      <c r="J1663" s="1861"/>
      <c r="K1663" s="1863"/>
      <c r="L1663" s="1310"/>
      <c r="M1663" s="2351"/>
      <c r="N1663" s="1638"/>
      <c r="P1663" s="4600"/>
    </row>
    <row r="1664" spans="1:18" s="1639" customFormat="1" ht="18" customHeight="1" x14ac:dyDescent="0.25">
      <c r="A1664" s="1637"/>
      <c r="B1664" s="1242"/>
      <c r="C1664" s="3997" t="s">
        <v>3442</v>
      </c>
      <c r="D1664" s="4207">
        <v>399739000</v>
      </c>
      <c r="E1664" s="1168">
        <f>D1664/D1654*100</f>
        <v>0.24370012061216986</v>
      </c>
      <c r="F1664" s="912"/>
      <c r="G1664" s="913"/>
      <c r="H1664" s="2159"/>
      <c r="I1664" s="913"/>
      <c r="J1664" s="1861"/>
      <c r="K1664" s="1863"/>
      <c r="L1664" s="1310"/>
      <c r="M1664" s="2327"/>
      <c r="N1664" s="1638"/>
      <c r="P1664" s="4600"/>
    </row>
    <row r="1665" spans="1:16" s="1639" customFormat="1" ht="18.75" customHeight="1" x14ac:dyDescent="0.25">
      <c r="A1665" s="1637"/>
      <c r="B1665" s="1242"/>
      <c r="C1665" s="3908" t="s">
        <v>3443</v>
      </c>
      <c r="D1665" s="4207">
        <v>3499336638</v>
      </c>
      <c r="E1665" s="1168">
        <f>D1665/D1654*100</f>
        <v>2.1333639218169482</v>
      </c>
      <c r="F1665" s="912"/>
      <c r="G1665" s="913"/>
      <c r="H1665" s="2159"/>
      <c r="I1665" s="913"/>
      <c r="J1665" s="1861"/>
      <c r="K1665" s="1969"/>
      <c r="L1665" s="2159"/>
      <c r="M1665" s="913"/>
      <c r="N1665" s="1638"/>
      <c r="P1665" s="4601"/>
    </row>
    <row r="1666" spans="1:16" s="1639" customFormat="1" ht="16.5" customHeight="1" x14ac:dyDescent="0.25">
      <c r="A1666" s="1637"/>
      <c r="B1666" s="1242"/>
      <c r="C1666" s="3908" t="s">
        <v>3444</v>
      </c>
      <c r="D1666" s="4207">
        <v>300000000</v>
      </c>
      <c r="E1666" s="1168">
        <f>D1666/D1654*100</f>
        <v>0.18289442907409825</v>
      </c>
      <c r="F1666" s="912"/>
      <c r="G1666" s="913"/>
      <c r="H1666" s="2159"/>
      <c r="I1666" s="2352"/>
      <c r="J1666" s="1861"/>
      <c r="K1666" s="1863"/>
      <c r="L1666" s="1310"/>
      <c r="M1666" s="2160"/>
      <c r="N1666" s="1638"/>
      <c r="P1666" s="4600"/>
    </row>
    <row r="1667" spans="1:16" s="303" customFormat="1" ht="14.25" customHeight="1" x14ac:dyDescent="0.25">
      <c r="A1667" s="2015"/>
      <c r="B1667" s="1242"/>
      <c r="C1667" s="3908" t="s">
        <v>3445</v>
      </c>
      <c r="D1667" s="4207">
        <v>88650000</v>
      </c>
      <c r="E1667" s="1168">
        <f>D1667/D1654*100</f>
        <v>5.4045303791396028E-2</v>
      </c>
      <c r="F1667" s="912"/>
      <c r="G1667" s="913"/>
      <c r="H1667" s="2159"/>
      <c r="I1667" s="913"/>
      <c r="J1667" s="1861"/>
      <c r="K1667" s="1863"/>
      <c r="L1667" s="1310"/>
      <c r="M1667" s="2160"/>
      <c r="N1667" s="554"/>
      <c r="P1667" s="4603"/>
    </row>
    <row r="1668" spans="1:16" s="303" customFormat="1" ht="18" customHeight="1" x14ac:dyDescent="0.25">
      <c r="A1668" s="2015"/>
      <c r="B1668" s="1242"/>
      <c r="C1668" s="3908" t="s">
        <v>3446</v>
      </c>
      <c r="D1668" s="4207">
        <v>171200000</v>
      </c>
      <c r="E1668" s="1168">
        <f>D1668/D1654*100</f>
        <v>0.10437175419161873</v>
      </c>
      <c r="F1668" s="912"/>
      <c r="G1668" s="913"/>
      <c r="H1668" s="2159"/>
      <c r="I1668" s="913"/>
      <c r="J1668" s="1861"/>
      <c r="K1668" s="1863"/>
      <c r="L1668" s="1310"/>
      <c r="M1668" s="2160"/>
      <c r="N1668" s="554"/>
      <c r="P1668" s="4603"/>
    </row>
    <row r="1669" spans="1:16" s="303" customFormat="1" ht="17.25" customHeight="1" x14ac:dyDescent="0.25">
      <c r="A1669" s="2015"/>
      <c r="B1669" s="1242"/>
      <c r="C1669" s="3908" t="s">
        <v>3447</v>
      </c>
      <c r="D1669" s="4207">
        <v>755860000</v>
      </c>
      <c r="E1669" s="1168">
        <f>D1669/D1654*100</f>
        <v>0.46080861053315969</v>
      </c>
      <c r="F1669" s="912"/>
      <c r="G1669" s="913"/>
      <c r="H1669" s="2159"/>
      <c r="I1669" s="913"/>
      <c r="J1669" s="1861"/>
      <c r="K1669" s="1969"/>
      <c r="L1669" s="2161"/>
      <c r="M1669" s="913"/>
      <c r="N1669" s="554"/>
      <c r="P1669" s="4604"/>
    </row>
    <row r="1670" spans="1:16" s="303" customFormat="1" ht="16.5" customHeight="1" x14ac:dyDescent="0.25">
      <c r="A1670" s="2015"/>
      <c r="B1670" s="1242"/>
      <c r="C1670" s="3908" t="s">
        <v>3448</v>
      </c>
      <c r="D1670" s="4207">
        <v>5404820000</v>
      </c>
      <c r="E1670" s="1168">
        <f>D1670/D1654*100</f>
        <v>3.2950382271608922</v>
      </c>
      <c r="F1670" s="912"/>
      <c r="G1670" s="913"/>
      <c r="H1670" s="2159"/>
      <c r="I1670" s="913"/>
      <c r="J1670" s="1861"/>
      <c r="K1670" s="1969"/>
      <c r="L1670" s="2161"/>
      <c r="M1670" s="913"/>
      <c r="N1670" s="554"/>
      <c r="P1670" s="4604"/>
    </row>
    <row r="1671" spans="1:16" s="303" customFormat="1" ht="18" customHeight="1" x14ac:dyDescent="0.25">
      <c r="A1671" s="2015"/>
      <c r="B1671" s="1242"/>
      <c r="C1671" s="3909" t="s">
        <v>3449</v>
      </c>
      <c r="D1671" s="4209">
        <v>6686400000</v>
      </c>
      <c r="E1671" s="1168">
        <f>D1671/D1654*100</f>
        <v>4.0763510352035013</v>
      </c>
      <c r="F1671" s="914"/>
      <c r="G1671" s="915"/>
      <c r="H1671" s="2162"/>
      <c r="I1671" s="2163"/>
      <c r="J1671" s="2164"/>
      <c r="K1671" s="2165"/>
      <c r="L1671" s="2166"/>
      <c r="M1671" s="2166"/>
      <c r="N1671" s="554"/>
      <c r="P1671" s="500"/>
    </row>
    <row r="1672" spans="1:16" s="303" customFormat="1" ht="14.25" customHeight="1" x14ac:dyDescent="0.25">
      <c r="A1672" s="3423"/>
      <c r="B1672" s="1242"/>
      <c r="C1672" s="3909" t="s">
        <v>3450</v>
      </c>
      <c r="D1672" s="4209">
        <v>860190000</v>
      </c>
      <c r="E1672" s="1168">
        <f>D1672/D1654*100</f>
        <v>0.52441319648416185</v>
      </c>
      <c r="F1672" s="914"/>
      <c r="G1672" s="915"/>
      <c r="H1672" s="2162"/>
      <c r="I1672" s="2163"/>
      <c r="J1672" s="2164"/>
      <c r="K1672" s="2165"/>
      <c r="L1672" s="2166"/>
      <c r="M1672" s="2166"/>
      <c r="N1672" s="554"/>
      <c r="P1672" s="500"/>
    </row>
    <row r="1673" spans="1:16" s="303" customFormat="1" ht="16.5" customHeight="1" x14ac:dyDescent="0.25">
      <c r="A1673" s="3423"/>
      <c r="B1673" s="1242"/>
      <c r="C1673" s="3909" t="s">
        <v>3451</v>
      </c>
      <c r="D1673" s="4209">
        <v>866190000</v>
      </c>
      <c r="E1673" s="1168">
        <f>D1673/D1654*100</f>
        <v>0.52807108506564382</v>
      </c>
      <c r="F1673" s="914"/>
      <c r="G1673" s="915"/>
      <c r="H1673" s="2162"/>
      <c r="I1673" s="2163"/>
      <c r="J1673" s="2164"/>
      <c r="K1673" s="2165"/>
      <c r="L1673" s="2166"/>
      <c r="M1673" s="2166"/>
      <c r="N1673" s="554"/>
      <c r="P1673" s="500"/>
    </row>
    <row r="1674" spans="1:16" s="303" customFormat="1" ht="16.5" customHeight="1" x14ac:dyDescent="0.25">
      <c r="A1674" s="3423"/>
      <c r="B1674" s="1242"/>
      <c r="C1674" s="3909" t="s">
        <v>3452</v>
      </c>
      <c r="D1674" s="4209">
        <v>543200000</v>
      </c>
      <c r="E1674" s="1168">
        <f>D1674/D1654*100</f>
        <v>0.33116084624350056</v>
      </c>
      <c r="F1674" s="914"/>
      <c r="G1674" s="915"/>
      <c r="H1674" s="2162"/>
      <c r="I1674" s="2163"/>
      <c r="J1674" s="2164"/>
      <c r="K1674" s="2165"/>
      <c r="L1674" s="2166"/>
      <c r="M1674" s="2166"/>
      <c r="N1674" s="554"/>
      <c r="P1674" s="500"/>
    </row>
    <row r="1675" spans="1:16" s="303" customFormat="1" ht="15.75" customHeight="1" x14ac:dyDescent="0.25">
      <c r="A1675" s="3423"/>
      <c r="B1675" s="1242"/>
      <c r="C1675" s="3909" t="s">
        <v>3453</v>
      </c>
      <c r="D1675" s="4209">
        <v>568569000</v>
      </c>
      <c r="E1675" s="1168">
        <f>D1675/D1654*100</f>
        <v>0.34662700881410319</v>
      </c>
      <c r="F1675" s="914"/>
      <c r="G1675" s="915"/>
      <c r="H1675" s="2162"/>
      <c r="I1675" s="2163"/>
      <c r="J1675" s="2164"/>
      <c r="K1675" s="2165"/>
      <c r="L1675" s="2166"/>
      <c r="M1675" s="2166"/>
      <c r="N1675" s="554"/>
      <c r="P1675" s="500"/>
    </row>
    <row r="1676" spans="1:16" s="303" customFormat="1" ht="12" customHeight="1" x14ac:dyDescent="0.25">
      <c r="A1676" s="3423"/>
      <c r="B1676" s="1242"/>
      <c r="C1676" s="3909"/>
      <c r="D1676" s="4209"/>
      <c r="E1676" s="1171"/>
      <c r="F1676" s="914"/>
      <c r="G1676" s="915"/>
      <c r="H1676" s="2162"/>
      <c r="I1676" s="2163"/>
      <c r="J1676" s="2164"/>
      <c r="K1676" s="2165"/>
      <c r="L1676" s="2166"/>
      <c r="M1676" s="2166"/>
      <c r="N1676" s="554"/>
      <c r="P1676" s="500"/>
    </row>
    <row r="1677" spans="1:16" s="303" customFormat="1" ht="21" customHeight="1" x14ac:dyDescent="0.25">
      <c r="A1677" s="2015"/>
      <c r="B1677" s="1242"/>
      <c r="C1677" s="3911" t="s">
        <v>3454</v>
      </c>
      <c r="D1677" s="4210">
        <f>SUM(D1678:D1680)</f>
        <v>385000000</v>
      </c>
      <c r="E1677" s="1166">
        <f>D1677/D1654*100</f>
        <v>0.23471451731175941</v>
      </c>
      <c r="F1677" s="916"/>
      <c r="G1677" s="917"/>
      <c r="H1677" s="2167"/>
      <c r="I1677" s="2168"/>
      <c r="J1677" s="1862"/>
      <c r="K1677" s="1862"/>
      <c r="L1677" s="1308"/>
      <c r="M1677" s="2169"/>
      <c r="N1677" s="554"/>
      <c r="P1677" s="500"/>
    </row>
    <row r="1678" spans="1:16" s="303" customFormat="1" ht="18" customHeight="1" x14ac:dyDescent="0.25">
      <c r="A1678" s="2015"/>
      <c r="B1678" s="1242"/>
      <c r="C1678" s="3908" t="s">
        <v>3455</v>
      </c>
      <c r="D1678" s="4211">
        <v>125000000</v>
      </c>
      <c r="E1678" s="1168">
        <f>D1678/D1654*100</f>
        <v>7.6206012114207591E-2</v>
      </c>
      <c r="F1678" s="918"/>
      <c r="G1678" s="915"/>
      <c r="H1678" s="2159"/>
      <c r="I1678" s="913"/>
      <c r="J1678" s="1863"/>
      <c r="K1678" s="1863"/>
      <c r="L1678" s="1310"/>
      <c r="M1678" s="2166"/>
      <c r="N1678" s="554"/>
      <c r="P1678" s="500"/>
    </row>
    <row r="1679" spans="1:16" s="303" customFormat="1" ht="18" customHeight="1" x14ac:dyDescent="0.25">
      <c r="A1679" s="2015"/>
      <c r="B1679" s="1242"/>
      <c r="C1679" s="3908" t="s">
        <v>3456</v>
      </c>
      <c r="D1679" s="4211">
        <v>210000000</v>
      </c>
      <c r="E1679" s="1168">
        <f>D1679/D1654*100</f>
        <v>0.12802610035186876</v>
      </c>
      <c r="F1679" s="918"/>
      <c r="G1679" s="882"/>
      <c r="H1679" s="2159"/>
      <c r="I1679" s="913"/>
      <c r="J1679" s="1863"/>
      <c r="K1679" s="1863"/>
      <c r="L1679" s="1310"/>
      <c r="M1679" s="2170"/>
      <c r="N1679" s="554"/>
      <c r="P1679" s="500"/>
    </row>
    <row r="1680" spans="1:16" s="303" customFormat="1" ht="18.75" customHeight="1" x14ac:dyDescent="0.25">
      <c r="A1680" s="2015"/>
      <c r="B1680" s="1242"/>
      <c r="C1680" s="3909" t="s">
        <v>3457</v>
      </c>
      <c r="D1680" s="4209">
        <v>50000000</v>
      </c>
      <c r="E1680" s="1168">
        <f>D1680/D1654*100</f>
        <v>3.0482404845683039E-2</v>
      </c>
      <c r="F1680" s="914"/>
      <c r="G1680" s="915"/>
      <c r="H1680" s="2159"/>
      <c r="I1680" s="913"/>
      <c r="J1680" s="2164"/>
      <c r="K1680" s="2171"/>
      <c r="L1680" s="2166"/>
      <c r="M1680" s="2166"/>
      <c r="N1680" s="554"/>
      <c r="P1680" s="500"/>
    </row>
    <row r="1681" spans="1:16" s="303" customFormat="1" ht="10.5" customHeight="1" x14ac:dyDescent="0.25">
      <c r="A1681" s="3423"/>
      <c r="B1681" s="1242"/>
      <c r="C1681" s="3909"/>
      <c r="D1681" s="4209"/>
      <c r="E1681" s="1168"/>
      <c r="F1681" s="914"/>
      <c r="G1681" s="915"/>
      <c r="H1681" s="2159"/>
      <c r="I1681" s="915"/>
      <c r="J1681" s="2164"/>
      <c r="K1681" s="3449"/>
      <c r="L1681" s="2166"/>
      <c r="M1681" s="2166"/>
      <c r="N1681" s="554"/>
      <c r="P1681" s="500"/>
    </row>
    <row r="1682" spans="1:16" s="303" customFormat="1" ht="21" customHeight="1" x14ac:dyDescent="0.25">
      <c r="A1682" s="2015"/>
      <c r="B1682" s="1242"/>
      <c r="C1682" s="3910" t="s">
        <v>3458</v>
      </c>
      <c r="D1682" s="4210">
        <f>SUM(D1683:D1684)</f>
        <v>701975000</v>
      </c>
      <c r="E1682" s="1173">
        <f>D1682/D1654*100</f>
        <v>0.42795772283096706</v>
      </c>
      <c r="F1682" s="916"/>
      <c r="G1682" s="919"/>
      <c r="H1682" s="2167"/>
      <c r="I1682" s="919"/>
      <c r="J1682" s="1862"/>
      <c r="K1682" s="1970"/>
      <c r="L1682" s="1308"/>
      <c r="M1682" s="2169"/>
      <c r="N1682" s="554"/>
      <c r="P1682" s="500"/>
    </row>
    <row r="1683" spans="1:16" s="303" customFormat="1" ht="19.5" customHeight="1" x14ac:dyDescent="0.25">
      <c r="A1683" s="2015"/>
      <c r="B1683" s="1242"/>
      <c r="C1683" s="3908" t="s">
        <v>3459</v>
      </c>
      <c r="D1683" s="4211">
        <v>337700000</v>
      </c>
      <c r="E1683" s="1168">
        <f>D1683/D1654*100</f>
        <v>0.20587816232774322</v>
      </c>
      <c r="F1683" s="918"/>
      <c r="G1683" s="915"/>
      <c r="H1683" s="2159"/>
      <c r="I1683" s="915"/>
      <c r="J1683" s="1863"/>
      <c r="K1683" s="1863"/>
      <c r="L1683" s="1310"/>
      <c r="M1683" s="2170"/>
      <c r="N1683" s="554"/>
      <c r="P1683" s="500"/>
    </row>
    <row r="1684" spans="1:16" s="303" customFormat="1" ht="20.25" customHeight="1" x14ac:dyDescent="0.25">
      <c r="A1684" s="2015"/>
      <c r="B1684" s="1242"/>
      <c r="C1684" s="3908" t="s">
        <v>3460</v>
      </c>
      <c r="D1684" s="4211">
        <v>364275000</v>
      </c>
      <c r="E1684" s="1168">
        <f>D1684/D1654*100</f>
        <v>0.22207956050322378</v>
      </c>
      <c r="F1684" s="918"/>
      <c r="G1684" s="915"/>
      <c r="H1684" s="2159"/>
      <c r="I1684" s="915"/>
      <c r="J1684" s="1863"/>
      <c r="K1684" s="1863"/>
      <c r="L1684" s="1310"/>
      <c r="M1684" s="2170"/>
      <c r="N1684" s="554"/>
      <c r="P1684" s="500"/>
    </row>
    <row r="1685" spans="1:16" s="303" customFormat="1" ht="15" customHeight="1" x14ac:dyDescent="0.25">
      <c r="A1685" s="2015"/>
      <c r="B1685" s="1242"/>
      <c r="C1685" s="3908"/>
      <c r="D1685" s="4211"/>
      <c r="E1685" s="1168"/>
      <c r="F1685" s="918"/>
      <c r="G1685" s="915"/>
      <c r="H1685" s="2159"/>
      <c r="I1685" s="915"/>
      <c r="J1685" s="1863"/>
      <c r="K1685" s="1863"/>
      <c r="L1685" s="1310"/>
      <c r="M1685" s="2170"/>
      <c r="N1685" s="554"/>
      <c r="P1685" s="500"/>
    </row>
    <row r="1686" spans="1:16" s="303" customFormat="1" ht="19.5" customHeight="1" x14ac:dyDescent="0.25">
      <c r="A1686" s="2015"/>
      <c r="B1686" s="1242"/>
      <c r="C1686" s="3911" t="s">
        <v>261</v>
      </c>
      <c r="D1686" s="4212">
        <f>SUM(D1687:D1697)</f>
        <v>5443350000</v>
      </c>
      <c r="E1686" s="1173">
        <f>D1686/D1654*100</f>
        <v>3.3185279683349758</v>
      </c>
      <c r="F1686" s="918"/>
      <c r="G1686" s="915"/>
      <c r="H1686" s="2159"/>
      <c r="I1686" s="915"/>
      <c r="J1686" s="2172"/>
      <c r="K1686" s="1969"/>
      <c r="L1686" s="2173"/>
      <c r="M1686" s="2173"/>
      <c r="N1686" s="554"/>
      <c r="P1686" s="500"/>
    </row>
    <row r="1687" spans="1:16" s="303" customFormat="1" ht="28.5" customHeight="1" x14ac:dyDescent="0.25">
      <c r="A1687" s="2015"/>
      <c r="B1687" s="1242"/>
      <c r="C1687" s="3908" t="s">
        <v>3461</v>
      </c>
      <c r="D1687" s="4211">
        <v>97600000</v>
      </c>
      <c r="E1687" s="1168">
        <f>D1687/D1654*100</f>
        <v>5.9501654258773296E-2</v>
      </c>
      <c r="F1687" s="918"/>
      <c r="G1687" s="915"/>
      <c r="H1687" s="2159"/>
      <c r="I1687" s="915"/>
      <c r="J1687" s="2172"/>
      <c r="K1687" s="1969"/>
      <c r="L1687" s="2173"/>
      <c r="M1687" s="2173"/>
      <c r="N1687" s="554"/>
      <c r="P1687" s="500"/>
    </row>
    <row r="1688" spans="1:16" s="303" customFormat="1" ht="18.75" customHeight="1" x14ac:dyDescent="0.25">
      <c r="A1688" s="2015"/>
      <c r="B1688" s="1242"/>
      <c r="C1688" s="3908" t="s">
        <v>3462</v>
      </c>
      <c r="D1688" s="4211">
        <v>322650000</v>
      </c>
      <c r="E1688" s="1168">
        <f>D1688/D1654*100</f>
        <v>0.19670295846919264</v>
      </c>
      <c r="F1688" s="918"/>
      <c r="G1688" s="915"/>
      <c r="H1688" s="2159"/>
      <c r="I1688" s="915"/>
      <c r="J1688" s="1863"/>
      <c r="K1688" s="1969"/>
      <c r="L1688" s="2173"/>
      <c r="M1688" s="2173"/>
      <c r="N1688" s="554"/>
      <c r="P1688" s="500"/>
    </row>
    <row r="1689" spans="1:16" s="303" customFormat="1" ht="19.5" customHeight="1" x14ac:dyDescent="0.25">
      <c r="A1689" s="2015"/>
      <c r="B1689" s="1242"/>
      <c r="C1689" s="3908" t="s">
        <v>3463</v>
      </c>
      <c r="D1689" s="4211">
        <v>95250000</v>
      </c>
      <c r="E1689" s="1168">
        <f>D1689/D1654*100</f>
        <v>5.806898123102619E-2</v>
      </c>
      <c r="F1689" s="918"/>
      <c r="G1689" s="915"/>
      <c r="H1689" s="2159"/>
      <c r="I1689" s="915"/>
      <c r="J1689" s="1863"/>
      <c r="K1689" s="1969"/>
      <c r="L1689" s="2173"/>
      <c r="M1689" s="2173"/>
      <c r="N1689" s="554"/>
      <c r="P1689" s="500"/>
    </row>
    <row r="1690" spans="1:16" s="303" customFormat="1" ht="15.75" customHeight="1" x14ac:dyDescent="0.25">
      <c r="A1690" s="2015"/>
      <c r="B1690" s="1242"/>
      <c r="C1690" s="3908" t="s">
        <v>3464</v>
      </c>
      <c r="D1690" s="4211">
        <v>170250000</v>
      </c>
      <c r="E1690" s="1168">
        <f>D1690/D1654*100</f>
        <v>0.10379258849955075</v>
      </c>
      <c r="F1690" s="918"/>
      <c r="G1690" s="915"/>
      <c r="H1690" s="2159"/>
      <c r="I1690" s="915"/>
      <c r="J1690" s="1863"/>
      <c r="K1690" s="1969"/>
      <c r="L1690" s="2173"/>
      <c r="M1690" s="2173"/>
      <c r="N1690" s="554"/>
      <c r="P1690" s="500"/>
    </row>
    <row r="1691" spans="1:16" s="303" customFormat="1" ht="26.25" customHeight="1" x14ac:dyDescent="0.25">
      <c r="A1691" s="2015"/>
      <c r="B1691" s="1242"/>
      <c r="C1691" s="3908" t="s">
        <v>3465</v>
      </c>
      <c r="D1691" s="4211">
        <v>2792600000</v>
      </c>
      <c r="E1691" s="1168">
        <f>D1691/D1654*100</f>
        <v>1.7025032754410891</v>
      </c>
      <c r="F1691" s="918"/>
      <c r="G1691" s="915"/>
      <c r="H1691" s="2159"/>
      <c r="I1691" s="913"/>
      <c r="J1691" s="1863"/>
      <c r="K1691" s="1969"/>
      <c r="L1691" s="2173"/>
      <c r="M1691" s="2173"/>
      <c r="N1691" s="554"/>
      <c r="P1691" s="500"/>
    </row>
    <row r="1692" spans="1:16" s="303" customFormat="1" ht="17.25" customHeight="1" x14ac:dyDescent="0.25">
      <c r="A1692" s="2015"/>
      <c r="B1692" s="1242"/>
      <c r="C1692" s="3909" t="s">
        <v>3466</v>
      </c>
      <c r="D1692" s="4213">
        <v>376500000</v>
      </c>
      <c r="E1692" s="1168">
        <f>D1692/D1654*100</f>
        <v>0.22953250848799328</v>
      </c>
      <c r="F1692" s="915"/>
      <c r="G1692" s="915"/>
      <c r="H1692" s="2159"/>
      <c r="I1692" s="913"/>
      <c r="J1692" s="1863"/>
      <c r="K1692" s="1969"/>
      <c r="L1692" s="2173"/>
      <c r="M1692" s="2173"/>
      <c r="N1692" s="554"/>
      <c r="P1692" s="500"/>
    </row>
    <row r="1693" spans="1:16" s="303" customFormat="1" ht="15.75" customHeight="1" x14ac:dyDescent="0.25">
      <c r="A1693" s="2015"/>
      <c r="B1693" s="1242"/>
      <c r="C1693" s="3909" t="s">
        <v>3467</v>
      </c>
      <c r="D1693" s="4209">
        <v>347700000</v>
      </c>
      <c r="E1693" s="1168">
        <f>D1693/D1654*100</f>
        <v>0.21197464329687984</v>
      </c>
      <c r="F1693" s="914"/>
      <c r="G1693" s="915"/>
      <c r="H1693" s="2159"/>
      <c r="I1693" s="915"/>
      <c r="J1693" s="1864"/>
      <c r="K1693" s="2171"/>
      <c r="L1693" s="2166"/>
      <c r="M1693" s="2166"/>
      <c r="N1693" s="554"/>
      <c r="P1693" s="500"/>
    </row>
    <row r="1694" spans="1:16" s="303" customFormat="1" ht="18" customHeight="1" x14ac:dyDescent="0.25">
      <c r="A1694" s="3423"/>
      <c r="B1694" s="1242"/>
      <c r="C1694" s="3909" t="s">
        <v>3468</v>
      </c>
      <c r="D1694" s="4209">
        <v>286900000</v>
      </c>
      <c r="E1694" s="1168">
        <f>D1694/D1654*100</f>
        <v>0.17490803900452928</v>
      </c>
      <c r="F1694" s="914"/>
      <c r="G1694" s="915"/>
      <c r="H1694" s="2159"/>
      <c r="I1694" s="915"/>
      <c r="J1694" s="3451"/>
      <c r="K1694" s="2171"/>
      <c r="L1694" s="2166"/>
      <c r="M1694" s="2166"/>
      <c r="N1694" s="554"/>
      <c r="P1694" s="500"/>
    </row>
    <row r="1695" spans="1:16" s="303" customFormat="1" ht="17.25" customHeight="1" x14ac:dyDescent="0.25">
      <c r="A1695" s="3423"/>
      <c r="B1695" s="1242"/>
      <c r="C1695" s="3909" t="s">
        <v>3469</v>
      </c>
      <c r="D1695" s="4209">
        <v>334100000</v>
      </c>
      <c r="E1695" s="1168">
        <f>D1695/D1654*100</f>
        <v>0.20368342917885407</v>
      </c>
      <c r="F1695" s="914"/>
      <c r="G1695" s="915"/>
      <c r="H1695" s="2159"/>
      <c r="I1695" s="915"/>
      <c r="J1695" s="3451"/>
      <c r="K1695" s="2171"/>
      <c r="L1695" s="2166"/>
      <c r="M1695" s="2166"/>
      <c r="N1695" s="554"/>
      <c r="P1695" s="500"/>
    </row>
    <row r="1696" spans="1:16" s="303" customFormat="1" ht="18" customHeight="1" x14ac:dyDescent="0.25">
      <c r="A1696" s="3423"/>
      <c r="B1696" s="1242"/>
      <c r="C1696" s="3909" t="s">
        <v>3470</v>
      </c>
      <c r="D1696" s="4209">
        <v>294900000</v>
      </c>
      <c r="E1696" s="1168">
        <f>D1696/D1654*100</f>
        <v>0.17978522377983855</v>
      </c>
      <c r="F1696" s="914"/>
      <c r="G1696" s="915"/>
      <c r="H1696" s="2159"/>
      <c r="I1696" s="915"/>
      <c r="J1696" s="3451"/>
      <c r="K1696" s="2171"/>
      <c r="L1696" s="2166"/>
      <c r="M1696" s="2166"/>
      <c r="N1696" s="554"/>
      <c r="P1696" s="500"/>
    </row>
    <row r="1697" spans="1:16" s="303" customFormat="1" ht="18.75" customHeight="1" x14ac:dyDescent="0.25">
      <c r="A1697" s="3423"/>
      <c r="B1697" s="1242"/>
      <c r="C1697" s="3909" t="s">
        <v>3471</v>
      </c>
      <c r="D1697" s="4209">
        <v>324900000</v>
      </c>
      <c r="E1697" s="1168">
        <f>D1697/D1654*100</f>
        <v>0.19807466668724838</v>
      </c>
      <c r="F1697" s="914"/>
      <c r="G1697" s="915"/>
      <c r="H1697" s="2159"/>
      <c r="I1697" s="915"/>
      <c r="J1697" s="3451"/>
      <c r="K1697" s="2171"/>
      <c r="L1697" s="2166"/>
      <c r="M1697" s="2166"/>
      <c r="N1697" s="554"/>
      <c r="P1697" s="500"/>
    </row>
    <row r="1698" spans="1:16" s="303" customFormat="1" ht="11.25" customHeight="1" x14ac:dyDescent="0.25">
      <c r="A1698" s="3423"/>
      <c r="B1698" s="1242"/>
      <c r="C1698" s="3909"/>
      <c r="D1698" s="4209"/>
      <c r="E1698" s="1168"/>
      <c r="F1698" s="914"/>
      <c r="G1698" s="915"/>
      <c r="H1698" s="2159"/>
      <c r="I1698" s="915"/>
      <c r="J1698" s="3451"/>
      <c r="K1698" s="2171"/>
      <c r="L1698" s="2166"/>
      <c r="M1698" s="2166"/>
      <c r="N1698" s="554"/>
      <c r="P1698" s="500"/>
    </row>
    <row r="1699" spans="1:16" s="303" customFormat="1" ht="16.5" customHeight="1" x14ac:dyDescent="0.25">
      <c r="A1699" s="2015"/>
      <c r="B1699" s="1242"/>
      <c r="C1699" s="3911" t="s">
        <v>3472</v>
      </c>
      <c r="D1699" s="4214">
        <f>SUM(D1700:D1700)</f>
        <v>562575000</v>
      </c>
      <c r="E1699" s="1173">
        <f>D1699/D1654*100</f>
        <v>0.34297277812120269</v>
      </c>
      <c r="F1699" s="920"/>
      <c r="G1699" s="919"/>
      <c r="H1699" s="2167"/>
      <c r="I1699" s="919"/>
      <c r="J1699" s="1865"/>
      <c r="K1699" s="908"/>
      <c r="L1699" s="1308"/>
      <c r="M1699" s="2169"/>
      <c r="N1699" s="554"/>
      <c r="P1699" s="500"/>
    </row>
    <row r="1700" spans="1:16" s="303" customFormat="1" ht="16.5" customHeight="1" x14ac:dyDescent="0.25">
      <c r="A1700" s="2015"/>
      <c r="B1700" s="1242"/>
      <c r="C1700" s="3908" t="s">
        <v>3473</v>
      </c>
      <c r="D1700" s="4215">
        <v>562575000</v>
      </c>
      <c r="E1700" s="1168">
        <f>D1700/D1654*100</f>
        <v>0.34297277812120269</v>
      </c>
      <c r="F1700" s="921"/>
      <c r="G1700" s="915"/>
      <c r="H1700" s="2159"/>
      <c r="I1700" s="915"/>
      <c r="J1700" s="1863"/>
      <c r="K1700" s="1863"/>
      <c r="L1700" s="1310"/>
      <c r="M1700" s="2170"/>
      <c r="N1700" s="554"/>
      <c r="P1700" s="500"/>
    </row>
    <row r="1701" spans="1:16" s="303" customFormat="1" ht="17.25" customHeight="1" x14ac:dyDescent="0.25">
      <c r="A1701" s="2015"/>
      <c r="B1701" s="1242"/>
      <c r="C1701" s="3861"/>
      <c r="D1701" s="868"/>
      <c r="E1701" s="1158"/>
      <c r="F1701" s="835"/>
      <c r="G1701" s="923"/>
      <c r="H1701" s="2174"/>
      <c r="I1701" s="923"/>
      <c r="J1701" s="1311"/>
      <c r="K1701" s="1312"/>
      <c r="L1701" s="2175"/>
      <c r="M1701" s="2175"/>
      <c r="N1701" s="554"/>
      <c r="P1701" s="500"/>
    </row>
    <row r="1702" spans="1:16" s="303" customFormat="1" ht="17.25" customHeight="1" x14ac:dyDescent="0.25">
      <c r="A1702" s="2015"/>
      <c r="B1702" s="1305"/>
      <c r="C1702" s="3973" t="s">
        <v>343</v>
      </c>
      <c r="D1702" s="2659">
        <f>SUM(D1703+D1706+D1717+D1722+D1727+D1730+D1739+D1742+D1746+D1749+D1752)</f>
        <v>24456340328</v>
      </c>
      <c r="E1702" s="1075">
        <f>D1702/D1654*100</f>
        <v>14.909761338438015</v>
      </c>
      <c r="F1702" s="765"/>
      <c r="G1702" s="765"/>
      <c r="H1702" s="765"/>
      <c r="I1702" s="1645"/>
      <c r="J1702" s="1773"/>
      <c r="K1702" s="1773"/>
      <c r="L1702" s="1726"/>
      <c r="M1702" s="1307"/>
      <c r="N1702" s="554"/>
      <c r="P1702" s="500"/>
    </row>
    <row r="1703" spans="1:16" s="303" customFormat="1" ht="21" customHeight="1" x14ac:dyDescent="0.25">
      <c r="A1703" s="2015"/>
      <c r="B1703" s="1242"/>
      <c r="C1703" s="3998" t="s">
        <v>638</v>
      </c>
      <c r="D1703" s="4214">
        <f>D1704</f>
        <v>246000000</v>
      </c>
      <c r="E1703" s="1173">
        <f>D1703/D1654*100</f>
        <v>0.14997343184076056</v>
      </c>
      <c r="F1703" s="920"/>
      <c r="G1703" s="919"/>
      <c r="H1703" s="795"/>
      <c r="I1703" s="919"/>
      <c r="J1703" s="1866"/>
      <c r="K1703" s="1866"/>
      <c r="L1703" s="2176"/>
      <c r="M1703" s="1659"/>
      <c r="N1703" s="554"/>
      <c r="P1703" s="500"/>
    </row>
    <row r="1704" spans="1:16" s="303" customFormat="1" ht="15.75" customHeight="1" x14ac:dyDescent="0.25">
      <c r="A1704" s="2015"/>
      <c r="B1704" s="1242"/>
      <c r="C1704" s="3908" t="s">
        <v>639</v>
      </c>
      <c r="D1704" s="4215">
        <v>246000000</v>
      </c>
      <c r="E1704" s="1168">
        <f>D1704/D1654*100</f>
        <v>0.14997343184076056</v>
      </c>
      <c r="F1704" s="921"/>
      <c r="G1704" s="755"/>
      <c r="H1704" s="755"/>
      <c r="I1704" s="755"/>
      <c r="J1704" s="1867"/>
      <c r="K1704" s="1867"/>
      <c r="L1704" s="1310"/>
      <c r="M1704" s="1312"/>
      <c r="N1704" s="554"/>
      <c r="P1704" s="500"/>
    </row>
    <row r="1705" spans="1:16" s="303" customFormat="1" ht="12" customHeight="1" x14ac:dyDescent="0.25">
      <c r="A1705" s="2015"/>
      <c r="B1705" s="1242"/>
      <c r="C1705" s="3917"/>
      <c r="D1705" s="660"/>
      <c r="E1705" s="1176"/>
      <c r="F1705" s="798"/>
      <c r="G1705" s="798"/>
      <c r="H1705" s="1310"/>
      <c r="I1705" s="798"/>
      <c r="J1705" s="1315"/>
      <c r="K1705" s="1717"/>
      <c r="L1705" s="1311"/>
      <c r="M1705" s="1311"/>
      <c r="N1705" s="554"/>
      <c r="P1705" s="500"/>
    </row>
    <row r="1706" spans="1:16" s="303" customFormat="1" ht="15.75" customHeight="1" x14ac:dyDescent="0.25">
      <c r="A1706" s="2015"/>
      <c r="B1706" s="1242"/>
      <c r="C1706" s="3938" t="s">
        <v>640</v>
      </c>
      <c r="D1706" s="2243">
        <f>SUM(D1707:D1715)</f>
        <v>11538156328</v>
      </c>
      <c r="E1706" s="1166">
        <f>D1706/D1654*100</f>
        <v>7.0342150472575122</v>
      </c>
      <c r="F1706" s="803"/>
      <c r="G1706" s="803"/>
      <c r="H1706" s="803"/>
      <c r="I1706" s="803"/>
      <c r="J1706" s="1772"/>
      <c r="K1706" s="1772"/>
      <c r="L1706" s="1308"/>
      <c r="M1706" s="1650"/>
      <c r="N1706" s="554"/>
      <c r="P1706" s="500"/>
    </row>
    <row r="1707" spans="1:16" s="303" customFormat="1" ht="18.75" customHeight="1" x14ac:dyDescent="0.25">
      <c r="A1707" s="2015"/>
      <c r="B1707" s="1242"/>
      <c r="C1707" s="3860" t="s">
        <v>3474</v>
      </c>
      <c r="D1707" s="4215">
        <v>1585740000</v>
      </c>
      <c r="E1707" s="1167">
        <f>D1707/D1654*100</f>
        <v>0.96674337319986847</v>
      </c>
      <c r="F1707" s="921"/>
      <c r="G1707" s="755"/>
      <c r="H1707" s="755"/>
      <c r="I1707" s="755"/>
      <c r="J1707" s="1867"/>
      <c r="K1707" s="1867"/>
      <c r="L1707" s="1310"/>
      <c r="M1707" s="1312"/>
      <c r="N1707" s="554"/>
      <c r="P1707" s="500"/>
    </row>
    <row r="1708" spans="1:16" s="303" customFormat="1" ht="20.25" customHeight="1" x14ac:dyDescent="0.25">
      <c r="A1708" s="2015"/>
      <c r="B1708" s="1242"/>
      <c r="C1708" s="3860" t="s">
        <v>3475</v>
      </c>
      <c r="D1708" s="4215">
        <v>4585144740</v>
      </c>
      <c r="E1708" s="1167">
        <f>D1708/D1654*100</f>
        <v>2.7953247648146817</v>
      </c>
      <c r="F1708" s="921"/>
      <c r="G1708" s="755"/>
      <c r="H1708" s="755"/>
      <c r="I1708" s="755"/>
      <c r="J1708" s="1867"/>
      <c r="K1708" s="1014"/>
      <c r="L1708" s="755"/>
      <c r="M1708" s="755"/>
      <c r="N1708" s="554"/>
      <c r="P1708" s="500"/>
    </row>
    <row r="1709" spans="1:16" s="303" customFormat="1" ht="19.5" customHeight="1" x14ac:dyDescent="0.25">
      <c r="A1709" s="2015"/>
      <c r="B1709" s="1242"/>
      <c r="C1709" s="3860" t="s">
        <v>3476</v>
      </c>
      <c r="D1709" s="4215">
        <v>946850000</v>
      </c>
      <c r="E1709" s="1167">
        <f>D1709/D1654*100</f>
        <v>0.57724530056269974</v>
      </c>
      <c r="F1709" s="921"/>
      <c r="G1709" s="755"/>
      <c r="H1709" s="755"/>
      <c r="I1709" s="755"/>
      <c r="J1709" s="1867"/>
      <c r="K1709" s="1014"/>
      <c r="L1709" s="755"/>
      <c r="M1709" s="755"/>
      <c r="N1709" s="554"/>
      <c r="P1709" s="500"/>
    </row>
    <row r="1710" spans="1:16" s="303" customFormat="1" ht="18.75" customHeight="1" x14ac:dyDescent="0.25">
      <c r="A1710" s="2015"/>
      <c r="B1710" s="1242"/>
      <c r="C1710" s="3860" t="s">
        <v>3477</v>
      </c>
      <c r="D1710" s="4215">
        <v>72970000</v>
      </c>
      <c r="E1710" s="1167">
        <f>D1710/D1654*100</f>
        <v>4.4486021631789829E-2</v>
      </c>
      <c r="F1710" s="921"/>
      <c r="G1710" s="755"/>
      <c r="H1710" s="755"/>
      <c r="I1710" s="755"/>
      <c r="J1710" s="1867"/>
      <c r="K1710" s="1014"/>
      <c r="L1710" s="755"/>
      <c r="M1710" s="755"/>
      <c r="N1710" s="554"/>
      <c r="P1710" s="500"/>
    </row>
    <row r="1711" spans="1:16" s="303" customFormat="1" ht="17.25" customHeight="1" x14ac:dyDescent="0.25">
      <c r="A1711" s="2015"/>
      <c r="B1711" s="1242"/>
      <c r="C1711" s="3860" t="s">
        <v>3478</v>
      </c>
      <c r="D1711" s="4215">
        <v>1366568072</v>
      </c>
      <c r="E1711" s="1167">
        <f>D1711/D1654*100</f>
        <v>0.83312562439777049</v>
      </c>
      <c r="F1711" s="921"/>
      <c r="G1711" s="755"/>
      <c r="H1711" s="755"/>
      <c r="I1711" s="755"/>
      <c r="J1711" s="1867"/>
      <c r="K1711" s="1867"/>
      <c r="L1711" s="1310"/>
      <c r="M1711" s="1716"/>
      <c r="N1711" s="554"/>
      <c r="P1711" s="500"/>
    </row>
    <row r="1712" spans="1:16" s="303" customFormat="1" ht="15" customHeight="1" x14ac:dyDescent="0.25">
      <c r="A1712" s="2015"/>
      <c r="B1712" s="1242"/>
      <c r="C1712" s="3860" t="s">
        <v>3479</v>
      </c>
      <c r="D1712" s="4215">
        <v>435050000</v>
      </c>
      <c r="E1712" s="1167">
        <f>D1712/D1654*100</f>
        <v>0.26522740456228816</v>
      </c>
      <c r="F1712" s="921"/>
      <c r="G1712" s="755"/>
      <c r="H1712" s="755"/>
      <c r="I1712" s="755"/>
      <c r="J1712" s="1867"/>
      <c r="K1712" s="1014"/>
      <c r="L1712" s="755"/>
      <c r="M1712" s="755"/>
      <c r="N1712" s="554"/>
      <c r="P1712" s="500"/>
    </row>
    <row r="1713" spans="1:16" s="303" customFormat="1" ht="17.25" customHeight="1" x14ac:dyDescent="0.25">
      <c r="A1713" s="2015"/>
      <c r="B1713" s="1242"/>
      <c r="C1713" s="3908" t="s">
        <v>3480</v>
      </c>
      <c r="D1713" s="4215">
        <v>327789000</v>
      </c>
      <c r="E1713" s="1167">
        <f>D1713/D1654*100</f>
        <v>0.19983594003923194</v>
      </c>
      <c r="F1713" s="921"/>
      <c r="G1713" s="755"/>
      <c r="H1713" s="755"/>
      <c r="I1713" s="755"/>
      <c r="J1713" s="1867"/>
      <c r="K1713" s="1867"/>
      <c r="L1713" s="1310"/>
      <c r="M1713" s="1716"/>
      <c r="N1713" s="554"/>
      <c r="P1713" s="500"/>
    </row>
    <row r="1714" spans="1:16" s="303" customFormat="1" ht="18" customHeight="1" x14ac:dyDescent="0.25">
      <c r="A1714" s="2015"/>
      <c r="B1714" s="1242"/>
      <c r="C1714" s="3908" t="s">
        <v>3481</v>
      </c>
      <c r="D1714" s="4215">
        <v>751193500</v>
      </c>
      <c r="E1714" s="1167">
        <f>D1714/D1654*100</f>
        <v>0.45796368768891199</v>
      </c>
      <c r="F1714" s="921"/>
      <c r="G1714" s="755"/>
      <c r="H1714" s="755"/>
      <c r="I1714" s="755"/>
      <c r="J1714" s="1867"/>
      <c r="K1714" s="1867"/>
      <c r="L1714" s="1310"/>
      <c r="M1714" s="1716"/>
      <c r="N1714" s="554"/>
      <c r="P1714" s="500"/>
    </row>
    <row r="1715" spans="1:16" s="303" customFormat="1" ht="16.5" customHeight="1" x14ac:dyDescent="0.25">
      <c r="A1715" s="2015"/>
      <c r="B1715" s="1242"/>
      <c r="C1715" s="3917" t="s">
        <v>3482</v>
      </c>
      <c r="D1715" s="780">
        <v>1466851016</v>
      </c>
      <c r="E1715" s="1167">
        <f>D1715/D1654*100</f>
        <v>0.89426293036026971</v>
      </c>
      <c r="F1715" s="924"/>
      <c r="G1715" s="755"/>
      <c r="H1715" s="802"/>
      <c r="I1715" s="802"/>
      <c r="J1715" s="1311"/>
      <c r="K1715" s="1312"/>
      <c r="L1715" s="1311"/>
      <c r="M1715" s="1311"/>
      <c r="N1715" s="554"/>
      <c r="P1715" s="500"/>
    </row>
    <row r="1716" spans="1:16" s="303" customFormat="1" ht="12.75" customHeight="1" x14ac:dyDescent="0.25">
      <c r="A1716" s="3423"/>
      <c r="B1716" s="1242"/>
      <c r="C1716" s="3917"/>
      <c r="D1716" s="780"/>
      <c r="E1716" s="1177"/>
      <c r="F1716" s="924"/>
      <c r="G1716" s="755"/>
      <c r="H1716" s="802"/>
      <c r="I1716" s="802"/>
      <c r="J1716" s="1311"/>
      <c r="K1716" s="1312"/>
      <c r="L1716" s="1311"/>
      <c r="M1716" s="1311"/>
      <c r="N1716" s="554"/>
      <c r="P1716" s="500"/>
    </row>
    <row r="1717" spans="1:16" s="303" customFormat="1" ht="18" customHeight="1" x14ac:dyDescent="0.25">
      <c r="A1717" s="2015"/>
      <c r="B1717" s="1242"/>
      <c r="C1717" s="3938" t="s">
        <v>344</v>
      </c>
      <c r="D1717" s="768">
        <f>SUM(D1718:D1720)</f>
        <v>2760905000</v>
      </c>
      <c r="E1717" s="1166">
        <f>D1717/D1654*100</f>
        <v>1.6831804790094107</v>
      </c>
      <c r="F1717" s="925"/>
      <c r="G1717" s="925"/>
      <c r="H1717" s="753"/>
      <c r="I1717" s="1316"/>
      <c r="J1717" s="1868"/>
      <c r="K1717" s="1868"/>
      <c r="L1717" s="1308"/>
      <c r="M1717" s="1650"/>
      <c r="N1717" s="554"/>
      <c r="P1717" s="500"/>
    </row>
    <row r="1718" spans="1:16" s="303" customFormat="1" ht="18" customHeight="1" x14ac:dyDescent="0.25">
      <c r="A1718" s="2015"/>
      <c r="B1718" s="1242"/>
      <c r="C1718" s="3902" t="s">
        <v>648</v>
      </c>
      <c r="D1718" s="666">
        <v>2000000000</v>
      </c>
      <c r="E1718" s="1167">
        <f>D1718/D1654*100</f>
        <v>1.2192961938273215</v>
      </c>
      <c r="F1718" s="879"/>
      <c r="G1718" s="755"/>
      <c r="H1718" s="755"/>
      <c r="I1718" s="755"/>
      <c r="J1718" s="1616"/>
      <c r="K1718" s="1014"/>
      <c r="L1718" s="755"/>
      <c r="M1718" s="755"/>
      <c r="N1718" s="554"/>
      <c r="P1718" s="500"/>
    </row>
    <row r="1719" spans="1:16" s="303" customFormat="1" ht="21" customHeight="1" x14ac:dyDescent="0.25">
      <c r="A1719" s="2015"/>
      <c r="B1719" s="1242"/>
      <c r="C1719" s="3902" t="s">
        <v>649</v>
      </c>
      <c r="D1719" s="666">
        <v>650000000</v>
      </c>
      <c r="E1719" s="1167">
        <f>D1719/D1654*100</f>
        <v>0.39627126299387949</v>
      </c>
      <c r="F1719" s="879"/>
      <c r="G1719" s="755"/>
      <c r="H1719" s="755"/>
      <c r="I1719" s="755"/>
      <c r="J1719" s="1616"/>
      <c r="K1719" s="1014"/>
      <c r="L1719" s="755"/>
      <c r="M1719" s="755"/>
      <c r="N1719" s="554"/>
      <c r="P1719" s="500"/>
    </row>
    <row r="1720" spans="1:16" s="303" customFormat="1" ht="20.25" customHeight="1" x14ac:dyDescent="0.25">
      <c r="A1720" s="2015"/>
      <c r="B1720" s="1242"/>
      <c r="C1720" s="3902" t="s">
        <v>650</v>
      </c>
      <c r="D1720" s="666">
        <v>110905000</v>
      </c>
      <c r="E1720" s="1167">
        <f>D1720/D1654*100</f>
        <v>6.7613022188209554E-2</v>
      </c>
      <c r="F1720" s="879"/>
      <c r="G1720" s="755"/>
      <c r="H1720" s="755"/>
      <c r="I1720" s="755"/>
      <c r="J1720" s="1616"/>
      <c r="K1720" s="1878"/>
      <c r="L1720" s="880"/>
      <c r="M1720" s="1716"/>
      <c r="N1720" s="554"/>
      <c r="P1720" s="500"/>
    </row>
    <row r="1721" spans="1:16" s="303" customFormat="1" ht="12" customHeight="1" x14ac:dyDescent="0.25">
      <c r="A1721" s="2015"/>
      <c r="B1721" s="1242"/>
      <c r="C1721" s="3962"/>
      <c r="D1721" s="809"/>
      <c r="E1721" s="1167"/>
      <c r="F1721" s="926"/>
      <c r="G1721" s="755"/>
      <c r="H1721" s="755"/>
      <c r="I1721" s="755"/>
      <c r="J1721" s="1753"/>
      <c r="K1721" s="2177"/>
      <c r="L1721" s="1716"/>
      <c r="M1721" s="1716"/>
      <c r="N1721" s="554"/>
      <c r="P1721" s="500"/>
    </row>
    <row r="1722" spans="1:16" s="303" customFormat="1" ht="16.5" customHeight="1" x14ac:dyDescent="0.25">
      <c r="A1722" s="2015"/>
      <c r="B1722" s="1242"/>
      <c r="C1722" s="3911" t="s">
        <v>273</v>
      </c>
      <c r="D1722" s="673">
        <f>SUM(D1723:D1725)</f>
        <v>1641240000</v>
      </c>
      <c r="E1722" s="1166">
        <f>D1722/D1654*100</f>
        <v>1.0005788425785767</v>
      </c>
      <c r="F1722" s="908"/>
      <c r="G1722" s="803"/>
      <c r="H1722" s="803"/>
      <c r="I1722" s="803"/>
      <c r="J1722" s="908"/>
      <c r="K1722" s="1734"/>
      <c r="L1722" s="1415"/>
      <c r="M1722" s="1706"/>
      <c r="N1722" s="554"/>
      <c r="P1722" s="500"/>
    </row>
    <row r="1723" spans="1:16" s="303" customFormat="1" ht="14.25" customHeight="1" x14ac:dyDescent="0.25">
      <c r="A1723" s="2015"/>
      <c r="B1723" s="1242"/>
      <c r="C1723" s="3860" t="s">
        <v>345</v>
      </c>
      <c r="D1723" s="666">
        <v>1163340000</v>
      </c>
      <c r="E1723" s="1167">
        <f>D1723/D1654*100</f>
        <v>0.70922801706353811</v>
      </c>
      <c r="F1723" s="879"/>
      <c r="G1723" s="755"/>
      <c r="H1723" s="755"/>
      <c r="I1723" s="755"/>
      <c r="J1723" s="1616"/>
      <c r="K1723" s="1971"/>
      <c r="L1723" s="755"/>
      <c r="M1723" s="755"/>
      <c r="N1723" s="554"/>
      <c r="P1723" s="500"/>
    </row>
    <row r="1724" spans="1:16" s="303" customFormat="1" ht="15.75" customHeight="1" x14ac:dyDescent="0.25">
      <c r="A1724" s="2015"/>
      <c r="B1724" s="1242"/>
      <c r="C1724" s="3908" t="s">
        <v>651</v>
      </c>
      <c r="D1724" s="666">
        <v>296600000</v>
      </c>
      <c r="E1724" s="1167">
        <f>D1724/D1654*100</f>
        <v>0.1808216255445918</v>
      </c>
      <c r="F1724" s="879"/>
      <c r="G1724" s="755"/>
      <c r="H1724" s="755"/>
      <c r="I1724" s="755"/>
      <c r="J1724" s="1616"/>
      <c r="K1724" s="1971"/>
      <c r="L1724" s="755"/>
      <c r="M1724" s="755"/>
      <c r="N1724" s="554"/>
      <c r="P1724" s="500"/>
    </row>
    <row r="1725" spans="1:16" s="303" customFormat="1" ht="14.25" customHeight="1" x14ac:dyDescent="0.25">
      <c r="A1725" s="2015"/>
      <c r="B1725" s="1242"/>
      <c r="C1725" s="3908" t="s">
        <v>652</v>
      </c>
      <c r="D1725" s="4215">
        <v>181300000</v>
      </c>
      <c r="E1725" s="1167">
        <f>D1725/D1654*100</f>
        <v>0.1105291999704467</v>
      </c>
      <c r="F1725" s="921"/>
      <c r="G1725" s="755"/>
      <c r="H1725" s="755"/>
      <c r="I1725" s="755"/>
      <c r="J1725" s="1869"/>
      <c r="K1725" s="1972"/>
      <c r="L1725" s="880"/>
      <c r="M1725" s="1648"/>
      <c r="N1725" s="554"/>
      <c r="P1725" s="500"/>
    </row>
    <row r="1726" spans="1:16" s="303" customFormat="1" ht="12" customHeight="1" x14ac:dyDescent="0.25">
      <c r="A1726" s="2015"/>
      <c r="B1726" s="1242"/>
      <c r="C1726" s="3917"/>
      <c r="D1726" s="780"/>
      <c r="E1726" s="1167"/>
      <c r="F1726" s="924"/>
      <c r="G1726" s="755"/>
      <c r="H1726" s="755"/>
      <c r="I1726" s="755"/>
      <c r="J1726" s="1753"/>
      <c r="K1726" s="2178"/>
      <c r="L1726" s="1716"/>
      <c r="M1726" s="1648"/>
      <c r="N1726" s="554"/>
      <c r="P1726" s="500"/>
    </row>
    <row r="1727" spans="1:16" s="303" customFormat="1" ht="15.75" customHeight="1" x14ac:dyDescent="0.25">
      <c r="A1727" s="2015"/>
      <c r="B1727" s="1242"/>
      <c r="C1727" s="3882" t="s">
        <v>653</v>
      </c>
      <c r="D1727" s="673">
        <f>SUM(D1728)</f>
        <v>30750000</v>
      </c>
      <c r="E1727" s="1166">
        <f>D1727/D1654*100</f>
        <v>1.874667898009507E-2</v>
      </c>
      <c r="F1727" s="927"/>
      <c r="G1727" s="803"/>
      <c r="H1727" s="803"/>
      <c r="I1727" s="803"/>
      <c r="J1727" s="908"/>
      <c r="K1727" s="1734"/>
      <c r="L1727" s="1415"/>
      <c r="M1727" s="1650"/>
      <c r="N1727" s="554"/>
      <c r="P1727" s="500"/>
    </row>
    <row r="1728" spans="1:16" s="303" customFormat="1" ht="27" customHeight="1" x14ac:dyDescent="0.25">
      <c r="A1728" s="2015"/>
      <c r="B1728" s="1242"/>
      <c r="C1728" s="3908" t="s">
        <v>654</v>
      </c>
      <c r="D1728" s="666">
        <v>30750000</v>
      </c>
      <c r="E1728" s="1167">
        <f>D1728/D1654*100</f>
        <v>1.874667898009507E-2</v>
      </c>
      <c r="F1728" s="879"/>
      <c r="G1728" s="755"/>
      <c r="H1728" s="755"/>
      <c r="I1728" s="755"/>
      <c r="J1728" s="1616"/>
      <c r="K1728" s="1971"/>
      <c r="L1728" s="755"/>
      <c r="M1728" s="755"/>
      <c r="N1728" s="554"/>
      <c r="P1728" s="500"/>
    </row>
    <row r="1729" spans="1:16" s="303" customFormat="1" ht="11.25" customHeight="1" x14ac:dyDescent="0.25">
      <c r="A1729" s="2015"/>
      <c r="B1729" s="1242"/>
      <c r="C1729" s="3917"/>
      <c r="D1729" s="780"/>
      <c r="E1729" s="1177"/>
      <c r="F1729" s="755"/>
      <c r="G1729" s="755"/>
      <c r="H1729" s="1310"/>
      <c r="I1729" s="1111"/>
      <c r="J1729" s="1311"/>
      <c r="K1729" s="1312"/>
      <c r="L1729" s="1311"/>
      <c r="M1729" s="1311"/>
      <c r="N1729" s="554"/>
      <c r="P1729" s="500"/>
    </row>
    <row r="1730" spans="1:16" s="303" customFormat="1" ht="17.25" customHeight="1" x14ac:dyDescent="0.25">
      <c r="A1730" s="2015"/>
      <c r="B1730" s="1242"/>
      <c r="C1730" s="3999" t="s">
        <v>656</v>
      </c>
      <c r="D1730" s="768">
        <f>SUM(D1731:D1737)</f>
        <v>1562865000</v>
      </c>
      <c r="E1730" s="1166">
        <f>D1730/D1654*100</f>
        <v>0.95279767298296847</v>
      </c>
      <c r="F1730" s="753"/>
      <c r="G1730" s="753"/>
      <c r="H1730" s="753"/>
      <c r="I1730" s="753"/>
      <c r="J1730" s="1772"/>
      <c r="K1730" s="1772"/>
      <c r="L1730" s="1308"/>
      <c r="M1730" s="1650"/>
      <c r="N1730" s="554"/>
      <c r="P1730" s="500"/>
    </row>
    <row r="1731" spans="1:16" s="303" customFormat="1" ht="18.75" customHeight="1" x14ac:dyDescent="0.25">
      <c r="A1731" s="2015"/>
      <c r="B1731" s="1242"/>
      <c r="C1731" s="3908" t="s">
        <v>657</v>
      </c>
      <c r="D1731" s="666">
        <v>304360000</v>
      </c>
      <c r="E1731" s="1167">
        <f>D1731/D1654*100</f>
        <v>0.18555249477664179</v>
      </c>
      <c r="F1731" s="879"/>
      <c r="G1731" s="755"/>
      <c r="H1731" s="755"/>
      <c r="I1731" s="755"/>
      <c r="J1731" s="1867"/>
      <c r="K1731" s="1867"/>
      <c r="L1731" s="1310"/>
      <c r="M1731" s="1312"/>
      <c r="N1731" s="554"/>
      <c r="P1731" s="500"/>
    </row>
    <row r="1732" spans="1:16" s="303" customFormat="1" ht="15" customHeight="1" x14ac:dyDescent="0.25">
      <c r="A1732" s="2015"/>
      <c r="B1732" s="1242"/>
      <c r="C1732" s="3908" t="s">
        <v>3483</v>
      </c>
      <c r="D1732" s="666">
        <v>353750000</v>
      </c>
      <c r="E1732" s="1167">
        <f>D1732/D1654*100</f>
        <v>0.21566301428320747</v>
      </c>
      <c r="F1732" s="879"/>
      <c r="G1732" s="755"/>
      <c r="H1732" s="755"/>
      <c r="I1732" s="755"/>
      <c r="J1732" s="1867"/>
      <c r="K1732" s="1014"/>
      <c r="L1732" s="755"/>
      <c r="M1732" s="755"/>
      <c r="N1732" s="554"/>
      <c r="P1732" s="500"/>
    </row>
    <row r="1733" spans="1:16" s="303" customFormat="1" ht="14.25" customHeight="1" x14ac:dyDescent="0.25">
      <c r="A1733" s="2015"/>
      <c r="B1733" s="1242"/>
      <c r="C1733" s="3908" t="s">
        <v>3484</v>
      </c>
      <c r="D1733" s="666">
        <v>306250000</v>
      </c>
      <c r="E1733" s="1167">
        <f>D1733/D1654*100</f>
        <v>0.18670472967980861</v>
      </c>
      <c r="F1733" s="879"/>
      <c r="G1733" s="755"/>
      <c r="H1733" s="755"/>
      <c r="I1733" s="755"/>
      <c r="J1733" s="1867"/>
      <c r="K1733" s="1014"/>
      <c r="L1733" s="755"/>
      <c r="M1733" s="755"/>
      <c r="N1733" s="554"/>
      <c r="P1733" s="500"/>
    </row>
    <row r="1734" spans="1:16" s="303" customFormat="1" ht="16.5" customHeight="1" x14ac:dyDescent="0.25">
      <c r="A1734" s="2015"/>
      <c r="B1734" s="1242"/>
      <c r="C1734" s="3908" t="s">
        <v>660</v>
      </c>
      <c r="D1734" s="666">
        <v>176300000</v>
      </c>
      <c r="E1734" s="1167">
        <f>D1734/D1654*100</f>
        <v>0.10748095948587839</v>
      </c>
      <c r="F1734" s="879"/>
      <c r="G1734" s="755"/>
      <c r="H1734" s="755"/>
      <c r="I1734" s="755"/>
      <c r="J1734" s="1867"/>
      <c r="K1734" s="1867"/>
      <c r="L1734" s="1310"/>
      <c r="M1734" s="1312"/>
      <c r="N1734" s="554"/>
      <c r="P1734" s="500"/>
    </row>
    <row r="1735" spans="1:16" s="303" customFormat="1" ht="16.5" customHeight="1" x14ac:dyDescent="0.25">
      <c r="A1735" s="2015"/>
      <c r="B1735" s="1242"/>
      <c r="C1735" s="3908" t="s">
        <v>3485</v>
      </c>
      <c r="D1735" s="666">
        <v>115705000</v>
      </c>
      <c r="E1735" s="1167">
        <f>D1735/D1654*100</f>
        <v>7.0539333053395131E-2</v>
      </c>
      <c r="F1735" s="879"/>
      <c r="G1735" s="755"/>
      <c r="H1735" s="755"/>
      <c r="I1735" s="755"/>
      <c r="J1735" s="1867"/>
      <c r="K1735" s="1867"/>
      <c r="L1735" s="1310"/>
      <c r="M1735" s="1716"/>
      <c r="N1735" s="554"/>
      <c r="P1735" s="500"/>
    </row>
    <row r="1736" spans="1:16" s="303" customFormat="1" ht="17.25" customHeight="1" x14ac:dyDescent="0.25">
      <c r="A1736" s="2015"/>
      <c r="B1736" s="1242"/>
      <c r="C1736" s="3908" t="s">
        <v>3486</v>
      </c>
      <c r="D1736" s="666">
        <v>250000000</v>
      </c>
      <c r="E1736" s="1167">
        <f>D1736/D1654*100</f>
        <v>0.15241202422841518</v>
      </c>
      <c r="F1736" s="879"/>
      <c r="G1736" s="755"/>
      <c r="H1736" s="755"/>
      <c r="I1736" s="755"/>
      <c r="J1736" s="1867"/>
      <c r="K1736" s="1867"/>
      <c r="L1736" s="1310"/>
      <c r="M1736" s="1312"/>
      <c r="N1736" s="554"/>
      <c r="P1736" s="500"/>
    </row>
    <row r="1737" spans="1:16" s="303" customFormat="1" ht="14.25" customHeight="1" x14ac:dyDescent="0.25">
      <c r="A1737" s="2015"/>
      <c r="B1737" s="1242"/>
      <c r="C1737" s="3908" t="s">
        <v>3487</v>
      </c>
      <c r="D1737" s="666">
        <v>56500000</v>
      </c>
      <c r="E1737" s="1167">
        <f>D1737/D1654*100</f>
        <v>3.4445117475621838E-2</v>
      </c>
      <c r="F1737" s="879"/>
      <c r="G1737" s="755"/>
      <c r="H1737" s="755"/>
      <c r="I1737" s="755"/>
      <c r="J1737" s="1867"/>
      <c r="K1737" s="1867"/>
      <c r="L1737" s="1310"/>
      <c r="M1737" s="1312"/>
      <c r="N1737" s="554"/>
      <c r="P1737" s="500"/>
    </row>
    <row r="1738" spans="1:16" s="303" customFormat="1" ht="12" customHeight="1" x14ac:dyDescent="0.25">
      <c r="A1738" s="2015"/>
      <c r="B1738" s="1242"/>
      <c r="C1738" s="4065"/>
      <c r="D1738" s="780"/>
      <c r="E1738" s="1167"/>
      <c r="F1738" s="755"/>
      <c r="G1738" s="755"/>
      <c r="H1738" s="755"/>
      <c r="I1738" s="755"/>
      <c r="J1738" s="1753"/>
      <c r="K1738" s="1312"/>
      <c r="L1738" s="1312"/>
      <c r="M1738" s="1312"/>
      <c r="N1738" s="554"/>
      <c r="P1738" s="500"/>
    </row>
    <row r="1739" spans="1:16" s="303" customFormat="1" ht="14.25" customHeight="1" x14ac:dyDescent="0.25">
      <c r="A1739" s="2015"/>
      <c r="B1739" s="1242"/>
      <c r="C1739" s="3911" t="s">
        <v>664</v>
      </c>
      <c r="D1739" s="4177">
        <f>D1740</f>
        <v>240200000</v>
      </c>
      <c r="E1739" s="1166">
        <f>D1739/D1654*100</f>
        <v>0.14643747287866132</v>
      </c>
      <c r="F1739" s="928"/>
      <c r="G1739" s="753"/>
      <c r="H1739" s="753"/>
      <c r="I1739" s="753"/>
      <c r="J1739" s="928"/>
      <c r="K1739" s="928"/>
      <c r="L1739" s="1308"/>
      <c r="M1739" s="1729"/>
      <c r="N1739" s="554"/>
      <c r="P1739" s="500"/>
    </row>
    <row r="1740" spans="1:16" s="303" customFormat="1" ht="17.25" customHeight="1" x14ac:dyDescent="0.25">
      <c r="A1740" s="2015"/>
      <c r="B1740" s="1242"/>
      <c r="C1740" s="3908" t="s">
        <v>3488</v>
      </c>
      <c r="D1740" s="666">
        <v>240200000</v>
      </c>
      <c r="E1740" s="1167">
        <f>D1740/D1654*100</f>
        <v>0.14643747287866132</v>
      </c>
      <c r="F1740" s="879"/>
      <c r="G1740" s="755"/>
      <c r="H1740" s="755"/>
      <c r="I1740" s="755"/>
      <c r="J1740" s="1867"/>
      <c r="K1740" s="1867"/>
      <c r="L1740" s="1310"/>
      <c r="M1740" s="1312"/>
      <c r="N1740" s="554"/>
      <c r="P1740" s="500"/>
    </row>
    <row r="1741" spans="1:16" s="303" customFormat="1" ht="12" customHeight="1" x14ac:dyDescent="0.25">
      <c r="A1741" s="2015"/>
      <c r="B1741" s="1242"/>
      <c r="C1741" s="3860"/>
      <c r="D1741" s="780"/>
      <c r="E1741" s="1167"/>
      <c r="F1741" s="755"/>
      <c r="G1741" s="755"/>
      <c r="H1741" s="755"/>
      <c r="I1741" s="755"/>
      <c r="J1741" s="1753"/>
      <c r="K1741" s="1753"/>
      <c r="L1741" s="1716"/>
      <c r="M1741" s="1716"/>
      <c r="N1741" s="554"/>
      <c r="P1741" s="500"/>
    </row>
    <row r="1742" spans="1:16" s="303" customFormat="1" ht="15.75" customHeight="1" x14ac:dyDescent="0.25">
      <c r="A1742" s="2015"/>
      <c r="B1742" s="1242"/>
      <c r="C1742" s="3911" t="s">
        <v>666</v>
      </c>
      <c r="D1742" s="4216">
        <f>SUM(D1743:D1744)</f>
        <v>111200000</v>
      </c>
      <c r="E1742" s="1166">
        <f>D1742/D1654*100</f>
        <v>6.779286837679907E-2</v>
      </c>
      <c r="F1742" s="929"/>
      <c r="G1742" s="928"/>
      <c r="H1742" s="753"/>
      <c r="I1742" s="753"/>
      <c r="J1742" s="929"/>
      <c r="K1742" s="928"/>
      <c r="L1742" s="1308"/>
      <c r="M1742" s="1729"/>
      <c r="N1742" s="554"/>
      <c r="P1742" s="500"/>
    </row>
    <row r="1743" spans="1:16" s="303" customFormat="1" ht="16.5" customHeight="1" x14ac:dyDescent="0.25">
      <c r="A1743" s="2015"/>
      <c r="B1743" s="1242"/>
      <c r="C1743" s="3908" t="s">
        <v>3489</v>
      </c>
      <c r="D1743" s="4215">
        <v>66200000</v>
      </c>
      <c r="E1743" s="1167">
        <f>D1743/D1654*100</f>
        <v>4.0358704015684338E-2</v>
      </c>
      <c r="F1743" s="921"/>
      <c r="G1743" s="755"/>
      <c r="H1743" s="755"/>
      <c r="I1743" s="755"/>
      <c r="J1743" s="1867"/>
      <c r="K1743" s="1867"/>
      <c r="L1743" s="1310"/>
      <c r="M1743" s="1312"/>
      <c r="N1743" s="554"/>
      <c r="P1743" s="500"/>
    </row>
    <row r="1744" spans="1:16" s="303" customFormat="1" x14ac:dyDescent="0.25">
      <c r="A1744" s="2015"/>
      <c r="B1744" s="1242"/>
      <c r="C1744" s="3908" t="s">
        <v>3490</v>
      </c>
      <c r="D1744" s="4215">
        <v>45000000</v>
      </c>
      <c r="E1744" s="1167">
        <f>D1744/D1654*100</f>
        <v>2.7434164361114732E-2</v>
      </c>
      <c r="F1744" s="921"/>
      <c r="G1744" s="755"/>
      <c r="H1744" s="755"/>
      <c r="I1744" s="755"/>
      <c r="J1744" s="1867"/>
      <c r="K1744" s="1867"/>
      <c r="L1744" s="1310"/>
      <c r="M1744" s="1716"/>
      <c r="N1744" s="554"/>
      <c r="P1744" s="500"/>
    </row>
    <row r="1745" spans="1:16" s="303" customFormat="1" ht="13.5" customHeight="1" x14ac:dyDescent="0.25">
      <c r="A1745" s="2015"/>
      <c r="B1745" s="1242"/>
      <c r="C1745" s="3915"/>
      <c r="D1745" s="3120"/>
      <c r="E1745" s="1167"/>
      <c r="F1745" s="930"/>
      <c r="G1745" s="755"/>
      <c r="H1745" s="1310"/>
      <c r="I1745" s="1111"/>
      <c r="J1745" s="1753"/>
      <c r="K1745" s="1312"/>
      <c r="L1745" s="1312"/>
      <c r="M1745" s="1312"/>
      <c r="N1745" s="554"/>
      <c r="P1745" s="500"/>
    </row>
    <row r="1746" spans="1:16" s="303" customFormat="1" ht="17.25" customHeight="1" x14ac:dyDescent="0.25">
      <c r="A1746" s="2015"/>
      <c r="B1746" s="1242"/>
      <c r="C1746" s="3882" t="s">
        <v>670</v>
      </c>
      <c r="D1746" s="673">
        <f>SUM(D1747)</f>
        <v>350200000</v>
      </c>
      <c r="E1746" s="1166">
        <f>D1746/D1654*100</f>
        <v>0.213498763539164</v>
      </c>
      <c r="F1746" s="927"/>
      <c r="G1746" s="927"/>
      <c r="H1746" s="753"/>
      <c r="I1746" s="753"/>
      <c r="J1746" s="908"/>
      <c r="K1746" s="908"/>
      <c r="L1746" s="1308"/>
      <c r="M1746" s="1650"/>
      <c r="N1746" s="554"/>
      <c r="P1746" s="500"/>
    </row>
    <row r="1747" spans="1:16" s="303" customFormat="1" ht="15.75" customHeight="1" x14ac:dyDescent="0.25">
      <c r="A1747" s="2015"/>
      <c r="B1747" s="1242"/>
      <c r="C1747" s="3908" t="s">
        <v>3491</v>
      </c>
      <c r="D1747" s="4179">
        <v>350200000</v>
      </c>
      <c r="E1747" s="1167">
        <f>D1747/D1654*100</f>
        <v>0.213498763539164</v>
      </c>
      <c r="F1747" s="931"/>
      <c r="G1747" s="755"/>
      <c r="H1747" s="755"/>
      <c r="I1747" s="755"/>
      <c r="J1747" s="1867"/>
      <c r="K1747" s="1014"/>
      <c r="L1747" s="755"/>
      <c r="M1747" s="755"/>
      <c r="N1747" s="554"/>
      <c r="P1747" s="500"/>
    </row>
    <row r="1748" spans="1:16" s="303" customFormat="1" ht="12" customHeight="1" x14ac:dyDescent="0.25">
      <c r="A1748" s="2015"/>
      <c r="B1748" s="1242"/>
      <c r="C1748" s="3908"/>
      <c r="D1748" s="666"/>
      <c r="E1748" s="1167"/>
      <c r="F1748" s="879"/>
      <c r="G1748" s="755"/>
      <c r="H1748" s="755"/>
      <c r="I1748" s="755"/>
      <c r="J1748" s="1753"/>
      <c r="K1748" s="1312"/>
      <c r="L1748" s="1312"/>
      <c r="M1748" s="1312"/>
      <c r="N1748" s="554"/>
      <c r="P1748" s="500"/>
    </row>
    <row r="1749" spans="1:16" s="303" customFormat="1" ht="28.5" customHeight="1" x14ac:dyDescent="0.25">
      <c r="A1749" s="2015"/>
      <c r="B1749" s="1242"/>
      <c r="C1749" s="3911" t="s">
        <v>2137</v>
      </c>
      <c r="D1749" s="673">
        <f>D1750</f>
        <v>500000000</v>
      </c>
      <c r="E1749" s="1166">
        <f>D1749/D1654*100</f>
        <v>0.30482404845683037</v>
      </c>
      <c r="F1749" s="927"/>
      <c r="G1749" s="753"/>
      <c r="H1749" s="753"/>
      <c r="I1749" s="753"/>
      <c r="J1749" s="908"/>
      <c r="K1749" s="1772"/>
      <c r="L1749" s="753"/>
      <c r="M1749" s="753"/>
      <c r="N1749" s="554"/>
      <c r="P1749" s="500"/>
    </row>
    <row r="1750" spans="1:16" s="303" customFormat="1" ht="17.25" customHeight="1" x14ac:dyDescent="0.25">
      <c r="A1750" s="2015"/>
      <c r="B1750" s="1242"/>
      <c r="C1750" s="4000" t="s">
        <v>2138</v>
      </c>
      <c r="D1750" s="4217">
        <v>500000000</v>
      </c>
      <c r="E1750" s="1167">
        <f>D1750/D1654*100</f>
        <v>0.30482404845683037</v>
      </c>
      <c r="F1750" s="932"/>
      <c r="G1750" s="755"/>
      <c r="H1750" s="755"/>
      <c r="I1750" s="755"/>
      <c r="J1750" s="1870"/>
      <c r="K1750" s="1014"/>
      <c r="L1750" s="755"/>
      <c r="M1750" s="755"/>
      <c r="N1750" s="554"/>
      <c r="P1750" s="500"/>
    </row>
    <row r="1751" spans="1:16" s="303" customFormat="1" ht="10.5" customHeight="1" x14ac:dyDescent="0.25">
      <c r="A1751" s="2015"/>
      <c r="B1751" s="1242"/>
      <c r="C1751" s="4000"/>
      <c r="D1751" s="4217"/>
      <c r="E1751" s="1167"/>
      <c r="F1751" s="932"/>
      <c r="G1751" s="755"/>
      <c r="H1751" s="1310"/>
      <c r="I1751" s="1111"/>
      <c r="J1751" s="1753"/>
      <c r="K1751" s="1312"/>
      <c r="L1751" s="1312"/>
      <c r="M1751" s="1312"/>
      <c r="N1751" s="554"/>
      <c r="P1751" s="500"/>
    </row>
    <row r="1752" spans="1:16" s="303" customFormat="1" ht="17.25" customHeight="1" x14ac:dyDescent="0.25">
      <c r="A1752" s="2015"/>
      <c r="B1752" s="1242"/>
      <c r="C1752" s="3882" t="s">
        <v>371</v>
      </c>
      <c r="D1752" s="673">
        <f>SUM(D1753:D1760)</f>
        <v>5474824000</v>
      </c>
      <c r="E1752" s="1166">
        <f>D1752/D1654*100</f>
        <v>3.3377160325372355</v>
      </c>
      <c r="F1752" s="927"/>
      <c r="G1752" s="927"/>
      <c r="H1752" s="753"/>
      <c r="I1752" s="1316"/>
      <c r="J1752" s="908"/>
      <c r="K1752" s="908"/>
      <c r="L1752" s="1308"/>
      <c r="M1752" s="1650"/>
      <c r="N1752" s="554"/>
      <c r="P1752" s="500"/>
    </row>
    <row r="1753" spans="1:16" s="303" customFormat="1" ht="16.5" customHeight="1" x14ac:dyDescent="0.25">
      <c r="A1753" s="2015"/>
      <c r="B1753" s="1242"/>
      <c r="C1753" s="3908" t="s">
        <v>2139</v>
      </c>
      <c r="D1753" s="666">
        <v>1243104000</v>
      </c>
      <c r="E1753" s="1167">
        <f>D1753/D1654*100</f>
        <v>0.75785598786575936</v>
      </c>
      <c r="F1753" s="879"/>
      <c r="G1753" s="755"/>
      <c r="H1753" s="755"/>
      <c r="I1753" s="755"/>
      <c r="J1753" s="1867"/>
      <c r="K1753" s="1867"/>
      <c r="L1753" s="1310"/>
      <c r="M1753" s="1312"/>
      <c r="N1753" s="554"/>
      <c r="P1753" s="500"/>
    </row>
    <row r="1754" spans="1:16" s="303" customFormat="1" ht="19.5" customHeight="1" x14ac:dyDescent="0.25">
      <c r="A1754" s="2015"/>
      <c r="B1754" s="1242"/>
      <c r="C1754" s="3908" t="s">
        <v>3492</v>
      </c>
      <c r="D1754" s="666">
        <v>585600000</v>
      </c>
      <c r="E1754" s="1167">
        <f>D1754/D1654*100</f>
        <v>0.35700992555263977</v>
      </c>
      <c r="F1754" s="879"/>
      <c r="G1754" s="755"/>
      <c r="H1754" s="755"/>
      <c r="I1754" s="755"/>
      <c r="J1754" s="1867"/>
      <c r="K1754" s="1867"/>
      <c r="L1754" s="1310"/>
      <c r="M1754" s="1312"/>
      <c r="N1754" s="554"/>
      <c r="P1754" s="500"/>
    </row>
    <row r="1755" spans="1:16" s="303" customFormat="1" ht="16.5" customHeight="1" x14ac:dyDescent="0.25">
      <c r="A1755" s="2015"/>
      <c r="B1755" s="1242"/>
      <c r="C1755" s="3908" t="s">
        <v>3493</v>
      </c>
      <c r="D1755" s="666">
        <v>515000000</v>
      </c>
      <c r="E1755" s="1167">
        <f>D1755/D1654*100</f>
        <v>0.31396876991053529</v>
      </c>
      <c r="F1755" s="879"/>
      <c r="G1755" s="755"/>
      <c r="H1755" s="755"/>
      <c r="I1755" s="755"/>
      <c r="J1755" s="1867"/>
      <c r="K1755" s="1867"/>
      <c r="L1755" s="1310"/>
      <c r="M1755" s="1312"/>
      <c r="N1755" s="554"/>
      <c r="P1755" s="500"/>
    </row>
    <row r="1756" spans="1:16" s="303" customFormat="1" ht="17.25" customHeight="1" x14ac:dyDescent="0.25">
      <c r="A1756" s="2015"/>
      <c r="B1756" s="1242"/>
      <c r="C1756" s="3908" t="s">
        <v>3494</v>
      </c>
      <c r="D1756" s="666">
        <v>447600000</v>
      </c>
      <c r="E1756" s="1167">
        <f>D1756/D1654*100</f>
        <v>0.27287848817855459</v>
      </c>
      <c r="F1756" s="879"/>
      <c r="G1756" s="755"/>
      <c r="H1756" s="755"/>
      <c r="I1756" s="1111"/>
      <c r="J1756" s="1867"/>
      <c r="K1756" s="1867"/>
      <c r="L1756" s="1310"/>
      <c r="M1756" s="1312"/>
      <c r="N1756" s="554"/>
      <c r="P1756" s="500"/>
    </row>
    <row r="1757" spans="1:16" s="303" customFormat="1" ht="20.25" customHeight="1" x14ac:dyDescent="0.25">
      <c r="A1757" s="2015"/>
      <c r="B1757" s="1242"/>
      <c r="C1757" s="3908" t="s">
        <v>3495</v>
      </c>
      <c r="D1757" s="666">
        <v>222000000</v>
      </c>
      <c r="E1757" s="1167">
        <f>D1757/D1654*100</f>
        <v>0.1353418775148327</v>
      </c>
      <c r="F1757" s="879"/>
      <c r="G1757" s="755"/>
      <c r="H1757" s="755"/>
      <c r="I1757" s="755"/>
      <c r="J1757" s="1867"/>
      <c r="K1757" s="1867"/>
      <c r="L1757" s="1310"/>
      <c r="M1757" s="1312"/>
      <c r="N1757" s="554"/>
      <c r="P1757" s="500"/>
    </row>
    <row r="1758" spans="1:16" s="303" customFormat="1" ht="17.25" customHeight="1" x14ac:dyDescent="0.25">
      <c r="A1758" s="2015"/>
      <c r="B1758" s="1242"/>
      <c r="C1758" s="3908" t="s">
        <v>3496</v>
      </c>
      <c r="D1758" s="666">
        <v>178700000</v>
      </c>
      <c r="E1758" s="1167">
        <f>D1758/D1654*100</f>
        <v>0.1089441149184712</v>
      </c>
      <c r="F1758" s="879"/>
      <c r="G1758" s="755"/>
      <c r="H1758" s="755"/>
      <c r="I1758" s="755"/>
      <c r="J1758" s="1867"/>
      <c r="K1758" s="1867"/>
      <c r="L1758" s="1310"/>
      <c r="M1758" s="755"/>
      <c r="N1758" s="554"/>
      <c r="P1758" s="500"/>
    </row>
    <row r="1759" spans="1:16" s="303" customFormat="1" ht="17.25" customHeight="1" x14ac:dyDescent="0.25">
      <c r="A1759" s="2015"/>
      <c r="B1759" s="1242"/>
      <c r="C1759" s="3908" t="s">
        <v>3497</v>
      </c>
      <c r="D1759" s="666">
        <v>2123820000</v>
      </c>
      <c r="E1759" s="1167">
        <f>D1759/D1654*100</f>
        <v>1.294782821187171</v>
      </c>
      <c r="F1759" s="879"/>
      <c r="G1759" s="755"/>
      <c r="H1759" s="755"/>
      <c r="I1759" s="755"/>
      <c r="J1759" s="1871"/>
      <c r="K1759" s="1014"/>
      <c r="L1759" s="755"/>
      <c r="M1759" s="755"/>
      <c r="N1759" s="554"/>
      <c r="P1759" s="500"/>
    </row>
    <row r="1760" spans="1:16" s="303" customFormat="1" ht="19.5" customHeight="1" x14ac:dyDescent="0.25">
      <c r="A1760" s="2015"/>
      <c r="B1760" s="1242"/>
      <c r="C1760" s="3908" t="s">
        <v>3498</v>
      </c>
      <c r="D1760" s="666">
        <v>159000000</v>
      </c>
      <c r="E1760" s="1167">
        <f>D1760/D1654*100</f>
        <v>9.693404740927207E-2</v>
      </c>
      <c r="F1760" s="879"/>
      <c r="G1760" s="755"/>
      <c r="H1760" s="755"/>
      <c r="I1760" s="755"/>
      <c r="J1760" s="1871"/>
      <c r="K1760" s="1871"/>
      <c r="L1760" s="1310"/>
      <c r="M1760" s="1312"/>
      <c r="N1760" s="554"/>
      <c r="P1760" s="500"/>
    </row>
    <row r="1761" spans="1:16" s="303" customFormat="1" ht="12" customHeight="1" x14ac:dyDescent="0.25">
      <c r="A1761" s="2015"/>
      <c r="B1761" s="1242"/>
      <c r="C1761" s="3908"/>
      <c r="D1761" s="3510"/>
      <c r="E1761" s="1167"/>
      <c r="F1761" s="755"/>
      <c r="G1761" s="755"/>
      <c r="H1761" s="2174"/>
      <c r="I1761" s="1111"/>
      <c r="J1761" s="1753"/>
      <c r="K1761" s="1312"/>
      <c r="L1761" s="1323"/>
      <c r="M1761" s="1312"/>
      <c r="N1761" s="554"/>
      <c r="P1761" s="500"/>
    </row>
    <row r="1762" spans="1:16" s="303" customFormat="1" ht="15.75" customHeight="1" x14ac:dyDescent="0.25">
      <c r="A1762" s="2015"/>
      <c r="B1762" s="1305"/>
      <c r="C1762" s="3913" t="s">
        <v>346</v>
      </c>
      <c r="D1762" s="2659">
        <f>SUM(D1763+D1766)</f>
        <v>2581259100</v>
      </c>
      <c r="E1762" s="1075">
        <f>D1762/D1654*100</f>
        <v>1.5736596979560689</v>
      </c>
      <c r="F1762" s="765"/>
      <c r="G1762" s="765"/>
      <c r="H1762" s="765"/>
      <c r="I1762" s="1645"/>
      <c r="J1762" s="1773"/>
      <c r="K1762" s="1773"/>
      <c r="L1762" s="1726"/>
      <c r="M1762" s="1307"/>
      <c r="N1762" s="554"/>
      <c r="P1762" s="500"/>
    </row>
    <row r="1763" spans="1:16" s="303" customFormat="1" ht="14.25" customHeight="1" x14ac:dyDescent="0.25">
      <c r="A1763" s="2015"/>
      <c r="B1763" s="1242"/>
      <c r="C1763" s="3968" t="s">
        <v>347</v>
      </c>
      <c r="D1763" s="2260">
        <f>SUM(D1764)</f>
        <v>552655000</v>
      </c>
      <c r="E1763" s="1178">
        <f>D1763/D1654*100</f>
        <v>0.33692506899981922</v>
      </c>
      <c r="F1763" s="793"/>
      <c r="G1763" s="793"/>
      <c r="H1763" s="793"/>
      <c r="I1763" s="793"/>
      <c r="J1763" s="790"/>
      <c r="K1763" s="790"/>
      <c r="L1763" s="2176"/>
      <c r="M1763" s="1659"/>
      <c r="N1763" s="554"/>
      <c r="P1763" s="500"/>
    </row>
    <row r="1764" spans="1:16" s="303" customFormat="1" ht="16.5" customHeight="1" x14ac:dyDescent="0.25">
      <c r="A1764" s="2015"/>
      <c r="B1764" s="1242"/>
      <c r="C1764" s="3860" t="s">
        <v>3499</v>
      </c>
      <c r="D1764" s="4215">
        <v>552655000</v>
      </c>
      <c r="E1764" s="1167">
        <f>D1764/D1654*100</f>
        <v>0.33692506899981922</v>
      </c>
      <c r="F1764" s="879"/>
      <c r="G1764" s="802"/>
      <c r="H1764" s="802"/>
      <c r="I1764" s="802"/>
      <c r="J1764" s="1871"/>
      <c r="K1764" s="1871"/>
      <c r="L1764" s="1310"/>
      <c r="M1764" s="1312"/>
      <c r="N1764" s="554"/>
      <c r="P1764" s="500"/>
    </row>
    <row r="1765" spans="1:16" s="303" customFormat="1" ht="12" customHeight="1" x14ac:dyDescent="0.25">
      <c r="A1765" s="2015"/>
      <c r="B1765" s="1242"/>
      <c r="C1765" s="3917"/>
      <c r="D1765" s="2249"/>
      <c r="E1765" s="1177"/>
      <c r="F1765" s="755"/>
      <c r="G1765" s="802"/>
      <c r="H1765" s="880"/>
      <c r="I1765" s="1111"/>
      <c r="J1765" s="2180"/>
      <c r="K1765" s="2180"/>
      <c r="L1765" s="1312"/>
      <c r="M1765" s="1311"/>
      <c r="N1765" s="554"/>
      <c r="P1765" s="500"/>
    </row>
    <row r="1766" spans="1:16" s="303" customFormat="1" ht="21" customHeight="1" x14ac:dyDescent="0.25">
      <c r="A1766" s="2015"/>
      <c r="B1766" s="1242"/>
      <c r="C1766" s="3938" t="s">
        <v>675</v>
      </c>
      <c r="D1766" s="2243">
        <f>SUM(D1767:D1767)</f>
        <v>2028604100</v>
      </c>
      <c r="E1766" s="1166">
        <f>D1766/D1654*100</f>
        <v>1.2367346289562497</v>
      </c>
      <c r="F1766" s="753"/>
      <c r="G1766" s="753"/>
      <c r="H1766" s="753"/>
      <c r="I1766" s="1316"/>
      <c r="J1766" s="1872"/>
      <c r="K1766" s="1872"/>
      <c r="L1766" s="2176"/>
      <c r="M1766" s="1650"/>
      <c r="N1766" s="554"/>
      <c r="P1766" s="500"/>
    </row>
    <row r="1767" spans="1:16" s="303" customFormat="1" ht="16.5" customHeight="1" x14ac:dyDescent="0.25">
      <c r="A1767" s="2015"/>
      <c r="B1767" s="1242"/>
      <c r="C1767" s="3860" t="s">
        <v>676</v>
      </c>
      <c r="D1767" s="666">
        <v>2028604100</v>
      </c>
      <c r="E1767" s="1167">
        <f>D1767/D1654*100</f>
        <v>1.2367346289562497</v>
      </c>
      <c r="F1767" s="933"/>
      <c r="G1767" s="802"/>
      <c r="H1767" s="755"/>
      <c r="I1767" s="802"/>
      <c r="J1767" s="1871"/>
      <c r="K1767" s="1871"/>
      <c r="L1767" s="1310"/>
      <c r="M1767" s="1716"/>
      <c r="N1767" s="554"/>
      <c r="P1767" s="500"/>
    </row>
    <row r="1768" spans="1:16" s="303" customFormat="1" ht="12" customHeight="1" x14ac:dyDescent="0.25">
      <c r="A1768" s="2015"/>
      <c r="B1768" s="1242"/>
      <c r="C1768" s="3894"/>
      <c r="D1768" s="1094"/>
      <c r="E1768" s="1165"/>
      <c r="F1768" s="852"/>
      <c r="G1768" s="934"/>
      <c r="H1768" s="2174"/>
      <c r="I1768" s="2181"/>
      <c r="J1768" s="1311"/>
      <c r="K1768" s="1312"/>
      <c r="L1768" s="1323"/>
      <c r="M1768" s="2175"/>
      <c r="N1768" s="554"/>
      <c r="P1768" s="500"/>
    </row>
    <row r="1769" spans="1:16" s="303" customFormat="1" ht="15.75" customHeight="1" x14ac:dyDescent="0.25">
      <c r="A1769" s="2015"/>
      <c r="B1769" s="1305"/>
      <c r="C1769" s="3913" t="s">
        <v>349</v>
      </c>
      <c r="D1769" s="2239">
        <f>D1770+D1773+D1776+D1780+D1783</f>
        <v>31348490288</v>
      </c>
      <c r="E1769" s="765">
        <f>D1769/D1654*100</f>
        <v>19.11154744519558</v>
      </c>
      <c r="F1769" s="765"/>
      <c r="G1769" s="807"/>
      <c r="H1769" s="807"/>
      <c r="I1769" s="807"/>
      <c r="J1769" s="1773"/>
      <c r="K1769" s="1773"/>
      <c r="L1769" s="1726"/>
      <c r="M1769" s="765"/>
      <c r="N1769" s="554"/>
      <c r="P1769" s="500"/>
    </row>
    <row r="1770" spans="1:16" s="303" customFormat="1" ht="16.5" customHeight="1" x14ac:dyDescent="0.25">
      <c r="A1770" s="2015"/>
      <c r="B1770" s="1242"/>
      <c r="C1770" s="3968" t="s">
        <v>3500</v>
      </c>
      <c r="D1770" s="2260">
        <f>D1771</f>
        <v>7868999964</v>
      </c>
      <c r="E1770" s="795">
        <f>D1770/D1654*100</f>
        <v>4.7973208526662656</v>
      </c>
      <c r="F1770" s="795"/>
      <c r="G1770" s="793"/>
      <c r="H1770" s="793"/>
      <c r="I1770" s="793"/>
      <c r="J1770" s="1771"/>
      <c r="K1770" s="1771"/>
      <c r="L1770" s="2176"/>
      <c r="M1770" s="782"/>
      <c r="N1770" s="554"/>
      <c r="P1770" s="500"/>
    </row>
    <row r="1771" spans="1:16" s="303" customFormat="1" ht="16.5" customHeight="1" x14ac:dyDescent="0.25">
      <c r="A1771" s="2015"/>
      <c r="B1771" s="1242"/>
      <c r="C1771" s="3860" t="s">
        <v>3501</v>
      </c>
      <c r="D1771" s="666">
        <v>7868999964</v>
      </c>
      <c r="E1771" s="755">
        <f>D1771/D1654*100</f>
        <v>4.7973208526662656</v>
      </c>
      <c r="F1771" s="879"/>
      <c r="G1771" s="802"/>
      <c r="H1771" s="802"/>
      <c r="I1771" s="802"/>
      <c r="J1771" s="1871"/>
      <c r="K1771" s="1973"/>
      <c r="L1771" s="755"/>
      <c r="M1771" s="755"/>
      <c r="N1771" s="554"/>
      <c r="P1771" s="500"/>
    </row>
    <row r="1772" spans="1:16" s="303" customFormat="1" ht="12" customHeight="1" x14ac:dyDescent="0.25">
      <c r="A1772" s="2015"/>
      <c r="B1772" s="1242"/>
      <c r="C1772" s="3917"/>
      <c r="D1772" s="2249"/>
      <c r="E1772" s="755"/>
      <c r="F1772" s="755"/>
      <c r="G1772" s="802"/>
      <c r="H1772" s="802"/>
      <c r="I1772" s="802"/>
      <c r="J1772" s="771"/>
      <c r="K1772" s="1312"/>
      <c r="L1772" s="1312"/>
      <c r="M1772" s="1312"/>
      <c r="N1772" s="554"/>
      <c r="P1772" s="500"/>
    </row>
    <row r="1773" spans="1:16" s="303" customFormat="1" ht="18" customHeight="1" x14ac:dyDescent="0.25">
      <c r="A1773" s="2015"/>
      <c r="B1773" s="1242"/>
      <c r="C1773" s="3938" t="s">
        <v>3598</v>
      </c>
      <c r="D1773" s="2260">
        <f>D1774</f>
        <v>14338290332</v>
      </c>
      <c r="E1773" s="753">
        <f>D1773/D1654*100</f>
        <v>8.7413114138993411</v>
      </c>
      <c r="F1773" s="795"/>
      <c r="G1773" s="803"/>
      <c r="H1773" s="803"/>
      <c r="I1773" s="803"/>
      <c r="J1773" s="1771"/>
      <c r="K1773" s="1872"/>
      <c r="L1773" s="803"/>
      <c r="M1773" s="803"/>
      <c r="N1773" s="554"/>
      <c r="P1773" s="500"/>
    </row>
    <row r="1774" spans="1:16" s="303" customFormat="1" ht="17.25" customHeight="1" x14ac:dyDescent="0.25">
      <c r="A1774" s="2015"/>
      <c r="B1774" s="1242"/>
      <c r="C1774" s="3917" t="s">
        <v>3599</v>
      </c>
      <c r="D1774" s="4218">
        <v>14338290332</v>
      </c>
      <c r="E1774" s="755">
        <f>D1774/D1654*100</f>
        <v>8.7413114138993411</v>
      </c>
      <c r="F1774" s="879"/>
      <c r="G1774" s="802"/>
      <c r="H1774" s="802"/>
      <c r="I1774" s="802"/>
      <c r="J1774" s="1616"/>
      <c r="K1774" s="1904"/>
      <c r="L1774" s="802"/>
      <c r="M1774" s="802"/>
      <c r="N1774" s="554"/>
      <c r="P1774" s="500"/>
    </row>
    <row r="1775" spans="1:16" s="303" customFormat="1" ht="9.75" customHeight="1" x14ac:dyDescent="0.25">
      <c r="A1775" s="2015"/>
      <c r="B1775" s="1242"/>
      <c r="C1775" s="4001"/>
      <c r="D1775" s="784"/>
      <c r="E1775" s="755"/>
      <c r="F1775" s="805"/>
      <c r="G1775" s="805"/>
      <c r="H1775" s="805"/>
      <c r="I1775" s="805"/>
      <c r="J1775" s="1873"/>
      <c r="K1775" s="1873"/>
      <c r="L1775" s="805"/>
      <c r="M1775" s="805"/>
      <c r="N1775" s="554"/>
      <c r="P1775" s="500"/>
    </row>
    <row r="1776" spans="1:16" s="303" customFormat="1" ht="16.5" customHeight="1" x14ac:dyDescent="0.25">
      <c r="A1776" s="2015"/>
      <c r="B1776" s="1242"/>
      <c r="C1776" s="3938" t="s">
        <v>1582</v>
      </c>
      <c r="D1776" s="2243">
        <f>SUM(D1777:D1778)</f>
        <v>4881199992</v>
      </c>
      <c r="E1776" s="753">
        <f>D1776/D1654*100</f>
        <v>2.9758142857777763</v>
      </c>
      <c r="F1776" s="803"/>
      <c r="G1776" s="803"/>
      <c r="H1776" s="803"/>
      <c r="I1776" s="803"/>
      <c r="J1776" s="1872"/>
      <c r="K1776" s="1872"/>
      <c r="L1776" s="803"/>
      <c r="M1776" s="803"/>
      <c r="N1776" s="554"/>
      <c r="P1776" s="500"/>
    </row>
    <row r="1777" spans="1:17" s="303" customFormat="1" ht="17.25" customHeight="1" x14ac:dyDescent="0.25">
      <c r="A1777" s="2015"/>
      <c r="B1777" s="1242"/>
      <c r="C1777" s="3908" t="s">
        <v>1583</v>
      </c>
      <c r="D1777" s="4215">
        <v>4499700000</v>
      </c>
      <c r="E1777" s="755">
        <f>D1777/D1654*100</f>
        <v>2.7432335416823994</v>
      </c>
      <c r="F1777" s="879"/>
      <c r="G1777" s="802"/>
      <c r="H1777" s="802"/>
      <c r="I1777" s="802"/>
      <c r="J1777" s="1616"/>
      <c r="K1777" s="1904"/>
      <c r="L1777" s="802"/>
      <c r="M1777" s="802"/>
      <c r="N1777" s="554"/>
      <c r="P1777" s="500"/>
    </row>
    <row r="1778" spans="1:17" s="303" customFormat="1" ht="17.25" customHeight="1" x14ac:dyDescent="0.25">
      <c r="A1778" s="3423"/>
      <c r="B1778" s="1242"/>
      <c r="C1778" s="3908" t="s">
        <v>3600</v>
      </c>
      <c r="D1778" s="3510">
        <v>381499992</v>
      </c>
      <c r="E1778" s="755">
        <f>D1778/D1654*100</f>
        <v>0.2325807440953768</v>
      </c>
      <c r="F1778" s="879"/>
      <c r="G1778" s="802"/>
      <c r="H1778" s="802"/>
      <c r="I1778" s="802"/>
      <c r="J1778" s="1616"/>
      <c r="K1778" s="1904"/>
      <c r="L1778" s="802"/>
      <c r="M1778" s="802"/>
      <c r="N1778" s="554"/>
      <c r="P1778" s="500"/>
    </row>
    <row r="1779" spans="1:17" s="303" customFormat="1" ht="11.25" customHeight="1" x14ac:dyDescent="0.25">
      <c r="A1779" s="2015"/>
      <c r="B1779" s="1242"/>
      <c r="C1779" s="3908"/>
      <c r="D1779" s="3510"/>
      <c r="E1779" s="755"/>
      <c r="F1779" s="879"/>
      <c r="G1779" s="802"/>
      <c r="H1779" s="802"/>
      <c r="I1779" s="802"/>
      <c r="J1779" s="1616"/>
      <c r="K1779" s="1904"/>
      <c r="L1779" s="802"/>
      <c r="M1779" s="802"/>
      <c r="N1779" s="554"/>
      <c r="P1779" s="500"/>
    </row>
    <row r="1780" spans="1:17" s="303" customFormat="1" ht="17.25" customHeight="1" x14ac:dyDescent="0.25">
      <c r="A1780" s="2015"/>
      <c r="B1780" s="1242"/>
      <c r="C1780" s="3911" t="s">
        <v>3601</v>
      </c>
      <c r="D1780" s="4216">
        <f>D1781</f>
        <v>3750000000</v>
      </c>
      <c r="E1780" s="753">
        <f>D1780/D1654*100</f>
        <v>2.2861803634262277</v>
      </c>
      <c r="F1780" s="928"/>
      <c r="G1780" s="803"/>
      <c r="H1780" s="803"/>
      <c r="I1780" s="803"/>
      <c r="J1780" s="928"/>
      <c r="K1780" s="1872"/>
      <c r="L1780" s="803"/>
      <c r="M1780" s="803"/>
      <c r="N1780" s="554"/>
      <c r="P1780" s="500"/>
    </row>
    <row r="1781" spans="1:17" s="303" customFormat="1" ht="17.25" customHeight="1" x14ac:dyDescent="0.25">
      <c r="A1781" s="2015"/>
      <c r="B1781" s="1242"/>
      <c r="C1781" s="3860" t="s">
        <v>3602</v>
      </c>
      <c r="D1781" s="4215">
        <v>3750000000</v>
      </c>
      <c r="E1781" s="755">
        <f>D1781/D1654*100</f>
        <v>2.2861803634262277</v>
      </c>
      <c r="F1781" s="879"/>
      <c r="G1781" s="802"/>
      <c r="H1781" s="802"/>
      <c r="I1781" s="802"/>
      <c r="J1781" s="1616"/>
      <c r="K1781" s="1904"/>
      <c r="L1781" s="802"/>
      <c r="M1781" s="802"/>
      <c r="N1781" s="554"/>
      <c r="P1781" s="500"/>
    </row>
    <row r="1782" spans="1:17" s="303" customFormat="1" ht="9.75" customHeight="1" x14ac:dyDescent="0.25">
      <c r="A1782" s="3423"/>
      <c r="B1782" s="1242"/>
      <c r="C1782" s="3861"/>
      <c r="D1782" s="4190"/>
      <c r="E1782" s="798"/>
      <c r="F1782" s="2718"/>
      <c r="G1782" s="805"/>
      <c r="H1782" s="805"/>
      <c r="I1782" s="805"/>
      <c r="J1782" s="3453"/>
      <c r="K1782" s="2258"/>
      <c r="L1782" s="804"/>
      <c r="M1782" s="804"/>
      <c r="N1782" s="554"/>
      <c r="P1782" s="500"/>
    </row>
    <row r="1783" spans="1:17" s="303" customFormat="1" ht="17.25" customHeight="1" x14ac:dyDescent="0.25">
      <c r="A1783" s="3423"/>
      <c r="B1783" s="1242"/>
      <c r="C1783" s="3873" t="s">
        <v>3603</v>
      </c>
      <c r="D1783" s="4191">
        <f>D1784</f>
        <v>510000000</v>
      </c>
      <c r="E1783" s="753">
        <f>D1783/D1654*100</f>
        <v>0.31092052942596698</v>
      </c>
      <c r="F1783" s="2718"/>
      <c r="G1783" s="805"/>
      <c r="H1783" s="805"/>
      <c r="I1783" s="805"/>
      <c r="J1783" s="3453"/>
      <c r="K1783" s="2258"/>
      <c r="L1783" s="804"/>
      <c r="M1783" s="804"/>
      <c r="N1783" s="554"/>
      <c r="P1783" s="500"/>
    </row>
    <row r="1784" spans="1:17" s="303" customFormat="1" ht="17.25" customHeight="1" x14ac:dyDescent="0.25">
      <c r="A1784" s="3423"/>
      <c r="B1784" s="1242"/>
      <c r="C1784" s="3861" t="s">
        <v>3604</v>
      </c>
      <c r="D1784" s="4190">
        <v>510000000</v>
      </c>
      <c r="E1784" s="755">
        <f>D1784/D1654*100</f>
        <v>0.31092052942596698</v>
      </c>
      <c r="F1784" s="2718"/>
      <c r="G1784" s="805"/>
      <c r="H1784" s="805"/>
      <c r="I1784" s="805"/>
      <c r="J1784" s="3453"/>
      <c r="K1784" s="2258"/>
      <c r="L1784" s="804"/>
      <c r="M1784" s="804"/>
      <c r="N1784" s="554"/>
      <c r="P1784" s="500"/>
    </row>
    <row r="1785" spans="1:17" s="303" customFormat="1" ht="14.25" customHeight="1" x14ac:dyDescent="0.25">
      <c r="A1785" s="2015"/>
      <c r="B1785" s="1242"/>
      <c r="C1785" s="3861"/>
      <c r="D1785" s="4190"/>
      <c r="E1785" s="798"/>
      <c r="F1785" s="660"/>
      <c r="G1785" s="805"/>
      <c r="H1785" s="805"/>
      <c r="I1785" s="805"/>
      <c r="J1785" s="2182"/>
      <c r="K1785" s="2182"/>
      <c r="L1785" s="2182"/>
      <c r="M1785" s="2182"/>
      <c r="N1785" s="554"/>
      <c r="P1785" s="500"/>
    </row>
    <row r="1786" spans="1:17" s="303" customFormat="1" ht="17.25" customHeight="1" x14ac:dyDescent="0.25">
      <c r="A1786" s="2015"/>
      <c r="B1786" s="1305"/>
      <c r="C1786" s="3921" t="s">
        <v>686</v>
      </c>
      <c r="D1786" s="669">
        <f>D1787</f>
        <v>1655000000</v>
      </c>
      <c r="E1786" s="765">
        <f>D1786/D1654*100</f>
        <v>1.0089676003921086</v>
      </c>
      <c r="F1786" s="935"/>
      <c r="G1786" s="807"/>
      <c r="H1786" s="807"/>
      <c r="I1786" s="807"/>
      <c r="J1786" s="935"/>
      <c r="K1786" s="1781"/>
      <c r="L1786" s="807"/>
      <c r="M1786" s="807"/>
      <c r="N1786" s="554"/>
      <c r="P1786" s="4605"/>
    </row>
    <row r="1787" spans="1:17" s="303" customFormat="1" ht="17.25" customHeight="1" x14ac:dyDescent="0.25">
      <c r="A1787" s="2015"/>
      <c r="B1787" s="1242"/>
      <c r="C1787" s="3912" t="s">
        <v>687</v>
      </c>
      <c r="D1787" s="4219">
        <f>D1788</f>
        <v>1655000000</v>
      </c>
      <c r="E1787" s="766">
        <f>D1787/D1654*100</f>
        <v>1.0089676003921086</v>
      </c>
      <c r="F1787" s="936"/>
      <c r="G1787" s="937"/>
      <c r="H1787" s="937"/>
      <c r="I1787" s="937"/>
      <c r="J1787" s="1874"/>
      <c r="K1787" s="1975"/>
      <c r="L1787" s="937"/>
      <c r="M1787" s="937"/>
      <c r="N1787" s="554"/>
      <c r="P1787" s="500"/>
    </row>
    <row r="1788" spans="1:17" s="303" customFormat="1" ht="20.25" customHeight="1" x14ac:dyDescent="0.25">
      <c r="A1788" s="2015"/>
      <c r="B1788" s="1242"/>
      <c r="C1788" s="3908" t="s">
        <v>3502</v>
      </c>
      <c r="D1788" s="4215">
        <v>1655000000</v>
      </c>
      <c r="E1788" s="755">
        <f>D1788/D1654*100</f>
        <v>1.0089676003921086</v>
      </c>
      <c r="F1788" s="879"/>
      <c r="G1788" s="802"/>
      <c r="H1788" s="802"/>
      <c r="I1788" s="802"/>
      <c r="J1788" s="1616"/>
      <c r="K1788" s="1904"/>
      <c r="L1788" s="802"/>
      <c r="M1788" s="802"/>
      <c r="N1788" s="554"/>
      <c r="P1788" s="500"/>
    </row>
    <row r="1789" spans="1:17" ht="12" customHeight="1" x14ac:dyDescent="0.25">
      <c r="B1789" s="1242"/>
      <c r="C1789" s="3896"/>
      <c r="D1789" s="2256"/>
      <c r="E1789" s="827"/>
      <c r="F1789" s="827"/>
      <c r="G1789" s="804"/>
      <c r="H1789" s="804"/>
      <c r="I1789" s="804"/>
      <c r="J1789" s="2182"/>
      <c r="K1789" s="2182"/>
      <c r="L1789" s="2182"/>
      <c r="M1789" s="2182"/>
      <c r="N1789" s="535"/>
    </row>
    <row r="1790" spans="1:17" ht="18" customHeight="1" x14ac:dyDescent="0.25">
      <c r="B1790" s="1305"/>
      <c r="C1790" s="3913" t="s">
        <v>689</v>
      </c>
      <c r="D1790" s="2659">
        <f>D1791+D1794+D1797</f>
        <v>3172549000</v>
      </c>
      <c r="E1790" s="765">
        <f>D1790/D1654*100</f>
        <v>1.9341384602153375</v>
      </c>
      <c r="F1790" s="765"/>
      <c r="G1790" s="807"/>
      <c r="H1790" s="807"/>
      <c r="I1790" s="807"/>
      <c r="J1790" s="1773"/>
      <c r="K1790" s="1773"/>
      <c r="L1790" s="1726"/>
      <c r="M1790" s="1656"/>
      <c r="N1790" s="535"/>
      <c r="Q1790" s="219" t="s">
        <v>2398</v>
      </c>
    </row>
    <row r="1791" spans="1:17" ht="18" customHeight="1" x14ac:dyDescent="0.25">
      <c r="B1791" s="1242"/>
      <c r="C1791" s="3911" t="s">
        <v>690</v>
      </c>
      <c r="D1791" s="4177">
        <f>SUM(D1792:D1792)</f>
        <v>1569300000</v>
      </c>
      <c r="E1791" s="795">
        <f>D1791/D1654*100</f>
        <v>0.95672075848660787</v>
      </c>
      <c r="F1791" s="938"/>
      <c r="G1791" s="793"/>
      <c r="H1791" s="793"/>
      <c r="I1791" s="793"/>
      <c r="J1791" s="938"/>
      <c r="K1791" s="938"/>
      <c r="L1791" s="2176"/>
      <c r="M1791" s="2264"/>
      <c r="N1791" s="535"/>
    </row>
    <row r="1792" spans="1:17" ht="21" customHeight="1" x14ac:dyDescent="0.25">
      <c r="B1792" s="1242"/>
      <c r="C1792" s="3917" t="s">
        <v>691</v>
      </c>
      <c r="D1792" s="780">
        <v>1569300000</v>
      </c>
      <c r="E1792" s="755">
        <f>D1792/D1654*100</f>
        <v>0.95672075848660787</v>
      </c>
      <c r="F1792" s="755"/>
      <c r="G1792" s="802"/>
      <c r="H1792" s="802"/>
      <c r="I1792" s="802"/>
      <c r="J1792" s="1871"/>
      <c r="K1792" s="1904"/>
      <c r="L1792" s="802"/>
      <c r="M1792" s="802"/>
      <c r="N1792" s="535"/>
    </row>
    <row r="1793" spans="1:17" ht="9.75" customHeight="1" x14ac:dyDescent="0.25">
      <c r="B1793" s="1242"/>
      <c r="C1793" s="4002"/>
      <c r="D1793" s="2256"/>
      <c r="E1793" s="755"/>
      <c r="F1793" s="827"/>
      <c r="G1793" s="802"/>
      <c r="H1793" s="802"/>
      <c r="I1793" s="802"/>
      <c r="J1793" s="2250"/>
      <c r="K1793" s="2180"/>
      <c r="L1793" s="1648"/>
      <c r="M1793" s="1648"/>
      <c r="N1793" s="535"/>
    </row>
    <row r="1794" spans="1:17" ht="15.75" customHeight="1" x14ac:dyDescent="0.25">
      <c r="B1794" s="1242"/>
      <c r="C1794" s="3911" t="s">
        <v>694</v>
      </c>
      <c r="D1794" s="768">
        <f>D1795</f>
        <v>218349000</v>
      </c>
      <c r="E1794" s="753">
        <f>D1794/D1654*100</f>
        <v>0.13311605231300092</v>
      </c>
      <c r="F1794" s="753"/>
      <c r="G1794" s="803"/>
      <c r="H1794" s="803"/>
      <c r="I1794" s="803"/>
      <c r="J1794" s="1772"/>
      <c r="K1794" s="1772"/>
      <c r="L1794" s="2176"/>
      <c r="M1794" s="753"/>
      <c r="N1794" s="753"/>
      <c r="O1794" s="753">
        <f>O1795</f>
        <v>0</v>
      </c>
    </row>
    <row r="1795" spans="1:17" ht="17.25" customHeight="1" x14ac:dyDescent="0.25">
      <c r="B1795" s="1242"/>
      <c r="C1795" s="3908" t="s">
        <v>695</v>
      </c>
      <c r="D1795" s="4218">
        <v>218349000</v>
      </c>
      <c r="E1795" s="755">
        <f>D1795/D1654*100</f>
        <v>0.13311605231300092</v>
      </c>
      <c r="F1795" s="879"/>
      <c r="G1795" s="802"/>
      <c r="H1795" s="802"/>
      <c r="I1795" s="802"/>
      <c r="J1795" s="1875"/>
      <c r="K1795" s="1976"/>
      <c r="L1795" s="1310"/>
      <c r="M1795" s="1648"/>
      <c r="N1795" s="535"/>
    </row>
    <row r="1796" spans="1:17" ht="9.75" customHeight="1" x14ac:dyDescent="0.25">
      <c r="B1796" s="1242"/>
      <c r="C1796" s="3896"/>
      <c r="D1796" s="2256"/>
      <c r="E1796" s="755"/>
      <c r="F1796" s="827"/>
      <c r="G1796" s="802"/>
      <c r="H1796" s="802"/>
      <c r="I1796" s="802"/>
      <c r="J1796" s="2353"/>
      <c r="K1796" s="1753"/>
      <c r="L1796" s="1648"/>
      <c r="M1796" s="1648"/>
      <c r="N1796" s="535"/>
    </row>
    <row r="1797" spans="1:17" ht="16.5" customHeight="1" x14ac:dyDescent="0.25">
      <c r="B1797" s="1242"/>
      <c r="C1797" s="3911" t="s">
        <v>696</v>
      </c>
      <c r="D1797" s="2260">
        <f>SUM(D1798:D1799)</f>
        <v>1384900000</v>
      </c>
      <c r="E1797" s="753">
        <f>D1797/D1654*100</f>
        <v>0.84430164941572872</v>
      </c>
      <c r="F1797" s="795"/>
      <c r="G1797" s="803"/>
      <c r="H1797" s="803"/>
      <c r="I1797" s="803"/>
      <c r="J1797" s="1876"/>
      <c r="K1797" s="1772"/>
      <c r="L1797" s="2176"/>
      <c r="M1797" s="803"/>
      <c r="N1797" s="535"/>
    </row>
    <row r="1798" spans="1:17" ht="18.75" customHeight="1" x14ac:dyDescent="0.25">
      <c r="B1798" s="1242"/>
      <c r="C1798" s="3908" t="s">
        <v>3503</v>
      </c>
      <c r="D1798" s="4218">
        <v>609900000</v>
      </c>
      <c r="E1798" s="755">
        <f>D1798/D1654*100</f>
        <v>0.3718243743076417</v>
      </c>
      <c r="F1798" s="879"/>
      <c r="G1798" s="802"/>
      <c r="H1798" s="802"/>
      <c r="I1798" s="802"/>
      <c r="J1798" s="1877"/>
      <c r="K1798" s="1014"/>
      <c r="L1798" s="1310"/>
      <c r="M1798" s="802"/>
      <c r="N1798" s="535"/>
    </row>
    <row r="1799" spans="1:17" s="3024" customFormat="1" ht="14.25" customHeight="1" x14ac:dyDescent="0.25">
      <c r="A1799" s="352"/>
      <c r="B1799" s="1242"/>
      <c r="C1799" s="3908" t="s">
        <v>3504</v>
      </c>
      <c r="D1799" s="666">
        <v>775000000</v>
      </c>
      <c r="E1799" s="755">
        <f>D1799/D1654*100</f>
        <v>0.47247727510808707</v>
      </c>
      <c r="F1799" s="2718"/>
      <c r="G1799" s="805"/>
      <c r="H1799" s="805"/>
      <c r="I1799" s="805"/>
      <c r="J1799" s="1869"/>
      <c r="K1799" s="1014"/>
      <c r="L1799" s="1310"/>
      <c r="M1799" s="802"/>
      <c r="N1799" s="535"/>
      <c r="P1799" s="500"/>
    </row>
    <row r="1800" spans="1:17" ht="12" customHeight="1" x14ac:dyDescent="0.25">
      <c r="B1800" s="1242"/>
      <c r="C1800" s="3896"/>
      <c r="D1800" s="2256"/>
      <c r="E1800" s="853"/>
      <c r="F1800" s="897"/>
      <c r="G1800" s="940"/>
      <c r="H1800" s="940"/>
      <c r="I1800" s="940"/>
      <c r="J1800" s="2354"/>
      <c r="K1800" s="1315"/>
      <c r="L1800" s="1311"/>
      <c r="M1800" s="1311"/>
      <c r="N1800" s="535"/>
    </row>
    <row r="1801" spans="1:17" ht="18" customHeight="1" x14ac:dyDescent="0.25">
      <c r="B1801" s="1305"/>
      <c r="C1801" s="3921" t="s">
        <v>2074</v>
      </c>
      <c r="D1801" s="669">
        <f>D1802</f>
        <v>331390000</v>
      </c>
      <c r="E1801" s="765">
        <f>D1801/D1654*100</f>
        <v>0.20203128283621802</v>
      </c>
      <c r="F1801" s="935"/>
      <c r="G1801" s="888"/>
      <c r="H1801" s="1075"/>
      <c r="I1801" s="888"/>
      <c r="J1801" s="2355"/>
      <c r="K1801" s="2356"/>
      <c r="L1801" s="1726"/>
      <c r="M1801" s="1307"/>
      <c r="N1801" s="535"/>
      <c r="P1801" s="4605"/>
    </row>
    <row r="1802" spans="1:17" ht="19.5" customHeight="1" x14ac:dyDescent="0.25">
      <c r="B1802" s="1242"/>
      <c r="C1802" s="3461" t="s">
        <v>2075</v>
      </c>
      <c r="D1802" s="4220">
        <f>SUM(D1803:D1805)</f>
        <v>331390000</v>
      </c>
      <c r="E1802" s="766">
        <f>D1802/D1654*100</f>
        <v>0.20203128283621802</v>
      </c>
      <c r="F1802" s="941"/>
      <c r="G1802" s="884"/>
      <c r="H1802" s="2299"/>
      <c r="I1802" s="884"/>
      <c r="J1802" s="2357"/>
      <c r="K1802" s="2259"/>
      <c r="L1802" s="2176"/>
      <c r="M1802" s="2254"/>
      <c r="N1802" s="535"/>
    </row>
    <row r="1803" spans="1:17" ht="31.5" customHeight="1" x14ac:dyDescent="0.25">
      <c r="B1803" s="1242"/>
      <c r="C1803" s="3908" t="s">
        <v>2076</v>
      </c>
      <c r="D1803" s="4211">
        <v>101650000</v>
      </c>
      <c r="E1803" s="782">
        <f>D1803/D1654*100</f>
        <v>6.1970729051273619E-2</v>
      </c>
      <c r="F1803" s="918"/>
      <c r="G1803" s="878"/>
      <c r="H1803" s="1167"/>
      <c r="I1803" s="878"/>
      <c r="J1803" s="1878"/>
      <c r="K1803" s="1871"/>
      <c r="L1803" s="1310"/>
      <c r="M1803" s="1312"/>
      <c r="N1803" s="535"/>
    </row>
    <row r="1804" spans="1:17" s="3024" customFormat="1" ht="31.5" customHeight="1" x14ac:dyDescent="0.25">
      <c r="A1804" s="352"/>
      <c r="B1804" s="1242"/>
      <c r="C1804" s="3439" t="s">
        <v>3505</v>
      </c>
      <c r="D1804" s="4221">
        <v>93100000</v>
      </c>
      <c r="E1804" s="782">
        <f>D1804/D1654*100</f>
        <v>5.6758237822661817E-2</v>
      </c>
      <c r="F1804" s="3454"/>
      <c r="G1804" s="887"/>
      <c r="H1804" s="2358"/>
      <c r="I1804" s="887"/>
      <c r="J1804" s="3455"/>
      <c r="K1804" s="3456"/>
      <c r="L1804" s="2255"/>
      <c r="M1804" s="1703"/>
      <c r="N1804" s="535"/>
      <c r="P1804" s="500"/>
    </row>
    <row r="1805" spans="1:17" s="3024" customFormat="1" ht="14.25" customHeight="1" x14ac:dyDescent="0.25">
      <c r="A1805" s="352"/>
      <c r="B1805" s="1242"/>
      <c r="C1805" s="3908" t="s">
        <v>3506</v>
      </c>
      <c r="D1805" s="4222">
        <v>136640000</v>
      </c>
      <c r="E1805" s="782">
        <f>D1805/D1654*100</f>
        <v>8.3302315962282603E-2</v>
      </c>
      <c r="F1805" s="2733"/>
      <c r="G1805" s="878"/>
      <c r="H1805" s="1167"/>
      <c r="I1805" s="878"/>
      <c r="J1805" s="3452"/>
      <c r="K1805" s="3457"/>
      <c r="L1805" s="1310"/>
      <c r="M1805" s="1312"/>
      <c r="N1805" s="535"/>
      <c r="P1805" s="500"/>
    </row>
    <row r="1806" spans="1:17" ht="12" customHeight="1" x14ac:dyDescent="0.25">
      <c r="B1806" s="1242"/>
      <c r="C1806" s="3982"/>
      <c r="D1806" s="897"/>
      <c r="E1806" s="3458"/>
      <c r="F1806" s="3459"/>
      <c r="G1806" s="898"/>
      <c r="H1806" s="3460"/>
      <c r="I1806" s="898"/>
      <c r="J1806" s="2343"/>
      <c r="K1806" s="2343"/>
      <c r="L1806" s="2343"/>
      <c r="M1806" s="2343"/>
      <c r="N1806" s="535"/>
    </row>
    <row r="1807" spans="1:17" ht="15.75" customHeight="1" x14ac:dyDescent="0.25">
      <c r="B1807" s="1305"/>
      <c r="C1807" s="3921" t="s">
        <v>698</v>
      </c>
      <c r="D1807" s="2659">
        <f>SUM(D1808+D1811+D1814+D1832+D1823+D1828)</f>
        <v>6151755000</v>
      </c>
      <c r="E1807" s="765">
        <f>D1807/D1654*100</f>
        <v>3.7504057284290973</v>
      </c>
      <c r="F1807" s="743"/>
      <c r="G1807" s="888"/>
      <c r="H1807" s="1075"/>
      <c r="I1807" s="888"/>
      <c r="J1807" s="1770"/>
      <c r="K1807" s="1770"/>
      <c r="L1807" s="1726"/>
      <c r="M1807" s="1307"/>
      <c r="N1807" s="535"/>
      <c r="Q1807" s="219" t="s">
        <v>2398</v>
      </c>
    </row>
    <row r="1808" spans="1:17" ht="21" customHeight="1" x14ac:dyDescent="0.25">
      <c r="B1808" s="1242"/>
      <c r="C1808" s="3912" t="s">
        <v>266</v>
      </c>
      <c r="D1808" s="2024">
        <f>D1809</f>
        <v>48150000</v>
      </c>
      <c r="E1808" s="766">
        <f>D1808/D1654*100</f>
        <v>2.9354555866392764E-2</v>
      </c>
      <c r="F1808" s="792"/>
      <c r="G1808" s="896"/>
      <c r="H1808" s="1178"/>
      <c r="I1808" s="896"/>
      <c r="J1808" s="1805"/>
      <c r="K1808" s="1805"/>
      <c r="L1808" s="2176"/>
      <c r="M1808" s="1671"/>
      <c r="N1808" s="535"/>
    </row>
    <row r="1809" spans="1:16" ht="15.75" customHeight="1" x14ac:dyDescent="0.25">
      <c r="B1809" s="1242"/>
      <c r="C1809" s="3908" t="s">
        <v>3507</v>
      </c>
      <c r="D1809" s="4218">
        <v>48150000</v>
      </c>
      <c r="E1809" s="782">
        <f>D1809/D1654*100</f>
        <v>2.9354555866392764E-2</v>
      </c>
      <c r="F1809" s="942"/>
      <c r="G1809" s="878"/>
      <c r="H1809" s="1167"/>
      <c r="I1809" s="878"/>
      <c r="J1809" s="1818"/>
      <c r="K1809" s="1977"/>
      <c r="L1809" s="1310"/>
      <c r="M1809" s="1312"/>
      <c r="N1809" s="535"/>
    </row>
    <row r="1810" spans="1:16" ht="12" customHeight="1" x14ac:dyDescent="0.25">
      <c r="B1810" s="1242"/>
      <c r="C1810" s="3915"/>
      <c r="D1810" s="799"/>
      <c r="E1810" s="827"/>
      <c r="F1810" s="808"/>
      <c r="G1810" s="878"/>
      <c r="H1810" s="1167"/>
      <c r="I1810" s="878"/>
      <c r="J1810" s="1315"/>
      <c r="K1810" s="1315"/>
      <c r="L1810" s="1315"/>
      <c r="M1810" s="1311"/>
      <c r="N1810" s="535"/>
    </row>
    <row r="1811" spans="1:16" ht="16.5" customHeight="1" x14ac:dyDescent="0.25">
      <c r="B1811" s="1242"/>
      <c r="C1811" s="3882" t="s">
        <v>3508</v>
      </c>
      <c r="D1811" s="768">
        <f>D1812</f>
        <v>203203000</v>
      </c>
      <c r="E1811" s="753">
        <f>D1811/D1654*100</f>
        <v>0.12388232223714661</v>
      </c>
      <c r="F1811" s="761"/>
      <c r="G1811" s="877"/>
      <c r="H1811" s="1166"/>
      <c r="I1811" s="877"/>
      <c r="J1811" s="1805"/>
      <c r="K1811" s="1805"/>
      <c r="L1811" s="2176"/>
      <c r="M1811" s="1650"/>
      <c r="N1811" s="535"/>
    </row>
    <row r="1812" spans="1:16" ht="14.25" customHeight="1" x14ac:dyDescent="0.25">
      <c r="B1812" s="1242"/>
      <c r="C1812" s="3908" t="s">
        <v>3509</v>
      </c>
      <c r="D1812" s="4218">
        <v>203203000</v>
      </c>
      <c r="E1812" s="782">
        <f>D1812/D1654*100</f>
        <v>0.12388232223714661</v>
      </c>
      <c r="F1812" s="942"/>
      <c r="G1812" s="878"/>
      <c r="H1812" s="1167"/>
      <c r="I1812" s="878"/>
      <c r="J1812" s="1818"/>
      <c r="K1812" s="1977"/>
      <c r="L1812" s="1310"/>
      <c r="M1812" s="1312"/>
      <c r="N1812" s="535"/>
    </row>
    <row r="1813" spans="1:16" ht="10.5" customHeight="1" x14ac:dyDescent="0.25">
      <c r="B1813" s="1242"/>
      <c r="C1813" s="4003"/>
      <c r="E1813" s="827"/>
      <c r="F1813" s="943"/>
      <c r="G1813" s="878"/>
      <c r="H1813" s="1167"/>
      <c r="I1813" s="878"/>
      <c r="J1813" s="1879"/>
      <c r="K1813" s="1315"/>
      <c r="L1813" s="1315"/>
      <c r="M1813" s="1311"/>
      <c r="N1813" s="535"/>
    </row>
    <row r="1814" spans="1:16" ht="17.25" customHeight="1" x14ac:dyDescent="0.25">
      <c r="B1814" s="1242"/>
      <c r="C1814" s="3881" t="s">
        <v>3510</v>
      </c>
      <c r="D1814" s="768">
        <f>SUM(D1815:D1821)</f>
        <v>4691570000</v>
      </c>
      <c r="E1814" s="753">
        <f>D1814/D1654*100</f>
        <v>2.8602067220372236</v>
      </c>
      <c r="F1814" s="761"/>
      <c r="G1814" s="877"/>
      <c r="H1814" s="1166"/>
      <c r="I1814" s="877"/>
      <c r="J1814" s="1793"/>
      <c r="K1814" s="877"/>
      <c r="L1814" s="1166"/>
      <c r="M1814" s="877"/>
      <c r="N1814" s="535"/>
    </row>
    <row r="1815" spans="1:16" ht="17.25" customHeight="1" x14ac:dyDescent="0.25">
      <c r="B1815" s="1242"/>
      <c r="C1815" s="3908" t="s">
        <v>3511</v>
      </c>
      <c r="D1815" s="4218">
        <v>124650000</v>
      </c>
      <c r="E1815" s="782">
        <f>D1815/D1654*100</f>
        <v>7.599263528028781E-2</v>
      </c>
      <c r="F1815" s="942"/>
      <c r="G1815" s="878"/>
      <c r="H1815" s="1167"/>
      <c r="I1815" s="878"/>
      <c r="J1815" s="1818"/>
      <c r="K1815" s="878"/>
      <c r="L1815" s="1167"/>
      <c r="M1815" s="878"/>
      <c r="N1815" s="535"/>
    </row>
    <row r="1816" spans="1:16" s="1338" customFormat="1" ht="17.25" customHeight="1" x14ac:dyDescent="0.25">
      <c r="A1816" s="352"/>
      <c r="B1816" s="1242"/>
      <c r="C1816" s="4006" t="s">
        <v>3512</v>
      </c>
      <c r="D1816" s="1901">
        <v>421200000</v>
      </c>
      <c r="E1816" s="782">
        <f>D1816/D1654*100</f>
        <v>0.25678377842003391</v>
      </c>
      <c r="F1816" s="1340"/>
      <c r="G1816" s="878"/>
      <c r="H1816" s="1167"/>
      <c r="I1816" s="878"/>
      <c r="J1816" s="1819"/>
      <c r="K1816" s="1315"/>
      <c r="L1816" s="1315"/>
      <c r="M1816" s="1311"/>
      <c r="N1816" s="535"/>
      <c r="P1816" s="500"/>
    </row>
    <row r="1817" spans="1:16" s="1338" customFormat="1" ht="15.75" customHeight="1" x14ac:dyDescent="0.25">
      <c r="A1817" s="352"/>
      <c r="B1817" s="1242"/>
      <c r="C1817" s="1341" t="s">
        <v>3513</v>
      </c>
      <c r="D1817" s="780">
        <v>640000000</v>
      </c>
      <c r="E1817" s="782">
        <f>D1817/D1654*100</f>
        <v>0.39017478202474293</v>
      </c>
      <c r="F1817" s="878"/>
      <c r="G1817" s="878"/>
      <c r="H1817" s="1167"/>
      <c r="I1817" s="878"/>
      <c r="J1817" s="1867"/>
      <c r="K1817" s="878"/>
      <c r="L1817" s="1167"/>
      <c r="M1817" s="878"/>
      <c r="N1817" s="535"/>
      <c r="P1817" s="500"/>
    </row>
    <row r="1818" spans="1:16" ht="18.75" customHeight="1" x14ac:dyDescent="0.25">
      <c r="B1818" s="1242"/>
      <c r="C1818" s="4006" t="s">
        <v>3514</v>
      </c>
      <c r="D1818" s="799">
        <v>412300000</v>
      </c>
      <c r="E1818" s="782">
        <f>D1818/D1654*100</f>
        <v>0.25135791035750232</v>
      </c>
      <c r="F1818" s="808"/>
      <c r="G1818" s="882"/>
      <c r="H1818" s="2738"/>
      <c r="I1818" s="882"/>
      <c r="J1818" s="1785"/>
      <c r="K1818" s="1315"/>
      <c r="L1818" s="1315"/>
      <c r="M1818" s="1311"/>
      <c r="N1818" s="535"/>
    </row>
    <row r="1819" spans="1:16" s="3024" customFormat="1" ht="15.75" customHeight="1" x14ac:dyDescent="0.25">
      <c r="A1819" s="352"/>
      <c r="B1819" s="1242"/>
      <c r="C1819" s="4006" t="s">
        <v>3515</v>
      </c>
      <c r="D1819" s="780">
        <v>1773820000</v>
      </c>
      <c r="E1819" s="782">
        <f>D1819/D1654*100</f>
        <v>1.0814059872673898</v>
      </c>
      <c r="F1819" s="760"/>
      <c r="G1819" s="878"/>
      <c r="H1819" s="1167"/>
      <c r="I1819" s="878"/>
      <c r="J1819" s="1792"/>
      <c r="K1819" s="1315"/>
      <c r="L1819" s="1315"/>
      <c r="M1819" s="1311"/>
      <c r="N1819" s="535"/>
      <c r="P1819" s="500"/>
    </row>
    <row r="1820" spans="1:16" s="3024" customFormat="1" ht="15" customHeight="1" x14ac:dyDescent="0.25">
      <c r="A1820" s="352"/>
      <c r="B1820" s="1242"/>
      <c r="C1820" s="4006" t="s">
        <v>3516</v>
      </c>
      <c r="D1820" s="780">
        <v>1088300000</v>
      </c>
      <c r="E1820" s="782">
        <f>D1820/D1654*100</f>
        <v>0.66348002387113703</v>
      </c>
      <c r="F1820" s="760"/>
      <c r="G1820" s="878"/>
      <c r="H1820" s="1167"/>
      <c r="I1820" s="878"/>
      <c r="J1820" s="1792"/>
      <c r="K1820" s="1315"/>
      <c r="L1820" s="1315"/>
      <c r="M1820" s="1311"/>
      <c r="N1820" s="535"/>
      <c r="P1820" s="500"/>
    </row>
    <row r="1821" spans="1:16" s="3024" customFormat="1" ht="17.25" customHeight="1" x14ac:dyDescent="0.25">
      <c r="A1821" s="352"/>
      <c r="B1821" s="1242"/>
      <c r="C1821" s="4006" t="s">
        <v>3517</v>
      </c>
      <c r="D1821" s="780">
        <v>231300000</v>
      </c>
      <c r="E1821" s="782">
        <f>D1821/D1654*100</f>
        <v>0.14101160481612973</v>
      </c>
      <c r="F1821" s="760"/>
      <c r="G1821" s="878"/>
      <c r="H1821" s="1167"/>
      <c r="I1821" s="878"/>
      <c r="J1821" s="1792"/>
      <c r="K1821" s="1315"/>
      <c r="L1821" s="1315"/>
      <c r="M1821" s="1311"/>
      <c r="N1821" s="535"/>
      <c r="P1821" s="500"/>
    </row>
    <row r="1822" spans="1:16" s="3024" customFormat="1" ht="11.25" customHeight="1" x14ac:dyDescent="0.25">
      <c r="A1822" s="352"/>
      <c r="B1822" s="1242"/>
      <c r="C1822" s="4003"/>
      <c r="D1822" s="780"/>
      <c r="E1822" s="755"/>
      <c r="F1822" s="760"/>
      <c r="G1822" s="878"/>
      <c r="H1822" s="1167"/>
      <c r="I1822" s="878"/>
      <c r="J1822" s="1792"/>
      <c r="K1822" s="1315"/>
      <c r="L1822" s="1315"/>
      <c r="M1822" s="1311"/>
      <c r="N1822" s="535"/>
      <c r="P1822" s="500"/>
    </row>
    <row r="1823" spans="1:16" s="3024" customFormat="1" ht="18.75" customHeight="1" x14ac:dyDescent="0.25">
      <c r="A1823" s="352"/>
      <c r="B1823" s="1242"/>
      <c r="C1823" s="4007" t="s">
        <v>3518</v>
      </c>
      <c r="D1823" s="768">
        <f>SUM(D1824:D1826)</f>
        <v>476935000</v>
      </c>
      <c r="E1823" s="766">
        <f>D1823/D1654*100</f>
        <v>0.29076251510151679</v>
      </c>
      <c r="F1823" s="760"/>
      <c r="G1823" s="878"/>
      <c r="H1823" s="1167"/>
      <c r="I1823" s="878"/>
      <c r="J1823" s="1792"/>
      <c r="K1823" s="1315"/>
      <c r="L1823" s="1315"/>
      <c r="M1823" s="1311"/>
      <c r="N1823" s="535"/>
      <c r="P1823" s="500"/>
    </row>
    <row r="1824" spans="1:16" s="3024" customFormat="1" ht="17.25" customHeight="1" x14ac:dyDescent="0.25">
      <c r="A1824" s="352"/>
      <c r="B1824" s="1242"/>
      <c r="C1824" s="4006" t="s">
        <v>3519</v>
      </c>
      <c r="D1824" s="780">
        <v>168250000</v>
      </c>
      <c r="E1824" s="782">
        <f>D1824/D1654*100</f>
        <v>0.10257329230572343</v>
      </c>
      <c r="F1824" s="760"/>
      <c r="G1824" s="878"/>
      <c r="H1824" s="1167"/>
      <c r="I1824" s="878"/>
      <c r="J1824" s="1792"/>
      <c r="K1824" s="1315"/>
      <c r="L1824" s="1315"/>
      <c r="M1824" s="1311"/>
      <c r="N1824" s="535"/>
      <c r="P1824" s="500"/>
    </row>
    <row r="1825" spans="1:16" s="3024" customFormat="1" ht="19.5" customHeight="1" x14ac:dyDescent="0.25">
      <c r="A1825" s="352"/>
      <c r="B1825" s="1242"/>
      <c r="C1825" s="4006" t="s">
        <v>3520</v>
      </c>
      <c r="D1825" s="780">
        <v>264985000</v>
      </c>
      <c r="E1825" s="782">
        <f>D1825/D1654*100</f>
        <v>0.16154760096066639</v>
      </c>
      <c r="F1825" s="760"/>
      <c r="G1825" s="878"/>
      <c r="H1825" s="1167"/>
      <c r="I1825" s="878"/>
      <c r="J1825" s="1792"/>
      <c r="K1825" s="1315"/>
      <c r="L1825" s="1315"/>
      <c r="M1825" s="1311"/>
      <c r="N1825" s="535"/>
      <c r="P1825" s="500"/>
    </row>
    <row r="1826" spans="1:16" s="3024" customFormat="1" ht="27" customHeight="1" x14ac:dyDescent="0.25">
      <c r="A1826" s="352"/>
      <c r="B1826" s="1242"/>
      <c r="C1826" s="4006" t="s">
        <v>3521</v>
      </c>
      <c r="D1826" s="780">
        <v>43700000</v>
      </c>
      <c r="E1826" s="782">
        <f>D1826/D1654*100</f>
        <v>2.6641621835126975E-2</v>
      </c>
      <c r="F1826" s="760"/>
      <c r="G1826" s="878"/>
      <c r="H1826" s="1167"/>
      <c r="I1826" s="878"/>
      <c r="J1826" s="1792"/>
      <c r="K1826" s="1315"/>
      <c r="L1826" s="1315"/>
      <c r="M1826" s="1311"/>
      <c r="N1826" s="535"/>
      <c r="P1826" s="500"/>
    </row>
    <row r="1827" spans="1:16" s="3024" customFormat="1" ht="9" customHeight="1" x14ac:dyDescent="0.25">
      <c r="A1827" s="352"/>
      <c r="B1827" s="1242"/>
      <c r="C1827" s="4007"/>
      <c r="D1827" s="4223"/>
      <c r="E1827" s="755"/>
      <c r="F1827" s="760"/>
      <c r="G1827" s="878"/>
      <c r="H1827" s="1167"/>
      <c r="I1827" s="878"/>
      <c r="J1827" s="1792"/>
      <c r="K1827" s="1315"/>
      <c r="L1827" s="1315"/>
      <c r="M1827" s="1311"/>
      <c r="N1827" s="535"/>
      <c r="P1827" s="500"/>
    </row>
    <row r="1828" spans="1:16" s="3024" customFormat="1" ht="18" customHeight="1" x14ac:dyDescent="0.25">
      <c r="A1828" s="352"/>
      <c r="B1828" s="1242"/>
      <c r="C1828" s="4007" t="s">
        <v>3522</v>
      </c>
      <c r="D1828" s="768">
        <f>SUM(D1829:D1830)</f>
        <v>408850000</v>
      </c>
      <c r="E1828" s="766">
        <f>D1828/D1654*100</f>
        <v>0.24925462442315022</v>
      </c>
      <c r="F1828" s="760"/>
      <c r="G1828" s="878"/>
      <c r="H1828" s="1167"/>
      <c r="I1828" s="878"/>
      <c r="J1828" s="1792"/>
      <c r="K1828" s="1315"/>
      <c r="L1828" s="1315"/>
      <c r="M1828" s="1311"/>
      <c r="N1828" s="535"/>
      <c r="P1828" s="500"/>
    </row>
    <row r="1829" spans="1:16" s="3024" customFormat="1" ht="15.75" customHeight="1" x14ac:dyDescent="0.25">
      <c r="A1829" s="352"/>
      <c r="B1829" s="1242"/>
      <c r="C1829" s="4006" t="s">
        <v>3523</v>
      </c>
      <c r="D1829" s="780">
        <v>200000000</v>
      </c>
      <c r="E1829" s="782">
        <f>D1829/D1654*100</f>
        <v>0.12192961938273215</v>
      </c>
      <c r="F1829" s="760"/>
      <c r="G1829" s="878"/>
      <c r="H1829" s="1167"/>
      <c r="I1829" s="878"/>
      <c r="J1829" s="1792"/>
      <c r="K1829" s="1315"/>
      <c r="L1829" s="1315"/>
      <c r="M1829" s="1311"/>
      <c r="N1829" s="535"/>
      <c r="P1829" s="500"/>
    </row>
    <row r="1830" spans="1:16" s="3024" customFormat="1" ht="30.75" customHeight="1" x14ac:dyDescent="0.25">
      <c r="A1830" s="352"/>
      <c r="B1830" s="1242"/>
      <c r="C1830" s="4006" t="s">
        <v>3524</v>
      </c>
      <c r="D1830" s="780">
        <v>208850000</v>
      </c>
      <c r="E1830" s="782">
        <f>D1830/D1654*100</f>
        <v>0.12732500504041805</v>
      </c>
      <c r="F1830" s="760"/>
      <c r="G1830" s="878"/>
      <c r="H1830" s="1167"/>
      <c r="I1830" s="878"/>
      <c r="J1830" s="1792"/>
      <c r="K1830" s="1315"/>
      <c r="L1830" s="1315"/>
      <c r="M1830" s="1311"/>
      <c r="N1830" s="535"/>
      <c r="P1830" s="500"/>
    </row>
    <row r="1831" spans="1:16" s="3024" customFormat="1" ht="11.25" customHeight="1" x14ac:dyDescent="0.25">
      <c r="A1831" s="352"/>
      <c r="B1831" s="1242"/>
      <c r="C1831" s="4003"/>
      <c r="D1831" s="799"/>
      <c r="E1831" s="782"/>
      <c r="F1831" s="808"/>
      <c r="G1831" s="883"/>
      <c r="H1831" s="1168"/>
      <c r="I1831" s="883"/>
      <c r="J1831" s="1785"/>
      <c r="K1831" s="1315"/>
      <c r="L1831" s="1315"/>
      <c r="M1831" s="1311"/>
      <c r="N1831" s="535"/>
      <c r="P1831" s="500"/>
    </row>
    <row r="1832" spans="1:16" ht="19.5" customHeight="1" x14ac:dyDescent="0.25">
      <c r="B1832" s="1242"/>
      <c r="C1832" s="3881" t="s">
        <v>3525</v>
      </c>
      <c r="D1832" s="768">
        <f>D1833</f>
        <v>323047000</v>
      </c>
      <c r="E1832" s="766">
        <f>D1832/D1654*100</f>
        <v>0.19694498876366737</v>
      </c>
      <c r="F1832" s="761"/>
      <c r="G1832" s="877"/>
      <c r="H1832" s="1166"/>
      <c r="I1832" s="877"/>
      <c r="J1832" s="1793"/>
      <c r="K1832" s="1793"/>
      <c r="L1832" s="2176"/>
      <c r="M1832" s="1650"/>
      <c r="N1832" s="535"/>
    </row>
    <row r="1833" spans="1:16" ht="18" customHeight="1" x14ac:dyDescent="0.25">
      <c r="B1833" s="1242"/>
      <c r="C1833" s="3908" t="s">
        <v>3526</v>
      </c>
      <c r="D1833" s="4218">
        <v>323047000</v>
      </c>
      <c r="E1833" s="782">
        <f>D1833/D1654*100</f>
        <v>0.19694498876366737</v>
      </c>
      <c r="F1833" s="944"/>
      <c r="G1833" s="878"/>
      <c r="H1833" s="1167"/>
      <c r="I1833" s="878"/>
      <c r="J1833" s="1616"/>
      <c r="K1833" s="878"/>
      <c r="L1833" s="1167"/>
      <c r="M1833" s="878"/>
      <c r="N1833" s="535"/>
    </row>
    <row r="1834" spans="1:16" s="1338" customFormat="1" ht="12" customHeight="1" x14ac:dyDescent="0.25">
      <c r="A1834" s="352"/>
      <c r="B1834" s="1242"/>
      <c r="C1834" s="4004"/>
      <c r="D1834" s="799"/>
      <c r="E1834" s="1176"/>
      <c r="F1834" s="808"/>
      <c r="G1834" s="887"/>
      <c r="H1834" s="2358"/>
      <c r="I1834" s="2181"/>
      <c r="J1834" s="2182"/>
      <c r="K1834" s="2182"/>
      <c r="L1834" s="2182"/>
      <c r="M1834" s="2182"/>
      <c r="N1834" s="535"/>
      <c r="P1834" s="500"/>
    </row>
    <row r="1835" spans="1:16" ht="16.5" customHeight="1" x14ac:dyDescent="0.25">
      <c r="B1835" s="1305"/>
      <c r="C1835" s="3913" t="s">
        <v>2090</v>
      </c>
      <c r="D1835" s="2659">
        <f>SUM(D1836+D1841+D1848+D1855)</f>
        <v>9013550000</v>
      </c>
      <c r="E1835" s="765">
        <f>D1835/D1654*100</f>
        <v>5.4950936039361267</v>
      </c>
      <c r="F1835" s="765"/>
      <c r="G1835" s="765"/>
      <c r="H1835" s="765"/>
      <c r="I1835" s="765"/>
      <c r="J1835" s="1773"/>
      <c r="K1835" s="1773"/>
      <c r="L1835" s="1726"/>
      <c r="M1835" s="1307"/>
      <c r="N1835" s="535"/>
      <c r="P1835" s="4605"/>
    </row>
    <row r="1836" spans="1:16" ht="17.25" customHeight="1" x14ac:dyDescent="0.25">
      <c r="B1836" s="1242"/>
      <c r="C1836" s="3968" t="s">
        <v>3527</v>
      </c>
      <c r="D1836" s="2260">
        <f>SUM(D1837:D1839)</f>
        <v>328600000</v>
      </c>
      <c r="E1836" s="766">
        <f>D1836/D1654*100</f>
        <v>0.20033036464582893</v>
      </c>
      <c r="F1836" s="793"/>
      <c r="G1836" s="793"/>
      <c r="H1836" s="793"/>
      <c r="I1836" s="793"/>
      <c r="J1836" s="790"/>
      <c r="K1836" s="790"/>
      <c r="L1836" s="2176"/>
      <c r="M1836" s="1659"/>
      <c r="N1836" s="535"/>
    </row>
    <row r="1837" spans="1:16" ht="18.75" customHeight="1" x14ac:dyDescent="0.25">
      <c r="B1837" s="1242"/>
      <c r="C1837" s="3908" t="s">
        <v>3528</v>
      </c>
      <c r="D1837" s="4215">
        <v>71200000</v>
      </c>
      <c r="E1837" s="782">
        <f>D1837/D1654*100</f>
        <v>4.3406944500252648E-2</v>
      </c>
      <c r="F1837" s="921"/>
      <c r="G1837" s="755"/>
      <c r="H1837" s="755"/>
      <c r="I1837" s="755"/>
      <c r="J1837" s="1869"/>
      <c r="K1837" s="1871"/>
      <c r="L1837" s="1310"/>
      <c r="M1837" s="1312"/>
      <c r="N1837" s="535"/>
    </row>
    <row r="1838" spans="1:16" ht="15.75" customHeight="1" x14ac:dyDescent="0.25">
      <c r="B1838" s="1242"/>
      <c r="C1838" s="3908" t="s">
        <v>3529</v>
      </c>
      <c r="D1838" s="4215">
        <v>63000000</v>
      </c>
      <c r="E1838" s="782">
        <f>D1838/D1654*100</f>
        <v>3.8407830105560627E-2</v>
      </c>
      <c r="F1838" s="921"/>
      <c r="G1838" s="755"/>
      <c r="H1838" s="755"/>
      <c r="I1838" s="755"/>
      <c r="J1838" s="1869"/>
      <c r="K1838" s="1871"/>
      <c r="L1838" s="1310"/>
      <c r="M1838" s="1648"/>
      <c r="N1838" s="535"/>
    </row>
    <row r="1839" spans="1:16" ht="17.25" customHeight="1" x14ac:dyDescent="0.25">
      <c r="B1839" s="1242"/>
      <c r="C1839" s="3908" t="s">
        <v>3530</v>
      </c>
      <c r="D1839" s="4215">
        <v>194400000</v>
      </c>
      <c r="E1839" s="782">
        <f>D1839/D1654*100</f>
        <v>0.11851559004001566</v>
      </c>
      <c r="F1839" s="921"/>
      <c r="G1839" s="755"/>
      <c r="H1839" s="755"/>
      <c r="I1839" s="755"/>
      <c r="J1839" s="1869"/>
      <c r="K1839" s="1871"/>
      <c r="L1839" s="1310"/>
      <c r="M1839" s="1648"/>
      <c r="N1839" s="535"/>
    </row>
    <row r="1840" spans="1:16" ht="10.5" customHeight="1" x14ac:dyDescent="0.25">
      <c r="B1840" s="1242"/>
      <c r="C1840" s="3917"/>
      <c r="D1840" s="2249"/>
      <c r="E1840" s="766"/>
      <c r="F1840" s="802"/>
      <c r="G1840" s="755"/>
      <c r="H1840" s="755"/>
      <c r="I1840" s="755"/>
      <c r="J1840" s="1311"/>
      <c r="K1840" s="1311"/>
      <c r="L1840" s="1311"/>
      <c r="M1840" s="1311"/>
      <c r="N1840" s="535"/>
    </row>
    <row r="1841" spans="1:16" ht="19.5" customHeight="1" x14ac:dyDescent="0.25">
      <c r="B1841" s="1242"/>
      <c r="C1841" s="3938" t="s">
        <v>3531</v>
      </c>
      <c r="D1841" s="2243">
        <f>SUM(D1842:D1846)</f>
        <v>7055500000</v>
      </c>
      <c r="E1841" s="766">
        <f>D1841/D1654*100</f>
        <v>4.3013721477743339</v>
      </c>
      <c r="F1841" s="803"/>
      <c r="G1841" s="753"/>
      <c r="H1841" s="753"/>
      <c r="I1841" s="753"/>
      <c r="J1841" s="1872"/>
      <c r="K1841" s="1872"/>
      <c r="L1841" s="2176"/>
      <c r="M1841" s="1650"/>
      <c r="N1841" s="535"/>
    </row>
    <row r="1842" spans="1:16" ht="18.75" customHeight="1" x14ac:dyDescent="0.25">
      <c r="B1842" s="1242"/>
      <c r="C1842" s="3908" t="s">
        <v>3532</v>
      </c>
      <c r="D1842" s="4215">
        <v>109500000</v>
      </c>
      <c r="E1842" s="782">
        <f>D1842/D1654*100</f>
        <v>6.6756466612045859E-2</v>
      </c>
      <c r="F1842" s="921"/>
      <c r="G1842" s="755"/>
      <c r="H1842" s="755"/>
      <c r="I1842" s="755"/>
      <c r="J1842" s="1871"/>
      <c r="K1842" s="878"/>
      <c r="L1842" s="1167"/>
      <c r="M1842" s="878"/>
      <c r="N1842" s="535"/>
    </row>
    <row r="1843" spans="1:16" ht="18" customHeight="1" x14ac:dyDescent="0.25">
      <c r="B1843" s="1242"/>
      <c r="C1843" s="3908" t="s">
        <v>3533</v>
      </c>
      <c r="D1843" s="4215">
        <v>100000000</v>
      </c>
      <c r="E1843" s="782">
        <f>D1843/D1654*100</f>
        <v>6.0964809691366077E-2</v>
      </c>
      <c r="F1843" s="921"/>
      <c r="G1843" s="755"/>
      <c r="H1843" s="755"/>
      <c r="I1843" s="755"/>
      <c r="J1843" s="1871"/>
      <c r="K1843" s="878"/>
      <c r="L1843" s="1167"/>
      <c r="M1843" s="878"/>
      <c r="N1843" s="535"/>
    </row>
    <row r="1844" spans="1:16" ht="15.75" customHeight="1" x14ac:dyDescent="0.25">
      <c r="B1844" s="1242"/>
      <c r="C1844" s="3908" t="s">
        <v>3534</v>
      </c>
      <c r="D1844" s="4215">
        <v>4760000000</v>
      </c>
      <c r="E1844" s="782">
        <f>D1844/D1654*100</f>
        <v>2.9019249413090256</v>
      </c>
      <c r="F1844" s="921"/>
      <c r="G1844" s="755"/>
      <c r="H1844" s="755"/>
      <c r="I1844" s="755"/>
      <c r="J1844" s="1871"/>
      <c r="K1844" s="1871"/>
      <c r="L1844" s="1310"/>
      <c r="M1844" s="1312"/>
      <c r="N1844" s="535"/>
    </row>
    <row r="1845" spans="1:16" s="3024" customFormat="1" ht="17.25" customHeight="1" x14ac:dyDescent="0.25">
      <c r="A1845" s="352"/>
      <c r="B1845" s="1242"/>
      <c r="C1845" s="3908" t="s">
        <v>3535</v>
      </c>
      <c r="D1845" s="3510">
        <v>1906000000</v>
      </c>
      <c r="E1845" s="782">
        <f>D1845/D1654*100</f>
        <v>1.1619892727174375</v>
      </c>
      <c r="F1845" s="950"/>
      <c r="G1845" s="755"/>
      <c r="H1845" s="755"/>
      <c r="I1845" s="755"/>
      <c r="J1845" s="3457"/>
      <c r="K1845" s="3457"/>
      <c r="L1845" s="1310"/>
      <c r="M1845" s="1312"/>
      <c r="N1845" s="535"/>
      <c r="P1845" s="500"/>
    </row>
    <row r="1846" spans="1:16" s="3024" customFormat="1" ht="21" customHeight="1" x14ac:dyDescent="0.25">
      <c r="A1846" s="352"/>
      <c r="B1846" s="1242"/>
      <c r="C1846" s="3908" t="s">
        <v>3536</v>
      </c>
      <c r="D1846" s="3510">
        <v>180000000</v>
      </c>
      <c r="E1846" s="782">
        <f>D1846/D1654*100</f>
        <v>0.10973665744445893</v>
      </c>
      <c r="F1846" s="950"/>
      <c r="G1846" s="755"/>
      <c r="H1846" s="755"/>
      <c r="I1846" s="755"/>
      <c r="J1846" s="3457"/>
      <c r="K1846" s="3457"/>
      <c r="L1846" s="1310"/>
      <c r="M1846" s="1312"/>
      <c r="N1846" s="535"/>
      <c r="P1846" s="500"/>
    </row>
    <row r="1847" spans="1:16" s="3024" customFormat="1" ht="11.25" customHeight="1" x14ac:dyDescent="0.25">
      <c r="A1847" s="352"/>
      <c r="B1847" s="1242"/>
      <c r="C1847" s="3908"/>
      <c r="D1847" s="666"/>
      <c r="E1847" s="755"/>
      <c r="F1847" s="879"/>
      <c r="G1847" s="755"/>
      <c r="H1847" s="755"/>
      <c r="I1847" s="755"/>
      <c r="J1847" s="3457"/>
      <c r="K1847" s="3457"/>
      <c r="L1847" s="1310"/>
      <c r="M1847" s="1312"/>
      <c r="N1847" s="535"/>
      <c r="P1847" s="500"/>
    </row>
    <row r="1848" spans="1:16" s="3024" customFormat="1" ht="21" customHeight="1" x14ac:dyDescent="0.25">
      <c r="A1848" s="352"/>
      <c r="B1848" s="1242"/>
      <c r="C1848" s="3911" t="s">
        <v>3537</v>
      </c>
      <c r="D1848" s="673">
        <f>SUM(D1849:D1853)</f>
        <v>1520550000</v>
      </c>
      <c r="E1848" s="766">
        <f>D1848/D1654*100</f>
        <v>0.92700041376206688</v>
      </c>
      <c r="F1848" s="879"/>
      <c r="G1848" s="755"/>
      <c r="H1848" s="755"/>
      <c r="I1848" s="755"/>
      <c r="J1848" s="3457"/>
      <c r="K1848" s="3457"/>
      <c r="L1848" s="1310"/>
      <c r="M1848" s="1312"/>
      <c r="N1848" s="535"/>
      <c r="P1848" s="500"/>
    </row>
    <row r="1849" spans="1:16" s="3024" customFormat="1" ht="27.75" customHeight="1" x14ac:dyDescent="0.25">
      <c r="A1849" s="352"/>
      <c r="B1849" s="1242"/>
      <c r="C1849" s="3908" t="s">
        <v>3538</v>
      </c>
      <c r="D1849" s="666">
        <v>88000000</v>
      </c>
      <c r="E1849" s="782">
        <f>D1849/D1654*100</f>
        <v>5.3649032528402141E-2</v>
      </c>
      <c r="F1849" s="879"/>
      <c r="G1849" s="755"/>
      <c r="H1849" s="755"/>
      <c r="I1849" s="755"/>
      <c r="J1849" s="3457"/>
      <c r="K1849" s="3457"/>
      <c r="L1849" s="1310"/>
      <c r="M1849" s="1312"/>
      <c r="N1849" s="535"/>
      <c r="P1849" s="500"/>
    </row>
    <row r="1850" spans="1:16" s="3024" customFormat="1" ht="18" customHeight="1" x14ac:dyDescent="0.25">
      <c r="A1850" s="352"/>
      <c r="B1850" s="1242"/>
      <c r="C1850" s="3908" t="s">
        <v>3539</v>
      </c>
      <c r="D1850" s="666">
        <v>86800000</v>
      </c>
      <c r="E1850" s="782">
        <f>D1850/D1654*100</f>
        <v>5.2917454812105753E-2</v>
      </c>
      <c r="F1850" s="879"/>
      <c r="G1850" s="755"/>
      <c r="H1850" s="755"/>
      <c r="I1850" s="755"/>
      <c r="J1850" s="3457"/>
      <c r="K1850" s="3457"/>
      <c r="L1850" s="1310"/>
      <c r="M1850" s="1312"/>
      <c r="N1850" s="535"/>
      <c r="P1850" s="500"/>
    </row>
    <row r="1851" spans="1:16" s="3024" customFormat="1" ht="14.25" customHeight="1" x14ac:dyDescent="0.25">
      <c r="A1851" s="352"/>
      <c r="B1851" s="1242"/>
      <c r="C1851" s="3908" t="s">
        <v>3540</v>
      </c>
      <c r="D1851" s="666">
        <v>400000000</v>
      </c>
      <c r="E1851" s="782">
        <f>D1851/D1654*100</f>
        <v>0.24385923876546431</v>
      </c>
      <c r="F1851" s="879"/>
      <c r="G1851" s="755"/>
      <c r="H1851" s="755"/>
      <c r="I1851" s="755"/>
      <c r="J1851" s="3457"/>
      <c r="K1851" s="3457"/>
      <c r="L1851" s="1310"/>
      <c r="M1851" s="1312"/>
      <c r="N1851" s="535"/>
      <c r="P1851" s="500"/>
    </row>
    <row r="1852" spans="1:16" s="3024" customFormat="1" ht="13.5" customHeight="1" x14ac:dyDescent="0.25">
      <c r="A1852" s="352"/>
      <c r="B1852" s="1242"/>
      <c r="C1852" s="3908" t="s">
        <v>3541</v>
      </c>
      <c r="D1852" s="666">
        <v>88950000</v>
      </c>
      <c r="E1852" s="782">
        <f>D1852/D1654*100</f>
        <v>5.4228198220470127E-2</v>
      </c>
      <c r="F1852" s="879"/>
      <c r="G1852" s="755"/>
      <c r="H1852" s="755"/>
      <c r="I1852" s="755"/>
      <c r="J1852" s="3457"/>
      <c r="K1852" s="3457"/>
      <c r="L1852" s="1310"/>
      <c r="M1852" s="1312"/>
      <c r="N1852" s="535"/>
      <c r="P1852" s="500"/>
    </row>
    <row r="1853" spans="1:16" s="3024" customFormat="1" ht="16.5" customHeight="1" x14ac:dyDescent="0.25">
      <c r="A1853" s="352"/>
      <c r="B1853" s="1242"/>
      <c r="C1853" s="3908" t="s">
        <v>3542</v>
      </c>
      <c r="D1853" s="666">
        <v>856800000</v>
      </c>
      <c r="E1853" s="782">
        <f>D1853/D1654*100</f>
        <v>0.52234648943562456</v>
      </c>
      <c r="F1853" s="879"/>
      <c r="G1853" s="755"/>
      <c r="H1853" s="755"/>
      <c r="I1853" s="755"/>
      <c r="J1853" s="3457"/>
      <c r="K1853" s="3457"/>
      <c r="L1853" s="1310"/>
      <c r="M1853" s="1312"/>
      <c r="N1853" s="535"/>
      <c r="P1853" s="500"/>
    </row>
    <row r="1854" spans="1:16" s="3024" customFormat="1" ht="12" customHeight="1" x14ac:dyDescent="0.25">
      <c r="A1854" s="352"/>
      <c r="B1854" s="1242"/>
      <c r="C1854" s="3908"/>
      <c r="D1854" s="666"/>
      <c r="E1854" s="755"/>
      <c r="F1854" s="879"/>
      <c r="G1854" s="755"/>
      <c r="H1854" s="755"/>
      <c r="I1854" s="755"/>
      <c r="J1854" s="3457"/>
      <c r="K1854" s="3457"/>
      <c r="L1854" s="1310"/>
      <c r="M1854" s="1312"/>
      <c r="N1854" s="535"/>
      <c r="P1854" s="500"/>
    </row>
    <row r="1855" spans="1:16" s="3024" customFormat="1" ht="21" customHeight="1" x14ac:dyDescent="0.25">
      <c r="A1855" s="352"/>
      <c r="B1855" s="1242"/>
      <c r="C1855" s="3911" t="s">
        <v>3543</v>
      </c>
      <c r="D1855" s="673">
        <f>SUM(D1856:D1857)</f>
        <v>108900000</v>
      </c>
      <c r="E1855" s="766">
        <f>D1855/D1654*100</f>
        <v>6.6390677753897662E-2</v>
      </c>
      <c r="F1855" s="879"/>
      <c r="G1855" s="755"/>
      <c r="H1855" s="755"/>
      <c r="I1855" s="755"/>
      <c r="J1855" s="3457"/>
      <c r="K1855" s="3457"/>
      <c r="L1855" s="1310"/>
      <c r="M1855" s="1312"/>
      <c r="N1855" s="535"/>
      <c r="P1855" s="500"/>
    </row>
    <row r="1856" spans="1:16" s="3024" customFormat="1" ht="18" customHeight="1" x14ac:dyDescent="0.25">
      <c r="A1856" s="352"/>
      <c r="B1856" s="1242"/>
      <c r="C1856" s="3908" t="s">
        <v>3544</v>
      </c>
      <c r="D1856" s="666">
        <v>66900000</v>
      </c>
      <c r="E1856" s="782">
        <f>D1856/D1654*100</f>
        <v>4.0785457683523908E-2</v>
      </c>
      <c r="F1856" s="879"/>
      <c r="G1856" s="755"/>
      <c r="H1856" s="755"/>
      <c r="I1856" s="755"/>
      <c r="J1856" s="3457"/>
      <c r="K1856" s="3457"/>
      <c r="L1856" s="1310"/>
      <c r="M1856" s="1312"/>
      <c r="N1856" s="535"/>
      <c r="P1856" s="500"/>
    </row>
    <row r="1857" spans="1:16" s="3024" customFormat="1" ht="15.75" customHeight="1" x14ac:dyDescent="0.25">
      <c r="A1857" s="352"/>
      <c r="B1857" s="1242"/>
      <c r="C1857" s="3908" t="s">
        <v>3545</v>
      </c>
      <c r="D1857" s="666">
        <v>42000000</v>
      </c>
      <c r="E1857" s="782">
        <f>D1857/D1654*100</f>
        <v>2.5605220070373753E-2</v>
      </c>
      <c r="F1857" s="879"/>
      <c r="G1857" s="755"/>
      <c r="H1857" s="755"/>
      <c r="I1857" s="755"/>
      <c r="J1857" s="3457"/>
      <c r="K1857" s="3457"/>
      <c r="L1857" s="1310"/>
      <c r="M1857" s="1312"/>
      <c r="N1857" s="535"/>
      <c r="P1857" s="500"/>
    </row>
    <row r="1858" spans="1:16" ht="14.25" customHeight="1" x14ac:dyDescent="0.25">
      <c r="B1858" s="1242"/>
      <c r="C1858" s="3896"/>
      <c r="D1858" s="799"/>
      <c r="E1858" s="766"/>
      <c r="F1858" s="799"/>
      <c r="G1858" s="804"/>
      <c r="H1858" s="2255"/>
      <c r="I1858" s="2181"/>
      <c r="J1858" s="1312"/>
      <c r="K1858" s="1312"/>
      <c r="L1858" s="1311"/>
      <c r="M1858" s="1311"/>
      <c r="N1858" s="535"/>
    </row>
    <row r="1859" spans="1:16" ht="17.25" customHeight="1" x14ac:dyDescent="0.25">
      <c r="B1859" s="1305"/>
      <c r="C1859" s="3913" t="s">
        <v>2099</v>
      </c>
      <c r="D1859" s="2239">
        <f>D1860+D1864+D1868+D1874</f>
        <v>1817570000</v>
      </c>
      <c r="E1859" s="765">
        <f>D1859/D1654*100</f>
        <v>1.1080780915073625</v>
      </c>
      <c r="F1859" s="807"/>
      <c r="G1859" s="807"/>
      <c r="H1859" s="1462"/>
      <c r="I1859" s="1645"/>
      <c r="J1859" s="1781"/>
      <c r="K1859" s="1781"/>
      <c r="L1859" s="1726"/>
      <c r="M1859" s="1307"/>
      <c r="N1859" s="535"/>
      <c r="P1859" s="4605"/>
    </row>
    <row r="1860" spans="1:16" ht="20.25" customHeight="1" x14ac:dyDescent="0.25">
      <c r="B1860" s="1242"/>
      <c r="C1860" s="3914" t="s">
        <v>2100</v>
      </c>
      <c r="D1860" s="4224">
        <f>SUM(D1861:D1862)</f>
        <v>482670000</v>
      </c>
      <c r="E1860" s="766">
        <f>D1860/D1654*100</f>
        <v>0.29425884693731663</v>
      </c>
      <c r="F1860" s="945"/>
      <c r="G1860" s="793"/>
      <c r="H1860" s="793"/>
      <c r="I1860" s="793"/>
      <c r="J1860" s="945"/>
      <c r="K1860" s="945"/>
      <c r="L1860" s="2176"/>
      <c r="M1860" s="1671"/>
      <c r="N1860" s="535"/>
      <c r="P1860" s="4605"/>
    </row>
    <row r="1861" spans="1:16" ht="20.25" customHeight="1" x14ac:dyDescent="0.25">
      <c r="B1861" s="1242"/>
      <c r="C1861" s="3908" t="s">
        <v>3546</v>
      </c>
      <c r="D1861" s="4218">
        <v>238300000</v>
      </c>
      <c r="E1861" s="782">
        <f>D1861/D1654*100</f>
        <v>0.14527914149452537</v>
      </c>
      <c r="F1861" s="879"/>
      <c r="G1861" s="802"/>
      <c r="H1861" s="802"/>
      <c r="I1861" s="802"/>
      <c r="J1861" s="1616"/>
      <c r="K1861" s="1878"/>
      <c r="L1861" s="880"/>
      <c r="M1861" s="1312"/>
      <c r="N1861" s="535"/>
    </row>
    <row r="1862" spans="1:16" ht="16.5" customHeight="1" x14ac:dyDescent="0.25">
      <c r="B1862" s="1242"/>
      <c r="C1862" s="3908" t="s">
        <v>3547</v>
      </c>
      <c r="D1862" s="4218">
        <v>244370000</v>
      </c>
      <c r="E1862" s="782">
        <f>D1862/D1654*100</f>
        <v>0.14897970544279129</v>
      </c>
      <c r="F1862" s="879"/>
      <c r="G1862" s="802"/>
      <c r="H1862" s="802"/>
      <c r="I1862" s="802"/>
      <c r="J1862" s="1616"/>
      <c r="K1862" s="1878"/>
      <c r="L1862" s="880"/>
      <c r="M1862" s="1312"/>
      <c r="N1862" s="535"/>
    </row>
    <row r="1863" spans="1:16" ht="10.5" customHeight="1" x14ac:dyDescent="0.25">
      <c r="B1863" s="1242"/>
      <c r="C1863" s="3909"/>
      <c r="D1863" s="1901"/>
      <c r="E1863" s="782"/>
      <c r="F1863" s="946"/>
      <c r="G1863" s="802"/>
      <c r="H1863" s="802"/>
      <c r="I1863" s="802"/>
      <c r="J1863" s="1311"/>
      <c r="K1863" s="2354"/>
      <c r="L1863" s="1717"/>
      <c r="M1863" s="1311"/>
      <c r="N1863" s="535"/>
    </row>
    <row r="1864" spans="1:16" ht="18" customHeight="1" x14ac:dyDescent="0.25">
      <c r="B1864" s="1242"/>
      <c r="C1864" s="3882" t="s">
        <v>2103</v>
      </c>
      <c r="D1864" s="4214">
        <f>SUM(D1865:D1866)</f>
        <v>638910000</v>
      </c>
      <c r="E1864" s="1179">
        <f>D1864/D1654*100</f>
        <v>0.38951026559910701</v>
      </c>
      <c r="F1864" s="927"/>
      <c r="G1864" s="803"/>
      <c r="H1864" s="803"/>
      <c r="I1864" s="803"/>
      <c r="J1864" s="908"/>
      <c r="K1864" s="1734"/>
      <c r="L1864" s="2176"/>
      <c r="M1864" s="1650"/>
      <c r="N1864" s="535"/>
      <c r="P1864" s="4606"/>
    </row>
    <row r="1865" spans="1:16" ht="16.5" customHeight="1" x14ac:dyDescent="0.25">
      <c r="B1865" s="1242"/>
      <c r="C1865" s="3908" t="s">
        <v>3548</v>
      </c>
      <c r="D1865" s="4215">
        <v>428000000</v>
      </c>
      <c r="E1865" s="782">
        <f>D1865/D1654*100</f>
        <v>0.26092938547904682</v>
      </c>
      <c r="F1865" s="879"/>
      <c r="G1865" s="802"/>
      <c r="H1865" s="802"/>
      <c r="I1865" s="802"/>
      <c r="J1865" s="1616"/>
      <c r="K1865" s="1878"/>
      <c r="L1865" s="880"/>
      <c r="M1865" s="1312"/>
      <c r="N1865" s="535"/>
      <c r="P1865" s="4607"/>
    </row>
    <row r="1866" spans="1:16" ht="14.25" customHeight="1" x14ac:dyDescent="0.25">
      <c r="B1866" s="1242"/>
      <c r="C1866" s="3908" t="s">
        <v>3549</v>
      </c>
      <c r="D1866" s="4215">
        <v>210910000</v>
      </c>
      <c r="E1866" s="782">
        <f>D1866/D1654*100</f>
        <v>0.12858088012006019</v>
      </c>
      <c r="F1866" s="879"/>
      <c r="G1866" s="802"/>
      <c r="H1866" s="802"/>
      <c r="I1866" s="802"/>
      <c r="J1866" s="1616"/>
      <c r="K1866" s="1878"/>
      <c r="L1866" s="880"/>
      <c r="M1866" s="1312"/>
      <c r="N1866" s="535"/>
      <c r="P1866" s="4607"/>
    </row>
    <row r="1867" spans="1:16" ht="11.25" customHeight="1" x14ac:dyDescent="0.25">
      <c r="B1867" s="1242"/>
      <c r="C1867" s="3908"/>
      <c r="D1867" s="1901"/>
      <c r="E1867" s="782"/>
      <c r="F1867" s="946"/>
      <c r="G1867" s="802"/>
      <c r="H1867" s="1310"/>
      <c r="I1867" s="1111"/>
      <c r="J1867" s="1311"/>
      <c r="K1867" s="2354"/>
      <c r="L1867" s="1717"/>
      <c r="M1867" s="1311"/>
      <c r="N1867" s="535"/>
    </row>
    <row r="1868" spans="1:16" ht="18" customHeight="1" x14ac:dyDescent="0.25">
      <c r="B1868" s="1242"/>
      <c r="C1868" s="3882" t="s">
        <v>2106</v>
      </c>
      <c r="D1868" s="4214">
        <f>SUM(D1869:D1872)</f>
        <v>650390000</v>
      </c>
      <c r="E1868" s="766">
        <f>D1868/D1654*100</f>
        <v>0.39650902575167579</v>
      </c>
      <c r="F1868" s="927"/>
      <c r="G1868" s="927"/>
      <c r="H1868" s="1308"/>
      <c r="I1868" s="1316"/>
      <c r="J1868" s="908"/>
      <c r="K1868" s="1734"/>
      <c r="L1868" s="2176"/>
      <c r="M1868" s="1650"/>
      <c r="N1868" s="535"/>
    </row>
    <row r="1869" spans="1:16" ht="14.25" customHeight="1" x14ac:dyDescent="0.25">
      <c r="B1869" s="1242"/>
      <c r="C1869" s="3908" t="s">
        <v>3550</v>
      </c>
      <c r="D1869" s="4215">
        <v>65730000</v>
      </c>
      <c r="E1869" s="782">
        <f>D1869/D1654*100</f>
        <v>4.0072169410134924E-2</v>
      </c>
      <c r="F1869" s="879"/>
      <c r="G1869" s="802"/>
      <c r="H1869" s="802"/>
      <c r="I1869" s="802"/>
      <c r="J1869" s="1616"/>
      <c r="K1869" s="1878"/>
      <c r="L1869" s="880"/>
      <c r="M1869" s="1312"/>
      <c r="N1869" s="535"/>
    </row>
    <row r="1870" spans="1:16" ht="18" customHeight="1" x14ac:dyDescent="0.25">
      <c r="B1870" s="1242"/>
      <c r="C1870" s="3908" t="s">
        <v>3551</v>
      </c>
      <c r="D1870" s="4215">
        <v>87000000</v>
      </c>
      <c r="E1870" s="782">
        <f>D1870/D1654*100</f>
        <v>5.3039384431488493E-2</v>
      </c>
      <c r="F1870" s="879"/>
      <c r="G1870" s="802"/>
      <c r="H1870" s="1310"/>
      <c r="I1870" s="1111"/>
      <c r="J1870" s="1616"/>
      <c r="K1870" s="1878"/>
      <c r="L1870" s="880"/>
      <c r="M1870" s="1312"/>
      <c r="N1870" s="535"/>
    </row>
    <row r="1871" spans="1:16" ht="27" customHeight="1" x14ac:dyDescent="0.25">
      <c r="B1871" s="1242"/>
      <c r="C1871" s="3908" t="s">
        <v>3552</v>
      </c>
      <c r="D1871" s="780">
        <v>170830000</v>
      </c>
      <c r="E1871" s="782">
        <f>D1871/D1654*100</f>
        <v>0.10414618439576068</v>
      </c>
      <c r="F1871" s="780"/>
      <c r="G1871" s="755"/>
      <c r="H1871" s="880"/>
      <c r="I1871" s="666"/>
      <c r="J1871" s="1315"/>
      <c r="K1871" s="1315"/>
      <c r="L1871" s="1717"/>
      <c r="M1871" s="1315"/>
      <c r="N1871" s="535"/>
    </row>
    <row r="1872" spans="1:16" s="3024" customFormat="1" ht="16.5" customHeight="1" x14ac:dyDescent="0.25">
      <c r="A1872" s="352"/>
      <c r="B1872" s="1242"/>
      <c r="C1872" s="3908" t="s">
        <v>3553</v>
      </c>
      <c r="D1872" s="780">
        <v>326830000</v>
      </c>
      <c r="E1872" s="782">
        <f>D1872/D1654*100</f>
        <v>0.19925128751429175</v>
      </c>
      <c r="F1872" s="780"/>
      <c r="G1872" s="755"/>
      <c r="H1872" s="880"/>
      <c r="I1872" s="666"/>
      <c r="J1872" s="1315"/>
      <c r="K1872" s="1315"/>
      <c r="L1872" s="1717"/>
      <c r="M1872" s="1315"/>
      <c r="N1872" s="535"/>
      <c r="P1872" s="500"/>
    </row>
    <row r="1873" spans="1:16" s="3024" customFormat="1" ht="11.25" customHeight="1" x14ac:dyDescent="0.25">
      <c r="A1873" s="352"/>
      <c r="B1873" s="1242"/>
      <c r="C1873" s="3915"/>
      <c r="D1873" s="780"/>
      <c r="E1873" s="755"/>
      <c r="F1873" s="780"/>
      <c r="G1873" s="755"/>
      <c r="H1873" s="880"/>
      <c r="I1873" s="666"/>
      <c r="J1873" s="1315"/>
      <c r="K1873" s="1315"/>
      <c r="L1873" s="1717"/>
      <c r="M1873" s="1315"/>
      <c r="N1873" s="535"/>
      <c r="P1873" s="500"/>
    </row>
    <row r="1874" spans="1:16" s="3024" customFormat="1" ht="15.75" customHeight="1" x14ac:dyDescent="0.25">
      <c r="A1874" s="352"/>
      <c r="B1874" s="1242"/>
      <c r="C1874" s="3911" t="s">
        <v>3554</v>
      </c>
      <c r="D1874" s="768">
        <f>D1875</f>
        <v>45600000</v>
      </c>
      <c r="E1874" s="766">
        <f>D1874/D1654*100</f>
        <v>2.7799953219262933E-2</v>
      </c>
      <c r="F1874" s="780"/>
      <c r="G1874" s="755"/>
      <c r="H1874" s="880"/>
      <c r="I1874" s="666"/>
      <c r="J1874" s="1315"/>
      <c r="K1874" s="1315"/>
      <c r="L1874" s="1717"/>
      <c r="M1874" s="1315"/>
      <c r="N1874" s="535"/>
      <c r="P1874" s="500"/>
    </row>
    <row r="1875" spans="1:16" s="3024" customFormat="1" ht="17.25" customHeight="1" x14ac:dyDescent="0.25">
      <c r="A1875" s="352"/>
      <c r="B1875" s="1242"/>
      <c r="C1875" s="3908" t="s">
        <v>3555</v>
      </c>
      <c r="D1875" s="780">
        <v>45600000</v>
      </c>
      <c r="E1875" s="782">
        <f>D1875/D1654*100</f>
        <v>2.7799953219262933E-2</v>
      </c>
      <c r="F1875" s="780"/>
      <c r="G1875" s="755"/>
      <c r="H1875" s="880"/>
      <c r="I1875" s="666"/>
      <c r="J1875" s="1315"/>
      <c r="K1875" s="1315"/>
      <c r="L1875" s="1717"/>
      <c r="M1875" s="1315"/>
      <c r="N1875" s="535"/>
      <c r="P1875" s="500"/>
    </row>
    <row r="1876" spans="1:16" s="3024" customFormat="1" ht="12" customHeight="1" x14ac:dyDescent="0.25">
      <c r="A1876" s="352"/>
      <c r="B1876" s="1242"/>
      <c r="C1876" s="4004"/>
      <c r="D1876" s="2256"/>
      <c r="E1876" s="827"/>
      <c r="F1876" s="2256"/>
      <c r="G1876" s="804"/>
      <c r="H1876" s="2255"/>
      <c r="I1876" s="2181"/>
      <c r="J1876" s="2182"/>
      <c r="K1876" s="2182"/>
      <c r="L1876" s="1703"/>
      <c r="M1876" s="2182"/>
      <c r="N1876" s="535"/>
      <c r="P1876" s="500"/>
    </row>
    <row r="1877" spans="1:16" ht="18" customHeight="1" x14ac:dyDescent="0.25">
      <c r="B1877" s="1305"/>
      <c r="C1877" s="3913" t="s">
        <v>2109</v>
      </c>
      <c r="D1877" s="2239">
        <f>D1878+D1881+D1884+D1887</f>
        <v>6914162816</v>
      </c>
      <c r="E1877" s="765">
        <f>D1877/D1654*100</f>
        <v>4.2152062025255974</v>
      </c>
      <c r="F1877" s="807"/>
      <c r="G1877" s="807"/>
      <c r="H1877" s="1462"/>
      <c r="I1877" s="765"/>
      <c r="J1877" s="1781"/>
      <c r="K1877" s="1781"/>
      <c r="L1877" s="1726"/>
      <c r="M1877" s="1307"/>
      <c r="N1877" s="535"/>
    </row>
    <row r="1878" spans="1:16" ht="19.5" customHeight="1" x14ac:dyDescent="0.25">
      <c r="B1878" s="1242"/>
      <c r="C1878" s="3968" t="s">
        <v>330</v>
      </c>
      <c r="D1878" s="2260">
        <f>D1879</f>
        <v>878880000</v>
      </c>
      <c r="E1878" s="795">
        <f>D1878/D1654*100</f>
        <v>0.53580751941547822</v>
      </c>
      <c r="F1878" s="793"/>
      <c r="G1878" s="793"/>
      <c r="H1878" s="793"/>
      <c r="I1878" s="793"/>
      <c r="J1878" s="790"/>
      <c r="K1878" s="790"/>
      <c r="L1878" s="2176"/>
      <c r="M1878" s="1659"/>
      <c r="N1878" s="535"/>
    </row>
    <row r="1879" spans="1:16" ht="18.75" customHeight="1" x14ac:dyDescent="0.25">
      <c r="B1879" s="1242"/>
      <c r="C1879" s="3917" t="s">
        <v>3556</v>
      </c>
      <c r="D1879" s="4218">
        <v>878880000</v>
      </c>
      <c r="E1879" s="755">
        <f>D1879/D1654*100</f>
        <v>0.53580751941547822</v>
      </c>
      <c r="F1879" s="947"/>
      <c r="G1879" s="755"/>
      <c r="H1879" s="755"/>
      <c r="I1879" s="755"/>
      <c r="J1879" s="1880"/>
      <c r="K1879" s="1871"/>
      <c r="L1879" s="1310"/>
      <c r="M1879" s="1312"/>
      <c r="N1879" s="535"/>
    </row>
    <row r="1880" spans="1:16" ht="10.5" customHeight="1" x14ac:dyDescent="0.25">
      <c r="B1880" s="1242"/>
      <c r="C1880" s="3917"/>
      <c r="D1880" s="2249"/>
      <c r="E1880" s="755"/>
      <c r="F1880" s="948"/>
      <c r="G1880" s="755"/>
      <c r="H1880" s="1310"/>
      <c r="I1880" s="666"/>
      <c r="J1880" s="771"/>
      <c r="K1880" s="1311"/>
      <c r="L1880" s="1312"/>
      <c r="M1880" s="1311"/>
      <c r="N1880" s="535"/>
    </row>
    <row r="1881" spans="1:16" ht="16.5" customHeight="1" x14ac:dyDescent="0.25">
      <c r="B1881" s="1242"/>
      <c r="C1881" s="3938" t="s">
        <v>3557</v>
      </c>
      <c r="D1881" s="2243">
        <f>D1882</f>
        <v>527548000</v>
      </c>
      <c r="E1881" s="753">
        <f>D1881/D1654*100</f>
        <v>0.32161863423060794</v>
      </c>
      <c r="F1881" s="949"/>
      <c r="G1881" s="753"/>
      <c r="H1881" s="1308"/>
      <c r="I1881" s="793"/>
      <c r="J1881" s="1881"/>
      <c r="K1881" s="1772"/>
      <c r="L1881" s="2176"/>
      <c r="M1881" s="1650"/>
      <c r="N1881" s="535"/>
    </row>
    <row r="1882" spans="1:16" ht="16.5" customHeight="1" x14ac:dyDescent="0.25">
      <c r="B1882" s="1242"/>
      <c r="C1882" s="3860" t="s">
        <v>3558</v>
      </c>
      <c r="D1882" s="4215">
        <v>527548000</v>
      </c>
      <c r="E1882" s="755">
        <f>D1882/D1654*100</f>
        <v>0.32161863423060794</v>
      </c>
      <c r="F1882" s="950"/>
      <c r="G1882" s="755"/>
      <c r="H1882" s="1310"/>
      <c r="I1882" s="755"/>
      <c r="J1882" s="1869"/>
      <c r="K1882" s="1871"/>
      <c r="L1882" s="1310"/>
      <c r="M1882" s="1312"/>
      <c r="N1882" s="535"/>
    </row>
    <row r="1883" spans="1:16" ht="10.5" customHeight="1" x14ac:dyDescent="0.25">
      <c r="B1883" s="1242"/>
      <c r="C1883" s="4002"/>
      <c r="D1883" s="2257"/>
      <c r="E1883" s="755"/>
      <c r="F1883" s="951"/>
      <c r="G1883" s="859"/>
      <c r="H1883" s="2255"/>
      <c r="I1883" s="2181"/>
      <c r="J1883" s="2175"/>
      <c r="K1883" s="2175"/>
      <c r="L1883" s="1323"/>
      <c r="M1883" s="2175"/>
      <c r="N1883" s="535"/>
    </row>
    <row r="1884" spans="1:16" ht="15" customHeight="1" x14ac:dyDescent="0.25">
      <c r="B1884" s="1242"/>
      <c r="C1884" s="3911" t="s">
        <v>3559</v>
      </c>
      <c r="D1884" s="4225">
        <f>D1885</f>
        <v>1369296816</v>
      </c>
      <c r="E1884" s="753">
        <f>D1884/D1654*100</f>
        <v>0.83478919798433515</v>
      </c>
      <c r="F1884" s="952"/>
      <c r="G1884" s="753"/>
      <c r="H1884" s="753"/>
      <c r="I1884" s="753"/>
      <c r="J1884" s="952"/>
      <c r="K1884" s="952"/>
      <c r="L1884" s="2176"/>
      <c r="M1884" s="1650"/>
      <c r="N1884" s="535"/>
    </row>
    <row r="1885" spans="1:16" ht="18.75" customHeight="1" x14ac:dyDescent="0.25">
      <c r="B1885" s="1242"/>
      <c r="C1885" s="3908" t="s">
        <v>3560</v>
      </c>
      <c r="D1885" s="4218">
        <v>1369296816</v>
      </c>
      <c r="E1885" s="755">
        <f>D1885/D1654*100</f>
        <v>0.83478919798433515</v>
      </c>
      <c r="F1885" s="947"/>
      <c r="G1885" s="755"/>
      <c r="H1885" s="755"/>
      <c r="I1885" s="755"/>
      <c r="J1885" s="1616"/>
      <c r="K1885" s="1871"/>
      <c r="L1885" s="1310"/>
      <c r="M1885" s="1312"/>
      <c r="N1885" s="535"/>
    </row>
    <row r="1886" spans="1:16" ht="9.75" customHeight="1" x14ac:dyDescent="0.25">
      <c r="B1886" s="1242"/>
      <c r="C1886" s="3915"/>
      <c r="D1886" s="809"/>
      <c r="E1886" s="755"/>
      <c r="F1886" s="953"/>
      <c r="G1886" s="849"/>
      <c r="H1886" s="849"/>
      <c r="I1886" s="849"/>
      <c r="J1886" s="1315"/>
      <c r="K1886" s="1311"/>
      <c r="L1886" s="1312"/>
      <c r="M1886" s="1311"/>
      <c r="N1886" s="535"/>
    </row>
    <row r="1887" spans="1:16" ht="30.75" customHeight="1" x14ac:dyDescent="0.25">
      <c r="B1887" s="1242"/>
      <c r="C1887" s="3882" t="s">
        <v>3561</v>
      </c>
      <c r="D1887" s="768">
        <f>SUM(D1888:D1890)</f>
        <v>4138438000</v>
      </c>
      <c r="E1887" s="753">
        <f>D1887/D1654*100</f>
        <v>2.5229908508951766</v>
      </c>
      <c r="F1887" s="954"/>
      <c r="G1887" s="753"/>
      <c r="H1887" s="753"/>
      <c r="I1887" s="753"/>
      <c r="J1887" s="1882"/>
      <c r="K1887" s="1882"/>
      <c r="L1887" s="2176"/>
      <c r="M1887" s="1650"/>
      <c r="N1887" s="535"/>
    </row>
    <row r="1888" spans="1:16" ht="27" customHeight="1" x14ac:dyDescent="0.25">
      <c r="B1888" s="1242"/>
      <c r="C1888" s="3908" t="s">
        <v>3562</v>
      </c>
      <c r="D1888" s="4218">
        <v>329961000</v>
      </c>
      <c r="E1888" s="755">
        <f>D1888/D1654*100</f>
        <v>0.20116009570572843</v>
      </c>
      <c r="F1888" s="947"/>
      <c r="G1888" s="755"/>
      <c r="H1888" s="755"/>
      <c r="I1888" s="755"/>
      <c r="J1888" s="1878"/>
      <c r="K1888" s="1871"/>
      <c r="L1888" s="1310"/>
      <c r="M1888" s="1312"/>
      <c r="N1888" s="535"/>
    </row>
    <row r="1889" spans="1:16" s="1344" customFormat="1" ht="16.5" customHeight="1" x14ac:dyDescent="0.25">
      <c r="A1889" s="352"/>
      <c r="B1889" s="1242"/>
      <c r="C1889" s="4052" t="s">
        <v>3563</v>
      </c>
      <c r="D1889" s="780">
        <v>825052000</v>
      </c>
      <c r="E1889" s="755">
        <f>D1889/D1654*100</f>
        <v>0.50299138165480972</v>
      </c>
      <c r="F1889" s="755"/>
      <c r="G1889" s="755"/>
      <c r="H1889" s="755"/>
      <c r="I1889" s="755"/>
      <c r="J1889" s="1878"/>
      <c r="K1889" s="1014"/>
      <c r="L1889" s="802"/>
      <c r="M1889" s="755"/>
      <c r="N1889" s="535"/>
      <c r="P1889" s="500"/>
    </row>
    <row r="1890" spans="1:16" ht="17.25" customHeight="1" x14ac:dyDescent="0.25">
      <c r="B1890" s="1242"/>
      <c r="C1890" s="3896" t="s">
        <v>3564</v>
      </c>
      <c r="D1890" s="2256">
        <v>2983425000</v>
      </c>
      <c r="E1890" s="755">
        <f>D1890/D1654*100</f>
        <v>1.8188393735346384</v>
      </c>
      <c r="F1890" s="799"/>
      <c r="G1890" s="804"/>
      <c r="H1890" s="2255"/>
      <c r="I1890" s="2181"/>
      <c r="J1890" s="2182"/>
      <c r="K1890" s="2266"/>
      <c r="L1890" s="2266"/>
      <c r="M1890" s="2266"/>
      <c r="N1890" s="535"/>
    </row>
    <row r="1891" spans="1:16" s="3024" customFormat="1" ht="12" customHeight="1" x14ac:dyDescent="0.25">
      <c r="A1891" s="352"/>
      <c r="B1891" s="1242"/>
      <c r="C1891" s="3982"/>
      <c r="D1891" s="3462"/>
      <c r="E1891" s="853"/>
      <c r="F1891" s="3462"/>
      <c r="G1891" s="940"/>
      <c r="H1891" s="2328"/>
      <c r="I1891" s="3463"/>
      <c r="J1891" s="2343"/>
      <c r="K1891" s="2182"/>
      <c r="L1891" s="2182"/>
      <c r="M1891" s="2182"/>
      <c r="N1891" s="535"/>
      <c r="P1891" s="500"/>
    </row>
    <row r="1892" spans="1:16" ht="16.5" customHeight="1" x14ac:dyDescent="0.25">
      <c r="B1892" s="1305"/>
      <c r="C1892" s="3913" t="s">
        <v>350</v>
      </c>
      <c r="D1892" s="2239">
        <f>D1893+D1896</f>
        <v>1021000000</v>
      </c>
      <c r="E1892" s="765">
        <f>D1892/D1654*100</f>
        <v>0.62245070694884763</v>
      </c>
      <c r="F1892" s="807"/>
      <c r="G1892" s="807"/>
      <c r="H1892" s="807"/>
      <c r="I1892" s="807"/>
      <c r="J1892" s="1781"/>
      <c r="K1892" s="1781"/>
      <c r="L1892" s="1726"/>
      <c r="M1892" s="1656"/>
      <c r="N1892" s="535"/>
    </row>
    <row r="1893" spans="1:16" ht="16.5" customHeight="1" x14ac:dyDescent="0.25">
      <c r="B1893" s="1242"/>
      <c r="C1893" s="3912" t="s">
        <v>3565</v>
      </c>
      <c r="D1893" s="2260">
        <f>SUM(D1894:D1894)</f>
        <v>548750000</v>
      </c>
      <c r="E1893" s="795">
        <f>D1893/D1654*100</f>
        <v>0.33454439318137136</v>
      </c>
      <c r="F1893" s="793"/>
      <c r="G1893" s="793"/>
      <c r="H1893" s="793"/>
      <c r="I1893" s="793"/>
      <c r="J1893" s="790"/>
      <c r="K1893" s="790"/>
      <c r="L1893" s="2176"/>
      <c r="M1893" s="2264"/>
      <c r="N1893" s="535"/>
    </row>
    <row r="1894" spans="1:16" ht="19.5" customHeight="1" x14ac:dyDescent="0.25">
      <c r="B1894" s="1242"/>
      <c r="C1894" s="3908" t="s">
        <v>2118</v>
      </c>
      <c r="D1894" s="4215">
        <v>548750000</v>
      </c>
      <c r="E1894" s="755">
        <f>D1894/D1654*100</f>
        <v>0.33454439318137136</v>
      </c>
      <c r="F1894" s="879"/>
      <c r="G1894" s="802"/>
      <c r="H1894" s="802"/>
      <c r="I1894" s="802"/>
      <c r="J1894" s="1616"/>
      <c r="K1894" s="1878"/>
      <c r="L1894" s="880"/>
      <c r="M1894" s="1648"/>
      <c r="N1894" s="535"/>
    </row>
    <row r="1895" spans="1:16" ht="12" customHeight="1" x14ac:dyDescent="0.25">
      <c r="B1895" s="1242"/>
      <c r="C1895" s="3908"/>
      <c r="D1895" s="4226"/>
      <c r="E1895" s="755"/>
      <c r="F1895" s="931"/>
      <c r="G1895" s="802"/>
      <c r="H1895" s="802"/>
      <c r="I1895" s="802"/>
      <c r="J1895" s="1883"/>
      <c r="K1895" s="1315"/>
      <c r="L1895" s="1315"/>
      <c r="M1895" s="1315"/>
      <c r="N1895" s="535"/>
    </row>
    <row r="1896" spans="1:16" ht="16.5" customHeight="1" x14ac:dyDescent="0.25">
      <c r="B1896" s="1242"/>
      <c r="C1896" s="3882" t="s">
        <v>2121</v>
      </c>
      <c r="D1896" s="4216">
        <f>SUM(D1897:D1900)</f>
        <v>472250000</v>
      </c>
      <c r="E1896" s="753">
        <f>D1896/D1654*100</f>
        <v>0.28790631376747627</v>
      </c>
      <c r="F1896" s="955"/>
      <c r="G1896" s="803"/>
      <c r="H1896" s="803"/>
      <c r="I1896" s="803"/>
      <c r="J1896" s="928"/>
      <c r="K1896" s="1772"/>
      <c r="L1896" s="803"/>
      <c r="M1896" s="753"/>
      <c r="N1896" s="535"/>
    </row>
    <row r="1897" spans="1:16" ht="17.25" customHeight="1" x14ac:dyDescent="0.25">
      <c r="B1897" s="1242"/>
      <c r="C1897" s="3908" t="s">
        <v>2122</v>
      </c>
      <c r="D1897" s="4226">
        <v>58300000</v>
      </c>
      <c r="E1897" s="755">
        <f>D1897/D1654*100</f>
        <v>3.5542484050066422E-2</v>
      </c>
      <c r="F1897" s="931"/>
      <c r="G1897" s="802"/>
      <c r="H1897" s="802"/>
      <c r="I1897" s="802"/>
      <c r="J1897" s="1883"/>
      <c r="K1897" s="1014"/>
      <c r="L1897" s="802"/>
      <c r="M1897" s="755"/>
      <c r="N1897" s="535"/>
    </row>
    <row r="1898" spans="1:16" ht="15.75" customHeight="1" x14ac:dyDescent="0.25">
      <c r="B1898" s="1242"/>
      <c r="C1898" s="3908" t="s">
        <v>2123</v>
      </c>
      <c r="D1898" s="4226">
        <v>98500000</v>
      </c>
      <c r="E1898" s="755">
        <f>D1898/D1654*100</f>
        <v>6.0050337545995584E-2</v>
      </c>
      <c r="F1898" s="931"/>
      <c r="G1898" s="802"/>
      <c r="H1898" s="802"/>
      <c r="I1898" s="802"/>
      <c r="J1898" s="1883"/>
      <c r="K1898" s="1014"/>
      <c r="L1898" s="802"/>
      <c r="M1898" s="755"/>
      <c r="N1898" s="535"/>
    </row>
    <row r="1899" spans="1:16" ht="15.75" customHeight="1" x14ac:dyDescent="0.25">
      <c r="B1899" s="1242"/>
      <c r="C1899" s="3908" t="s">
        <v>2124</v>
      </c>
      <c r="D1899" s="4226">
        <v>80450000</v>
      </c>
      <c r="E1899" s="755">
        <f>D1899/D1654*100</f>
        <v>4.9046189396704014E-2</v>
      </c>
      <c r="F1899" s="931"/>
      <c r="G1899" s="802"/>
      <c r="H1899" s="802"/>
      <c r="I1899" s="802"/>
      <c r="J1899" s="1883"/>
      <c r="K1899" s="1014"/>
      <c r="L1899" s="802"/>
      <c r="M1899" s="755"/>
      <c r="N1899" s="535"/>
    </row>
    <row r="1900" spans="1:16" ht="27.75" customHeight="1" x14ac:dyDescent="0.25">
      <c r="B1900" s="1242"/>
      <c r="C1900" s="3908" t="s">
        <v>2125</v>
      </c>
      <c r="D1900" s="4226">
        <v>235000000</v>
      </c>
      <c r="E1900" s="755">
        <f>D1900/D1654*100</f>
        <v>0.14326730277471028</v>
      </c>
      <c r="F1900" s="931"/>
      <c r="G1900" s="802"/>
      <c r="H1900" s="802"/>
      <c r="I1900" s="802"/>
      <c r="J1900" s="1883"/>
      <c r="K1900" s="1014"/>
      <c r="L1900" s="802"/>
      <c r="M1900" s="755"/>
      <c r="N1900" s="535"/>
    </row>
    <row r="1901" spans="1:16" ht="12" customHeight="1" x14ac:dyDescent="0.25">
      <c r="B1901" s="1242"/>
      <c r="C1901" s="3916"/>
      <c r="D1901" s="4227"/>
      <c r="E1901" s="827"/>
      <c r="F1901" s="799"/>
      <c r="G1901" s="804"/>
      <c r="H1901" s="804"/>
      <c r="I1901" s="804"/>
      <c r="J1901" s="799"/>
      <c r="K1901" s="2182"/>
      <c r="L1901" s="2182"/>
      <c r="M1901" s="2182"/>
      <c r="N1901" s="535"/>
    </row>
    <row r="1902" spans="1:16" ht="17.25" customHeight="1" x14ac:dyDescent="0.25">
      <c r="B1902" s="1305"/>
      <c r="C1902" s="3913" t="s">
        <v>3566</v>
      </c>
      <c r="D1902" s="2659">
        <f>D1903</f>
        <v>409750000</v>
      </c>
      <c r="E1902" s="765">
        <f>D1902/D1654*100</f>
        <v>0.24980330771037251</v>
      </c>
      <c r="F1902" s="765"/>
      <c r="G1902" s="765"/>
      <c r="H1902" s="807"/>
      <c r="I1902" s="807"/>
      <c r="J1902" s="1773"/>
      <c r="K1902" s="1773"/>
      <c r="L1902" s="1726"/>
      <c r="M1902" s="1656"/>
      <c r="N1902" s="535"/>
    </row>
    <row r="1903" spans="1:16" ht="16.5" customHeight="1" x14ac:dyDescent="0.25">
      <c r="B1903" s="1242"/>
      <c r="C1903" s="3914" t="s">
        <v>3567</v>
      </c>
      <c r="D1903" s="4214">
        <f>D1904</f>
        <v>409750000</v>
      </c>
      <c r="E1903" s="795">
        <f>D1903/D1654*100</f>
        <v>0.24980330771037251</v>
      </c>
      <c r="F1903" s="909"/>
      <c r="G1903" s="793"/>
      <c r="H1903" s="793"/>
      <c r="I1903" s="793"/>
      <c r="J1903" s="909"/>
      <c r="K1903" s="909"/>
      <c r="L1903" s="2176"/>
      <c r="M1903" s="2264"/>
      <c r="N1903" s="535"/>
    </row>
    <row r="1904" spans="1:16" ht="19.5" customHeight="1" x14ac:dyDescent="0.25">
      <c r="B1904" s="1242"/>
      <c r="C1904" s="3908" t="s">
        <v>3568</v>
      </c>
      <c r="D1904" s="4215">
        <v>409750000</v>
      </c>
      <c r="E1904" s="755">
        <f>D1904/D1654*100</f>
        <v>0.24980330771037251</v>
      </c>
      <c r="F1904" s="879"/>
      <c r="G1904" s="802"/>
      <c r="H1904" s="802"/>
      <c r="I1904" s="802"/>
      <c r="J1904" s="1871"/>
      <c r="K1904" s="1871"/>
      <c r="L1904" s="1310"/>
      <c r="M1904" s="1648"/>
      <c r="N1904" s="535"/>
    </row>
    <row r="1905" spans="1:16" ht="12" customHeight="1" x14ac:dyDescent="0.25">
      <c r="B1905" s="1242"/>
      <c r="C1905" s="3896"/>
      <c r="D1905" s="2256"/>
      <c r="E1905" s="798"/>
      <c r="F1905" s="827"/>
      <c r="G1905" s="804"/>
      <c r="H1905" s="2255"/>
      <c r="I1905" s="2181"/>
      <c r="J1905" s="2300"/>
      <c r="K1905" s="2285"/>
      <c r="L1905" s="2175"/>
      <c r="M1905" s="2175"/>
      <c r="N1905" s="535"/>
    </row>
    <row r="1906" spans="1:16" ht="17.25" customHeight="1" x14ac:dyDescent="0.25">
      <c r="B1906" s="1305"/>
      <c r="C1906" s="3858" t="s">
        <v>3569</v>
      </c>
      <c r="D1906" s="669">
        <f>SUM(D1907+D1910)</f>
        <v>499451000</v>
      </c>
      <c r="E1906" s="765">
        <f>D1906/D1654*100</f>
        <v>0.30448935165162483</v>
      </c>
      <c r="F1906" s="1580"/>
      <c r="G1906" s="1580"/>
      <c r="H1906" s="1462"/>
      <c r="I1906" s="669"/>
      <c r="J1906" s="935"/>
      <c r="K1906" s="935"/>
      <c r="L1906" s="2317"/>
      <c r="M1906" s="2356"/>
      <c r="N1906" s="535"/>
    </row>
    <row r="1907" spans="1:16" ht="15.75" customHeight="1" x14ac:dyDescent="0.25">
      <c r="B1907" s="1242"/>
      <c r="C1907" s="4007" t="s">
        <v>3570</v>
      </c>
      <c r="D1907" s="2026">
        <f>D1908</f>
        <v>225843000</v>
      </c>
      <c r="E1907" s="795">
        <f>D1907/D1654*100</f>
        <v>0.1376847551512719</v>
      </c>
      <c r="F1907" s="3464"/>
      <c r="G1907" s="937"/>
      <c r="H1907" s="2303"/>
      <c r="I1907" s="1660"/>
      <c r="J1907" s="3465"/>
      <c r="K1907" s="3465"/>
      <c r="L1907" s="2303"/>
      <c r="M1907" s="1705"/>
      <c r="N1907" s="535"/>
    </row>
    <row r="1908" spans="1:16" ht="20.25" customHeight="1" x14ac:dyDescent="0.25">
      <c r="B1908" s="1242"/>
      <c r="C1908" s="4006" t="s">
        <v>3571</v>
      </c>
      <c r="D1908" s="780">
        <v>225843000</v>
      </c>
      <c r="E1908" s="755">
        <f>D1908/D1654*100</f>
        <v>0.1376847551512719</v>
      </c>
      <c r="F1908" s="924"/>
      <c r="G1908" s="802"/>
      <c r="H1908" s="1310"/>
      <c r="I1908" s="1111"/>
      <c r="J1908" s="771"/>
      <c r="K1908" s="1315"/>
      <c r="L1908" s="1311"/>
      <c r="M1908" s="1311"/>
      <c r="N1908" s="535"/>
    </row>
    <row r="1909" spans="1:16" ht="11.25" customHeight="1" x14ac:dyDescent="0.25">
      <c r="B1909" s="1242"/>
      <c r="C1909" s="4005"/>
      <c r="D1909" s="768"/>
      <c r="E1909" s="755"/>
      <c r="F1909" s="925"/>
      <c r="G1909" s="803"/>
      <c r="H1909" s="793"/>
      <c r="I1909" s="793"/>
      <c r="J1909" s="1868"/>
      <c r="K1909" s="1868"/>
      <c r="L1909" s="2176"/>
      <c r="M1909" s="1650"/>
      <c r="N1909" s="535"/>
    </row>
    <row r="1910" spans="1:16" ht="18.75" customHeight="1" x14ac:dyDescent="0.25">
      <c r="B1910" s="1242"/>
      <c r="C1910" s="3911" t="s">
        <v>3572</v>
      </c>
      <c r="D1910" s="4228">
        <f>SUM(D1911:D1912)</f>
        <v>273608000</v>
      </c>
      <c r="E1910" s="753">
        <f>D1910/D1654*100</f>
        <v>0.1668045965003529</v>
      </c>
      <c r="F1910" s="879"/>
      <c r="G1910" s="802"/>
      <c r="H1910" s="802"/>
      <c r="I1910" s="802"/>
      <c r="J1910" s="1014"/>
      <c r="K1910" s="1014"/>
      <c r="L1910" s="755"/>
      <c r="M1910" s="755"/>
      <c r="N1910" s="535"/>
    </row>
    <row r="1911" spans="1:16" ht="15.75" customHeight="1" x14ac:dyDescent="0.25">
      <c r="B1911" s="1242"/>
      <c r="C1911" s="3908" t="s">
        <v>3573</v>
      </c>
      <c r="D1911" s="4218">
        <v>131151000</v>
      </c>
      <c r="E1911" s="755">
        <f>D1911/D1654*100</f>
        <v>7.9955957558323534E-2</v>
      </c>
      <c r="F1911" s="879"/>
      <c r="G1911" s="802"/>
      <c r="H1911" s="802"/>
      <c r="I1911" s="802"/>
      <c r="J1911" s="1867"/>
      <c r="K1911" s="1867"/>
      <c r="L1911" s="1310"/>
      <c r="M1911" s="1312"/>
      <c r="N1911" s="535"/>
    </row>
    <row r="1912" spans="1:16" ht="28.5" customHeight="1" x14ac:dyDescent="0.25">
      <c r="B1912" s="1242"/>
      <c r="C1912" s="4006" t="s">
        <v>3574</v>
      </c>
      <c r="D1912" s="780">
        <v>142457000</v>
      </c>
      <c r="E1912" s="755">
        <f>D1912/D1654*100</f>
        <v>8.6848638942029377E-2</v>
      </c>
      <c r="F1912" s="924"/>
      <c r="G1912" s="802"/>
      <c r="H1912" s="1310"/>
      <c r="I1912" s="1111"/>
      <c r="J1912" s="771"/>
      <c r="K1912" s="1315"/>
      <c r="L1912" s="1311"/>
      <c r="M1912" s="1311"/>
      <c r="N1912" s="535"/>
    </row>
    <row r="1913" spans="1:16" ht="16.5" customHeight="1" x14ac:dyDescent="0.25">
      <c r="B1913" s="1242"/>
      <c r="C1913" s="4068"/>
      <c r="D1913" s="2280"/>
      <c r="E1913" s="857"/>
      <c r="F1913" s="3466"/>
      <c r="G1913" s="1018"/>
      <c r="H1913" s="793"/>
      <c r="I1913" s="793"/>
      <c r="J1913" s="3265"/>
      <c r="K1913" s="3265"/>
      <c r="L1913" s="2449"/>
      <c r="M1913" s="775"/>
      <c r="N1913" s="536"/>
    </row>
    <row r="1914" spans="1:16" ht="18.75" customHeight="1" x14ac:dyDescent="0.25">
      <c r="B1914" s="1305"/>
      <c r="C1914" s="3921" t="s">
        <v>3575</v>
      </c>
      <c r="D1914" s="669">
        <f>SUM(D1915+D1919)</f>
        <v>375000000</v>
      </c>
      <c r="E1914" s="765">
        <f>D1914/D1654*100</f>
        <v>0.22861803634262279</v>
      </c>
      <c r="F1914" s="3468"/>
      <c r="G1914" s="2226"/>
      <c r="H1914" s="2226"/>
      <c r="I1914" s="2226"/>
      <c r="J1914" s="3469"/>
      <c r="K1914" s="3469"/>
      <c r="L1914" s="3470"/>
      <c r="M1914" s="3471"/>
      <c r="N1914" s="584"/>
    </row>
    <row r="1915" spans="1:16" ht="19.5" customHeight="1" x14ac:dyDescent="0.25">
      <c r="B1915" s="1242"/>
      <c r="C1915" s="4007" t="s">
        <v>3576</v>
      </c>
      <c r="D1915" s="4229">
        <f>SUM(D1916:D1917)</f>
        <v>275000000</v>
      </c>
      <c r="E1915" s="795">
        <f>D1915/D1654*100</f>
        <v>0.1676532266512567</v>
      </c>
      <c r="F1915" s="3467"/>
      <c r="G1915" s="937"/>
      <c r="H1915" s="937"/>
      <c r="I1915" s="937"/>
      <c r="J1915" s="3465"/>
      <c r="K1915" s="3465"/>
      <c r="L1915" s="2303"/>
      <c r="M1915" s="1705"/>
      <c r="N1915" s="579"/>
    </row>
    <row r="1916" spans="1:16" s="3024" customFormat="1" ht="18" customHeight="1" x14ac:dyDescent="0.25">
      <c r="A1916" s="352"/>
      <c r="B1916" s="1242"/>
      <c r="C1916" s="3908" t="s">
        <v>3577</v>
      </c>
      <c r="D1916" s="666">
        <v>200000000</v>
      </c>
      <c r="E1916" s="755">
        <f>D1916/D1654*100</f>
        <v>0.12192961938273215</v>
      </c>
      <c r="F1916" s="879"/>
      <c r="G1916" s="755"/>
      <c r="H1916" s="755"/>
      <c r="I1916" s="755"/>
      <c r="J1916" s="1867"/>
      <c r="K1916" s="1867"/>
      <c r="L1916" s="880"/>
      <c r="M1916" s="1717"/>
      <c r="N1916" s="579"/>
      <c r="P1916" s="500"/>
    </row>
    <row r="1917" spans="1:16" s="3024" customFormat="1" ht="16.5" customHeight="1" x14ac:dyDescent="0.25">
      <c r="A1917" s="352"/>
      <c r="B1917" s="1242"/>
      <c r="C1917" s="3908" t="s">
        <v>3578</v>
      </c>
      <c r="D1917" s="666">
        <v>75000000</v>
      </c>
      <c r="E1917" s="755">
        <f>D1917/D1654*100</f>
        <v>4.5723607268524563E-2</v>
      </c>
      <c r="F1917" s="879"/>
      <c r="G1917" s="755"/>
      <c r="H1917" s="755"/>
      <c r="I1917" s="755"/>
      <c r="J1917" s="1867"/>
      <c r="K1917" s="1867"/>
      <c r="L1917" s="880"/>
      <c r="M1917" s="1717"/>
      <c r="N1917" s="579"/>
      <c r="P1917" s="500"/>
    </row>
    <row r="1918" spans="1:16" s="3024" customFormat="1" ht="8.25" customHeight="1" x14ac:dyDescent="0.25">
      <c r="A1918" s="352"/>
      <c r="B1918" s="1242"/>
      <c r="C1918" s="3908"/>
      <c r="D1918" s="666"/>
      <c r="E1918" s="755"/>
      <c r="F1918" s="879"/>
      <c r="G1918" s="755"/>
      <c r="H1918" s="755"/>
      <c r="I1918" s="755"/>
      <c r="J1918" s="1867"/>
      <c r="K1918" s="1867"/>
      <c r="L1918" s="880"/>
      <c r="M1918" s="1717"/>
      <c r="N1918" s="579"/>
      <c r="P1918" s="500"/>
    </row>
    <row r="1919" spans="1:16" s="3024" customFormat="1" ht="19.5" customHeight="1" x14ac:dyDescent="0.25">
      <c r="A1919" s="352"/>
      <c r="B1919" s="1242"/>
      <c r="C1919" s="3911" t="s">
        <v>3579</v>
      </c>
      <c r="D1919" s="673">
        <f>D1920</f>
        <v>100000000</v>
      </c>
      <c r="E1919" s="795">
        <f>D1919/D1654*100</f>
        <v>6.0964809691366077E-2</v>
      </c>
      <c r="F1919" s="879"/>
      <c r="G1919" s="755"/>
      <c r="H1919" s="755"/>
      <c r="I1919" s="755"/>
      <c r="J1919" s="1867"/>
      <c r="K1919" s="1867"/>
      <c r="L1919" s="880"/>
      <c r="M1919" s="1717"/>
      <c r="N1919" s="579"/>
      <c r="P1919" s="500"/>
    </row>
    <row r="1920" spans="1:16" s="3024" customFormat="1" ht="15.75" customHeight="1" x14ac:dyDescent="0.25">
      <c r="A1920" s="352"/>
      <c r="B1920" s="1242"/>
      <c r="C1920" s="3908" t="s">
        <v>3580</v>
      </c>
      <c r="D1920" s="666">
        <v>100000000</v>
      </c>
      <c r="E1920" s="755">
        <f>D1920/D1654*100</f>
        <v>6.0964809691366077E-2</v>
      </c>
      <c r="F1920" s="879"/>
      <c r="G1920" s="755"/>
      <c r="H1920" s="755"/>
      <c r="I1920" s="755"/>
      <c r="J1920" s="1867"/>
      <c r="K1920" s="1867"/>
      <c r="L1920" s="880"/>
      <c r="M1920" s="1717"/>
      <c r="N1920" s="579"/>
      <c r="P1920" s="500"/>
    </row>
    <row r="1921" spans="1:16" s="3024" customFormat="1" ht="12" customHeight="1" x14ac:dyDescent="0.25">
      <c r="A1921" s="352"/>
      <c r="B1921" s="1242"/>
      <c r="C1921" s="3909"/>
      <c r="D1921" s="868"/>
      <c r="E1921" s="798"/>
      <c r="F1921" s="2718"/>
      <c r="G1921" s="798"/>
      <c r="H1921" s="798"/>
      <c r="I1921" s="798"/>
      <c r="J1921" s="3472"/>
      <c r="K1921" s="3472"/>
      <c r="L1921" s="995"/>
      <c r="M1921" s="2281"/>
      <c r="N1921" s="577"/>
      <c r="P1921" s="500"/>
    </row>
    <row r="1922" spans="1:16" s="3024" customFormat="1" ht="19.5" customHeight="1" x14ac:dyDescent="0.25">
      <c r="A1922" s="352"/>
      <c r="B1922" s="1305"/>
      <c r="C1922" s="3921" t="s">
        <v>3581</v>
      </c>
      <c r="D1922" s="669">
        <f>SUM(D1923+D1928+D1931)</f>
        <v>3347090000</v>
      </c>
      <c r="E1922" s="765">
        <f>D1922/D1654*100</f>
        <v>2.0405470486987447</v>
      </c>
      <c r="F1922" s="3468"/>
      <c r="G1922" s="2226"/>
      <c r="H1922" s="2226"/>
      <c r="I1922" s="2226"/>
      <c r="J1922" s="3469"/>
      <c r="K1922" s="3469"/>
      <c r="L1922" s="3470"/>
      <c r="M1922" s="3471"/>
      <c r="N1922" s="584"/>
      <c r="P1922" s="500"/>
    </row>
    <row r="1923" spans="1:16" s="3024" customFormat="1" ht="21" customHeight="1" x14ac:dyDescent="0.25">
      <c r="A1923" s="352"/>
      <c r="B1923" s="1242"/>
      <c r="C1923" s="4007" t="s">
        <v>3582</v>
      </c>
      <c r="D1923" s="889">
        <f>SUM(D1924:D1926)</f>
        <v>2297090000</v>
      </c>
      <c r="E1923" s="795">
        <f>D1923/D1654*100</f>
        <v>1.400416546939401</v>
      </c>
      <c r="F1923" s="3467"/>
      <c r="G1923" s="782"/>
      <c r="H1923" s="782"/>
      <c r="I1923" s="782"/>
      <c r="J1923" s="3465"/>
      <c r="K1923" s="3465"/>
      <c r="L1923" s="885"/>
      <c r="M1923" s="2373"/>
      <c r="N1923" s="579"/>
      <c r="P1923" s="500"/>
    </row>
    <row r="1924" spans="1:16" s="3024" customFormat="1" ht="14.25" customHeight="1" x14ac:dyDescent="0.25">
      <c r="A1924" s="352"/>
      <c r="B1924" s="1242"/>
      <c r="C1924" s="4006" t="s">
        <v>3583</v>
      </c>
      <c r="D1924" s="1855">
        <v>1849100000</v>
      </c>
      <c r="E1924" s="755">
        <f>D1924/D1654*100</f>
        <v>1.1273002960030503</v>
      </c>
      <c r="F1924" s="3467"/>
      <c r="G1924" s="782"/>
      <c r="H1924" s="782"/>
      <c r="I1924" s="782"/>
      <c r="J1924" s="3465"/>
      <c r="K1924" s="3465"/>
      <c r="L1924" s="885"/>
      <c r="M1924" s="2373"/>
      <c r="N1924" s="579"/>
      <c r="P1924" s="500"/>
    </row>
    <row r="1925" spans="1:16" s="3024" customFormat="1" ht="15.75" customHeight="1" x14ac:dyDescent="0.25">
      <c r="A1925" s="352"/>
      <c r="B1925" s="1242"/>
      <c r="C1925" s="4006" t="s">
        <v>3584</v>
      </c>
      <c r="D1925" s="1855">
        <v>297990000</v>
      </c>
      <c r="E1925" s="755">
        <f>D1925/D1654*100</f>
        <v>0.18166903639930176</v>
      </c>
      <c r="F1925" s="3467"/>
      <c r="G1925" s="782"/>
      <c r="H1925" s="782"/>
      <c r="I1925" s="782"/>
      <c r="J1925" s="3465"/>
      <c r="K1925" s="3465"/>
      <c r="L1925" s="885"/>
      <c r="M1925" s="2373"/>
      <c r="N1925" s="579"/>
      <c r="P1925" s="500"/>
    </row>
    <row r="1926" spans="1:16" s="3024" customFormat="1" ht="16.5" customHeight="1" x14ac:dyDescent="0.25">
      <c r="A1926" s="352"/>
      <c r="B1926" s="1242"/>
      <c r="C1926" s="4006" t="s">
        <v>3585</v>
      </c>
      <c r="D1926" s="1855">
        <v>150000000</v>
      </c>
      <c r="E1926" s="755">
        <f>D1926/D1654*100</f>
        <v>9.1447214537049126E-2</v>
      </c>
      <c r="F1926" s="3467"/>
      <c r="G1926" s="782"/>
      <c r="H1926" s="782"/>
      <c r="I1926" s="782"/>
      <c r="J1926" s="3465"/>
      <c r="K1926" s="3465"/>
      <c r="L1926" s="885"/>
      <c r="M1926" s="2373"/>
      <c r="N1926" s="579"/>
      <c r="P1926" s="500"/>
    </row>
    <row r="1927" spans="1:16" s="3024" customFormat="1" ht="10.5" customHeight="1" x14ac:dyDescent="0.25">
      <c r="A1927" s="352"/>
      <c r="B1927" s="1242"/>
      <c r="C1927" s="4006"/>
      <c r="D1927" s="1855"/>
      <c r="E1927" s="782"/>
      <c r="F1927" s="3467"/>
      <c r="G1927" s="782"/>
      <c r="H1927" s="782"/>
      <c r="I1927" s="782"/>
      <c r="J1927" s="3465"/>
      <c r="K1927" s="3465"/>
      <c r="L1927" s="885"/>
      <c r="M1927" s="2373"/>
      <c r="N1927" s="579"/>
      <c r="P1927" s="500"/>
    </row>
    <row r="1928" spans="1:16" s="3024" customFormat="1" ht="19.5" customHeight="1" x14ac:dyDescent="0.25">
      <c r="A1928" s="352"/>
      <c r="B1928" s="1242"/>
      <c r="C1928" s="4007" t="s">
        <v>3586</v>
      </c>
      <c r="D1928" s="889">
        <f>D1929</f>
        <v>550000000</v>
      </c>
      <c r="E1928" s="795">
        <f>D1928/D1654*100</f>
        <v>0.33530645330251341</v>
      </c>
      <c r="F1928" s="3467"/>
      <c r="G1928" s="782"/>
      <c r="H1928" s="782"/>
      <c r="I1928" s="782"/>
      <c r="J1928" s="3465"/>
      <c r="K1928" s="3465"/>
      <c r="L1928" s="885"/>
      <c r="M1928" s="2373"/>
      <c r="N1928" s="579"/>
      <c r="P1928" s="500"/>
    </row>
    <row r="1929" spans="1:16" s="3024" customFormat="1" ht="26.25" customHeight="1" x14ac:dyDescent="0.25">
      <c r="A1929" s="352"/>
      <c r="B1929" s="1242"/>
      <c r="C1929" s="4006" t="s">
        <v>3587</v>
      </c>
      <c r="D1929" s="1855">
        <v>550000000</v>
      </c>
      <c r="E1929" s="755">
        <f>D1929/D1654*100</f>
        <v>0.33530645330251341</v>
      </c>
      <c r="F1929" s="3467"/>
      <c r="G1929" s="782"/>
      <c r="H1929" s="782"/>
      <c r="I1929" s="782"/>
      <c r="J1929" s="3465"/>
      <c r="K1929" s="3465"/>
      <c r="L1929" s="885"/>
      <c r="M1929" s="2373"/>
      <c r="N1929" s="579"/>
      <c r="P1929" s="500"/>
    </row>
    <row r="1930" spans="1:16" s="3024" customFormat="1" ht="12.75" customHeight="1" x14ac:dyDescent="0.25">
      <c r="A1930" s="352"/>
      <c r="B1930" s="1242"/>
      <c r="C1930" s="4006"/>
      <c r="D1930" s="1855"/>
      <c r="E1930" s="782"/>
      <c r="F1930" s="3467"/>
      <c r="G1930" s="782"/>
      <c r="H1930" s="782"/>
      <c r="I1930" s="782"/>
      <c r="J1930" s="3465"/>
      <c r="K1930" s="3465"/>
      <c r="L1930" s="885"/>
      <c r="M1930" s="2373"/>
      <c r="N1930" s="579"/>
      <c r="P1930" s="500"/>
    </row>
    <row r="1931" spans="1:16" s="3024" customFormat="1" ht="20.25" customHeight="1" x14ac:dyDescent="0.25">
      <c r="A1931" s="352"/>
      <c r="B1931" s="1242"/>
      <c r="C1931" s="4007" t="s">
        <v>3588</v>
      </c>
      <c r="D1931" s="889">
        <f>D1932</f>
        <v>500000000</v>
      </c>
      <c r="E1931" s="795">
        <f>D1931/D1654*100</f>
        <v>0.30482404845683037</v>
      </c>
      <c r="F1931" s="3467"/>
      <c r="G1931" s="782"/>
      <c r="H1931" s="782"/>
      <c r="I1931" s="782"/>
      <c r="J1931" s="3465"/>
      <c r="K1931" s="3465"/>
      <c r="L1931" s="885"/>
      <c r="M1931" s="2373"/>
      <c r="N1931" s="579"/>
      <c r="P1931" s="500"/>
    </row>
    <row r="1932" spans="1:16" s="3024" customFormat="1" ht="15" customHeight="1" x14ac:dyDescent="0.25">
      <c r="A1932" s="352"/>
      <c r="B1932" s="1242"/>
      <c r="C1932" s="4006" t="s">
        <v>3589</v>
      </c>
      <c r="D1932" s="1855">
        <v>500000000</v>
      </c>
      <c r="E1932" s="755">
        <f>D1932/D1654*100</f>
        <v>0.30482404845683037</v>
      </c>
      <c r="F1932" s="3467"/>
      <c r="G1932" s="782"/>
      <c r="H1932" s="782"/>
      <c r="I1932" s="782"/>
      <c r="J1932" s="3465"/>
      <c r="K1932" s="3465"/>
      <c r="L1932" s="885"/>
      <c r="M1932" s="2373"/>
      <c r="N1932" s="579"/>
      <c r="P1932" s="500"/>
    </row>
    <row r="1933" spans="1:16" ht="12" customHeight="1" x14ac:dyDescent="0.25">
      <c r="B1933" s="1242"/>
      <c r="C1933" s="3896"/>
      <c r="D1933" s="2256"/>
      <c r="E1933" s="827"/>
      <c r="F1933" s="804"/>
      <c r="G1933" s="804"/>
      <c r="H1933" s="2255"/>
      <c r="I1933" s="2181"/>
      <c r="J1933" s="2359"/>
      <c r="K1933" s="2182"/>
      <c r="L1933" s="2182"/>
      <c r="M1933" s="2182"/>
      <c r="N1933" s="535"/>
    </row>
    <row r="1934" spans="1:16" ht="18.75" customHeight="1" x14ac:dyDescent="0.25">
      <c r="B1934" s="1305"/>
      <c r="C1934" s="3913" t="s">
        <v>3590</v>
      </c>
      <c r="D1934" s="2239">
        <f>SUM(D1935:D1941)</f>
        <v>29895336588</v>
      </c>
      <c r="E1934" s="765">
        <f>D1934/D1654*100</f>
        <v>18.225635057467532</v>
      </c>
      <c r="F1934" s="807"/>
      <c r="G1934" s="807"/>
      <c r="H1934" s="807"/>
      <c r="I1934" s="1645"/>
      <c r="J1934" s="1781"/>
      <c r="K1934" s="1781"/>
      <c r="L1934" s="1726"/>
      <c r="M1934" s="1307"/>
      <c r="N1934" s="535"/>
    </row>
    <row r="1935" spans="1:16" ht="15.75" customHeight="1" x14ac:dyDescent="0.25">
      <c r="B1935" s="1242"/>
      <c r="C1935" s="3896" t="s">
        <v>3591</v>
      </c>
      <c r="D1935" s="4186">
        <v>3500000000</v>
      </c>
      <c r="E1935" s="827">
        <f>D1935/D1654*100</f>
        <v>2.1337683391978128</v>
      </c>
      <c r="F1935" s="956"/>
      <c r="G1935" s="957"/>
      <c r="H1935" s="1310"/>
      <c r="I1935" s="804"/>
      <c r="J1935" s="1884"/>
      <c r="K1935" s="1884"/>
      <c r="L1935" s="2176"/>
      <c r="M1935" s="2118"/>
      <c r="N1935" s="535"/>
    </row>
    <row r="1936" spans="1:16" ht="15.75" customHeight="1" x14ac:dyDescent="0.25">
      <c r="B1936" s="1242"/>
      <c r="C1936" s="3917" t="s">
        <v>3592</v>
      </c>
      <c r="D1936" s="4186">
        <v>2420680000</v>
      </c>
      <c r="E1936" s="755">
        <f>D1936/D1654*100</f>
        <v>1.4757629552369604</v>
      </c>
      <c r="F1936" s="956"/>
      <c r="G1936" s="755"/>
      <c r="H1936" s="1310"/>
      <c r="I1936" s="1111"/>
      <c r="J1936" s="1885"/>
      <c r="K1936" s="1885"/>
      <c r="L1936" s="1310"/>
      <c r="M1936" s="1312"/>
      <c r="N1936" s="535"/>
    </row>
    <row r="1937" spans="1:18" ht="14.25" customHeight="1" x14ac:dyDescent="0.25">
      <c r="B1937" s="1242"/>
      <c r="C1937" s="3917" t="s">
        <v>3593</v>
      </c>
      <c r="D1937" s="4186">
        <v>3521500000</v>
      </c>
      <c r="E1937" s="755">
        <f>D1937/D1654*100</f>
        <v>2.1468757732814563</v>
      </c>
      <c r="F1937" s="956"/>
      <c r="G1937" s="755"/>
      <c r="H1937" s="1310"/>
      <c r="I1937" s="1111"/>
      <c r="J1937" s="1885"/>
      <c r="K1937" s="1885"/>
      <c r="L1937" s="1310"/>
      <c r="M1937" s="1312"/>
      <c r="N1937" s="535"/>
    </row>
    <row r="1938" spans="1:18" ht="16.5" customHeight="1" x14ac:dyDescent="0.25">
      <c r="B1938" s="2912"/>
      <c r="C1938" s="3917" t="s">
        <v>3594</v>
      </c>
      <c r="D1938" s="666">
        <v>2100000000</v>
      </c>
      <c r="E1938" s="755">
        <f>D1938/D1654*100</f>
        <v>1.2802610035186877</v>
      </c>
      <c r="F1938" s="879"/>
      <c r="G1938" s="802"/>
      <c r="H1938" s="1310"/>
      <c r="I1938" s="1111"/>
      <c r="J1938" s="1885"/>
      <c r="K1938" s="1885"/>
      <c r="L1938" s="1310"/>
      <c r="M1938" s="1312"/>
      <c r="N1938" s="535"/>
    </row>
    <row r="1939" spans="1:18" s="1345" customFormat="1" ht="16.5" customHeight="1" x14ac:dyDescent="0.25">
      <c r="A1939" s="352"/>
      <c r="B1939" s="2913"/>
      <c r="C1939" s="3896" t="s">
        <v>3595</v>
      </c>
      <c r="D1939" s="784">
        <v>1106142024</v>
      </c>
      <c r="E1939" s="755">
        <f>D1939/D1654*100</f>
        <v>0.67435737984782484</v>
      </c>
      <c r="F1939" s="805"/>
      <c r="G1939" s="805"/>
      <c r="H1939" s="805"/>
      <c r="I1939" s="805"/>
      <c r="J1939" s="1885"/>
      <c r="K1939" s="1885"/>
      <c r="L1939" s="2174"/>
      <c r="M1939" s="1703"/>
      <c r="N1939" s="535"/>
      <c r="P1939" s="500"/>
    </row>
    <row r="1940" spans="1:18" ht="15.75" customHeight="1" x14ac:dyDescent="0.25">
      <c r="B1940" s="1242"/>
      <c r="C1940" s="3860" t="s">
        <v>3596</v>
      </c>
      <c r="D1940" s="666">
        <f>166600000+4530670000</f>
        <v>4697270000</v>
      </c>
      <c r="E1940" s="755">
        <f>D1940/D1654*100</f>
        <v>2.8636817161896313</v>
      </c>
      <c r="F1940" s="780"/>
      <c r="G1940" s="878"/>
      <c r="H1940" s="1463"/>
      <c r="I1940" s="1121"/>
      <c r="J1940" s="1315"/>
      <c r="K1940" s="1315"/>
      <c r="L1940" s="1315"/>
      <c r="M1940" s="1315"/>
      <c r="N1940" s="535"/>
    </row>
    <row r="1941" spans="1:18" s="3024" customFormat="1" ht="17.25" customHeight="1" x14ac:dyDescent="0.25">
      <c r="A1941" s="352"/>
      <c r="B1941" s="1242"/>
      <c r="C1941" s="3860" t="s">
        <v>3597</v>
      </c>
      <c r="D1941" s="666">
        <v>12549744564</v>
      </c>
      <c r="E1941" s="755">
        <f>D1941/D1654*100</f>
        <v>7.6509278901951596</v>
      </c>
      <c r="F1941" s="780"/>
      <c r="G1941" s="878"/>
      <c r="H1941" s="1463"/>
      <c r="I1941" s="1121"/>
      <c r="J1941" s="1315"/>
      <c r="K1941" s="1315"/>
      <c r="L1941" s="1315"/>
      <c r="M1941" s="1315"/>
      <c r="N1941" s="535"/>
      <c r="P1941" s="500"/>
    </row>
    <row r="1942" spans="1:18" s="3024" customFormat="1" ht="12" customHeight="1" thickBot="1" x14ac:dyDescent="0.3">
      <c r="A1942" s="352"/>
      <c r="B1942" s="1242"/>
      <c r="C1942" s="3396"/>
      <c r="D1942" s="4232"/>
      <c r="E1942" s="3397"/>
      <c r="F1942" s="3398"/>
      <c r="G1942" s="3399"/>
      <c r="H1942" s="3400"/>
      <c r="I1942" s="3401"/>
      <c r="J1942" s="3334"/>
      <c r="K1942" s="3334"/>
      <c r="L1942" s="3334"/>
      <c r="M1942" s="3334"/>
      <c r="N1942" s="535"/>
      <c r="P1942" s="500"/>
    </row>
    <row r="1943" spans="1:18" ht="18.75" customHeight="1" thickBot="1" x14ac:dyDescent="0.3">
      <c r="B1943" s="2914"/>
      <c r="C1943" s="4008" t="s">
        <v>258</v>
      </c>
      <c r="D1943" s="2726">
        <f>SUM(D1944+D2039+D2110+D2127+D2151+D2177+D2193+D2208+D2227+D2242+D2249+D2253+D2257+D2300+D2309+D2324+D2332+D2340)</f>
        <v>153448669000</v>
      </c>
      <c r="E1943" s="1460">
        <f>D1943/2507241496000*100</f>
        <v>6.1202189436003174</v>
      </c>
      <c r="F1943" s="3446"/>
      <c r="G1943" s="961"/>
      <c r="H1943" s="2364"/>
      <c r="I1943" s="2365"/>
      <c r="J1943" s="1889"/>
      <c r="K1943" s="1889"/>
      <c r="L1943" s="2364"/>
      <c r="M1943" s="2366"/>
      <c r="N1943" s="535"/>
      <c r="P1943" s="351" t="s">
        <v>7129</v>
      </c>
    </row>
    <row r="1944" spans="1:18" ht="18.75" customHeight="1" x14ac:dyDescent="0.25">
      <c r="B1944" s="2915"/>
      <c r="C1944" s="3900" t="s">
        <v>259</v>
      </c>
      <c r="D1944" s="4147">
        <f>SUM(D1945+D1948+D1972+D1978+D1989+D1999+D2003+D2015+D2025+D2028)</f>
        <v>35179200000</v>
      </c>
      <c r="E1944" s="2016">
        <f>D1944/D1943*100</f>
        <v>22.925712050327395</v>
      </c>
      <c r="F1944" s="876"/>
      <c r="G1944" s="876"/>
      <c r="H1944" s="2289"/>
      <c r="I1944" s="1713"/>
      <c r="J1944" s="1844"/>
      <c r="K1944" s="1844"/>
      <c r="L1944" s="2289"/>
      <c r="M1944" s="2291"/>
      <c r="N1944" s="535"/>
      <c r="P1944" s="351" t="s">
        <v>7130</v>
      </c>
    </row>
    <row r="1945" spans="1:18" ht="17.25" customHeight="1" x14ac:dyDescent="0.25">
      <c r="B1945" s="1242"/>
      <c r="C1945" s="3919" t="s">
        <v>702</v>
      </c>
      <c r="D1945" s="4233">
        <f>D1946</f>
        <v>9828000000</v>
      </c>
      <c r="E1945" s="1461">
        <f>D1945/D1943*100</f>
        <v>6.4047476358364497</v>
      </c>
      <c r="F1945" s="962"/>
      <c r="G1945" s="962"/>
      <c r="H1945" s="1394"/>
      <c r="I1945" s="1309"/>
      <c r="J1945" s="962"/>
      <c r="K1945" s="962"/>
      <c r="L1945" s="1394"/>
      <c r="M1945" s="1659"/>
      <c r="N1945" s="535"/>
      <c r="P1945" s="500" t="s">
        <v>3200</v>
      </c>
    </row>
    <row r="1946" spans="1:18" ht="14.25" customHeight="1" x14ac:dyDescent="0.25">
      <c r="B1946" s="1242"/>
      <c r="C1946" s="3920" t="s">
        <v>777</v>
      </c>
      <c r="D1946" s="4184">
        <v>9828000000</v>
      </c>
      <c r="E1946" s="880">
        <f>D1946/D1943*100</f>
        <v>6.4047476358364497</v>
      </c>
      <c r="F1946" s="963"/>
      <c r="G1946" s="964"/>
      <c r="H1946" s="782"/>
      <c r="I1946" s="782"/>
      <c r="J1946" s="1717"/>
      <c r="K1946" s="1762"/>
      <c r="L1946" s="782"/>
      <c r="M1946" s="1668"/>
      <c r="N1946" s="535"/>
      <c r="P1946" s="500" t="s">
        <v>3210</v>
      </c>
    </row>
    <row r="1947" spans="1:18" ht="10.5" customHeight="1" x14ac:dyDescent="0.25">
      <c r="B1947" s="1242"/>
      <c r="C1947" s="3863"/>
      <c r="D1947" s="666"/>
      <c r="E1947" s="880"/>
      <c r="F1947" s="838"/>
      <c r="G1947" s="937"/>
      <c r="H1947" s="782"/>
      <c r="I1947" s="782"/>
      <c r="J1947" s="1717"/>
      <c r="K1947" s="1312"/>
      <c r="L1947" s="1312"/>
      <c r="M1947" s="1668"/>
      <c r="N1947" s="535"/>
    </row>
    <row r="1948" spans="1:18" ht="14.25" customHeight="1" x14ac:dyDescent="0.25">
      <c r="B1948" s="1242"/>
      <c r="C1948" s="3919" t="s">
        <v>703</v>
      </c>
      <c r="D1948" s="4234">
        <f>SUM(D1949:D1970)</f>
        <v>6600000000</v>
      </c>
      <c r="E1948" s="1415">
        <f>D1948/D1943*100</f>
        <v>4.3011125759585438</v>
      </c>
      <c r="F1948" s="965"/>
      <c r="G1948" s="965"/>
      <c r="H1948" s="1394"/>
      <c r="I1948" s="766"/>
      <c r="J1948" s="965"/>
      <c r="K1948" s="965"/>
      <c r="L1948" s="1394"/>
      <c r="M1948" s="766"/>
      <c r="N1948" s="535"/>
      <c r="P1948" s="4076" t="s">
        <v>3212</v>
      </c>
    </row>
    <row r="1949" spans="1:18" ht="22.5" customHeight="1" x14ac:dyDescent="0.25">
      <c r="B1949" s="1242"/>
      <c r="C1949" s="3932" t="s">
        <v>3004</v>
      </c>
      <c r="D1949" s="4184">
        <v>500000000</v>
      </c>
      <c r="E1949" s="880">
        <f>D1949/D1943*100</f>
        <v>0.32584186181504121</v>
      </c>
      <c r="F1949" s="963"/>
      <c r="G1949" s="964"/>
      <c r="H1949" s="782"/>
      <c r="I1949" s="782"/>
      <c r="J1949" s="963"/>
      <c r="K1949" s="1978"/>
      <c r="L1949" s="782"/>
      <c r="M1949" s="782"/>
      <c r="N1949" s="535"/>
      <c r="P1949" s="5731" t="s">
        <v>3201</v>
      </c>
      <c r="Q1949" s="5732"/>
      <c r="R1949" s="5732"/>
    </row>
    <row r="1950" spans="1:18" s="3024" customFormat="1" ht="24" customHeight="1" x14ac:dyDescent="0.25">
      <c r="A1950" s="352"/>
      <c r="B1950" s="1242"/>
      <c r="C1950" s="3932" t="s">
        <v>3005</v>
      </c>
      <c r="D1950" s="4184">
        <v>220000000</v>
      </c>
      <c r="E1950" s="880">
        <f>D1950/D1943*100</f>
        <v>0.14337041919861815</v>
      </c>
      <c r="F1950" s="963"/>
      <c r="G1950" s="3353"/>
      <c r="H1950" s="782"/>
      <c r="I1950" s="782"/>
      <c r="J1950" s="963"/>
      <c r="K1950" s="3354"/>
      <c r="L1950" s="782"/>
      <c r="M1950" s="782"/>
      <c r="N1950" s="535"/>
      <c r="P1950" s="3863" t="s">
        <v>3209</v>
      </c>
      <c r="Q1950" s="666">
        <v>20044455000</v>
      </c>
    </row>
    <row r="1951" spans="1:18" s="3024" customFormat="1" ht="18" customHeight="1" x14ac:dyDescent="0.25">
      <c r="A1951" s="352"/>
      <c r="B1951" s="1242"/>
      <c r="C1951" s="3932" t="s">
        <v>3006</v>
      </c>
      <c r="D1951" s="4184">
        <v>420000000</v>
      </c>
      <c r="E1951" s="880">
        <f>D1951/D1943*100</f>
        <v>0.27370716392463462</v>
      </c>
      <c r="F1951" s="963"/>
      <c r="G1951" s="3353"/>
      <c r="H1951" s="782"/>
      <c r="I1951" s="782"/>
      <c r="J1951" s="963"/>
      <c r="K1951" s="3354"/>
      <c r="L1951" s="782"/>
      <c r="M1951" s="782"/>
      <c r="N1951" s="535"/>
      <c r="P1951" s="500" t="s">
        <v>3204</v>
      </c>
      <c r="Q1951" s="522">
        <v>2000000000</v>
      </c>
    </row>
    <row r="1952" spans="1:18" s="3024" customFormat="1" ht="15.75" customHeight="1" x14ac:dyDescent="0.25">
      <c r="A1952" s="352"/>
      <c r="B1952" s="1242"/>
      <c r="C1952" s="3932" t="s">
        <v>3007</v>
      </c>
      <c r="D1952" s="4184">
        <v>200000000</v>
      </c>
      <c r="E1952" s="880">
        <f>D1952/D1943*100</f>
        <v>0.13033674472601647</v>
      </c>
      <c r="F1952" s="963"/>
      <c r="G1952" s="3353"/>
      <c r="H1952" s="782"/>
      <c r="I1952" s="782"/>
      <c r="J1952" s="963"/>
      <c r="K1952" s="3354"/>
      <c r="L1952" s="782"/>
      <c r="M1952" s="782"/>
      <c r="N1952" s="535"/>
      <c r="P1952" s="500" t="s">
        <v>3205</v>
      </c>
      <c r="Q1952" s="522">
        <v>500000000</v>
      </c>
    </row>
    <row r="1953" spans="1:17" s="3024" customFormat="1" ht="15.75" customHeight="1" x14ac:dyDescent="0.25">
      <c r="A1953" s="352"/>
      <c r="B1953" s="1242"/>
      <c r="C1953" s="3932" t="s">
        <v>3008</v>
      </c>
      <c r="D1953" s="4184">
        <v>200000000</v>
      </c>
      <c r="E1953" s="880">
        <f>D1953/D1943*100</f>
        <v>0.13033674472601647</v>
      </c>
      <c r="F1953" s="963"/>
      <c r="G1953" s="3353"/>
      <c r="H1953" s="782"/>
      <c r="I1953" s="782"/>
      <c r="J1953" s="963"/>
      <c r="K1953" s="3354"/>
      <c r="L1953" s="782"/>
      <c r="M1953" s="782"/>
      <c r="N1953" s="535"/>
      <c r="P1953" s="500"/>
    </row>
    <row r="1954" spans="1:17" s="3024" customFormat="1" ht="15" customHeight="1" x14ac:dyDescent="0.25">
      <c r="A1954" s="352"/>
      <c r="B1954" s="1242"/>
      <c r="C1954" s="3932" t="s">
        <v>3009</v>
      </c>
      <c r="D1954" s="4184">
        <v>220000000</v>
      </c>
      <c r="E1954" s="880">
        <f>D1954/D1943*100</f>
        <v>0.14337041919861815</v>
      </c>
      <c r="F1954" s="963"/>
      <c r="G1954" s="3353"/>
      <c r="H1954" s="782"/>
      <c r="I1954" s="782"/>
      <c r="J1954" s="963"/>
      <c r="K1954" s="3354"/>
      <c r="L1954" s="782"/>
      <c r="M1954" s="782"/>
      <c r="N1954" s="535"/>
      <c r="P1954" s="3928" t="s">
        <v>264</v>
      </c>
    </row>
    <row r="1955" spans="1:17" s="3024" customFormat="1" ht="17.25" customHeight="1" x14ac:dyDescent="0.25">
      <c r="A1955" s="352"/>
      <c r="B1955" s="1242"/>
      <c r="C1955" s="3932" t="s">
        <v>3010</v>
      </c>
      <c r="D1955" s="4184">
        <v>200000000</v>
      </c>
      <c r="E1955" s="880">
        <f>D1955/D1943*100</f>
        <v>0.13033674472601647</v>
      </c>
      <c r="F1955" s="963"/>
      <c r="G1955" s="3353"/>
      <c r="H1955" s="782"/>
      <c r="I1955" s="782"/>
      <c r="J1955" s="963"/>
      <c r="K1955" s="3354"/>
      <c r="L1955" s="782"/>
      <c r="M1955" s="782"/>
      <c r="N1955" s="535"/>
      <c r="P1955" s="3966" t="s">
        <v>3176</v>
      </c>
      <c r="Q1955" s="768">
        <f>Q1956</f>
        <v>843124000</v>
      </c>
    </row>
    <row r="1956" spans="1:17" s="3024" customFormat="1" ht="18" customHeight="1" x14ac:dyDescent="0.25">
      <c r="A1956" s="352"/>
      <c r="B1956" s="1242"/>
      <c r="C1956" s="3932" t="s">
        <v>3011</v>
      </c>
      <c r="D1956" s="4184">
        <v>200000000</v>
      </c>
      <c r="E1956" s="880">
        <f>D1956/D1943*100</f>
        <v>0.13033674472601647</v>
      </c>
      <c r="F1956" s="963"/>
      <c r="G1956" s="3353"/>
      <c r="H1956" s="782"/>
      <c r="I1956" s="782"/>
      <c r="J1956" s="963"/>
      <c r="K1956" s="3354"/>
      <c r="L1956" s="782"/>
      <c r="M1956" s="782"/>
      <c r="N1956" s="535"/>
      <c r="P1956" s="3929" t="s">
        <v>3177</v>
      </c>
      <c r="Q1956" s="780">
        <f>1000000000-156876000</f>
        <v>843124000</v>
      </c>
    </row>
    <row r="1957" spans="1:17" s="3024" customFormat="1" ht="18" customHeight="1" x14ac:dyDescent="0.25">
      <c r="A1957" s="352"/>
      <c r="B1957" s="1242"/>
      <c r="C1957" s="3932" t="s">
        <v>3012</v>
      </c>
      <c r="D1957" s="4184">
        <v>420000000</v>
      </c>
      <c r="E1957" s="880">
        <f>D1957/D1943*100</f>
        <v>0.27370716392463462</v>
      </c>
      <c r="F1957" s="963"/>
      <c r="G1957" s="3353"/>
      <c r="H1957" s="782"/>
      <c r="I1957" s="782"/>
      <c r="J1957" s="963"/>
      <c r="K1957" s="3354"/>
      <c r="L1957" s="782"/>
      <c r="M1957" s="782"/>
      <c r="N1957" s="535"/>
      <c r="P1957" s="500"/>
    </row>
    <row r="1958" spans="1:17" s="3024" customFormat="1" ht="15" customHeight="1" x14ac:dyDescent="0.25">
      <c r="A1958" s="352"/>
      <c r="B1958" s="1242"/>
      <c r="C1958" s="3932" t="s">
        <v>3013</v>
      </c>
      <c r="D1958" s="4184">
        <v>420000000</v>
      </c>
      <c r="E1958" s="880">
        <f>D1958/D1943*100</f>
        <v>0.27370716392463462</v>
      </c>
      <c r="F1958" s="963"/>
      <c r="G1958" s="3353"/>
      <c r="H1958" s="782"/>
      <c r="I1958" s="782"/>
      <c r="J1958" s="963"/>
      <c r="K1958" s="3354"/>
      <c r="L1958" s="782"/>
      <c r="M1958" s="782"/>
      <c r="N1958" s="535"/>
      <c r="P1958" s="500"/>
    </row>
    <row r="1959" spans="1:17" s="3024" customFormat="1" ht="15.75" customHeight="1" x14ac:dyDescent="0.25">
      <c r="A1959" s="352"/>
      <c r="B1959" s="1242"/>
      <c r="C1959" s="3932" t="s">
        <v>3015</v>
      </c>
      <c r="D1959" s="4184">
        <v>420000000</v>
      </c>
      <c r="E1959" s="880">
        <f>D1959/D1943*100</f>
        <v>0.27370716392463462</v>
      </c>
      <c r="F1959" s="963"/>
      <c r="G1959" s="3353"/>
      <c r="H1959" s="782"/>
      <c r="I1959" s="782"/>
      <c r="J1959" s="963"/>
      <c r="K1959" s="3354"/>
      <c r="L1959" s="782"/>
      <c r="M1959" s="782"/>
      <c r="N1959" s="535"/>
      <c r="P1959" s="500"/>
    </row>
    <row r="1960" spans="1:17" s="3024" customFormat="1" ht="15.75" customHeight="1" x14ac:dyDescent="0.25">
      <c r="A1960" s="352"/>
      <c r="B1960" s="1242"/>
      <c r="C1960" s="3932" t="s">
        <v>3016</v>
      </c>
      <c r="D1960" s="4184">
        <v>230000000</v>
      </c>
      <c r="E1960" s="880">
        <f>D1960/D1943*100</f>
        <v>0.14988725643491896</v>
      </c>
      <c r="F1960" s="963"/>
      <c r="G1960" s="3353"/>
      <c r="H1960" s="782"/>
      <c r="I1960" s="782"/>
      <c r="J1960" s="963"/>
      <c r="K1960" s="3354"/>
      <c r="L1960" s="782"/>
      <c r="M1960" s="782"/>
      <c r="N1960" s="535"/>
      <c r="P1960" s="500"/>
    </row>
    <row r="1961" spans="1:17" s="3024" customFormat="1" ht="13.5" customHeight="1" x14ac:dyDescent="0.25">
      <c r="A1961" s="352"/>
      <c r="B1961" s="1242"/>
      <c r="C1961" s="3932" t="s">
        <v>3017</v>
      </c>
      <c r="D1961" s="4184">
        <v>200000000</v>
      </c>
      <c r="E1961" s="880">
        <f>D1961/D1943*100</f>
        <v>0.13033674472601647</v>
      </c>
      <c r="F1961" s="963"/>
      <c r="G1961" s="3353"/>
      <c r="H1961" s="782"/>
      <c r="I1961" s="782"/>
      <c r="J1961" s="963"/>
      <c r="K1961" s="3354"/>
      <c r="L1961" s="782"/>
      <c r="M1961" s="782"/>
      <c r="N1961" s="535"/>
      <c r="P1961" s="500"/>
    </row>
    <row r="1962" spans="1:17" s="3024" customFormat="1" ht="17.25" customHeight="1" x14ac:dyDescent="0.25">
      <c r="A1962" s="352"/>
      <c r="B1962" s="1242"/>
      <c r="C1962" s="3932" t="s">
        <v>3014</v>
      </c>
      <c r="D1962" s="4184">
        <v>100000000</v>
      </c>
      <c r="E1962" s="880">
        <f>D1962/D1943*100</f>
        <v>6.5168372363008237E-2</v>
      </c>
      <c r="F1962" s="963"/>
      <c r="G1962" s="3353"/>
      <c r="H1962" s="782"/>
      <c r="I1962" s="782"/>
      <c r="J1962" s="963"/>
      <c r="K1962" s="3354"/>
      <c r="L1962" s="782"/>
      <c r="M1962" s="782"/>
      <c r="N1962" s="535"/>
      <c r="P1962" s="500"/>
    </row>
    <row r="1963" spans="1:17" s="3024" customFormat="1" ht="13.5" customHeight="1" x14ac:dyDescent="0.25">
      <c r="A1963" s="352"/>
      <c r="B1963" s="1242"/>
      <c r="C1963" s="3932" t="s">
        <v>3018</v>
      </c>
      <c r="D1963" s="4184">
        <v>550000000</v>
      </c>
      <c r="E1963" s="880">
        <f>D1963/D1943*100</f>
        <v>0.35842604799654532</v>
      </c>
      <c r="F1963" s="963"/>
      <c r="G1963" s="3353"/>
      <c r="H1963" s="782"/>
      <c r="I1963" s="782"/>
      <c r="J1963" s="963"/>
      <c r="K1963" s="3354"/>
      <c r="L1963" s="782"/>
      <c r="M1963" s="782"/>
      <c r="N1963" s="535"/>
      <c r="P1963" s="500"/>
    </row>
    <row r="1964" spans="1:17" s="3024" customFormat="1" ht="15" customHeight="1" x14ac:dyDescent="0.25">
      <c r="A1964" s="352"/>
      <c r="B1964" s="1242"/>
      <c r="C1964" s="3932" t="s">
        <v>3019</v>
      </c>
      <c r="D1964" s="4184">
        <v>200000000</v>
      </c>
      <c r="E1964" s="880">
        <f>D1964/D1943*100</f>
        <v>0.13033674472601647</v>
      </c>
      <c r="F1964" s="963"/>
      <c r="G1964" s="3353"/>
      <c r="H1964" s="782"/>
      <c r="I1964" s="782"/>
      <c r="J1964" s="963"/>
      <c r="K1964" s="3354"/>
      <c r="L1964" s="782"/>
      <c r="M1964" s="782"/>
      <c r="N1964" s="535"/>
      <c r="P1964" s="500"/>
    </row>
    <row r="1965" spans="1:17" s="3024" customFormat="1" ht="15" customHeight="1" x14ac:dyDescent="0.25">
      <c r="A1965" s="352"/>
      <c r="B1965" s="1242"/>
      <c r="C1965" s="3932" t="s">
        <v>3020</v>
      </c>
      <c r="D1965" s="4184">
        <v>500000000</v>
      </c>
      <c r="E1965" s="880">
        <f>D1965/D1943*100</f>
        <v>0.32584186181504121</v>
      </c>
      <c r="F1965" s="963"/>
      <c r="G1965" s="3353"/>
      <c r="H1965" s="782"/>
      <c r="I1965" s="782"/>
      <c r="J1965" s="963"/>
      <c r="K1965" s="3354"/>
      <c r="L1965" s="782"/>
      <c r="M1965" s="782"/>
      <c r="N1965" s="535"/>
      <c r="P1965" s="500"/>
    </row>
    <row r="1966" spans="1:17" s="3024" customFormat="1" ht="16.5" customHeight="1" x14ac:dyDescent="0.25">
      <c r="A1966" s="352"/>
      <c r="B1966" s="1242"/>
      <c r="C1966" s="3932" t="s">
        <v>3021</v>
      </c>
      <c r="D1966" s="4184">
        <v>150000000</v>
      </c>
      <c r="E1966" s="880">
        <f>D1966/D1943*100</f>
        <v>9.7752558544512369E-2</v>
      </c>
      <c r="F1966" s="963"/>
      <c r="G1966" s="3353"/>
      <c r="H1966" s="782"/>
      <c r="I1966" s="782"/>
      <c r="J1966" s="963"/>
      <c r="K1966" s="3354"/>
      <c r="L1966" s="782"/>
      <c r="M1966" s="782"/>
      <c r="N1966" s="535"/>
      <c r="P1966" s="500"/>
    </row>
    <row r="1967" spans="1:17" s="3024" customFormat="1" ht="12.75" customHeight="1" x14ac:dyDescent="0.25">
      <c r="A1967" s="352"/>
      <c r="B1967" s="1242"/>
      <c r="C1967" s="3932" t="s">
        <v>3022</v>
      </c>
      <c r="D1967" s="4184">
        <v>700000000</v>
      </c>
      <c r="E1967" s="880">
        <f>D1967/D1943*100</f>
        <v>0.45617860654105769</v>
      </c>
      <c r="F1967" s="963"/>
      <c r="G1967" s="3353"/>
      <c r="H1967" s="782"/>
      <c r="I1967" s="782"/>
      <c r="J1967" s="963"/>
      <c r="K1967" s="3354"/>
      <c r="L1967" s="782"/>
      <c r="M1967" s="782"/>
      <c r="N1967" s="535"/>
      <c r="P1967" s="500"/>
    </row>
    <row r="1968" spans="1:17" s="3024" customFormat="1" ht="17.25" customHeight="1" x14ac:dyDescent="0.25">
      <c r="A1968" s="352"/>
      <c r="B1968" s="1242"/>
      <c r="C1968" s="3932" t="s">
        <v>3023</v>
      </c>
      <c r="D1968" s="4184">
        <v>150000000</v>
      </c>
      <c r="E1968" s="880">
        <f>D1968/D1943*100</f>
        <v>9.7752558544512369E-2</v>
      </c>
      <c r="F1968" s="963"/>
      <c r="G1968" s="3353"/>
      <c r="H1968" s="782"/>
      <c r="I1968" s="782"/>
      <c r="J1968" s="963"/>
      <c r="K1968" s="3354"/>
      <c r="L1968" s="782"/>
      <c r="M1968" s="782"/>
      <c r="N1968" s="535"/>
      <c r="P1968" s="500"/>
    </row>
    <row r="1969" spans="1:16" s="3024" customFormat="1" ht="17.25" customHeight="1" x14ac:dyDescent="0.25">
      <c r="A1969" s="352"/>
      <c r="B1969" s="1242"/>
      <c r="C1969" s="3932" t="s">
        <v>3024</v>
      </c>
      <c r="D1969" s="4184">
        <v>200000000</v>
      </c>
      <c r="E1969" s="880">
        <f>D1969/D1943*100</f>
        <v>0.13033674472601647</v>
      </c>
      <c r="F1969" s="963"/>
      <c r="G1969" s="3353"/>
      <c r="H1969" s="782"/>
      <c r="I1969" s="782"/>
      <c r="J1969" s="963"/>
      <c r="K1969" s="3354"/>
      <c r="L1969" s="782"/>
      <c r="M1969" s="782"/>
      <c r="N1969" s="535"/>
      <c r="P1969" s="500"/>
    </row>
    <row r="1970" spans="1:16" s="3024" customFormat="1" ht="17.25" customHeight="1" x14ac:dyDescent="0.25">
      <c r="A1970" s="352"/>
      <c r="B1970" s="1242"/>
      <c r="C1970" s="3932" t="s">
        <v>3025</v>
      </c>
      <c r="D1970" s="4184">
        <v>200000000</v>
      </c>
      <c r="E1970" s="880">
        <f>D1970/D1943*100</f>
        <v>0.13033674472601647</v>
      </c>
      <c r="F1970" s="963"/>
      <c r="G1970" s="3353"/>
      <c r="H1970" s="782"/>
      <c r="I1970" s="782"/>
      <c r="J1970" s="963"/>
      <c r="K1970" s="3354"/>
      <c r="L1970" s="782"/>
      <c r="M1970" s="782"/>
      <c r="N1970" s="535"/>
      <c r="P1970" s="500"/>
    </row>
    <row r="1971" spans="1:16" ht="11.25" customHeight="1" x14ac:dyDescent="0.25">
      <c r="B1971" s="1242"/>
      <c r="C1971" s="3863"/>
      <c r="D1971" s="666"/>
      <c r="E1971" s="880"/>
      <c r="F1971" s="838"/>
      <c r="G1971" s="782"/>
      <c r="H1971" s="782"/>
      <c r="I1971" s="782"/>
      <c r="J1971" s="1717"/>
      <c r="K1971" s="1762"/>
      <c r="L1971" s="1668"/>
      <c r="M1971" s="1668"/>
      <c r="N1971" s="535"/>
    </row>
    <row r="1972" spans="1:16" s="3024" customFormat="1" ht="15.75" customHeight="1" x14ac:dyDescent="0.25">
      <c r="A1972" s="352"/>
      <c r="B1972" s="1242"/>
      <c r="C1972" s="4012" t="s">
        <v>3026</v>
      </c>
      <c r="D1972" s="673">
        <f>SUM(D1973:D1976)</f>
        <v>529000000</v>
      </c>
      <c r="E1972" s="1415">
        <f>D1972/D1943*100</f>
        <v>0.34474068980031364</v>
      </c>
      <c r="F1972" s="838"/>
      <c r="G1972" s="782"/>
      <c r="H1972" s="782"/>
      <c r="I1972" s="782"/>
      <c r="J1972" s="1717"/>
      <c r="K1972" s="1762"/>
      <c r="L1972" s="1670"/>
      <c r="M1972" s="1670"/>
      <c r="N1972" s="535"/>
      <c r="P1972" s="500"/>
    </row>
    <row r="1973" spans="1:16" s="3024" customFormat="1" ht="15" customHeight="1" x14ac:dyDescent="0.25">
      <c r="A1973" s="352"/>
      <c r="B1973" s="1242"/>
      <c r="C1973" s="4009" t="s">
        <v>3027</v>
      </c>
      <c r="D1973" s="666">
        <v>100000000</v>
      </c>
      <c r="E1973" s="880">
        <f>D1973/D1943*100</f>
        <v>6.5168372363008237E-2</v>
      </c>
      <c r="F1973" s="838"/>
      <c r="G1973" s="782"/>
      <c r="H1973" s="782"/>
      <c r="I1973" s="782"/>
      <c r="J1973" s="1717"/>
      <c r="K1973" s="1762"/>
      <c r="L1973" s="1670"/>
      <c r="M1973" s="1670"/>
      <c r="N1973" s="535"/>
      <c r="P1973" s="500"/>
    </row>
    <row r="1974" spans="1:16" s="3024" customFormat="1" ht="15" customHeight="1" x14ac:dyDescent="0.25">
      <c r="A1974" s="352"/>
      <c r="B1974" s="1242"/>
      <c r="C1974" s="4009" t="s">
        <v>3028</v>
      </c>
      <c r="D1974" s="666">
        <v>150000000</v>
      </c>
      <c r="E1974" s="880">
        <f>D1974/D1943*100</f>
        <v>9.7752558544512369E-2</v>
      </c>
      <c r="F1974" s="838"/>
      <c r="G1974" s="782"/>
      <c r="H1974" s="782"/>
      <c r="I1974" s="782"/>
      <c r="J1974" s="1717"/>
      <c r="K1974" s="1762"/>
      <c r="L1974" s="1670"/>
      <c r="M1974" s="1670"/>
      <c r="N1974" s="535"/>
      <c r="P1974" s="500"/>
    </row>
    <row r="1975" spans="1:16" s="3024" customFormat="1" ht="15.75" customHeight="1" x14ac:dyDescent="0.25">
      <c r="A1975" s="352"/>
      <c r="B1975" s="1242"/>
      <c r="C1975" s="4009" t="s">
        <v>3029</v>
      </c>
      <c r="D1975" s="666">
        <v>79000000</v>
      </c>
      <c r="E1975" s="880">
        <f>D1975/D1943*100</f>
        <v>5.1483014166776517E-2</v>
      </c>
      <c r="F1975" s="838"/>
      <c r="G1975" s="782"/>
      <c r="H1975" s="782"/>
      <c r="I1975" s="782"/>
      <c r="J1975" s="1717"/>
      <c r="K1975" s="1762"/>
      <c r="L1975" s="1670"/>
      <c r="M1975" s="1670"/>
      <c r="N1975" s="535"/>
      <c r="P1975" s="500"/>
    </row>
    <row r="1976" spans="1:16" s="3024" customFormat="1" ht="13.5" customHeight="1" x14ac:dyDescent="0.25">
      <c r="A1976" s="352"/>
      <c r="B1976" s="1242"/>
      <c r="C1976" s="4009" t="s">
        <v>3030</v>
      </c>
      <c r="D1976" s="666">
        <v>200000000</v>
      </c>
      <c r="E1976" s="880">
        <f>D1976/D1943*100</f>
        <v>0.13033674472601647</v>
      </c>
      <c r="F1976" s="838"/>
      <c r="G1976" s="782"/>
      <c r="H1976" s="782"/>
      <c r="I1976" s="782"/>
      <c r="J1976" s="1717"/>
      <c r="K1976" s="1762"/>
      <c r="L1976" s="1670"/>
      <c r="M1976" s="1670"/>
      <c r="N1976" s="535"/>
      <c r="P1976" s="500"/>
    </row>
    <row r="1977" spans="1:16" s="3024" customFormat="1" ht="11.25" customHeight="1" x14ac:dyDescent="0.25">
      <c r="A1977" s="352"/>
      <c r="B1977" s="1242"/>
      <c r="C1977" s="4009"/>
      <c r="D1977" s="666"/>
      <c r="E1977" s="880"/>
      <c r="F1977" s="838"/>
      <c r="G1977" s="782"/>
      <c r="H1977" s="782"/>
      <c r="I1977" s="782"/>
      <c r="J1977" s="1717"/>
      <c r="K1977" s="1762"/>
      <c r="L1977" s="1670"/>
      <c r="M1977" s="1670"/>
      <c r="N1977" s="535"/>
      <c r="P1977" s="500"/>
    </row>
    <row r="1978" spans="1:16" s="3024" customFormat="1" ht="15.75" customHeight="1" x14ac:dyDescent="0.25">
      <c r="A1978" s="352"/>
      <c r="B1978" s="1242"/>
      <c r="C1978" s="4012" t="s">
        <v>3031</v>
      </c>
      <c r="D1978" s="673">
        <f>SUM(D1979:D1987)</f>
        <v>4733850000</v>
      </c>
      <c r="E1978" s="1415">
        <f>D1978/D1943*100</f>
        <v>3.0849729951062659</v>
      </c>
      <c r="F1978" s="838"/>
      <c r="G1978" s="782"/>
      <c r="H1978" s="782"/>
      <c r="I1978" s="782"/>
      <c r="J1978" s="1717"/>
      <c r="K1978" s="1762"/>
      <c r="L1978" s="1670"/>
      <c r="M1978" s="1670"/>
      <c r="N1978" s="535"/>
      <c r="P1978" s="500"/>
    </row>
    <row r="1979" spans="1:16" s="3024" customFormat="1" ht="16.5" customHeight="1" x14ac:dyDescent="0.25">
      <c r="A1979" s="352"/>
      <c r="B1979" s="1242"/>
      <c r="C1979" s="4009" t="s">
        <v>3032</v>
      </c>
      <c r="D1979" s="666">
        <v>200000000</v>
      </c>
      <c r="E1979" s="880">
        <f>D1979/D1943*100</f>
        <v>0.13033674472601647</v>
      </c>
      <c r="F1979" s="838"/>
      <c r="G1979" s="782"/>
      <c r="H1979" s="782"/>
      <c r="I1979" s="782"/>
      <c r="J1979" s="1717"/>
      <c r="K1979" s="1762"/>
      <c r="L1979" s="1670"/>
      <c r="M1979" s="1670"/>
      <c r="N1979" s="535"/>
      <c r="P1979" s="500"/>
    </row>
    <row r="1980" spans="1:16" s="3024" customFormat="1" ht="15" customHeight="1" x14ac:dyDescent="0.25">
      <c r="A1980" s="352"/>
      <c r="B1980" s="1242"/>
      <c r="C1980" s="4009" t="s">
        <v>3033</v>
      </c>
      <c r="D1980" s="666">
        <v>400000000</v>
      </c>
      <c r="E1980" s="880">
        <f>D1980/D1943*100</f>
        <v>0.26067348945203295</v>
      </c>
      <c r="F1980" s="838"/>
      <c r="G1980" s="782"/>
      <c r="H1980" s="782"/>
      <c r="I1980" s="782"/>
      <c r="J1980" s="1717"/>
      <c r="K1980" s="1762"/>
      <c r="L1980" s="1670"/>
      <c r="M1980" s="1670"/>
      <c r="N1980" s="535"/>
      <c r="P1980" s="500"/>
    </row>
    <row r="1981" spans="1:16" s="3024" customFormat="1" ht="13.5" customHeight="1" x14ac:dyDescent="0.25">
      <c r="A1981" s="352"/>
      <c r="B1981" s="1242"/>
      <c r="C1981" s="4009" t="s">
        <v>3034</v>
      </c>
      <c r="D1981" s="666">
        <v>50000000</v>
      </c>
      <c r="E1981" s="880">
        <f>D1981/D1943*100</f>
        <v>3.2584186181504118E-2</v>
      </c>
      <c r="F1981" s="838"/>
      <c r="G1981" s="782"/>
      <c r="H1981" s="782"/>
      <c r="I1981" s="782"/>
      <c r="J1981" s="1717"/>
      <c r="K1981" s="1762"/>
      <c r="L1981" s="1670"/>
      <c r="M1981" s="1670"/>
      <c r="N1981" s="535"/>
      <c r="P1981" s="500"/>
    </row>
    <row r="1982" spans="1:16" s="3024" customFormat="1" ht="15.75" customHeight="1" x14ac:dyDescent="0.25">
      <c r="A1982" s="352"/>
      <c r="B1982" s="1242"/>
      <c r="C1982" s="4009" t="s">
        <v>3035</v>
      </c>
      <c r="D1982" s="666">
        <v>789650000</v>
      </c>
      <c r="E1982" s="880">
        <f>D1982/D1943*100</f>
        <v>0.51460205236449463</v>
      </c>
      <c r="F1982" s="838"/>
      <c r="G1982" s="782"/>
      <c r="H1982" s="782"/>
      <c r="I1982" s="782"/>
      <c r="J1982" s="1717"/>
      <c r="K1982" s="1762"/>
      <c r="L1982" s="1670"/>
      <c r="M1982" s="1670"/>
      <c r="N1982" s="535"/>
      <c r="P1982" s="500"/>
    </row>
    <row r="1983" spans="1:16" s="3024" customFormat="1" ht="15" customHeight="1" x14ac:dyDescent="0.25">
      <c r="A1983" s="352"/>
      <c r="B1983" s="1242"/>
      <c r="C1983" s="4009" t="s">
        <v>3036</v>
      </c>
      <c r="D1983" s="666">
        <v>1000000000</v>
      </c>
      <c r="E1983" s="880">
        <f>D1983/D1943*100</f>
        <v>0.65168372363008242</v>
      </c>
      <c r="F1983" s="838"/>
      <c r="G1983" s="782"/>
      <c r="H1983" s="782"/>
      <c r="I1983" s="782"/>
      <c r="J1983" s="1717"/>
      <c r="K1983" s="1762"/>
      <c r="L1983" s="1670"/>
      <c r="M1983" s="1670"/>
      <c r="N1983" s="535"/>
      <c r="P1983" s="500"/>
    </row>
    <row r="1984" spans="1:16" s="3024" customFormat="1" ht="16.5" customHeight="1" x14ac:dyDescent="0.25">
      <c r="A1984" s="352"/>
      <c r="B1984" s="1242"/>
      <c r="C1984" s="4009" t="s">
        <v>3037</v>
      </c>
      <c r="D1984" s="666">
        <v>500000000</v>
      </c>
      <c r="E1984" s="880">
        <f>D1984/D1943*100</f>
        <v>0.32584186181504121</v>
      </c>
      <c r="F1984" s="838"/>
      <c r="G1984" s="782"/>
      <c r="H1984" s="782"/>
      <c r="I1984" s="782"/>
      <c r="J1984" s="1717"/>
      <c r="K1984" s="1762"/>
      <c r="L1984" s="1670"/>
      <c r="M1984" s="1670"/>
      <c r="N1984" s="535"/>
      <c r="P1984" s="500"/>
    </row>
    <row r="1985" spans="1:16" s="3024" customFormat="1" ht="16.5" customHeight="1" x14ac:dyDescent="0.25">
      <c r="A1985" s="352"/>
      <c r="B1985" s="1242"/>
      <c r="C1985" s="4009" t="s">
        <v>3038</v>
      </c>
      <c r="D1985" s="666">
        <v>294200000</v>
      </c>
      <c r="E1985" s="880">
        <f>D1985/D1943*100</f>
        <v>0.19172535149197026</v>
      </c>
      <c r="F1985" s="838"/>
      <c r="G1985" s="782"/>
      <c r="H1985" s="782"/>
      <c r="I1985" s="782"/>
      <c r="J1985" s="1717"/>
      <c r="K1985" s="1762"/>
      <c r="L1985" s="1670"/>
      <c r="M1985" s="1670"/>
      <c r="N1985" s="535"/>
      <c r="P1985" s="500"/>
    </row>
    <row r="1986" spans="1:16" s="3024" customFormat="1" ht="15" customHeight="1" x14ac:dyDescent="0.25">
      <c r="A1986" s="352"/>
      <c r="B1986" s="1242"/>
      <c r="C1986" s="4009" t="s">
        <v>3039</v>
      </c>
      <c r="D1986" s="666">
        <v>500000000</v>
      </c>
      <c r="E1986" s="880">
        <f>D1986/D1943*100</f>
        <v>0.32584186181504121</v>
      </c>
      <c r="F1986" s="838"/>
      <c r="G1986" s="782"/>
      <c r="H1986" s="782"/>
      <c r="I1986" s="782"/>
      <c r="J1986" s="1717"/>
      <c r="K1986" s="1762"/>
      <c r="L1986" s="1670"/>
      <c r="M1986" s="1670"/>
      <c r="N1986" s="535"/>
      <c r="P1986" s="500"/>
    </row>
    <row r="1987" spans="1:16" s="3024" customFormat="1" ht="16.5" customHeight="1" x14ac:dyDescent="0.25">
      <c r="A1987" s="352"/>
      <c r="B1987" s="1242"/>
      <c r="C1987" s="4009" t="s">
        <v>3040</v>
      </c>
      <c r="D1987" s="666">
        <v>1000000000</v>
      </c>
      <c r="E1987" s="880">
        <f>D1987/D1943*100</f>
        <v>0.65168372363008242</v>
      </c>
      <c r="F1987" s="838"/>
      <c r="G1987" s="782"/>
      <c r="H1987" s="782"/>
      <c r="I1987" s="782"/>
      <c r="J1987" s="1717"/>
      <c r="K1987" s="1762"/>
      <c r="L1987" s="1670"/>
      <c r="M1987" s="1670"/>
      <c r="N1987" s="535"/>
      <c r="P1987" s="500"/>
    </row>
    <row r="1988" spans="1:16" s="3024" customFormat="1" ht="11.25" customHeight="1" x14ac:dyDescent="0.25">
      <c r="A1988" s="352"/>
      <c r="B1988" s="1242"/>
      <c r="C1988" s="4009"/>
      <c r="D1988" s="666"/>
      <c r="E1988" s="880"/>
      <c r="F1988" s="838"/>
      <c r="G1988" s="782"/>
      <c r="H1988" s="782"/>
      <c r="I1988" s="782"/>
      <c r="J1988" s="1717"/>
      <c r="K1988" s="1762"/>
      <c r="L1988" s="1670"/>
      <c r="M1988" s="1670"/>
      <c r="N1988" s="535"/>
      <c r="P1988" s="500"/>
    </row>
    <row r="1989" spans="1:16" s="1237" customFormat="1" ht="15.75" customHeight="1" x14ac:dyDescent="0.25">
      <c r="A1989" s="352"/>
      <c r="B1989" s="1242"/>
      <c r="C1989" s="3919" t="s">
        <v>3041</v>
      </c>
      <c r="D1989" s="768">
        <f>SUM(D1990:D1997)</f>
        <v>2971200000</v>
      </c>
      <c r="E1989" s="1415">
        <f>D1989/D1943*100</f>
        <v>1.936282679649701</v>
      </c>
      <c r="F1989" s="877"/>
      <c r="G1989" s="877"/>
      <c r="H1989" s="877"/>
      <c r="I1989" s="877"/>
      <c r="J1989" s="2261"/>
      <c r="K1989" s="2261"/>
      <c r="L1989" s="1012"/>
      <c r="M1989" s="2118"/>
      <c r="N1989" s="535"/>
      <c r="P1989" s="500"/>
    </row>
    <row r="1990" spans="1:16" s="1237" customFormat="1" ht="15" customHeight="1" x14ac:dyDescent="0.25">
      <c r="A1990" s="352"/>
      <c r="B1990" s="1242"/>
      <c r="C1990" s="4009" t="s">
        <v>3042</v>
      </c>
      <c r="D1990" s="780">
        <v>1200000000</v>
      </c>
      <c r="E1990" s="880">
        <f>D1990/D1943*100</f>
        <v>0.78202046835609895</v>
      </c>
      <c r="F1990" s="878"/>
      <c r="G1990" s="878"/>
      <c r="H1990" s="878"/>
      <c r="I1990" s="878"/>
      <c r="J1990" s="1717"/>
      <c r="K1990" s="2119"/>
      <c r="L1990" s="937"/>
      <c r="M1990" s="1670"/>
      <c r="N1990" s="535"/>
      <c r="P1990" s="500"/>
    </row>
    <row r="1991" spans="1:16" s="1237" customFormat="1" ht="15" customHeight="1" x14ac:dyDescent="0.25">
      <c r="A1991" s="352"/>
      <c r="B1991" s="1242"/>
      <c r="C1991" s="4009" t="s">
        <v>3043</v>
      </c>
      <c r="D1991" s="780">
        <v>710800000</v>
      </c>
      <c r="E1991" s="880">
        <f>D1991/D1943*100</f>
        <v>0.4632167907562626</v>
      </c>
      <c r="F1991" s="878"/>
      <c r="G1991" s="878"/>
      <c r="H1991" s="878"/>
      <c r="I1991" s="878"/>
      <c r="J1991" s="1717"/>
      <c r="K1991" s="878"/>
      <c r="L1991" s="878"/>
      <c r="M1991" s="878"/>
      <c r="N1991" s="535"/>
      <c r="P1991" s="500"/>
    </row>
    <row r="1992" spans="1:16" s="1237" customFormat="1" ht="15.75" customHeight="1" x14ac:dyDescent="0.25">
      <c r="A1992" s="352"/>
      <c r="B1992" s="1242"/>
      <c r="C1992" s="4009" t="s">
        <v>3044</v>
      </c>
      <c r="D1992" s="780">
        <v>100000000</v>
      </c>
      <c r="E1992" s="880">
        <f>D1992/D1943*100</f>
        <v>6.5168372363008237E-2</v>
      </c>
      <c r="F1992" s="878"/>
      <c r="G1992" s="878"/>
      <c r="H1992" s="878"/>
      <c r="I1992" s="878"/>
      <c r="J1992" s="1717"/>
      <c r="K1992" s="878"/>
      <c r="L1992" s="878"/>
      <c r="M1992" s="878"/>
      <c r="N1992" s="535"/>
      <c r="P1992" s="500"/>
    </row>
    <row r="1993" spans="1:16" s="1237" customFormat="1" ht="15" customHeight="1" x14ac:dyDescent="0.25">
      <c r="A1993" s="352"/>
      <c r="B1993" s="1242"/>
      <c r="C1993" s="4009" t="s">
        <v>3045</v>
      </c>
      <c r="D1993" s="780">
        <v>100000000</v>
      </c>
      <c r="E1993" s="880">
        <f>D1993/D1943*100</f>
        <v>6.5168372363008237E-2</v>
      </c>
      <c r="F1993" s="878"/>
      <c r="G1993" s="878"/>
      <c r="H1993" s="878"/>
      <c r="I1993" s="878"/>
      <c r="J1993" s="1717"/>
      <c r="K1993" s="878"/>
      <c r="L1993" s="878"/>
      <c r="M1993" s="878"/>
      <c r="N1993" s="535"/>
      <c r="P1993" s="500"/>
    </row>
    <row r="1994" spans="1:16" s="1237" customFormat="1" ht="26.25" customHeight="1" x14ac:dyDescent="0.25">
      <c r="A1994" s="352"/>
      <c r="B1994" s="1242"/>
      <c r="C1994" s="4009" t="s">
        <v>3046</v>
      </c>
      <c r="D1994" s="780">
        <v>227150000</v>
      </c>
      <c r="E1994" s="880">
        <f>D1994/D1943*100</f>
        <v>0.14802995782257322</v>
      </c>
      <c r="F1994" s="878"/>
      <c r="G1994" s="878"/>
      <c r="H1994" s="878"/>
      <c r="I1994" s="878"/>
      <c r="J1994" s="1717"/>
      <c r="K1994" s="878"/>
      <c r="L1994" s="878"/>
      <c r="M1994" s="878"/>
      <c r="N1994" s="535"/>
      <c r="P1994" s="500"/>
    </row>
    <row r="1995" spans="1:16" s="3024" customFormat="1" ht="15" customHeight="1" x14ac:dyDescent="0.25">
      <c r="A1995" s="352"/>
      <c r="B1995" s="1242"/>
      <c r="C1995" s="4009" t="s">
        <v>3047</v>
      </c>
      <c r="D1995" s="780">
        <v>43250000</v>
      </c>
      <c r="E1995" s="880">
        <f>D1995/D1943*100</f>
        <v>2.8185321047001066E-2</v>
      </c>
      <c r="F1995" s="878"/>
      <c r="G1995" s="883"/>
      <c r="H1995" s="883"/>
      <c r="I1995" s="883"/>
      <c r="J1995" s="1717"/>
      <c r="K1995" s="3327"/>
      <c r="L1995" s="878"/>
      <c r="M1995" s="878"/>
      <c r="N1995" s="535"/>
      <c r="P1995" s="500"/>
    </row>
    <row r="1996" spans="1:16" s="3024" customFormat="1" ht="15" customHeight="1" x14ac:dyDescent="0.25">
      <c r="A1996" s="352"/>
      <c r="B1996" s="1242"/>
      <c r="C1996" s="4009" t="s">
        <v>3048</v>
      </c>
      <c r="D1996" s="780">
        <v>90000000</v>
      </c>
      <c r="E1996" s="880">
        <f>D1996/D1943*100</f>
        <v>5.8651535126707427E-2</v>
      </c>
      <c r="F1996" s="878"/>
      <c r="G1996" s="883"/>
      <c r="H1996" s="883"/>
      <c r="I1996" s="883"/>
      <c r="J1996" s="1717"/>
      <c r="K1996" s="3327"/>
      <c r="L1996" s="878"/>
      <c r="M1996" s="878"/>
      <c r="N1996" s="535"/>
      <c r="P1996" s="500"/>
    </row>
    <row r="1997" spans="1:16" s="3024" customFormat="1" ht="15" customHeight="1" x14ac:dyDescent="0.25">
      <c r="A1997" s="352"/>
      <c r="B1997" s="1242"/>
      <c r="C1997" s="4009" t="s">
        <v>3049</v>
      </c>
      <c r="D1997" s="780">
        <v>500000000</v>
      </c>
      <c r="E1997" s="880">
        <f>D1997/D1943*100</f>
        <v>0.32584186181504121</v>
      </c>
      <c r="F1997" s="878"/>
      <c r="G1997" s="883"/>
      <c r="H1997" s="883"/>
      <c r="I1997" s="883"/>
      <c r="J1997" s="1717"/>
      <c r="K1997" s="3327"/>
      <c r="L1997" s="878"/>
      <c r="M1997" s="878"/>
      <c r="N1997" s="535"/>
      <c r="P1997" s="500"/>
    </row>
    <row r="1998" spans="1:16" s="1237" customFormat="1" ht="11.25" customHeight="1" x14ac:dyDescent="0.25">
      <c r="A1998" s="352"/>
      <c r="B1998" s="1242"/>
      <c r="C1998" s="4009"/>
      <c r="D1998" s="666"/>
      <c r="E1998" s="880"/>
      <c r="F1998" s="838"/>
      <c r="G1998" s="782"/>
      <c r="H1998" s="782"/>
      <c r="I1998" s="782"/>
      <c r="J1998" s="1717"/>
      <c r="K1998" s="2119"/>
      <c r="L1998" s="878"/>
      <c r="M1998" s="878"/>
      <c r="N1998" s="535"/>
      <c r="P1998" s="500"/>
    </row>
    <row r="1999" spans="1:16" ht="17.25" customHeight="1" x14ac:dyDescent="0.25">
      <c r="B1999" s="1242"/>
      <c r="C1999" s="3919" t="s">
        <v>1057</v>
      </c>
      <c r="D1999" s="4235">
        <f>SUM(D2000:D2001)</f>
        <v>1268650000</v>
      </c>
      <c r="E1999" s="1415">
        <f>D1999/D1943*100</f>
        <v>0.82675855598330406</v>
      </c>
      <c r="F1999" s="965"/>
      <c r="G1999" s="766"/>
      <c r="H1999" s="766"/>
      <c r="I1999" s="766"/>
      <c r="J1999" s="965"/>
      <c r="K1999" s="965"/>
      <c r="L1999" s="1012"/>
      <c r="M1999" s="877"/>
      <c r="N1999" s="535"/>
    </row>
    <row r="2000" spans="1:16" ht="17.25" customHeight="1" x14ac:dyDescent="0.25">
      <c r="B2000" s="1242"/>
      <c r="C2000" s="3877" t="s">
        <v>3050</v>
      </c>
      <c r="D2000" s="4184">
        <v>379000000</v>
      </c>
      <c r="E2000" s="880">
        <f>D2000/D1943*100</f>
        <v>0.24698813125580127</v>
      </c>
      <c r="F2000" s="963"/>
      <c r="G2000" s="782"/>
      <c r="H2000" s="782"/>
      <c r="I2000" s="782"/>
      <c r="J2000" s="963"/>
      <c r="K2000" s="1891"/>
      <c r="L2000" s="782"/>
      <c r="M2000" s="782"/>
      <c r="N2000" s="535"/>
    </row>
    <row r="2001" spans="1:16" s="1237" customFormat="1" ht="18.75" customHeight="1" x14ac:dyDescent="0.25">
      <c r="A2001" s="352"/>
      <c r="B2001" s="1242"/>
      <c r="C2001" s="3877" t="s">
        <v>3051</v>
      </c>
      <c r="D2001" s="780">
        <v>889650000</v>
      </c>
      <c r="E2001" s="880">
        <f>D2001/D1943*100</f>
        <v>0.57977042472750284</v>
      </c>
      <c r="F2001" s="878"/>
      <c r="G2001" s="878"/>
      <c r="H2001" s="878"/>
      <c r="I2001" s="878"/>
      <c r="J2001" s="1238"/>
      <c r="K2001" s="1975"/>
      <c r="L2001" s="937"/>
      <c r="M2001" s="937"/>
      <c r="N2001" s="535"/>
      <c r="P2001" s="500"/>
    </row>
    <row r="2002" spans="1:16" ht="9.75" customHeight="1" x14ac:dyDescent="0.25">
      <c r="B2002" s="1242"/>
      <c r="C2002" s="3860"/>
      <c r="D2002" s="666"/>
      <c r="E2002" s="880"/>
      <c r="F2002" s="838"/>
      <c r="G2002" s="782"/>
      <c r="H2002" s="782"/>
      <c r="I2002" s="782"/>
      <c r="J2002" s="1951"/>
      <c r="K2002" s="1762"/>
      <c r="L2002" s="1668"/>
      <c r="M2002" s="1668"/>
      <c r="N2002" s="535"/>
    </row>
    <row r="2003" spans="1:16" ht="19.5" customHeight="1" x14ac:dyDescent="0.25">
      <c r="B2003" s="1242"/>
      <c r="C2003" s="3919" t="s">
        <v>3052</v>
      </c>
      <c r="D2003" s="4235">
        <f>SUM(D2004:D2013)</f>
        <v>5443750000</v>
      </c>
      <c r="E2003" s="1415">
        <f>D2003/D1943*100</f>
        <v>3.547603270511261</v>
      </c>
      <c r="F2003" s="966"/>
      <c r="G2003" s="966"/>
      <c r="H2003" s="766"/>
      <c r="I2003" s="766"/>
      <c r="J2003" s="965"/>
      <c r="K2003" s="965"/>
      <c r="L2003" s="1012"/>
      <c r="M2003" s="1650"/>
      <c r="N2003" s="535"/>
    </row>
    <row r="2004" spans="1:16" s="303" customFormat="1" ht="15.75" customHeight="1" x14ac:dyDescent="0.25">
      <c r="A2004" s="1236"/>
      <c r="B2004" s="1242"/>
      <c r="C2004" s="3877" t="s">
        <v>3053</v>
      </c>
      <c r="D2004" s="666">
        <v>200000000</v>
      </c>
      <c r="E2004" s="880">
        <f>D2004/D1943*100</f>
        <v>0.13033674472601647</v>
      </c>
      <c r="F2004" s="971"/>
      <c r="G2004" s="782"/>
      <c r="H2004" s="782"/>
      <c r="I2004" s="782"/>
      <c r="J2004" s="1238"/>
      <c r="K2004" s="1891"/>
      <c r="L2004" s="782"/>
      <c r="M2004" s="782"/>
      <c r="N2004" s="554"/>
      <c r="P2004" s="500"/>
    </row>
    <row r="2005" spans="1:16" ht="17.25" customHeight="1" x14ac:dyDescent="0.25">
      <c r="B2005" s="1242"/>
      <c r="C2005" s="3877" t="s">
        <v>3054</v>
      </c>
      <c r="D2005" s="4184">
        <v>150000000</v>
      </c>
      <c r="E2005" s="880">
        <f>D2005/D1943*100</f>
        <v>9.7752558544512369E-2</v>
      </c>
      <c r="F2005" s="967"/>
      <c r="G2005" s="782"/>
      <c r="H2005" s="782"/>
      <c r="I2005" s="782"/>
      <c r="J2005" s="963"/>
      <c r="K2005" s="963"/>
      <c r="L2005" s="782"/>
      <c r="M2005" s="1668"/>
      <c r="N2005" s="535"/>
    </row>
    <row r="2006" spans="1:16" ht="18" customHeight="1" x14ac:dyDescent="0.25">
      <c r="B2006" s="1242"/>
      <c r="C2006" s="3877" t="s">
        <v>3055</v>
      </c>
      <c r="D2006" s="4184">
        <v>1000000000</v>
      </c>
      <c r="E2006" s="880">
        <f>D2006/D1943*100</f>
        <v>0.65168372363008242</v>
      </c>
      <c r="F2006" s="967"/>
      <c r="G2006" s="782"/>
      <c r="H2006" s="782"/>
      <c r="I2006" s="782"/>
      <c r="J2006" s="963"/>
      <c r="K2006" s="963"/>
      <c r="L2006" s="782"/>
      <c r="M2006" s="1668"/>
      <c r="N2006" s="535"/>
    </row>
    <row r="2007" spans="1:16" s="1237" customFormat="1" ht="18" customHeight="1" x14ac:dyDescent="0.25">
      <c r="A2007" s="352"/>
      <c r="B2007" s="1242"/>
      <c r="C2007" s="3877" t="s">
        <v>3056</v>
      </c>
      <c r="D2007" s="780">
        <v>1500000000</v>
      </c>
      <c r="E2007" s="880">
        <f>D2007/D1943*100</f>
        <v>0.97752558544512369</v>
      </c>
      <c r="F2007" s="878"/>
      <c r="G2007" s="878"/>
      <c r="H2007" s="878"/>
      <c r="I2007" s="878"/>
      <c r="J2007" s="1238"/>
      <c r="K2007" s="1979"/>
      <c r="L2007" s="782"/>
      <c r="M2007" s="1668"/>
      <c r="N2007" s="535"/>
      <c r="P2007" s="500"/>
    </row>
    <row r="2008" spans="1:16" s="3024" customFormat="1" ht="17.25" customHeight="1" x14ac:dyDescent="0.25">
      <c r="A2008" s="352"/>
      <c r="B2008" s="1242"/>
      <c r="C2008" s="3877" t="s">
        <v>3057</v>
      </c>
      <c r="D2008" s="780">
        <v>1400000000</v>
      </c>
      <c r="E2008" s="880">
        <f>D2008/D1943*100</f>
        <v>0.91235721308211537</v>
      </c>
      <c r="F2008" s="878"/>
      <c r="G2008" s="883"/>
      <c r="H2008" s="883"/>
      <c r="I2008" s="883"/>
      <c r="J2008" s="1238"/>
      <c r="K2008" s="1979"/>
      <c r="L2008" s="782"/>
      <c r="M2008" s="1668"/>
      <c r="N2008" s="535"/>
      <c r="P2008" s="500"/>
    </row>
    <row r="2009" spans="1:16" s="3024" customFormat="1" ht="15.75" customHeight="1" x14ac:dyDescent="0.25">
      <c r="A2009" s="352"/>
      <c r="B2009" s="1242"/>
      <c r="C2009" s="3877" t="s">
        <v>3058</v>
      </c>
      <c r="D2009" s="780">
        <v>200000000</v>
      </c>
      <c r="E2009" s="880">
        <f>D2009/D1943*100</f>
        <v>0.13033674472601647</v>
      </c>
      <c r="F2009" s="878"/>
      <c r="G2009" s="883"/>
      <c r="H2009" s="883"/>
      <c r="I2009" s="883"/>
      <c r="J2009" s="1238"/>
      <c r="K2009" s="1979"/>
      <c r="L2009" s="782"/>
      <c r="M2009" s="1668"/>
      <c r="N2009" s="535"/>
      <c r="P2009" s="500"/>
    </row>
    <row r="2010" spans="1:16" s="3024" customFormat="1" ht="16.5" customHeight="1" x14ac:dyDescent="0.25">
      <c r="A2010" s="352"/>
      <c r="B2010" s="1242"/>
      <c r="C2010" s="3877" t="s">
        <v>3059</v>
      </c>
      <c r="D2010" s="780">
        <v>250000000</v>
      </c>
      <c r="E2010" s="880">
        <f>D2010/D1943*100</f>
        <v>0.16292093090752061</v>
      </c>
      <c r="F2010" s="878"/>
      <c r="G2010" s="883"/>
      <c r="H2010" s="883"/>
      <c r="I2010" s="883"/>
      <c r="J2010" s="1238"/>
      <c r="K2010" s="1979"/>
      <c r="L2010" s="782"/>
      <c r="M2010" s="1668"/>
      <c r="N2010" s="535"/>
      <c r="P2010" s="500"/>
    </row>
    <row r="2011" spans="1:16" s="3024" customFormat="1" ht="17.25" customHeight="1" x14ac:dyDescent="0.25">
      <c r="A2011" s="352"/>
      <c r="B2011" s="1242"/>
      <c r="C2011" s="3877" t="s">
        <v>3060</v>
      </c>
      <c r="D2011" s="780">
        <v>393750000</v>
      </c>
      <c r="E2011" s="880">
        <f>D2011/D1943*100</f>
        <v>0.25660046617934495</v>
      </c>
      <c r="F2011" s="878"/>
      <c r="G2011" s="883"/>
      <c r="H2011" s="883"/>
      <c r="I2011" s="883"/>
      <c r="J2011" s="1238"/>
      <c r="K2011" s="1979"/>
      <c r="L2011" s="782"/>
      <c r="M2011" s="1668"/>
      <c r="N2011" s="535"/>
      <c r="P2011" s="500"/>
    </row>
    <row r="2012" spans="1:16" s="3024" customFormat="1" ht="17.25" customHeight="1" x14ac:dyDescent="0.25">
      <c r="A2012" s="352"/>
      <c r="B2012" s="1242"/>
      <c r="C2012" s="3877" t="s">
        <v>3061</v>
      </c>
      <c r="D2012" s="780">
        <v>250000000</v>
      </c>
      <c r="E2012" s="880">
        <f>D2012/D1943*100</f>
        <v>0.16292093090752061</v>
      </c>
      <c r="F2012" s="878"/>
      <c r="G2012" s="883"/>
      <c r="H2012" s="883"/>
      <c r="I2012" s="883"/>
      <c r="J2012" s="1238"/>
      <c r="K2012" s="1979"/>
      <c r="L2012" s="782"/>
      <c r="M2012" s="1668"/>
      <c r="N2012" s="535"/>
      <c r="P2012" s="500"/>
    </row>
    <row r="2013" spans="1:16" s="3024" customFormat="1" ht="21" customHeight="1" x14ac:dyDescent="0.25">
      <c r="A2013" s="352"/>
      <c r="B2013" s="1242"/>
      <c r="C2013" s="3877" t="s">
        <v>3062</v>
      </c>
      <c r="D2013" s="780">
        <v>100000000</v>
      </c>
      <c r="E2013" s="880">
        <f>D2013/D1943*100</f>
        <v>6.5168372363008237E-2</v>
      </c>
      <c r="F2013" s="878"/>
      <c r="G2013" s="883"/>
      <c r="H2013" s="883"/>
      <c r="I2013" s="883"/>
      <c r="J2013" s="1238"/>
      <c r="K2013" s="1979"/>
      <c r="L2013" s="782"/>
      <c r="M2013" s="1668"/>
      <c r="N2013" s="535"/>
      <c r="P2013" s="500"/>
    </row>
    <row r="2014" spans="1:16" s="615" customFormat="1" ht="9" customHeight="1" x14ac:dyDescent="0.25">
      <c r="A2014" s="352"/>
      <c r="B2014" s="1242"/>
      <c r="C2014" s="4009"/>
      <c r="D2014" s="666"/>
      <c r="E2014" s="880"/>
      <c r="F2014" s="838"/>
      <c r="G2014" s="782"/>
      <c r="H2014" s="782"/>
      <c r="I2014" s="937"/>
      <c r="J2014" s="2367"/>
      <c r="K2014" s="2119"/>
      <c r="L2014" s="1670"/>
      <c r="M2014" s="1670"/>
      <c r="N2014" s="535"/>
      <c r="P2014" s="500"/>
    </row>
    <row r="2015" spans="1:16" ht="19.5" customHeight="1" x14ac:dyDescent="0.25">
      <c r="B2015" s="1242"/>
      <c r="C2015" s="3919" t="s">
        <v>2297</v>
      </c>
      <c r="D2015" s="4235">
        <f>SUM(D2016:D2023)</f>
        <v>2280800000</v>
      </c>
      <c r="E2015" s="1415">
        <f>D2015/D1943*100</f>
        <v>1.486360236855492</v>
      </c>
      <c r="F2015" s="965"/>
      <c r="G2015" s="766"/>
      <c r="H2015" s="766"/>
      <c r="I2015" s="766"/>
      <c r="J2015" s="965"/>
      <c r="K2015" s="965"/>
      <c r="L2015" s="965"/>
      <c r="M2015" s="965"/>
      <c r="N2015" s="535"/>
    </row>
    <row r="2016" spans="1:16" ht="14.25" customHeight="1" x14ac:dyDescent="0.25">
      <c r="B2016" s="1242"/>
      <c r="C2016" s="3877" t="s">
        <v>3063</v>
      </c>
      <c r="D2016" s="4184">
        <v>97600000</v>
      </c>
      <c r="E2016" s="880">
        <f>D2016/D1943*100</f>
        <v>6.360433142629604E-2</v>
      </c>
      <c r="F2016" s="967"/>
      <c r="G2016" s="782"/>
      <c r="H2016" s="782"/>
      <c r="I2016" s="782"/>
      <c r="J2016" s="963"/>
      <c r="K2016" s="1891"/>
      <c r="L2016" s="782"/>
      <c r="M2016" s="782"/>
      <c r="N2016" s="535"/>
    </row>
    <row r="2017" spans="1:16" ht="15.75" customHeight="1" x14ac:dyDescent="0.25">
      <c r="B2017" s="1242"/>
      <c r="C2017" s="3877" t="s">
        <v>3417</v>
      </c>
      <c r="D2017" s="4184">
        <v>1203500000</v>
      </c>
      <c r="E2017" s="880">
        <f>D2017/D1943*100</f>
        <v>0.78430136138880424</v>
      </c>
      <c r="F2017" s="967"/>
      <c r="G2017" s="782"/>
      <c r="H2017" s="782"/>
      <c r="I2017" s="782"/>
      <c r="J2017" s="1951"/>
      <c r="K2017" s="1891"/>
      <c r="L2017" s="782"/>
      <c r="M2017" s="782"/>
      <c r="N2017" s="535"/>
    </row>
    <row r="2018" spans="1:16" s="1237" customFormat="1" ht="15.75" customHeight="1" x14ac:dyDescent="0.25">
      <c r="A2018" s="352"/>
      <c r="B2018" s="1242"/>
      <c r="C2018" s="3877" t="s">
        <v>3064</v>
      </c>
      <c r="D2018" s="780">
        <v>93100000</v>
      </c>
      <c r="E2018" s="880">
        <f>D2018/D1943*100</f>
        <v>6.0671754669960679E-2</v>
      </c>
      <c r="F2018" s="878"/>
      <c r="G2018" s="878"/>
      <c r="H2018" s="878"/>
      <c r="I2018" s="878"/>
      <c r="J2018" s="1951"/>
      <c r="K2018" s="1891"/>
      <c r="L2018" s="782"/>
      <c r="M2018" s="782"/>
      <c r="N2018" s="535"/>
      <c r="P2018" s="500"/>
    </row>
    <row r="2019" spans="1:16" s="1237" customFormat="1" ht="15.75" customHeight="1" x14ac:dyDescent="0.25">
      <c r="A2019" s="352"/>
      <c r="B2019" s="1242"/>
      <c r="C2019" s="3877" t="s">
        <v>3065</v>
      </c>
      <c r="D2019" s="780">
        <v>100000000</v>
      </c>
      <c r="E2019" s="880">
        <f>D2019/D1943*100</f>
        <v>6.5168372363008237E-2</v>
      </c>
      <c r="F2019" s="878"/>
      <c r="G2019" s="878"/>
      <c r="H2019" s="878"/>
      <c r="I2019" s="878"/>
      <c r="J2019" s="1951"/>
      <c r="K2019" s="1891"/>
      <c r="L2019" s="782"/>
      <c r="M2019" s="782"/>
      <c r="N2019" s="535"/>
      <c r="P2019" s="500"/>
    </row>
    <row r="2020" spans="1:16" s="1237" customFormat="1" ht="15.75" customHeight="1" x14ac:dyDescent="0.25">
      <c r="A2020" s="352"/>
      <c r="B2020" s="1242"/>
      <c r="C2020" s="3877" t="s">
        <v>3066</v>
      </c>
      <c r="D2020" s="780">
        <v>100000000</v>
      </c>
      <c r="E2020" s="880">
        <f>D2020/D1943*100</f>
        <v>6.5168372363008237E-2</v>
      </c>
      <c r="F2020" s="878"/>
      <c r="G2020" s="878"/>
      <c r="H2020" s="878"/>
      <c r="I2020" s="878"/>
      <c r="J2020" s="1951"/>
      <c r="K2020" s="1891"/>
      <c r="L2020" s="782"/>
      <c r="M2020" s="782"/>
      <c r="N2020" s="535"/>
      <c r="P2020" s="500"/>
    </row>
    <row r="2021" spans="1:16" s="1237" customFormat="1" ht="15.75" customHeight="1" x14ac:dyDescent="0.25">
      <c r="A2021" s="352"/>
      <c r="B2021" s="1242"/>
      <c r="C2021" s="3877" t="s">
        <v>3067</v>
      </c>
      <c r="D2021" s="780">
        <v>86600000</v>
      </c>
      <c r="E2021" s="880">
        <f>D2021/D1943*100</f>
        <v>5.6435810466365137E-2</v>
      </c>
      <c r="F2021" s="878"/>
      <c r="G2021" s="878"/>
      <c r="H2021" s="878"/>
      <c r="I2021" s="878"/>
      <c r="J2021" s="1951"/>
      <c r="K2021" s="1891"/>
      <c r="L2021" s="782"/>
      <c r="M2021" s="782"/>
      <c r="N2021" s="535"/>
      <c r="P2021" s="500"/>
    </row>
    <row r="2022" spans="1:16" ht="19.5" customHeight="1" x14ac:dyDescent="0.25">
      <c r="B2022" s="1242"/>
      <c r="C2022" s="3860" t="s">
        <v>3068</v>
      </c>
      <c r="D2022" s="666">
        <v>100000000</v>
      </c>
      <c r="E2022" s="880">
        <f>D2022/D1943*100</f>
        <v>6.5168372363008237E-2</v>
      </c>
      <c r="F2022" s="838"/>
      <c r="G2022" s="666"/>
      <c r="H2022" s="782"/>
      <c r="I2022" s="782"/>
      <c r="J2022" s="1951"/>
      <c r="K2022" s="1312"/>
      <c r="L2022" s="1312"/>
      <c r="M2022" s="1312"/>
      <c r="N2022" s="535"/>
    </row>
    <row r="2023" spans="1:16" ht="18" customHeight="1" x14ac:dyDescent="0.25">
      <c r="B2023" s="1242"/>
      <c r="C2023" s="3892" t="s">
        <v>3069</v>
      </c>
      <c r="D2023" s="671">
        <v>500000000</v>
      </c>
      <c r="E2023" s="880">
        <f>D2023/D1943*100</f>
        <v>0.32584186181504121</v>
      </c>
      <c r="F2023" s="840"/>
      <c r="G2023" s="969"/>
      <c r="H2023" s="2255"/>
      <c r="I2023" s="791"/>
      <c r="J2023" s="2175"/>
      <c r="K2023" s="1315"/>
      <c r="L2023" s="1315"/>
      <c r="M2023" s="1315"/>
      <c r="N2023" s="535"/>
    </row>
    <row r="2024" spans="1:16" s="3024" customFormat="1" ht="10.5" customHeight="1" x14ac:dyDescent="0.25">
      <c r="A2024" s="352"/>
      <c r="B2024" s="1242"/>
      <c r="C2024" s="3882"/>
      <c r="D2024" s="666"/>
      <c r="E2024" s="1463"/>
      <c r="F2024" s="838"/>
      <c r="G2024" s="894"/>
      <c r="H2024" s="1310"/>
      <c r="I2024" s="1314"/>
      <c r="J2024" s="2175"/>
      <c r="K2024" s="1315"/>
      <c r="L2024" s="1315"/>
      <c r="M2024" s="1315"/>
      <c r="N2024" s="535"/>
      <c r="P2024" s="500"/>
    </row>
    <row r="2025" spans="1:16" s="3024" customFormat="1" ht="16.5" customHeight="1" x14ac:dyDescent="0.25">
      <c r="A2025" s="352"/>
      <c r="B2025" s="1242"/>
      <c r="C2025" s="3882" t="s">
        <v>3070</v>
      </c>
      <c r="D2025" s="673">
        <f>D2026</f>
        <v>450000000</v>
      </c>
      <c r="E2025" s="1415">
        <f>D2025/D1943*100</f>
        <v>0.29325767563353711</v>
      </c>
      <c r="F2025" s="838"/>
      <c r="G2025" s="894"/>
      <c r="H2025" s="1310"/>
      <c r="I2025" s="1314"/>
      <c r="J2025" s="2175"/>
      <c r="K2025" s="1315"/>
      <c r="L2025" s="1315"/>
      <c r="M2025" s="1315"/>
      <c r="N2025" s="535"/>
      <c r="P2025" s="500"/>
    </row>
    <row r="2026" spans="1:16" s="3024" customFormat="1" ht="15.75" customHeight="1" x14ac:dyDescent="0.25">
      <c r="A2026" s="352"/>
      <c r="B2026" s="1242"/>
      <c r="C2026" s="3860" t="s">
        <v>3071</v>
      </c>
      <c r="D2026" s="666">
        <v>450000000</v>
      </c>
      <c r="E2026" s="880">
        <f>D2026/D1943*100</f>
        <v>0.29325767563353711</v>
      </c>
      <c r="F2026" s="838"/>
      <c r="G2026" s="894"/>
      <c r="H2026" s="1310"/>
      <c r="I2026" s="1314"/>
      <c r="J2026" s="2175"/>
      <c r="K2026" s="1315"/>
      <c r="L2026" s="1315"/>
      <c r="M2026" s="1315"/>
      <c r="N2026" s="535"/>
      <c r="P2026" s="500"/>
    </row>
    <row r="2027" spans="1:16" s="3024" customFormat="1" ht="15" customHeight="1" x14ac:dyDescent="0.25">
      <c r="A2027" s="352"/>
      <c r="B2027" s="1242"/>
      <c r="C2027" s="3882"/>
      <c r="D2027" s="666"/>
      <c r="E2027" s="1463"/>
      <c r="F2027" s="838"/>
      <c r="G2027" s="894"/>
      <c r="H2027" s="1310"/>
      <c r="I2027" s="1314"/>
      <c r="J2027" s="2175"/>
      <c r="K2027" s="1315"/>
      <c r="L2027" s="1315"/>
      <c r="M2027" s="1315"/>
      <c r="N2027" s="535"/>
      <c r="P2027" s="500"/>
    </row>
    <row r="2028" spans="1:16" s="3024" customFormat="1" ht="14.25" customHeight="1" x14ac:dyDescent="0.25">
      <c r="A2028" s="352"/>
      <c r="B2028" s="1242"/>
      <c r="C2028" s="3882" t="s">
        <v>3072</v>
      </c>
      <c r="D2028" s="4236">
        <f>SUM(D2029:D2037)</f>
        <v>1073950000</v>
      </c>
      <c r="E2028" s="1415">
        <f>D2028/D1943*100</f>
        <v>0.69987573499252709</v>
      </c>
      <c r="F2028" s="838"/>
      <c r="G2028" s="894"/>
      <c r="H2028" s="1310"/>
      <c r="I2028" s="1314"/>
      <c r="J2028" s="2175"/>
      <c r="K2028" s="1315"/>
      <c r="L2028" s="1315"/>
      <c r="M2028" s="1315"/>
      <c r="N2028" s="535"/>
      <c r="P2028" s="500"/>
    </row>
    <row r="2029" spans="1:16" s="3024" customFormat="1" ht="14.25" customHeight="1" x14ac:dyDescent="0.25">
      <c r="A2029" s="352"/>
      <c r="B2029" s="1242"/>
      <c r="C2029" s="3860" t="s">
        <v>3073</v>
      </c>
      <c r="D2029" s="666">
        <v>150000000</v>
      </c>
      <c r="E2029" s="880">
        <f>D2029/D1943*100</f>
        <v>9.7752558544512369E-2</v>
      </c>
      <c r="F2029" s="838"/>
      <c r="G2029" s="894"/>
      <c r="H2029" s="1310"/>
      <c r="I2029" s="1314"/>
      <c r="J2029" s="2175"/>
      <c r="K2029" s="1315"/>
      <c r="L2029" s="1315"/>
      <c r="M2029" s="1315"/>
      <c r="N2029" s="535"/>
      <c r="P2029" s="500"/>
    </row>
    <row r="2030" spans="1:16" s="3024" customFormat="1" ht="15" customHeight="1" x14ac:dyDescent="0.25">
      <c r="A2030" s="352"/>
      <c r="B2030" s="1242"/>
      <c r="C2030" s="3860" t="s">
        <v>3074</v>
      </c>
      <c r="D2030" s="666">
        <v>150000000</v>
      </c>
      <c r="E2030" s="880">
        <f>D2030/D1943*100</f>
        <v>9.7752558544512369E-2</v>
      </c>
      <c r="F2030" s="838"/>
      <c r="G2030" s="894"/>
      <c r="H2030" s="1310"/>
      <c r="I2030" s="1314"/>
      <c r="J2030" s="2175"/>
      <c r="K2030" s="1315"/>
      <c r="L2030" s="1315"/>
      <c r="M2030" s="1315"/>
      <c r="N2030" s="535"/>
      <c r="P2030" s="500"/>
    </row>
    <row r="2031" spans="1:16" s="3024" customFormat="1" ht="15" customHeight="1" x14ac:dyDescent="0.25">
      <c r="A2031" s="352"/>
      <c r="B2031" s="1242"/>
      <c r="C2031" s="3860" t="s">
        <v>3075</v>
      </c>
      <c r="D2031" s="666">
        <v>137550000</v>
      </c>
      <c r="E2031" s="880">
        <f>D2031/D1943*100</f>
        <v>8.9639096185317846E-2</v>
      </c>
      <c r="F2031" s="838"/>
      <c r="G2031" s="894"/>
      <c r="H2031" s="1310"/>
      <c r="I2031" s="1314"/>
      <c r="J2031" s="2175"/>
      <c r="K2031" s="1315"/>
      <c r="L2031" s="1315"/>
      <c r="M2031" s="1315"/>
      <c r="N2031" s="535"/>
      <c r="P2031" s="500"/>
    </row>
    <row r="2032" spans="1:16" s="3024" customFormat="1" ht="17.25" customHeight="1" x14ac:dyDescent="0.25">
      <c r="A2032" s="352"/>
      <c r="B2032" s="1242"/>
      <c r="C2032" s="3860" t="s">
        <v>3076</v>
      </c>
      <c r="D2032" s="666">
        <v>136400000</v>
      </c>
      <c r="E2032" s="880">
        <f>D2032/D1943*100</f>
        <v>8.888965990314325E-2</v>
      </c>
      <c r="F2032" s="838"/>
      <c r="G2032" s="894"/>
      <c r="H2032" s="1310"/>
      <c r="I2032" s="1314"/>
      <c r="J2032" s="2175"/>
      <c r="K2032" s="1315"/>
      <c r="L2032" s="1315"/>
      <c r="M2032" s="1315"/>
      <c r="N2032" s="535"/>
      <c r="P2032" s="500"/>
    </row>
    <row r="2033" spans="1:16" s="3024" customFormat="1" ht="17.25" customHeight="1" x14ac:dyDescent="0.25">
      <c r="A2033" s="352"/>
      <c r="B2033" s="1242"/>
      <c r="C2033" s="3860" t="s">
        <v>3077</v>
      </c>
      <c r="D2033" s="666">
        <v>100000000</v>
      </c>
      <c r="E2033" s="880">
        <f>D2033/D1943*100</f>
        <v>6.5168372363008237E-2</v>
      </c>
      <c r="F2033" s="838"/>
      <c r="G2033" s="894"/>
      <c r="H2033" s="1310"/>
      <c r="I2033" s="1314"/>
      <c r="J2033" s="2175"/>
      <c r="K2033" s="1315"/>
      <c r="L2033" s="1315"/>
      <c r="M2033" s="1315"/>
      <c r="N2033" s="535"/>
      <c r="P2033" s="500"/>
    </row>
    <row r="2034" spans="1:16" s="3024" customFormat="1" ht="14.25" customHeight="1" x14ac:dyDescent="0.25">
      <c r="A2034" s="352"/>
      <c r="B2034" s="1242"/>
      <c r="C2034" s="3860" t="s">
        <v>3078</v>
      </c>
      <c r="D2034" s="666">
        <v>150000000</v>
      </c>
      <c r="E2034" s="880">
        <f>D2034/D1943*100</f>
        <v>9.7752558544512369E-2</v>
      </c>
      <c r="F2034" s="838"/>
      <c r="G2034" s="894"/>
      <c r="H2034" s="1310"/>
      <c r="I2034" s="1314"/>
      <c r="J2034" s="2175"/>
      <c r="K2034" s="1315"/>
      <c r="L2034" s="1315"/>
      <c r="M2034" s="1315"/>
      <c r="N2034" s="535"/>
      <c r="P2034" s="500"/>
    </row>
    <row r="2035" spans="1:16" s="3024" customFormat="1" ht="17.25" customHeight="1" x14ac:dyDescent="0.25">
      <c r="A2035" s="352"/>
      <c r="B2035" s="1242"/>
      <c r="C2035" s="3860" t="s">
        <v>3079</v>
      </c>
      <c r="D2035" s="666">
        <v>100000000</v>
      </c>
      <c r="E2035" s="880">
        <f>D2035/D1943*100</f>
        <v>6.5168372363008237E-2</v>
      </c>
      <c r="F2035" s="838"/>
      <c r="G2035" s="894"/>
      <c r="H2035" s="1310"/>
      <c r="I2035" s="1314"/>
      <c r="J2035" s="2175"/>
      <c r="K2035" s="1315"/>
      <c r="L2035" s="1315"/>
      <c r="M2035" s="1315"/>
      <c r="N2035" s="535"/>
      <c r="P2035" s="500"/>
    </row>
    <row r="2036" spans="1:16" s="3024" customFormat="1" ht="15" customHeight="1" x14ac:dyDescent="0.25">
      <c r="A2036" s="352"/>
      <c r="B2036" s="1242"/>
      <c r="C2036" s="3860" t="s">
        <v>3080</v>
      </c>
      <c r="D2036" s="666">
        <v>100000000</v>
      </c>
      <c r="E2036" s="880">
        <f>D2036/D1943*100</f>
        <v>6.5168372363008237E-2</v>
      </c>
      <c r="F2036" s="838"/>
      <c r="G2036" s="894"/>
      <c r="H2036" s="1310"/>
      <c r="I2036" s="1314"/>
      <c r="J2036" s="2175"/>
      <c r="K2036" s="1315"/>
      <c r="L2036" s="1315"/>
      <c r="M2036" s="1315"/>
      <c r="N2036" s="535"/>
      <c r="P2036" s="500"/>
    </row>
    <row r="2037" spans="1:16" s="3024" customFormat="1" ht="16.5" customHeight="1" x14ac:dyDescent="0.25">
      <c r="A2037" s="352"/>
      <c r="B2037" s="1242"/>
      <c r="C2037" s="3860" t="s">
        <v>3081</v>
      </c>
      <c r="D2037" s="666">
        <v>50000000</v>
      </c>
      <c r="E2037" s="880">
        <f>D2037/D1943*100</f>
        <v>3.2584186181504118E-2</v>
      </c>
      <c r="F2037" s="838"/>
      <c r="G2037" s="894"/>
      <c r="H2037" s="1310"/>
      <c r="I2037" s="1314"/>
      <c r="J2037" s="2175"/>
      <c r="K2037" s="1315"/>
      <c r="L2037" s="1315"/>
      <c r="M2037" s="1315"/>
      <c r="N2037" s="535"/>
      <c r="P2037" s="500"/>
    </row>
    <row r="2038" spans="1:16" s="1237" customFormat="1" ht="9.75" customHeight="1" x14ac:dyDescent="0.25">
      <c r="A2038" s="352"/>
      <c r="B2038" s="1242"/>
      <c r="C2038" s="3893"/>
      <c r="D2038" s="671"/>
      <c r="E2038" s="1393"/>
      <c r="F2038" s="840"/>
      <c r="G2038" s="969"/>
      <c r="H2038" s="2255"/>
      <c r="I2038" s="791"/>
      <c r="J2038" s="2182"/>
      <c r="K2038" s="2182"/>
      <c r="L2038" s="2182"/>
      <c r="M2038" s="2182"/>
      <c r="N2038" s="535"/>
      <c r="P2038" s="500"/>
    </row>
    <row r="2039" spans="1:16" ht="15.75" customHeight="1" x14ac:dyDescent="0.25">
      <c r="B2039" s="1305"/>
      <c r="C2039" s="3921" t="s">
        <v>248</v>
      </c>
      <c r="D2039" s="669">
        <f>SUM(D2040+D2050+D2056+D2062+D2092+D2098)</f>
        <v>17000200000</v>
      </c>
      <c r="E2039" s="1462">
        <f>D2039/D1943*100</f>
        <v>11.078753638456128</v>
      </c>
      <c r="F2039" s="832"/>
      <c r="G2039" s="832"/>
      <c r="H2039" s="1462"/>
      <c r="I2039" s="1645"/>
      <c r="J2039" s="1813"/>
      <c r="K2039" s="1813"/>
      <c r="L2039" s="1462"/>
      <c r="M2039" s="1307"/>
      <c r="N2039" s="535"/>
    </row>
    <row r="2040" spans="1:16" ht="17.25" customHeight="1" x14ac:dyDescent="0.25">
      <c r="B2040" s="1242"/>
      <c r="C2040" s="3922" t="s">
        <v>3082</v>
      </c>
      <c r="D2040" s="4237">
        <f>SUM(D2041:D2048)</f>
        <v>3783200000</v>
      </c>
      <c r="E2040" s="1461">
        <f>D2040/D1943*100</f>
        <v>2.4654498632373278</v>
      </c>
      <c r="F2040" s="970"/>
      <c r="G2040" s="975"/>
      <c r="H2040" s="766"/>
      <c r="I2040" s="1309"/>
      <c r="J2040" s="970"/>
      <c r="K2040" s="975"/>
      <c r="L2040" s="1394"/>
      <c r="M2040" s="1659"/>
      <c r="N2040" s="535"/>
    </row>
    <row r="2041" spans="1:16" ht="15.75" customHeight="1" x14ac:dyDescent="0.25">
      <c r="B2041" s="1242"/>
      <c r="C2041" s="3877" t="s">
        <v>3083</v>
      </c>
      <c r="D2041" s="4184">
        <v>100000000</v>
      </c>
      <c r="E2041" s="880">
        <f>D2041/D1943*100</f>
        <v>6.5168372363008237E-2</v>
      </c>
      <c r="F2041" s="967"/>
      <c r="G2041" s="666"/>
      <c r="H2041" s="782"/>
      <c r="I2041" s="1111"/>
      <c r="J2041" s="963"/>
      <c r="K2041" s="1312"/>
      <c r="L2041" s="782"/>
      <c r="M2041" s="1312"/>
      <c r="N2041" s="535"/>
    </row>
    <row r="2042" spans="1:16" ht="15.75" customHeight="1" x14ac:dyDescent="0.25">
      <c r="B2042" s="1242"/>
      <c r="C2042" s="3877" t="s">
        <v>3084</v>
      </c>
      <c r="D2042" s="4184">
        <v>100000000</v>
      </c>
      <c r="E2042" s="880">
        <f>D2042/D1943*100</f>
        <v>6.5168372363008237E-2</v>
      </c>
      <c r="F2042" s="967"/>
      <c r="G2042" s="666"/>
      <c r="H2042" s="782"/>
      <c r="I2042" s="1111"/>
      <c r="J2042" s="963"/>
      <c r="K2042" s="1312"/>
      <c r="L2042" s="782"/>
      <c r="M2042" s="1312"/>
      <c r="N2042" s="535"/>
    </row>
    <row r="2043" spans="1:16" ht="16.5" customHeight="1" x14ac:dyDescent="0.25">
      <c r="B2043" s="1242"/>
      <c r="C2043" s="3877" t="s">
        <v>3085</v>
      </c>
      <c r="D2043" s="4184">
        <v>100000000</v>
      </c>
      <c r="E2043" s="880">
        <f>D2043/D1943*100</f>
        <v>6.5168372363008237E-2</v>
      </c>
      <c r="F2043" s="967"/>
      <c r="G2043" s="666"/>
      <c r="H2043" s="782"/>
      <c r="I2043" s="1111"/>
      <c r="J2043" s="963"/>
      <c r="K2043" s="1312"/>
      <c r="L2043" s="782"/>
      <c r="M2043" s="1312"/>
      <c r="N2043" s="535"/>
    </row>
    <row r="2044" spans="1:16" ht="18" customHeight="1" x14ac:dyDescent="0.25">
      <c r="B2044" s="1242"/>
      <c r="C2044" s="3877" t="s">
        <v>3086</v>
      </c>
      <c r="D2044" s="4184">
        <v>2083200000</v>
      </c>
      <c r="E2044" s="880">
        <f>D2044/D1943*100</f>
        <v>1.3575875330661877</v>
      </c>
      <c r="F2044" s="967"/>
      <c r="G2044" s="666"/>
      <c r="H2044" s="782"/>
      <c r="I2044" s="1111"/>
      <c r="J2044" s="963"/>
      <c r="K2044" s="1312"/>
      <c r="L2044" s="782"/>
      <c r="M2044" s="1312"/>
      <c r="N2044" s="535"/>
    </row>
    <row r="2045" spans="1:16" s="3024" customFormat="1" ht="18" customHeight="1" x14ac:dyDescent="0.25">
      <c r="A2045" s="352"/>
      <c r="B2045" s="1242"/>
      <c r="C2045" s="3877" t="s">
        <v>3087</v>
      </c>
      <c r="D2045" s="4184">
        <v>200000000</v>
      </c>
      <c r="E2045" s="880">
        <f>D2045/D1943*100</f>
        <v>0.13033674472601647</v>
      </c>
      <c r="F2045" s="967"/>
      <c r="G2045" s="666"/>
      <c r="H2045" s="937"/>
      <c r="I2045" s="1111"/>
      <c r="J2045" s="1892"/>
      <c r="K2045" s="1312"/>
      <c r="L2045" s="937"/>
      <c r="M2045" s="1312"/>
      <c r="N2045" s="535"/>
      <c r="P2045" s="500"/>
    </row>
    <row r="2046" spans="1:16" s="3024" customFormat="1" ht="18" customHeight="1" x14ac:dyDescent="0.25">
      <c r="A2046" s="352"/>
      <c r="B2046" s="1242"/>
      <c r="C2046" s="3877" t="s">
        <v>3088</v>
      </c>
      <c r="D2046" s="4184">
        <v>800000000</v>
      </c>
      <c r="E2046" s="880">
        <f>D2046/D1943*100</f>
        <v>0.52134697890406589</v>
      </c>
      <c r="F2046" s="967"/>
      <c r="G2046" s="666"/>
      <c r="H2046" s="937"/>
      <c r="I2046" s="1111"/>
      <c r="J2046" s="1892"/>
      <c r="K2046" s="1312"/>
      <c r="L2046" s="937"/>
      <c r="M2046" s="1312"/>
      <c r="N2046" s="535"/>
      <c r="P2046" s="500"/>
    </row>
    <row r="2047" spans="1:16" s="3024" customFormat="1" ht="18" customHeight="1" x14ac:dyDescent="0.25">
      <c r="A2047" s="352"/>
      <c r="B2047" s="1242"/>
      <c r="C2047" s="3877" t="s">
        <v>3089</v>
      </c>
      <c r="D2047" s="4184">
        <v>100000000</v>
      </c>
      <c r="E2047" s="880">
        <f>D2047/D1943*100</f>
        <v>6.5168372363008237E-2</v>
      </c>
      <c r="F2047" s="967"/>
      <c r="G2047" s="666"/>
      <c r="H2047" s="937"/>
      <c r="I2047" s="1111"/>
      <c r="J2047" s="1892"/>
      <c r="K2047" s="1312"/>
      <c r="L2047" s="937"/>
      <c r="M2047" s="1312"/>
      <c r="N2047" s="535"/>
      <c r="P2047" s="500"/>
    </row>
    <row r="2048" spans="1:16" s="3024" customFormat="1" ht="18" customHeight="1" x14ac:dyDescent="0.25">
      <c r="A2048" s="352"/>
      <c r="B2048" s="1242"/>
      <c r="C2048" s="3877" t="s">
        <v>3090</v>
      </c>
      <c r="D2048" s="4184">
        <v>300000000</v>
      </c>
      <c r="E2048" s="880">
        <f>D2048/D1943*100</f>
        <v>0.19550511708902474</v>
      </c>
      <c r="F2048" s="967"/>
      <c r="G2048" s="666"/>
      <c r="H2048" s="937"/>
      <c r="I2048" s="1111"/>
      <c r="J2048" s="1892"/>
      <c r="K2048" s="1312"/>
      <c r="L2048" s="937"/>
      <c r="M2048" s="1312"/>
      <c r="N2048" s="535"/>
      <c r="P2048" s="500"/>
    </row>
    <row r="2049" spans="1:16" s="3024" customFormat="1" ht="10.5" customHeight="1" x14ac:dyDescent="0.25">
      <c r="A2049" s="352"/>
      <c r="B2049" s="1242"/>
      <c r="C2049" s="3877"/>
      <c r="D2049" s="4184"/>
      <c r="E2049" s="880"/>
      <c r="F2049" s="967"/>
      <c r="G2049" s="666"/>
      <c r="H2049" s="937"/>
      <c r="I2049" s="1111"/>
      <c r="J2049" s="1892"/>
      <c r="K2049" s="1312"/>
      <c r="L2049" s="937"/>
      <c r="M2049" s="1312"/>
      <c r="N2049" s="535"/>
      <c r="P2049" s="500"/>
    </row>
    <row r="2050" spans="1:16" ht="17.25" customHeight="1" x14ac:dyDescent="0.25">
      <c r="B2050" s="1242"/>
      <c r="C2050" s="3919" t="s">
        <v>3091</v>
      </c>
      <c r="D2050" s="4235">
        <f>SUM(D2051:D2054)</f>
        <v>600000000</v>
      </c>
      <c r="E2050" s="1415">
        <f>D2050/D1943*100</f>
        <v>0.39101023417804948</v>
      </c>
      <c r="F2050" s="965"/>
      <c r="G2050" s="766"/>
      <c r="H2050" s="766"/>
      <c r="I2050" s="766"/>
      <c r="J2050" s="965"/>
      <c r="K2050" s="965"/>
      <c r="L2050" s="1012"/>
      <c r="M2050" s="1650"/>
      <c r="N2050" s="535"/>
    </row>
    <row r="2051" spans="1:16" ht="16.5" customHeight="1" x14ac:dyDescent="0.25">
      <c r="B2051" s="1242"/>
      <c r="C2051" s="3877" t="s">
        <v>3092</v>
      </c>
      <c r="D2051" s="4184">
        <v>50000000</v>
      </c>
      <c r="E2051" s="880">
        <f>D2051/D1943*100</f>
        <v>3.2584186181504118E-2</v>
      </c>
      <c r="F2051" s="967"/>
      <c r="G2051" s="782"/>
      <c r="H2051" s="782"/>
      <c r="I2051" s="782"/>
      <c r="J2051" s="963"/>
      <c r="K2051" s="1891"/>
      <c r="L2051" s="782"/>
      <c r="M2051" s="782"/>
      <c r="N2051" s="535"/>
    </row>
    <row r="2052" spans="1:16" ht="14.25" customHeight="1" x14ac:dyDescent="0.25">
      <c r="B2052" s="1242"/>
      <c r="C2052" s="3877" t="s">
        <v>3093</v>
      </c>
      <c r="D2052" s="4184">
        <v>200000000</v>
      </c>
      <c r="E2052" s="880">
        <f>D2052/D1943*100</f>
        <v>0.13033674472601647</v>
      </c>
      <c r="F2052" s="967"/>
      <c r="G2052" s="782"/>
      <c r="H2052" s="782"/>
      <c r="I2052" s="782"/>
      <c r="J2052" s="963"/>
      <c r="K2052" s="1891"/>
      <c r="L2052" s="782"/>
      <c r="M2052" s="782"/>
      <c r="N2052" s="535"/>
    </row>
    <row r="2053" spans="1:16" ht="18" customHeight="1" x14ac:dyDescent="0.25">
      <c r="B2053" s="1242"/>
      <c r="C2053" s="3877" t="s">
        <v>3094</v>
      </c>
      <c r="D2053" s="4184">
        <v>150000000</v>
      </c>
      <c r="E2053" s="880">
        <f>D2053/D1943*100</f>
        <v>9.7752558544512369E-2</v>
      </c>
      <c r="F2053" s="967"/>
      <c r="G2053" s="782"/>
      <c r="H2053" s="782"/>
      <c r="I2053" s="782"/>
      <c r="J2053" s="963"/>
      <c r="K2053" s="1312"/>
      <c r="L2053" s="782"/>
      <c r="M2053" s="1312"/>
      <c r="N2053" s="535"/>
    </row>
    <row r="2054" spans="1:16" s="3024" customFormat="1" ht="18" customHeight="1" x14ac:dyDescent="0.25">
      <c r="A2054" s="352"/>
      <c r="B2054" s="1242"/>
      <c r="C2054" s="3923" t="s">
        <v>3095</v>
      </c>
      <c r="D2054" s="4238">
        <v>200000000</v>
      </c>
      <c r="E2054" s="880">
        <f>D2054/D1943*100</f>
        <v>0.13033674472601647</v>
      </c>
      <c r="F2054" s="972"/>
      <c r="G2054" s="782"/>
      <c r="H2054" s="782"/>
      <c r="I2054" s="782"/>
      <c r="J2054" s="1892"/>
      <c r="K2054" s="1312"/>
      <c r="L2054" s="937"/>
      <c r="M2054" s="1312"/>
      <c r="N2054" s="535"/>
      <c r="P2054" s="500"/>
    </row>
    <row r="2055" spans="1:16" ht="9" customHeight="1" x14ac:dyDescent="0.25">
      <c r="B2055" s="1242"/>
      <c r="C2055" s="3882"/>
      <c r="D2055" s="666"/>
      <c r="E2055" s="880"/>
      <c r="F2055" s="838"/>
      <c r="G2055" s="894"/>
      <c r="H2055" s="1463"/>
      <c r="I2055" s="894"/>
      <c r="J2055" s="1311"/>
      <c r="K2055" s="1311"/>
      <c r="L2055" s="1311"/>
      <c r="M2055" s="1311"/>
      <c r="N2055" s="535"/>
    </row>
    <row r="2056" spans="1:16" ht="29.25" customHeight="1" x14ac:dyDescent="0.25">
      <c r="B2056" s="1242"/>
      <c r="C2056" s="3919" t="s">
        <v>3096</v>
      </c>
      <c r="D2056" s="673">
        <f>SUM(D2057:D2060)</f>
        <v>162000000</v>
      </c>
      <c r="E2056" s="1415">
        <f>D2056/D1943*100</f>
        <v>0.10557276322807337</v>
      </c>
      <c r="F2056" s="965"/>
      <c r="G2056" s="766"/>
      <c r="H2056" s="766"/>
      <c r="I2056" s="766"/>
      <c r="J2056" s="965"/>
      <c r="K2056" s="965"/>
      <c r="L2056" s="1012"/>
      <c r="M2056" s="1650"/>
      <c r="N2056" s="535"/>
    </row>
    <row r="2057" spans="1:16" ht="18" customHeight="1" x14ac:dyDescent="0.25">
      <c r="B2057" s="1242"/>
      <c r="C2057" s="3877" t="s">
        <v>3097</v>
      </c>
      <c r="D2057" s="4184">
        <v>10000000</v>
      </c>
      <c r="E2057" s="880">
        <f>D2057/D1943*100</f>
        <v>6.5168372363008245E-3</v>
      </c>
      <c r="F2057" s="967"/>
      <c r="G2057" s="782"/>
      <c r="H2057" s="782"/>
      <c r="I2057" s="782"/>
      <c r="J2057" s="963"/>
      <c r="K2057" s="1891"/>
      <c r="L2057" s="782"/>
      <c r="M2057" s="782"/>
      <c r="N2057" s="535"/>
    </row>
    <row r="2058" spans="1:16" ht="15.75" customHeight="1" x14ac:dyDescent="0.25">
      <c r="B2058" s="1242"/>
      <c r="C2058" s="3877" t="s">
        <v>3098</v>
      </c>
      <c r="D2058" s="4184">
        <v>100000000</v>
      </c>
      <c r="E2058" s="880">
        <f>D2058/D1943*100</f>
        <v>6.5168372363008237E-2</v>
      </c>
      <c r="F2058" s="967"/>
      <c r="G2058" s="782"/>
      <c r="H2058" s="782"/>
      <c r="I2058" s="782"/>
      <c r="J2058" s="963"/>
      <c r="K2058" s="1891"/>
      <c r="L2058" s="782"/>
      <c r="M2058" s="782"/>
      <c r="N2058" s="535"/>
    </row>
    <row r="2059" spans="1:16" ht="14.25" customHeight="1" x14ac:dyDescent="0.25">
      <c r="B2059" s="1242"/>
      <c r="C2059" s="3877" t="s">
        <v>3099</v>
      </c>
      <c r="D2059" s="4184">
        <v>12000000</v>
      </c>
      <c r="E2059" s="880">
        <f>D2059/D1943*100</f>
        <v>7.8202046835609881E-3</v>
      </c>
      <c r="F2059" s="967"/>
      <c r="G2059" s="782"/>
      <c r="H2059" s="782"/>
      <c r="I2059" s="782"/>
      <c r="J2059" s="963"/>
      <c r="K2059" s="963"/>
      <c r="L2059" s="782"/>
      <c r="M2059" s="1311"/>
      <c r="N2059" s="535"/>
    </row>
    <row r="2060" spans="1:16" ht="16.5" customHeight="1" x14ac:dyDescent="0.25">
      <c r="B2060" s="1242"/>
      <c r="C2060" s="3877" t="s">
        <v>3100</v>
      </c>
      <c r="D2060" s="4184">
        <v>40000000</v>
      </c>
      <c r="E2060" s="880">
        <f>D2060/D1943*100</f>
        <v>2.6067348945203298E-2</v>
      </c>
      <c r="F2060" s="967"/>
      <c r="G2060" s="782"/>
      <c r="H2060" s="782"/>
      <c r="I2060" s="782"/>
      <c r="J2060" s="963"/>
      <c r="K2060" s="1312"/>
      <c r="L2060" s="782"/>
      <c r="M2060" s="1311"/>
      <c r="N2060" s="535"/>
    </row>
    <row r="2061" spans="1:16" ht="9" customHeight="1" x14ac:dyDescent="0.25">
      <c r="B2061" s="1242"/>
      <c r="C2061" s="3893"/>
      <c r="D2061" s="671"/>
      <c r="E2061" s="880"/>
      <c r="F2061" s="840"/>
      <c r="G2061" s="894"/>
      <c r="H2061" s="1463"/>
      <c r="I2061" s="894"/>
      <c r="J2061" s="1311"/>
      <c r="K2061" s="1311"/>
      <c r="L2061" s="1311"/>
      <c r="M2061" s="1311"/>
      <c r="N2061" s="535"/>
    </row>
    <row r="2062" spans="1:16" ht="29.25" customHeight="1" x14ac:dyDescent="0.25">
      <c r="B2062" s="1242"/>
      <c r="C2062" s="3919" t="s">
        <v>3101</v>
      </c>
      <c r="D2062" s="673">
        <f>SUM(D2063:D2090)</f>
        <v>10850000000</v>
      </c>
      <c r="E2062" s="1415">
        <f>D2062/D1943*100</f>
        <v>7.0707684013863945</v>
      </c>
      <c r="F2062" s="965"/>
      <c r="G2062" s="766"/>
      <c r="H2062" s="766"/>
      <c r="I2062" s="766"/>
      <c r="J2062" s="965"/>
      <c r="K2062" s="965"/>
      <c r="L2062" s="1012"/>
      <c r="M2062" s="1650"/>
      <c r="N2062" s="535"/>
    </row>
    <row r="2063" spans="1:16" ht="16.5" customHeight="1" x14ac:dyDescent="0.25">
      <c r="B2063" s="1242"/>
      <c r="C2063" s="3877" t="s">
        <v>3102</v>
      </c>
      <c r="D2063" s="4184">
        <v>600000000</v>
      </c>
      <c r="E2063" s="880">
        <f>D2063/D1943*100</f>
        <v>0.39101023417804948</v>
      </c>
      <c r="F2063" s="967"/>
      <c r="G2063" s="782"/>
      <c r="H2063" s="782"/>
      <c r="I2063" s="782"/>
      <c r="J2063" s="963"/>
      <c r="K2063" s="1312"/>
      <c r="L2063" s="782"/>
      <c r="M2063" s="1312"/>
      <c r="N2063" s="535"/>
    </row>
    <row r="2064" spans="1:16" ht="16.5" customHeight="1" x14ac:dyDescent="0.25">
      <c r="B2064" s="1242"/>
      <c r="C2064" s="3877" t="s">
        <v>3103</v>
      </c>
      <c r="D2064" s="4184">
        <v>300000000</v>
      </c>
      <c r="E2064" s="880">
        <f>D2064/D1943*100</f>
        <v>0.19550511708902474</v>
      </c>
      <c r="F2064" s="967"/>
      <c r="G2064" s="782"/>
      <c r="H2064" s="782"/>
      <c r="I2064" s="782"/>
      <c r="J2064" s="963"/>
      <c r="K2064" s="1891"/>
      <c r="L2064" s="782"/>
      <c r="M2064" s="782"/>
      <c r="N2064" s="535"/>
    </row>
    <row r="2065" spans="1:16" ht="16.5" customHeight="1" x14ac:dyDescent="0.25">
      <c r="B2065" s="1242"/>
      <c r="C2065" s="3877" t="s">
        <v>3104</v>
      </c>
      <c r="D2065" s="4184">
        <v>300000000</v>
      </c>
      <c r="E2065" s="880">
        <f>D2065/D1943*100</f>
        <v>0.19550511708902474</v>
      </c>
      <c r="F2065" s="967"/>
      <c r="G2065" s="782"/>
      <c r="H2065" s="782"/>
      <c r="I2065" s="782"/>
      <c r="J2065" s="963"/>
      <c r="K2065" s="1891"/>
      <c r="L2065" s="782"/>
      <c r="M2065" s="782"/>
      <c r="N2065" s="535"/>
    </row>
    <row r="2066" spans="1:16" s="3024" customFormat="1" ht="16.5" customHeight="1" x14ac:dyDescent="0.25">
      <c r="A2066" s="352"/>
      <c r="B2066" s="1242"/>
      <c r="C2066" s="3923" t="s">
        <v>3105</v>
      </c>
      <c r="D2066" s="4238">
        <v>300000000</v>
      </c>
      <c r="E2066" s="880">
        <f>D2066/D1943*100</f>
        <v>0.19550511708902474</v>
      </c>
      <c r="F2066" s="972"/>
      <c r="G2066" s="827"/>
      <c r="H2066" s="804"/>
      <c r="I2066" s="804"/>
      <c r="J2066" s="3357"/>
      <c r="K2066" s="2258"/>
      <c r="L2066" s="755"/>
      <c r="M2066" s="755"/>
      <c r="N2066" s="535"/>
      <c r="P2066" s="500"/>
    </row>
    <row r="2067" spans="1:16" s="3024" customFormat="1" ht="16.5" customHeight="1" x14ac:dyDescent="0.25">
      <c r="A2067" s="352"/>
      <c r="B2067" s="1242"/>
      <c r="C2067" s="3932" t="s">
        <v>3106</v>
      </c>
      <c r="D2067" s="4184">
        <v>100000000</v>
      </c>
      <c r="E2067" s="880">
        <f>D2067/D1943*100</f>
        <v>6.5168372363008237E-2</v>
      </c>
      <c r="F2067" s="967"/>
      <c r="G2067" s="755"/>
      <c r="H2067" s="755"/>
      <c r="I2067" s="755"/>
      <c r="J2067" s="963"/>
      <c r="K2067" s="1014"/>
      <c r="L2067" s="755"/>
      <c r="M2067" s="755"/>
      <c r="N2067" s="535"/>
      <c r="P2067" s="500"/>
    </row>
    <row r="2068" spans="1:16" s="3024" customFormat="1" ht="16.5" customHeight="1" x14ac:dyDescent="0.25">
      <c r="A2068" s="352"/>
      <c r="B2068" s="1242"/>
      <c r="C2068" s="3932" t="s">
        <v>3107</v>
      </c>
      <c r="D2068" s="4184">
        <v>100000000</v>
      </c>
      <c r="E2068" s="880">
        <f>D2068/D1943*100</f>
        <v>6.5168372363008237E-2</v>
      </c>
      <c r="F2068" s="967"/>
      <c r="G2068" s="755"/>
      <c r="H2068" s="755"/>
      <c r="I2068" s="755"/>
      <c r="J2068" s="963"/>
      <c r="K2068" s="1014"/>
      <c r="L2068" s="755"/>
      <c r="M2068" s="755"/>
      <c r="N2068" s="535"/>
      <c r="P2068" s="500"/>
    </row>
    <row r="2069" spans="1:16" s="3024" customFormat="1" ht="16.5" customHeight="1" x14ac:dyDescent="0.25">
      <c r="A2069" s="352"/>
      <c r="B2069" s="1242"/>
      <c r="C2069" s="3932" t="s">
        <v>3108</v>
      </c>
      <c r="D2069" s="4184">
        <v>100000000</v>
      </c>
      <c r="E2069" s="880">
        <f>D2069/D1943*100</f>
        <v>6.5168372363008237E-2</v>
      </c>
      <c r="F2069" s="967"/>
      <c r="G2069" s="755"/>
      <c r="H2069" s="755"/>
      <c r="I2069" s="755"/>
      <c r="J2069" s="963"/>
      <c r="K2069" s="1014"/>
      <c r="L2069" s="755"/>
      <c r="M2069" s="755"/>
      <c r="N2069" s="535"/>
      <c r="P2069" s="500"/>
    </row>
    <row r="2070" spans="1:16" s="3024" customFormat="1" ht="16.5" customHeight="1" x14ac:dyDescent="0.25">
      <c r="A2070" s="352"/>
      <c r="B2070" s="1242"/>
      <c r="C2070" s="3932" t="s">
        <v>3109</v>
      </c>
      <c r="D2070" s="4184">
        <v>100000000</v>
      </c>
      <c r="E2070" s="880">
        <f>D2070/D1943*100</f>
        <v>6.5168372363008237E-2</v>
      </c>
      <c r="F2070" s="967"/>
      <c r="G2070" s="755"/>
      <c r="H2070" s="755"/>
      <c r="I2070" s="755"/>
      <c r="J2070" s="963"/>
      <c r="K2070" s="1014"/>
      <c r="L2070" s="755"/>
      <c r="M2070" s="755"/>
      <c r="N2070" s="535"/>
      <c r="P2070" s="500"/>
    </row>
    <row r="2071" spans="1:16" s="3024" customFormat="1" ht="16.5" customHeight="1" x14ac:dyDescent="0.25">
      <c r="A2071" s="352"/>
      <c r="B2071" s="1242"/>
      <c r="C2071" s="3932" t="s">
        <v>3110</v>
      </c>
      <c r="D2071" s="4184">
        <v>100000000</v>
      </c>
      <c r="E2071" s="880">
        <f>D2071/D1943*100</f>
        <v>6.5168372363008237E-2</v>
      </c>
      <c r="F2071" s="967"/>
      <c r="G2071" s="755"/>
      <c r="H2071" s="755"/>
      <c r="I2071" s="755"/>
      <c r="J2071" s="963"/>
      <c r="K2071" s="1014"/>
      <c r="L2071" s="755"/>
      <c r="M2071" s="755"/>
      <c r="N2071" s="535"/>
      <c r="P2071" s="500"/>
    </row>
    <row r="2072" spans="1:16" s="3024" customFormat="1" ht="16.5" customHeight="1" x14ac:dyDescent="0.25">
      <c r="A2072" s="352"/>
      <c r="B2072" s="1242"/>
      <c r="C2072" s="3932" t="s">
        <v>3111</v>
      </c>
      <c r="D2072" s="4184">
        <v>200000000</v>
      </c>
      <c r="E2072" s="880">
        <f>D2072/D1943*100</f>
        <v>0.13033674472601647</v>
      </c>
      <c r="F2072" s="967"/>
      <c r="G2072" s="755"/>
      <c r="H2072" s="755"/>
      <c r="I2072" s="755"/>
      <c r="J2072" s="963"/>
      <c r="K2072" s="1014"/>
      <c r="L2072" s="755"/>
      <c r="M2072" s="755"/>
      <c r="N2072" s="535"/>
      <c r="P2072" s="500"/>
    </row>
    <row r="2073" spans="1:16" s="3024" customFormat="1" ht="16.5" customHeight="1" x14ac:dyDescent="0.25">
      <c r="A2073" s="352"/>
      <c r="B2073" s="1242"/>
      <c r="C2073" s="3932" t="s">
        <v>3112</v>
      </c>
      <c r="D2073" s="4184">
        <v>200000000</v>
      </c>
      <c r="E2073" s="880">
        <f>D2073/D1943*100</f>
        <v>0.13033674472601647</v>
      </c>
      <c r="F2073" s="967"/>
      <c r="G2073" s="755"/>
      <c r="H2073" s="755"/>
      <c r="I2073" s="755"/>
      <c r="J2073" s="963"/>
      <c r="K2073" s="1014"/>
      <c r="L2073" s="755"/>
      <c r="M2073" s="755"/>
      <c r="N2073" s="535"/>
      <c r="P2073" s="500"/>
    </row>
    <row r="2074" spans="1:16" s="3024" customFormat="1" ht="16.5" customHeight="1" x14ac:dyDescent="0.25">
      <c r="A2074" s="352"/>
      <c r="B2074" s="1242"/>
      <c r="C2074" s="3932" t="s">
        <v>3113</v>
      </c>
      <c r="D2074" s="4184">
        <v>1000000000</v>
      </c>
      <c r="E2074" s="880">
        <f>D2074/D1943*100</f>
        <v>0.65168372363008242</v>
      </c>
      <c r="F2074" s="967"/>
      <c r="G2074" s="755"/>
      <c r="H2074" s="755"/>
      <c r="I2074" s="755"/>
      <c r="J2074" s="963"/>
      <c r="K2074" s="1014"/>
      <c r="L2074" s="755"/>
      <c r="M2074" s="755"/>
      <c r="N2074" s="535"/>
      <c r="P2074" s="500"/>
    </row>
    <row r="2075" spans="1:16" s="3024" customFormat="1" ht="16.5" customHeight="1" x14ac:dyDescent="0.25">
      <c r="A2075" s="352"/>
      <c r="B2075" s="1242"/>
      <c r="C2075" s="3932" t="s">
        <v>3114</v>
      </c>
      <c r="D2075" s="4184">
        <v>500000000</v>
      </c>
      <c r="E2075" s="880">
        <f>D2075/D1943*100</f>
        <v>0.32584186181504121</v>
      </c>
      <c r="F2075" s="967"/>
      <c r="G2075" s="755"/>
      <c r="H2075" s="755"/>
      <c r="I2075" s="755"/>
      <c r="J2075" s="963"/>
      <c r="K2075" s="1014"/>
      <c r="L2075" s="755"/>
      <c r="M2075" s="755"/>
      <c r="N2075" s="535"/>
      <c r="P2075" s="500"/>
    </row>
    <row r="2076" spans="1:16" s="3024" customFormat="1" ht="16.5" customHeight="1" x14ac:dyDescent="0.25">
      <c r="A2076" s="352"/>
      <c r="B2076" s="1242"/>
      <c r="C2076" s="3932" t="s">
        <v>3115</v>
      </c>
      <c r="D2076" s="4184">
        <v>1000000000</v>
      </c>
      <c r="E2076" s="880">
        <f>D2076/D1943*100</f>
        <v>0.65168372363008242</v>
      </c>
      <c r="F2076" s="967"/>
      <c r="G2076" s="755"/>
      <c r="H2076" s="755"/>
      <c r="I2076" s="755"/>
      <c r="J2076" s="963"/>
      <c r="K2076" s="1014"/>
      <c r="L2076" s="755"/>
      <c r="M2076" s="755"/>
      <c r="N2076" s="535"/>
      <c r="P2076" s="500"/>
    </row>
    <row r="2077" spans="1:16" s="3024" customFormat="1" ht="16.5" customHeight="1" x14ac:dyDescent="0.25">
      <c r="A2077" s="352"/>
      <c r="B2077" s="1242"/>
      <c r="C2077" s="3932" t="s">
        <v>3116</v>
      </c>
      <c r="D2077" s="4184">
        <v>500000000</v>
      </c>
      <c r="E2077" s="880">
        <f>D2077/D1943*100</f>
        <v>0.32584186181504121</v>
      </c>
      <c r="F2077" s="967"/>
      <c r="G2077" s="755"/>
      <c r="H2077" s="755"/>
      <c r="I2077" s="755"/>
      <c r="J2077" s="963"/>
      <c r="K2077" s="1014"/>
      <c r="L2077" s="755"/>
      <c r="M2077" s="755"/>
      <c r="N2077" s="535"/>
      <c r="P2077" s="500"/>
    </row>
    <row r="2078" spans="1:16" s="3024" customFormat="1" ht="16.5" customHeight="1" x14ac:dyDescent="0.25">
      <c r="A2078" s="352"/>
      <c r="B2078" s="1242"/>
      <c r="C2078" s="3932" t="s">
        <v>3117</v>
      </c>
      <c r="D2078" s="4184">
        <v>500000000</v>
      </c>
      <c r="E2078" s="880">
        <f>D2078/D1943*100</f>
        <v>0.32584186181504121</v>
      </c>
      <c r="F2078" s="967"/>
      <c r="G2078" s="755"/>
      <c r="H2078" s="755"/>
      <c r="I2078" s="755"/>
      <c r="J2078" s="963"/>
      <c r="K2078" s="1014"/>
      <c r="L2078" s="755"/>
      <c r="M2078" s="755"/>
      <c r="N2078" s="535"/>
      <c r="P2078" s="500"/>
    </row>
    <row r="2079" spans="1:16" s="3024" customFormat="1" ht="16.5" customHeight="1" x14ac:dyDescent="0.25">
      <c r="A2079" s="352"/>
      <c r="B2079" s="1242"/>
      <c r="C2079" s="3932" t="s">
        <v>3118</v>
      </c>
      <c r="D2079" s="4184">
        <v>800000000</v>
      </c>
      <c r="E2079" s="880">
        <f>D2079/D1943*100</f>
        <v>0.52134697890406589</v>
      </c>
      <c r="F2079" s="967"/>
      <c r="G2079" s="755"/>
      <c r="H2079" s="755"/>
      <c r="I2079" s="755"/>
      <c r="J2079" s="963"/>
      <c r="K2079" s="1014"/>
      <c r="L2079" s="755"/>
      <c r="M2079" s="755"/>
      <c r="N2079" s="535"/>
      <c r="P2079" s="500"/>
    </row>
    <row r="2080" spans="1:16" s="3024" customFormat="1" ht="16.5" customHeight="1" x14ac:dyDescent="0.25">
      <c r="A2080" s="352"/>
      <c r="B2080" s="1242"/>
      <c r="C2080" s="3932" t="s">
        <v>3119</v>
      </c>
      <c r="D2080" s="4184">
        <v>500000000</v>
      </c>
      <c r="E2080" s="880">
        <f>D2080/D1943*100</f>
        <v>0.32584186181504121</v>
      </c>
      <c r="F2080" s="967"/>
      <c r="G2080" s="755"/>
      <c r="H2080" s="755"/>
      <c r="I2080" s="755"/>
      <c r="J2080" s="963"/>
      <c r="K2080" s="1014"/>
      <c r="L2080" s="755"/>
      <c r="M2080" s="755"/>
      <c r="N2080" s="535"/>
      <c r="P2080" s="500"/>
    </row>
    <row r="2081" spans="1:16" s="3024" customFormat="1" ht="16.5" customHeight="1" x14ac:dyDescent="0.25">
      <c r="A2081" s="352"/>
      <c r="B2081" s="1242"/>
      <c r="C2081" s="3932" t="s">
        <v>3120</v>
      </c>
      <c r="D2081" s="4184">
        <v>1000000000</v>
      </c>
      <c r="E2081" s="880">
        <f>D2081/D1943*100</f>
        <v>0.65168372363008242</v>
      </c>
      <c r="F2081" s="967"/>
      <c r="G2081" s="755"/>
      <c r="H2081" s="755"/>
      <c r="I2081" s="755"/>
      <c r="J2081" s="963"/>
      <c r="K2081" s="1014"/>
      <c r="L2081" s="755"/>
      <c r="M2081" s="755"/>
      <c r="N2081" s="535"/>
      <c r="P2081" s="500"/>
    </row>
    <row r="2082" spans="1:16" s="3024" customFormat="1" ht="16.5" customHeight="1" x14ac:dyDescent="0.25">
      <c r="A2082" s="352"/>
      <c r="B2082" s="1242"/>
      <c r="C2082" s="3932" t="s">
        <v>3121</v>
      </c>
      <c r="D2082" s="4184">
        <v>100000000</v>
      </c>
      <c r="E2082" s="880">
        <f>D2082/D1943*100</f>
        <v>6.5168372363008237E-2</v>
      </c>
      <c r="F2082" s="967"/>
      <c r="G2082" s="755"/>
      <c r="H2082" s="755"/>
      <c r="I2082" s="755"/>
      <c r="J2082" s="963"/>
      <c r="K2082" s="1014"/>
      <c r="L2082" s="755"/>
      <c r="M2082" s="755"/>
      <c r="N2082" s="535"/>
      <c r="P2082" s="500"/>
    </row>
    <row r="2083" spans="1:16" s="3024" customFormat="1" ht="16.5" customHeight="1" x14ac:dyDescent="0.25">
      <c r="A2083" s="352"/>
      <c r="B2083" s="1242"/>
      <c r="C2083" s="3932" t="s">
        <v>3122</v>
      </c>
      <c r="D2083" s="4184">
        <v>200000000</v>
      </c>
      <c r="E2083" s="880">
        <f>D2083/D1943*100</f>
        <v>0.13033674472601647</v>
      </c>
      <c r="F2083" s="967"/>
      <c r="G2083" s="755"/>
      <c r="H2083" s="755"/>
      <c r="I2083" s="755"/>
      <c r="J2083" s="963"/>
      <c r="K2083" s="1014"/>
      <c r="L2083" s="755"/>
      <c r="M2083" s="755"/>
      <c r="N2083" s="535"/>
      <c r="P2083" s="500"/>
    </row>
    <row r="2084" spans="1:16" s="3024" customFormat="1" ht="16.5" customHeight="1" x14ac:dyDescent="0.25">
      <c r="A2084" s="352"/>
      <c r="B2084" s="1242"/>
      <c r="C2084" s="3932" t="s">
        <v>3123</v>
      </c>
      <c r="D2084" s="4184">
        <v>200000000</v>
      </c>
      <c r="E2084" s="880">
        <f>D2084/D1943*100</f>
        <v>0.13033674472601647</v>
      </c>
      <c r="F2084" s="967"/>
      <c r="G2084" s="755"/>
      <c r="H2084" s="755"/>
      <c r="I2084" s="755"/>
      <c r="J2084" s="963"/>
      <c r="K2084" s="1014"/>
      <c r="L2084" s="755"/>
      <c r="M2084" s="755"/>
      <c r="N2084" s="535"/>
      <c r="P2084" s="500"/>
    </row>
    <row r="2085" spans="1:16" s="3024" customFormat="1" ht="16.5" customHeight="1" x14ac:dyDescent="0.25">
      <c r="A2085" s="352"/>
      <c r="B2085" s="1242"/>
      <c r="C2085" s="3932" t="s">
        <v>3124</v>
      </c>
      <c r="D2085" s="4184">
        <v>200000000</v>
      </c>
      <c r="E2085" s="880">
        <f>D2085/D1943*100</f>
        <v>0.13033674472601647</v>
      </c>
      <c r="F2085" s="967"/>
      <c r="G2085" s="755"/>
      <c r="H2085" s="755"/>
      <c r="I2085" s="755"/>
      <c r="J2085" s="963"/>
      <c r="K2085" s="1014"/>
      <c r="L2085" s="755"/>
      <c r="M2085" s="755"/>
      <c r="N2085" s="535"/>
      <c r="P2085" s="500"/>
    </row>
    <row r="2086" spans="1:16" ht="17.25" customHeight="1" x14ac:dyDescent="0.25">
      <c r="B2086" s="1242"/>
      <c r="C2086" s="3860" t="s">
        <v>3125</v>
      </c>
      <c r="D2086" s="666">
        <v>750000000</v>
      </c>
      <c r="E2086" s="880">
        <f>D2086/D1943*100</f>
        <v>0.48876279272256185</v>
      </c>
      <c r="F2086" s="838"/>
      <c r="G2086" s="894"/>
      <c r="H2086" s="880"/>
      <c r="I2086" s="894"/>
      <c r="J2086" s="1315"/>
      <c r="K2086" s="1315"/>
      <c r="L2086" s="1315"/>
      <c r="M2086" s="1315"/>
      <c r="N2086" s="535"/>
    </row>
    <row r="2087" spans="1:16" ht="18" customHeight="1" x14ac:dyDescent="0.25">
      <c r="B2087" s="1242"/>
      <c r="C2087" s="3926" t="s">
        <v>3126</v>
      </c>
      <c r="D2087" s="4184">
        <v>300000000</v>
      </c>
      <c r="E2087" s="880">
        <f>D2087/D1943*100</f>
        <v>0.19550511708902474</v>
      </c>
      <c r="F2087" s="965"/>
      <c r="G2087" s="965"/>
      <c r="H2087" s="1308"/>
      <c r="I2087" s="1316"/>
      <c r="J2087" s="965"/>
      <c r="K2087" s="965"/>
      <c r="L2087" s="753"/>
      <c r="M2087" s="2261"/>
      <c r="N2087" s="535"/>
    </row>
    <row r="2088" spans="1:16" ht="19.5" customHeight="1" x14ac:dyDescent="0.25">
      <c r="B2088" s="1242"/>
      <c r="C2088" s="3877" t="s">
        <v>3127</v>
      </c>
      <c r="D2088" s="666">
        <v>200000000</v>
      </c>
      <c r="E2088" s="880">
        <f>D2088/D1943*100</f>
        <v>0.13033674472601647</v>
      </c>
      <c r="F2088" s="971"/>
      <c r="G2088" s="782"/>
      <c r="H2088" s="782"/>
      <c r="I2088" s="782"/>
      <c r="J2088" s="1238"/>
      <c r="K2088" s="1891"/>
      <c r="L2088" s="755"/>
      <c r="M2088" s="755"/>
      <c r="N2088" s="535"/>
    </row>
    <row r="2089" spans="1:16" ht="18.75" customHeight="1" x14ac:dyDescent="0.25">
      <c r="B2089" s="1242"/>
      <c r="C2089" s="3877" t="s">
        <v>3128</v>
      </c>
      <c r="D2089" s="4184">
        <v>100000000</v>
      </c>
      <c r="E2089" s="880">
        <f>D2089/D1943*100</f>
        <v>6.5168372363008237E-2</v>
      </c>
      <c r="F2089" s="967"/>
      <c r="G2089" s="782"/>
      <c r="H2089" s="782"/>
      <c r="I2089" s="782"/>
      <c r="J2089" s="963"/>
      <c r="K2089" s="1891"/>
      <c r="L2089" s="782"/>
      <c r="M2089" s="782"/>
      <c r="N2089" s="535"/>
    </row>
    <row r="2090" spans="1:16" ht="15.75" customHeight="1" x14ac:dyDescent="0.25">
      <c r="B2090" s="1242"/>
      <c r="C2090" s="3877" t="s">
        <v>3129</v>
      </c>
      <c r="D2090" s="4184">
        <v>600000000</v>
      </c>
      <c r="E2090" s="880">
        <f>D2090/D1943*100</f>
        <v>0.39101023417804948</v>
      </c>
      <c r="F2090" s="967"/>
      <c r="G2090" s="782"/>
      <c r="H2090" s="1310"/>
      <c r="I2090" s="1111"/>
      <c r="J2090" s="963"/>
      <c r="K2090" s="1312"/>
      <c r="L2090" s="782"/>
      <c r="M2090" s="1311"/>
      <c r="N2090" s="535"/>
    </row>
    <row r="2091" spans="1:16" ht="10.5" customHeight="1" x14ac:dyDescent="0.25">
      <c r="B2091" s="1242"/>
      <c r="C2091" s="3953"/>
      <c r="D2091" s="671"/>
      <c r="E2091" s="880"/>
      <c r="F2091" s="840"/>
      <c r="G2091" s="894"/>
      <c r="H2091" s="1310"/>
      <c r="I2091" s="1314"/>
      <c r="J2091" s="1311"/>
      <c r="K2091" s="1311"/>
      <c r="L2091" s="1311"/>
      <c r="M2091" s="1311"/>
      <c r="N2091" s="535"/>
    </row>
    <row r="2092" spans="1:16" ht="17.25" customHeight="1" x14ac:dyDescent="0.25">
      <c r="B2092" s="1242"/>
      <c r="C2092" s="3919" t="s">
        <v>3130</v>
      </c>
      <c r="D2092" s="4235">
        <f>SUM(D2093:D2096)</f>
        <v>575000000</v>
      </c>
      <c r="E2092" s="1415">
        <f>D2092/D1943*100</f>
        <v>0.3747181410872974</v>
      </c>
      <c r="F2092" s="965"/>
      <c r="G2092" s="965"/>
      <c r="H2092" s="1308"/>
      <c r="I2092" s="1316"/>
      <c r="J2092" s="965"/>
      <c r="K2092" s="965"/>
      <c r="L2092" s="1012"/>
      <c r="M2092" s="1650"/>
      <c r="N2092" s="535"/>
    </row>
    <row r="2093" spans="1:16" ht="15.75" customHeight="1" x14ac:dyDescent="0.25">
      <c r="B2093" s="1242"/>
      <c r="C2093" s="3877" t="s">
        <v>3131</v>
      </c>
      <c r="D2093" s="4184">
        <v>200000000</v>
      </c>
      <c r="E2093" s="880">
        <f>D2093/D1943*100</f>
        <v>0.13033674472601647</v>
      </c>
      <c r="F2093" s="967"/>
      <c r="G2093" s="782"/>
      <c r="H2093" s="782"/>
      <c r="I2093" s="782"/>
      <c r="J2093" s="963"/>
      <c r="K2093" s="1312"/>
      <c r="L2093" s="782"/>
      <c r="M2093" s="1312"/>
      <c r="N2093" s="535"/>
    </row>
    <row r="2094" spans="1:16" ht="14.25" customHeight="1" x14ac:dyDescent="0.25">
      <c r="B2094" s="1242"/>
      <c r="C2094" s="3877" t="s">
        <v>3132</v>
      </c>
      <c r="D2094" s="4184">
        <v>100000000</v>
      </c>
      <c r="E2094" s="880">
        <f>D2094/D1943*100</f>
        <v>6.5168372363008237E-2</v>
      </c>
      <c r="F2094" s="967"/>
      <c r="G2094" s="782"/>
      <c r="H2094" s="782"/>
      <c r="I2094" s="782"/>
      <c r="J2094" s="963"/>
      <c r="K2094" s="1891"/>
      <c r="L2094" s="782"/>
      <c r="M2094" s="782"/>
      <c r="N2094" s="535"/>
    </row>
    <row r="2095" spans="1:16" s="615" customFormat="1" ht="15.75" customHeight="1" x14ac:dyDescent="0.25">
      <c r="A2095" s="352"/>
      <c r="B2095" s="1242"/>
      <c r="C2095" s="3923" t="s">
        <v>3133</v>
      </c>
      <c r="D2095" s="4238">
        <v>150000000</v>
      </c>
      <c r="E2095" s="880">
        <f>D2095/D1943*100</f>
        <v>9.7752558544512369E-2</v>
      </c>
      <c r="F2095" s="972"/>
      <c r="G2095" s="868"/>
      <c r="H2095" s="2174"/>
      <c r="I2095" s="1651"/>
      <c r="J2095" s="979"/>
      <c r="K2095" s="1323"/>
      <c r="L2095" s="782"/>
      <c r="M2095" s="1323"/>
      <c r="N2095" s="535"/>
      <c r="P2095" s="500"/>
    </row>
    <row r="2096" spans="1:16" ht="14.25" customHeight="1" x14ac:dyDescent="0.25">
      <c r="B2096" s="1242"/>
      <c r="C2096" s="3860" t="s">
        <v>3134</v>
      </c>
      <c r="D2096" s="666">
        <v>125000000</v>
      </c>
      <c r="E2096" s="880">
        <f>D2096/D1943*100</f>
        <v>8.1460465453760303E-2</v>
      </c>
      <c r="F2096" s="838"/>
      <c r="G2096" s="894"/>
      <c r="H2096" s="880"/>
      <c r="I2096" s="894"/>
      <c r="J2096" s="1315"/>
      <c r="K2096" s="2175"/>
      <c r="L2096" s="2175"/>
      <c r="M2096" s="2175"/>
      <c r="N2096" s="535"/>
    </row>
    <row r="2097" spans="1:16" s="3024" customFormat="1" ht="12" customHeight="1" x14ac:dyDescent="0.25">
      <c r="A2097" s="352"/>
      <c r="B2097" s="1242"/>
      <c r="C2097" s="3882"/>
      <c r="D2097" s="666"/>
      <c r="E2097" s="880"/>
      <c r="F2097" s="838"/>
      <c r="G2097" s="894"/>
      <c r="H2097" s="880"/>
      <c r="I2097" s="894"/>
      <c r="J2097" s="1315"/>
      <c r="K2097" s="1315"/>
      <c r="L2097" s="1315"/>
      <c r="M2097" s="1311"/>
      <c r="N2097" s="535"/>
      <c r="P2097" s="500"/>
    </row>
    <row r="2098" spans="1:16" s="3024" customFormat="1" ht="16.5" customHeight="1" x14ac:dyDescent="0.25">
      <c r="A2098" s="352"/>
      <c r="B2098" s="1242"/>
      <c r="C2098" s="3882" t="s">
        <v>3135</v>
      </c>
      <c r="D2098" s="673">
        <f>SUM(D2099:D2108)</f>
        <v>1030000000</v>
      </c>
      <c r="E2098" s="1415">
        <f>D2098/D1943*100</f>
        <v>0.67123423533898496</v>
      </c>
      <c r="F2098" s="838"/>
      <c r="G2098" s="894"/>
      <c r="H2098" s="880"/>
      <c r="I2098" s="894"/>
      <c r="J2098" s="1315"/>
      <c r="K2098" s="1315"/>
      <c r="L2098" s="1315"/>
      <c r="M2098" s="1311"/>
      <c r="N2098" s="535"/>
      <c r="P2098" s="500"/>
    </row>
    <row r="2099" spans="1:16" s="3024" customFormat="1" ht="18.75" customHeight="1" x14ac:dyDescent="0.25">
      <c r="A2099" s="352"/>
      <c r="B2099" s="1242"/>
      <c r="C2099" s="3860" t="s">
        <v>3136</v>
      </c>
      <c r="D2099" s="666">
        <v>100000000</v>
      </c>
      <c r="E2099" s="880">
        <f>D2099/D1943*100</f>
        <v>6.5168372363008237E-2</v>
      </c>
      <c r="F2099" s="838"/>
      <c r="G2099" s="894"/>
      <c r="H2099" s="880"/>
      <c r="I2099" s="894"/>
      <c r="J2099" s="1315"/>
      <c r="K2099" s="1315"/>
      <c r="L2099" s="1315"/>
      <c r="M2099" s="1311"/>
      <c r="N2099" s="535"/>
      <c r="P2099" s="500"/>
    </row>
    <row r="2100" spans="1:16" s="3024" customFormat="1" ht="17.25" customHeight="1" x14ac:dyDescent="0.25">
      <c r="A2100" s="352"/>
      <c r="B2100" s="1242"/>
      <c r="C2100" s="3860" t="s">
        <v>3137</v>
      </c>
      <c r="D2100" s="666">
        <v>100000000</v>
      </c>
      <c r="E2100" s="880">
        <f>D2100/D1943*100</f>
        <v>6.5168372363008237E-2</v>
      </c>
      <c r="F2100" s="838"/>
      <c r="G2100" s="894"/>
      <c r="H2100" s="880"/>
      <c r="I2100" s="894"/>
      <c r="J2100" s="1315"/>
      <c r="K2100" s="1315"/>
      <c r="L2100" s="1315"/>
      <c r="M2100" s="1311"/>
      <c r="N2100" s="535"/>
      <c r="P2100" s="500"/>
    </row>
    <row r="2101" spans="1:16" s="3024" customFormat="1" ht="15.75" customHeight="1" x14ac:dyDescent="0.25">
      <c r="A2101" s="352"/>
      <c r="B2101" s="1242"/>
      <c r="C2101" s="3860" t="s">
        <v>3138</v>
      </c>
      <c r="D2101" s="666">
        <v>150000000</v>
      </c>
      <c r="E2101" s="880">
        <f>D2101/D1943*100</f>
        <v>9.7752558544512369E-2</v>
      </c>
      <c r="F2101" s="838"/>
      <c r="G2101" s="894"/>
      <c r="H2101" s="880"/>
      <c r="I2101" s="894"/>
      <c r="J2101" s="1315"/>
      <c r="K2101" s="1315"/>
      <c r="L2101" s="1315"/>
      <c r="M2101" s="1311"/>
      <c r="N2101" s="535"/>
      <c r="P2101" s="500"/>
    </row>
    <row r="2102" spans="1:16" s="3024" customFormat="1" ht="15.75" customHeight="1" x14ac:dyDescent="0.25">
      <c r="A2102" s="352"/>
      <c r="B2102" s="1242"/>
      <c r="C2102" s="3860" t="s">
        <v>3139</v>
      </c>
      <c r="D2102" s="666">
        <v>100000000</v>
      </c>
      <c r="E2102" s="880">
        <f>D2102/D1943*100</f>
        <v>6.5168372363008237E-2</v>
      </c>
      <c r="F2102" s="838"/>
      <c r="G2102" s="894"/>
      <c r="H2102" s="880"/>
      <c r="I2102" s="894"/>
      <c r="J2102" s="1315"/>
      <c r="K2102" s="1315"/>
      <c r="L2102" s="1315"/>
      <c r="M2102" s="1311"/>
      <c r="N2102" s="535"/>
      <c r="P2102" s="500"/>
    </row>
    <row r="2103" spans="1:16" s="3024" customFormat="1" ht="29.25" customHeight="1" x14ac:dyDescent="0.25">
      <c r="A2103" s="352"/>
      <c r="B2103" s="1242"/>
      <c r="C2103" s="3860" t="s">
        <v>3140</v>
      </c>
      <c r="D2103" s="666">
        <v>50000000</v>
      </c>
      <c r="E2103" s="880">
        <f>D2103/D1943*100</f>
        <v>3.2584186181504118E-2</v>
      </c>
      <c r="F2103" s="838"/>
      <c r="G2103" s="894"/>
      <c r="H2103" s="880"/>
      <c r="I2103" s="894"/>
      <c r="J2103" s="1315"/>
      <c r="K2103" s="1315"/>
      <c r="L2103" s="1315"/>
      <c r="M2103" s="1311"/>
      <c r="N2103" s="535"/>
      <c r="P2103" s="500"/>
    </row>
    <row r="2104" spans="1:16" s="3024" customFormat="1" ht="17.25" customHeight="1" x14ac:dyDescent="0.25">
      <c r="A2104" s="352"/>
      <c r="B2104" s="1242"/>
      <c r="C2104" s="3860" t="s">
        <v>3141</v>
      </c>
      <c r="D2104" s="666">
        <v>100000000</v>
      </c>
      <c r="E2104" s="880">
        <f>D2104/D1943*100</f>
        <v>6.5168372363008237E-2</v>
      </c>
      <c r="F2104" s="838"/>
      <c r="G2104" s="894"/>
      <c r="H2104" s="880"/>
      <c r="I2104" s="894"/>
      <c r="J2104" s="1315"/>
      <c r="K2104" s="1315"/>
      <c r="L2104" s="1315"/>
      <c r="M2104" s="1311"/>
      <c r="N2104" s="535"/>
      <c r="P2104" s="500"/>
    </row>
    <row r="2105" spans="1:16" s="3024" customFormat="1" ht="33" customHeight="1" x14ac:dyDescent="0.25">
      <c r="A2105" s="352"/>
      <c r="B2105" s="1242"/>
      <c r="C2105" s="3860" t="s">
        <v>3142</v>
      </c>
      <c r="D2105" s="666">
        <v>150000000</v>
      </c>
      <c r="E2105" s="880">
        <f>D2105/D1943*100</f>
        <v>9.7752558544512369E-2</v>
      </c>
      <c r="F2105" s="838"/>
      <c r="G2105" s="894"/>
      <c r="H2105" s="880"/>
      <c r="I2105" s="894"/>
      <c r="J2105" s="1315"/>
      <c r="K2105" s="1315"/>
      <c r="L2105" s="1315"/>
      <c r="M2105" s="1311"/>
      <c r="N2105" s="535"/>
      <c r="P2105" s="500"/>
    </row>
    <row r="2106" spans="1:16" s="3024" customFormat="1" ht="18.75" customHeight="1" x14ac:dyDescent="0.25">
      <c r="A2106" s="352"/>
      <c r="B2106" s="1242"/>
      <c r="C2106" s="3860" t="s">
        <v>3143</v>
      </c>
      <c r="D2106" s="666">
        <v>100000000</v>
      </c>
      <c r="E2106" s="880">
        <f>D2106/D1943*100</f>
        <v>6.5168372363008237E-2</v>
      </c>
      <c r="F2106" s="838"/>
      <c r="G2106" s="894"/>
      <c r="H2106" s="880"/>
      <c r="I2106" s="894"/>
      <c r="J2106" s="1315"/>
      <c r="K2106" s="1315"/>
      <c r="L2106" s="1315"/>
      <c r="M2106" s="1311"/>
      <c r="N2106" s="535"/>
      <c r="P2106" s="500"/>
    </row>
    <row r="2107" spans="1:16" s="3024" customFormat="1" ht="17.25" customHeight="1" x14ac:dyDescent="0.25">
      <c r="A2107" s="352"/>
      <c r="B2107" s="1242"/>
      <c r="C2107" s="3860" t="s">
        <v>3144</v>
      </c>
      <c r="D2107" s="666">
        <v>100000000</v>
      </c>
      <c r="E2107" s="880">
        <f>D2107/D1943*100</f>
        <v>6.5168372363008237E-2</v>
      </c>
      <c r="F2107" s="838"/>
      <c r="G2107" s="894"/>
      <c r="H2107" s="880"/>
      <c r="I2107" s="894"/>
      <c r="J2107" s="1315"/>
      <c r="K2107" s="1315"/>
      <c r="L2107" s="1315"/>
      <c r="M2107" s="1311"/>
      <c r="N2107" s="535"/>
      <c r="P2107" s="500"/>
    </row>
    <row r="2108" spans="1:16" s="3024" customFormat="1" ht="17.25" customHeight="1" x14ac:dyDescent="0.25">
      <c r="A2108" s="352"/>
      <c r="B2108" s="1242"/>
      <c r="C2108" s="3860" t="s">
        <v>3145</v>
      </c>
      <c r="D2108" s="666">
        <v>80000000</v>
      </c>
      <c r="E2108" s="880">
        <f>D2108/D1943*100</f>
        <v>5.2134697890406596E-2</v>
      </c>
      <c r="F2108" s="838"/>
      <c r="G2108" s="894"/>
      <c r="H2108" s="880"/>
      <c r="I2108" s="894"/>
      <c r="J2108" s="1315"/>
      <c r="K2108" s="1315"/>
      <c r="L2108" s="1315"/>
      <c r="M2108" s="1311"/>
      <c r="N2108" s="535"/>
      <c r="P2108" s="500"/>
    </row>
    <row r="2109" spans="1:16" s="3024" customFormat="1" ht="12" customHeight="1" x14ac:dyDescent="0.25">
      <c r="A2109" s="352"/>
      <c r="B2109" s="1242"/>
      <c r="C2109" s="3893"/>
      <c r="D2109" s="671"/>
      <c r="E2109" s="886"/>
      <c r="F2109" s="840"/>
      <c r="G2109" s="1644"/>
      <c r="H2109" s="3358"/>
      <c r="I2109" s="2514"/>
      <c r="J2109" s="2583"/>
      <c r="K2109" s="2583"/>
      <c r="L2109" s="2583"/>
      <c r="M2109" s="2583"/>
      <c r="N2109" s="535"/>
      <c r="P2109" s="500"/>
    </row>
    <row r="2110" spans="1:16" ht="17.25" customHeight="1" x14ac:dyDescent="0.25">
      <c r="B2110" s="1305"/>
      <c r="C2110" s="3924" t="s">
        <v>741</v>
      </c>
      <c r="D2110" s="4201">
        <f>SUM(D2111+D2114+D2117+D2124)</f>
        <v>5001390000</v>
      </c>
      <c r="E2110" s="1462">
        <f>D2110/D1943*100</f>
        <v>3.2593244585262582</v>
      </c>
      <c r="F2110" s="974"/>
      <c r="G2110" s="974"/>
      <c r="H2110" s="1306"/>
      <c r="I2110" s="1645"/>
      <c r="J2110" s="974"/>
      <c r="K2110" s="974"/>
      <c r="L2110" s="1306"/>
      <c r="M2110" s="1307"/>
      <c r="N2110" s="535"/>
    </row>
    <row r="2111" spans="1:16" ht="18" customHeight="1" x14ac:dyDescent="0.25">
      <c r="B2111" s="1242"/>
      <c r="C2111" s="3919" t="s">
        <v>3146</v>
      </c>
      <c r="D2111" s="1702">
        <f>D2112</f>
        <v>500000000</v>
      </c>
      <c r="E2111" s="3326">
        <f>D2111/D1943*100</f>
        <v>0.32584186181504121</v>
      </c>
      <c r="F2111" s="1245"/>
      <c r="G2111" s="1245"/>
      <c r="H2111" s="1308"/>
      <c r="I2111" s="1316"/>
      <c r="J2111" s="1245"/>
      <c r="K2111" s="1245"/>
      <c r="L2111" s="1012"/>
      <c r="M2111" s="1659"/>
      <c r="N2111" s="535"/>
    </row>
    <row r="2112" spans="1:16" ht="14.25" customHeight="1" x14ac:dyDescent="0.25">
      <c r="B2112" s="1242"/>
      <c r="C2112" s="3877" t="s">
        <v>3147</v>
      </c>
      <c r="D2112" s="4184">
        <v>500000000</v>
      </c>
      <c r="E2112" s="880">
        <f>D2112/D1943*100</f>
        <v>0.32584186181504121</v>
      </c>
      <c r="F2112" s="967"/>
      <c r="G2112" s="976"/>
      <c r="H2112" s="1310"/>
      <c r="I2112" s="1324"/>
      <c r="J2112" s="963"/>
      <c r="K2112" s="2369"/>
      <c r="L2112" s="782"/>
      <c r="M2112" s="1323"/>
      <c r="N2112" s="535"/>
    </row>
    <row r="2113" spans="1:16" ht="12" customHeight="1" x14ac:dyDescent="0.25">
      <c r="B2113" s="1242"/>
      <c r="C2113" s="3862"/>
      <c r="D2113" s="4239"/>
      <c r="E2113" s="995"/>
      <c r="F2113" s="977"/>
      <c r="G2113" s="1243"/>
      <c r="H2113" s="2174"/>
      <c r="I2113" s="1651"/>
      <c r="J2113" s="977"/>
      <c r="K2113" s="1315"/>
      <c r="L2113" s="1311"/>
      <c r="M2113" s="1311"/>
      <c r="N2113" s="535"/>
    </row>
    <row r="2114" spans="1:16" s="1241" customFormat="1" ht="15" customHeight="1" x14ac:dyDescent="0.25">
      <c r="A2114" s="352"/>
      <c r="B2114" s="1242"/>
      <c r="C2114" s="4010" t="s">
        <v>3148</v>
      </c>
      <c r="D2114" s="768">
        <f>D2115</f>
        <v>400000000</v>
      </c>
      <c r="E2114" s="1415">
        <f>D2114/D1943*100</f>
        <v>0.26067348945203295</v>
      </c>
      <c r="F2114" s="753"/>
      <c r="G2114" s="753"/>
      <c r="H2114" s="753"/>
      <c r="I2114" s="753"/>
      <c r="J2114" s="965"/>
      <c r="K2114" s="1013"/>
      <c r="L2114" s="766"/>
      <c r="M2114" s="766"/>
      <c r="N2114" s="535"/>
      <c r="P2114" s="500"/>
    </row>
    <row r="2115" spans="1:16" s="1241" customFormat="1" ht="15" customHeight="1" x14ac:dyDescent="0.25">
      <c r="A2115" s="352"/>
      <c r="B2115" s="1242"/>
      <c r="C2115" s="3863" t="s">
        <v>3149</v>
      </c>
      <c r="D2115" s="2674">
        <v>400000000</v>
      </c>
      <c r="E2115" s="995">
        <f>D2115/D1943*100</f>
        <v>0.26067348945203295</v>
      </c>
      <c r="F2115" s="782"/>
      <c r="G2115" s="782"/>
      <c r="H2115" s="782"/>
      <c r="I2115" s="782"/>
      <c r="J2115" s="963"/>
      <c r="K2115" s="1891"/>
      <c r="L2115" s="782"/>
      <c r="M2115" s="782"/>
      <c r="N2115" s="535"/>
      <c r="P2115" s="500"/>
    </row>
    <row r="2116" spans="1:16" s="1241" customFormat="1" ht="11.25" customHeight="1" x14ac:dyDescent="0.25">
      <c r="A2116" s="352"/>
      <c r="B2116" s="1242"/>
      <c r="C2116" s="4011"/>
      <c r="D2116" s="4239"/>
      <c r="E2116" s="885"/>
      <c r="F2116" s="977"/>
      <c r="G2116" s="1244"/>
      <c r="H2116" s="2303"/>
      <c r="I2116" s="2370"/>
      <c r="J2116" s="977"/>
      <c r="K2116" s="2269"/>
      <c r="L2116" s="2266"/>
      <c r="M2116" s="2266"/>
      <c r="N2116" s="535"/>
      <c r="P2116" s="500"/>
    </row>
    <row r="2117" spans="1:16" ht="17.25" customHeight="1" x14ac:dyDescent="0.25">
      <c r="B2117" s="1242"/>
      <c r="C2117" s="3919" t="s">
        <v>3150</v>
      </c>
      <c r="D2117" s="4235">
        <f>SUM(D2118:D2122)</f>
        <v>4001390000</v>
      </c>
      <c r="E2117" s="1415">
        <f>D2117/D1943*100</f>
        <v>2.6076407348961754</v>
      </c>
      <c r="F2117" s="965"/>
      <c r="G2117" s="965"/>
      <c r="H2117" s="1308"/>
      <c r="I2117" s="753"/>
      <c r="J2117" s="965"/>
      <c r="K2117" s="965"/>
      <c r="L2117" s="1012"/>
      <c r="M2117" s="1729"/>
      <c r="N2117" s="535"/>
    </row>
    <row r="2118" spans="1:16" ht="15" customHeight="1" x14ac:dyDescent="0.25">
      <c r="B2118" s="1242"/>
      <c r="C2118" s="3920" t="s">
        <v>3151</v>
      </c>
      <c r="D2118" s="4238">
        <v>2881390000</v>
      </c>
      <c r="E2118" s="995">
        <f>D2118/D1943*100</f>
        <v>1.8777549644304832</v>
      </c>
      <c r="F2118" s="972"/>
      <c r="G2118" s="868"/>
      <c r="H2118" s="2174"/>
      <c r="I2118" s="868"/>
      <c r="J2118" s="979"/>
      <c r="K2118" s="1717"/>
      <c r="L2118" s="782"/>
      <c r="M2118" s="1717"/>
      <c r="N2118" s="535"/>
    </row>
    <row r="2119" spans="1:16" s="3024" customFormat="1" ht="17.25" customHeight="1" x14ac:dyDescent="0.25">
      <c r="A2119" s="352"/>
      <c r="B2119" s="1242"/>
      <c r="C2119" s="3932" t="s">
        <v>3152</v>
      </c>
      <c r="D2119" s="4184">
        <v>80000000</v>
      </c>
      <c r="E2119" s="995">
        <f>D2119/D1943*100</f>
        <v>5.2134697890406596E-2</v>
      </c>
      <c r="F2119" s="967"/>
      <c r="G2119" s="666"/>
      <c r="H2119" s="880"/>
      <c r="I2119" s="666"/>
      <c r="J2119" s="963"/>
      <c r="K2119" s="1323"/>
      <c r="L2119" s="804"/>
      <c r="M2119" s="1323"/>
      <c r="N2119" s="535"/>
      <c r="P2119" s="500"/>
    </row>
    <row r="2120" spans="1:16" s="3024" customFormat="1" ht="18" customHeight="1" x14ac:dyDescent="0.25">
      <c r="A2120" s="352"/>
      <c r="B2120" s="1242"/>
      <c r="C2120" s="3932" t="s">
        <v>3153</v>
      </c>
      <c r="D2120" s="4184">
        <v>200000000</v>
      </c>
      <c r="E2120" s="995">
        <f>D2120/D1943*100</f>
        <v>0.13033674472601647</v>
      </c>
      <c r="F2120" s="967"/>
      <c r="G2120" s="666"/>
      <c r="H2120" s="880"/>
      <c r="I2120" s="666"/>
      <c r="J2120" s="963"/>
      <c r="K2120" s="1323"/>
      <c r="L2120" s="804"/>
      <c r="M2120" s="1323"/>
      <c r="N2120" s="535"/>
      <c r="P2120" s="500"/>
    </row>
    <row r="2121" spans="1:16" s="3024" customFormat="1" ht="18.75" customHeight="1" x14ac:dyDescent="0.25">
      <c r="A2121" s="352"/>
      <c r="B2121" s="1242"/>
      <c r="C2121" s="3932" t="s">
        <v>3154</v>
      </c>
      <c r="D2121" s="4184">
        <v>120000000</v>
      </c>
      <c r="E2121" s="995">
        <f>D2121/D1943*100</f>
        <v>7.8202046835609898E-2</v>
      </c>
      <c r="F2121" s="967"/>
      <c r="G2121" s="666"/>
      <c r="H2121" s="880"/>
      <c r="I2121" s="666"/>
      <c r="J2121" s="963"/>
      <c r="K2121" s="1323"/>
      <c r="L2121" s="804"/>
      <c r="M2121" s="1323"/>
      <c r="N2121" s="535"/>
      <c r="P2121" s="500"/>
    </row>
    <row r="2122" spans="1:16" s="3024" customFormat="1" ht="18" customHeight="1" x14ac:dyDescent="0.25">
      <c r="A2122" s="352"/>
      <c r="B2122" s="1242"/>
      <c r="C2122" s="3932" t="s">
        <v>3155</v>
      </c>
      <c r="D2122" s="4184">
        <v>720000000</v>
      </c>
      <c r="E2122" s="995">
        <f>D2122/D1943*100</f>
        <v>0.46921228101365942</v>
      </c>
      <c r="F2122" s="967"/>
      <c r="G2122" s="666"/>
      <c r="H2122" s="880"/>
      <c r="I2122" s="666"/>
      <c r="J2122" s="963"/>
      <c r="K2122" s="1323"/>
      <c r="L2122" s="804"/>
      <c r="M2122" s="1323"/>
      <c r="N2122" s="535"/>
      <c r="P2122" s="500"/>
    </row>
    <row r="2123" spans="1:16" s="3024" customFormat="1" ht="13.5" customHeight="1" x14ac:dyDescent="0.25">
      <c r="A2123" s="352"/>
      <c r="B2123" s="1242"/>
      <c r="C2123" s="3932"/>
      <c r="D2123" s="4184"/>
      <c r="E2123" s="880"/>
      <c r="F2123" s="967"/>
      <c r="G2123" s="666"/>
      <c r="H2123" s="880"/>
      <c r="I2123" s="666"/>
      <c r="J2123" s="963"/>
      <c r="K2123" s="1323"/>
      <c r="L2123" s="804"/>
      <c r="M2123" s="1323"/>
      <c r="N2123" s="535"/>
      <c r="P2123" s="500"/>
    </row>
    <row r="2124" spans="1:16" s="3024" customFormat="1" ht="15.75" customHeight="1" x14ac:dyDescent="0.25">
      <c r="A2124" s="352"/>
      <c r="B2124" s="1242"/>
      <c r="C2124" s="3859" t="s">
        <v>3156</v>
      </c>
      <c r="D2124" s="4235">
        <f>D2125</f>
        <v>100000000</v>
      </c>
      <c r="E2124" s="1415">
        <f>D2124/D1943*100</f>
        <v>6.5168372363008237E-2</v>
      </c>
      <c r="F2124" s="967"/>
      <c r="G2124" s="666"/>
      <c r="H2124" s="880"/>
      <c r="I2124" s="666"/>
      <c r="J2124" s="963"/>
      <c r="K2124" s="1323"/>
      <c r="L2124" s="804"/>
      <c r="M2124" s="1323"/>
      <c r="N2124" s="535"/>
      <c r="P2124" s="500"/>
    </row>
    <row r="2125" spans="1:16" s="3024" customFormat="1" ht="18" customHeight="1" x14ac:dyDescent="0.25">
      <c r="A2125" s="352"/>
      <c r="B2125" s="1242"/>
      <c r="C2125" s="3932" t="s">
        <v>3157</v>
      </c>
      <c r="D2125" s="4184">
        <v>100000000</v>
      </c>
      <c r="E2125" s="995">
        <f>D2125/D1943*100</f>
        <v>6.5168372363008237E-2</v>
      </c>
      <c r="F2125" s="967"/>
      <c r="G2125" s="666"/>
      <c r="H2125" s="880"/>
      <c r="I2125" s="666"/>
      <c r="J2125" s="963"/>
      <c r="K2125" s="1323"/>
      <c r="L2125" s="804"/>
      <c r="M2125" s="1323"/>
      <c r="N2125" s="535"/>
      <c r="P2125" s="500"/>
    </row>
    <row r="2126" spans="1:16" ht="15.75" customHeight="1" x14ac:dyDescent="0.25">
      <c r="B2126" s="1242"/>
      <c r="C2126" s="3873"/>
      <c r="D2126" s="868"/>
      <c r="E2126" s="880"/>
      <c r="F2126" s="835"/>
      <c r="G2126" s="788"/>
      <c r="H2126" s="2234"/>
      <c r="I2126" s="1651"/>
      <c r="J2126" s="2175"/>
      <c r="K2126" s="2175"/>
      <c r="L2126" s="2175"/>
      <c r="M2126" s="2175"/>
      <c r="N2126" s="535"/>
    </row>
    <row r="2127" spans="1:16" ht="17.25" customHeight="1" x14ac:dyDescent="0.25">
      <c r="B2127" s="1305"/>
      <c r="C2127" s="3924" t="s">
        <v>263</v>
      </c>
      <c r="D2127" s="669">
        <f>SUM(D2128+D2134+D2131+D2139+D2142)</f>
        <v>10070655000</v>
      </c>
      <c r="E2127" s="1462">
        <f>D2127/D1943*100</f>
        <v>6.5628819497939084</v>
      </c>
      <c r="F2127" s="832"/>
      <c r="G2127" s="832"/>
      <c r="H2127" s="1306"/>
      <c r="I2127" s="1645"/>
      <c r="J2127" s="1813"/>
      <c r="K2127" s="1813"/>
      <c r="L2127" s="1306"/>
      <c r="M2127" s="2356"/>
      <c r="N2127" s="535"/>
    </row>
    <row r="2128" spans="1:16" ht="14.25" customHeight="1" x14ac:dyDescent="0.25">
      <c r="B2128" s="1242"/>
      <c r="C2128" s="3925" t="s">
        <v>3158</v>
      </c>
      <c r="D2128" s="4240">
        <f>D2129</f>
        <v>1000000000</v>
      </c>
      <c r="E2128" s="1461">
        <f>D2128/D1943*100</f>
        <v>0.65168372363008242</v>
      </c>
      <c r="F2128" s="975"/>
      <c r="G2128" s="975"/>
      <c r="H2128" s="1308"/>
      <c r="I2128" s="795"/>
      <c r="J2128" s="975"/>
      <c r="K2128" s="975"/>
      <c r="L2128" s="1012"/>
      <c r="M2128" s="1659"/>
      <c r="N2128" s="535"/>
    </row>
    <row r="2129" spans="1:16" ht="13.5" customHeight="1" x14ac:dyDescent="0.25">
      <c r="B2129" s="1242"/>
      <c r="C2129" s="3920" t="s">
        <v>7113</v>
      </c>
      <c r="D2129" s="4184">
        <v>1000000000</v>
      </c>
      <c r="E2129" s="880">
        <f>D2129/D1943*100</f>
        <v>0.65168372363008242</v>
      </c>
      <c r="F2129" s="967"/>
      <c r="G2129" s="782"/>
      <c r="H2129" s="1310"/>
      <c r="I2129" s="827"/>
      <c r="J2129" s="963"/>
      <c r="K2129" s="1762"/>
      <c r="L2129" s="782"/>
      <c r="M2129" s="2371"/>
      <c r="N2129" s="535"/>
    </row>
    <row r="2130" spans="1:16" s="1241" customFormat="1" ht="8.25" customHeight="1" x14ac:dyDescent="0.25">
      <c r="A2130" s="352"/>
      <c r="B2130" s="1242"/>
      <c r="C2130" s="4012"/>
      <c r="D2130" s="666"/>
      <c r="E2130" s="1463"/>
      <c r="F2130" s="838"/>
      <c r="G2130" s="894"/>
      <c r="H2130" s="1308"/>
      <c r="I2130" s="1314"/>
      <c r="J2130" s="1818"/>
      <c r="K2130" s="1311"/>
      <c r="L2130" s="1311"/>
      <c r="M2130" s="1311"/>
      <c r="N2130" s="535"/>
      <c r="P2130" s="500"/>
    </row>
    <row r="2131" spans="1:16" ht="14.25" customHeight="1" x14ac:dyDescent="0.25">
      <c r="B2131" s="1242"/>
      <c r="C2131" s="3919" t="s">
        <v>2314</v>
      </c>
      <c r="D2131" s="4235">
        <f>D2132</f>
        <v>300000000</v>
      </c>
      <c r="E2131" s="1415">
        <f>D2131/D1943*100</f>
        <v>0.19550511708902474</v>
      </c>
      <c r="F2131" s="965"/>
      <c r="G2131" s="965"/>
      <c r="H2131" s="1308"/>
      <c r="I2131" s="1316"/>
      <c r="J2131" s="965"/>
      <c r="K2131" s="965"/>
      <c r="L2131" s="1012"/>
      <c r="M2131" s="1650"/>
      <c r="N2131" s="535"/>
    </row>
    <row r="2132" spans="1:16" ht="15.75" customHeight="1" x14ac:dyDescent="0.25">
      <c r="B2132" s="1242"/>
      <c r="C2132" s="3926" t="s">
        <v>3159</v>
      </c>
      <c r="D2132" s="4184">
        <v>300000000</v>
      </c>
      <c r="E2132" s="880">
        <f>D2132/D1943*100</f>
        <v>0.19550511708902474</v>
      </c>
      <c r="F2132" s="963"/>
      <c r="G2132" s="666"/>
      <c r="H2132" s="1310"/>
      <c r="I2132" s="1111"/>
      <c r="J2132" s="1891"/>
      <c r="K2132" s="1891"/>
      <c r="L2132" s="782"/>
      <c r="M2132" s="782"/>
      <c r="N2132" s="535"/>
    </row>
    <row r="2133" spans="1:16" s="1248" customFormat="1" ht="8.25" customHeight="1" x14ac:dyDescent="0.25">
      <c r="A2133" s="1247"/>
      <c r="B2133" s="2907"/>
      <c r="C2133" s="4009"/>
      <c r="D2133" s="4184"/>
      <c r="E2133" s="1415"/>
      <c r="F2133" s="963"/>
      <c r="G2133" s="666"/>
      <c r="H2133" s="1310"/>
      <c r="I2133" s="1111"/>
      <c r="J2133" s="963"/>
      <c r="K2133" s="1312"/>
      <c r="L2133" s="1312"/>
      <c r="M2133" s="1312"/>
      <c r="N2133" s="535"/>
      <c r="P2133" s="4608"/>
    </row>
    <row r="2134" spans="1:16" ht="17.25" customHeight="1" x14ac:dyDescent="0.25">
      <c r="B2134" s="1242"/>
      <c r="C2134" s="3925" t="s">
        <v>3160</v>
      </c>
      <c r="D2134" s="4241">
        <f>SUM(D2135:D2137)</f>
        <v>1050000000</v>
      </c>
      <c r="E2134" s="1461">
        <f>D2134/D1943*100</f>
        <v>0.68426790981158658</v>
      </c>
      <c r="F2134" s="994"/>
      <c r="G2134" s="994"/>
      <c r="H2134" s="1661"/>
      <c r="I2134" s="1309"/>
      <c r="J2134" s="994"/>
      <c r="K2134" s="994"/>
      <c r="L2134" s="1012"/>
      <c r="M2134" s="766"/>
      <c r="N2134" s="579"/>
    </row>
    <row r="2135" spans="1:16" ht="18" customHeight="1" x14ac:dyDescent="0.25">
      <c r="B2135" s="1242"/>
      <c r="C2135" s="3932" t="s">
        <v>3161</v>
      </c>
      <c r="D2135" s="4184">
        <v>350000000</v>
      </c>
      <c r="E2135" s="880">
        <f>D2135/D1943*100</f>
        <v>0.22808930327052884</v>
      </c>
      <c r="F2135" s="967"/>
      <c r="G2135" s="666"/>
      <c r="H2135" s="1310"/>
      <c r="I2135" s="1111"/>
      <c r="J2135" s="963"/>
      <c r="K2135" s="1891"/>
      <c r="L2135" s="782"/>
      <c r="M2135" s="782"/>
      <c r="N2135" s="535"/>
    </row>
    <row r="2136" spans="1:16" s="3024" customFormat="1" ht="18" customHeight="1" x14ac:dyDescent="0.25">
      <c r="A2136" s="352"/>
      <c r="B2136" s="1242"/>
      <c r="C2136" s="3932" t="s">
        <v>3162</v>
      </c>
      <c r="D2136" s="4184">
        <v>350000000</v>
      </c>
      <c r="E2136" s="880">
        <f>D2136/D1943*100</f>
        <v>0.22808930327052884</v>
      </c>
      <c r="F2136" s="967"/>
      <c r="G2136" s="666"/>
      <c r="H2136" s="880"/>
      <c r="I2136" s="666"/>
      <c r="J2136" s="963"/>
      <c r="K2136" s="1975"/>
      <c r="L2136" s="937"/>
      <c r="M2136" s="937"/>
      <c r="N2136" s="535"/>
      <c r="P2136" s="500"/>
    </row>
    <row r="2137" spans="1:16" s="3024" customFormat="1" ht="18" customHeight="1" x14ac:dyDescent="0.25">
      <c r="A2137" s="352"/>
      <c r="B2137" s="1242"/>
      <c r="C2137" s="3932" t="s">
        <v>3163</v>
      </c>
      <c r="D2137" s="4184">
        <v>350000000</v>
      </c>
      <c r="E2137" s="880">
        <f>D2137/D1943*100</f>
        <v>0.22808930327052884</v>
      </c>
      <c r="F2137" s="967"/>
      <c r="G2137" s="666"/>
      <c r="H2137" s="880"/>
      <c r="I2137" s="666"/>
      <c r="J2137" s="963"/>
      <c r="K2137" s="1975"/>
      <c r="L2137" s="937"/>
      <c r="M2137" s="937"/>
      <c r="N2137" s="535"/>
      <c r="P2137" s="500"/>
    </row>
    <row r="2138" spans="1:16" ht="10.5" customHeight="1" x14ac:dyDescent="0.25">
      <c r="B2138" s="1242"/>
      <c r="C2138" s="3927"/>
      <c r="D2138" s="4242"/>
      <c r="E2138" s="880"/>
      <c r="F2138" s="1208"/>
      <c r="G2138" s="894"/>
      <c r="H2138" s="1463"/>
      <c r="I2138" s="894"/>
      <c r="J2138" s="1208"/>
      <c r="K2138" s="1311"/>
      <c r="L2138" s="1312"/>
      <c r="M2138" s="1311"/>
      <c r="N2138" s="535"/>
    </row>
    <row r="2139" spans="1:16" ht="29.25" customHeight="1" x14ac:dyDescent="0.25">
      <c r="B2139" s="1242"/>
      <c r="C2139" s="3925" t="s">
        <v>1021</v>
      </c>
      <c r="D2139" s="673">
        <f>D2140</f>
        <v>200000000</v>
      </c>
      <c r="E2139" s="1415">
        <f>D2139/D1943*100</f>
        <v>0.13033674472601647</v>
      </c>
      <c r="F2139" s="1329"/>
      <c r="G2139" s="1329"/>
      <c r="H2139" s="1415"/>
      <c r="I2139" s="673"/>
      <c r="J2139" s="1329"/>
      <c r="K2139" s="1329"/>
      <c r="L2139" s="1012"/>
      <c r="M2139" s="1650"/>
      <c r="N2139" s="535"/>
    </row>
    <row r="2140" spans="1:16" ht="16.5" customHeight="1" x14ac:dyDescent="0.25">
      <c r="B2140" s="1242"/>
      <c r="C2140" s="3920" t="s">
        <v>3164</v>
      </c>
      <c r="D2140" s="4185">
        <v>200000000</v>
      </c>
      <c r="E2140" s="880">
        <f>D2140/D1943*100</f>
        <v>0.13033674472601647</v>
      </c>
      <c r="F2140" s="978"/>
      <c r="G2140" s="838"/>
      <c r="H2140" s="1310"/>
      <c r="I2140" s="1111"/>
      <c r="J2140" s="1890"/>
      <c r="K2140" s="1951"/>
      <c r="L2140" s="782"/>
      <c r="M2140" s="1312"/>
      <c r="N2140" s="535"/>
    </row>
    <row r="2141" spans="1:16" ht="11.25" customHeight="1" x14ac:dyDescent="0.25">
      <c r="B2141" s="1242"/>
      <c r="C2141" s="3861"/>
      <c r="D2141" s="868"/>
      <c r="E2141" s="880"/>
      <c r="F2141" s="835"/>
      <c r="G2141" s="788"/>
      <c r="H2141" s="2234"/>
      <c r="I2141" s="1651"/>
      <c r="J2141" s="1815"/>
      <c r="K2141" s="2175"/>
      <c r="L2141" s="2175"/>
      <c r="M2141" s="2175"/>
      <c r="N2141" s="535"/>
    </row>
    <row r="2142" spans="1:16" ht="18" customHeight="1" x14ac:dyDescent="0.25">
      <c r="B2142" s="1242"/>
      <c r="C2142" s="3946" t="s">
        <v>3165</v>
      </c>
      <c r="D2142" s="673">
        <f>SUM(D2143:D2149)</f>
        <v>7520655000</v>
      </c>
      <c r="E2142" s="1415">
        <f>D2142/D1943*100</f>
        <v>4.9010884545371978</v>
      </c>
      <c r="F2142" s="1329"/>
      <c r="G2142" s="1329"/>
      <c r="H2142" s="1308"/>
      <c r="I2142" s="1316"/>
      <c r="J2142" s="1329"/>
      <c r="K2142" s="1329"/>
      <c r="L2142" s="1012"/>
      <c r="M2142" s="1650"/>
      <c r="N2142" s="535"/>
    </row>
    <row r="2143" spans="1:16" ht="14.25" customHeight="1" x14ac:dyDescent="0.25">
      <c r="B2143" s="1242"/>
      <c r="C2143" s="3877" t="s">
        <v>3166</v>
      </c>
      <c r="D2143" s="4184">
        <v>1000000000</v>
      </c>
      <c r="E2143" s="880">
        <f>D2143/D1943*100</f>
        <v>0.65168372363008242</v>
      </c>
      <c r="F2143" s="967"/>
      <c r="G2143" s="666"/>
      <c r="H2143" s="1310"/>
      <c r="I2143" s="1111"/>
      <c r="J2143" s="963"/>
      <c r="K2143" s="1312"/>
      <c r="L2143" s="782"/>
      <c r="M2143" s="1312"/>
      <c r="N2143" s="535"/>
    </row>
    <row r="2144" spans="1:16" ht="15.75" customHeight="1" x14ac:dyDescent="0.25">
      <c r="B2144" s="1242"/>
      <c r="C2144" s="3877" t="s">
        <v>3167</v>
      </c>
      <c r="D2144" s="4184">
        <v>1000000000</v>
      </c>
      <c r="E2144" s="880">
        <f>D2144/D1943*100</f>
        <v>0.65168372363008242</v>
      </c>
      <c r="F2144" s="967"/>
      <c r="G2144" s="666"/>
      <c r="H2144" s="1310"/>
      <c r="I2144" s="1111"/>
      <c r="J2144" s="963"/>
      <c r="K2144" s="1312"/>
      <c r="L2144" s="782"/>
      <c r="M2144" s="1312"/>
      <c r="N2144" s="535"/>
    </row>
    <row r="2145" spans="1:16" ht="17.25" customHeight="1" x14ac:dyDescent="0.25">
      <c r="B2145" s="1242"/>
      <c r="C2145" s="3877" t="s">
        <v>3168</v>
      </c>
      <c r="D2145" s="4184">
        <v>2000000000</v>
      </c>
      <c r="E2145" s="880">
        <f>D2145/D1943*100</f>
        <v>1.3033674472601648</v>
      </c>
      <c r="F2145" s="967"/>
      <c r="G2145" s="666"/>
      <c r="H2145" s="1310"/>
      <c r="I2145" s="1111"/>
      <c r="J2145" s="963"/>
      <c r="K2145" s="1312"/>
      <c r="L2145" s="782"/>
      <c r="M2145" s="1312"/>
      <c r="N2145" s="535"/>
    </row>
    <row r="2146" spans="1:16" ht="16.5" customHeight="1" x14ac:dyDescent="0.25">
      <c r="B2146" s="1242"/>
      <c r="C2146" s="3877" t="s">
        <v>3169</v>
      </c>
      <c r="D2146" s="4184">
        <v>1400000000</v>
      </c>
      <c r="E2146" s="880">
        <f>D2146/D1943*100</f>
        <v>0.91235721308211537</v>
      </c>
      <c r="F2146" s="967"/>
      <c r="G2146" s="666"/>
      <c r="H2146" s="1310"/>
      <c r="I2146" s="1111"/>
      <c r="J2146" s="963"/>
      <c r="K2146" s="1312"/>
      <c r="L2146" s="782"/>
      <c r="M2146" s="1312"/>
      <c r="N2146" s="535"/>
    </row>
    <row r="2147" spans="1:16" ht="15.75" customHeight="1" x14ac:dyDescent="0.25">
      <c r="B2147" s="1242"/>
      <c r="C2147" s="3877" t="s">
        <v>3170</v>
      </c>
      <c r="D2147" s="4184">
        <v>200000000</v>
      </c>
      <c r="E2147" s="880">
        <f>D2147/D1943*100</f>
        <v>0.13033674472601647</v>
      </c>
      <c r="F2147" s="967"/>
      <c r="G2147" s="666"/>
      <c r="H2147" s="1310"/>
      <c r="I2147" s="1111"/>
      <c r="J2147" s="963"/>
      <c r="K2147" s="1312"/>
      <c r="L2147" s="782"/>
      <c r="M2147" s="1312"/>
      <c r="N2147" s="535"/>
    </row>
    <row r="2148" spans="1:16" ht="15.75" customHeight="1" x14ac:dyDescent="0.25">
      <c r="B2148" s="1242"/>
      <c r="C2148" s="3877" t="s">
        <v>3171</v>
      </c>
      <c r="D2148" s="4184">
        <v>700000000</v>
      </c>
      <c r="E2148" s="880">
        <f>D2148/D1943*100</f>
        <v>0.45617860654105769</v>
      </c>
      <c r="F2148" s="967"/>
      <c r="G2148" s="666"/>
      <c r="H2148" s="1310"/>
      <c r="I2148" s="1111"/>
      <c r="J2148" s="963"/>
      <c r="K2148" s="1312"/>
      <c r="L2148" s="782"/>
      <c r="M2148" s="1312"/>
      <c r="N2148" s="535"/>
    </row>
    <row r="2149" spans="1:16" ht="15.75" customHeight="1" x14ac:dyDescent="0.25">
      <c r="B2149" s="1242"/>
      <c r="C2149" s="3877" t="s">
        <v>3172</v>
      </c>
      <c r="D2149" s="4184">
        <v>1220655000</v>
      </c>
      <c r="E2149" s="880">
        <f>D2149/D1943*100</f>
        <v>0.79548099566767827</v>
      </c>
      <c r="F2149" s="967"/>
      <c r="G2149" s="782"/>
      <c r="H2149" s="782"/>
      <c r="I2149" s="782"/>
      <c r="J2149" s="963"/>
      <c r="K2149" s="1891"/>
      <c r="L2149" s="782"/>
      <c r="M2149" s="782"/>
      <c r="N2149" s="535"/>
    </row>
    <row r="2150" spans="1:16" ht="12" customHeight="1" x14ac:dyDescent="0.25">
      <c r="B2150" s="1242"/>
      <c r="C2150" s="3892"/>
      <c r="D2150" s="671"/>
      <c r="E2150" s="886"/>
      <c r="F2150" s="840"/>
      <c r="G2150" s="973"/>
      <c r="H2150" s="2341"/>
      <c r="I2150" s="2368"/>
      <c r="J2150" s="2343"/>
      <c r="K2150" s="2343"/>
      <c r="L2150" s="2343"/>
      <c r="M2150" s="2343"/>
      <c r="N2150" s="535"/>
    </row>
    <row r="2151" spans="1:16" ht="16.5" customHeight="1" x14ac:dyDescent="0.25">
      <c r="B2151" s="1305"/>
      <c r="C2151" s="3928" t="s">
        <v>264</v>
      </c>
      <c r="D2151" s="4243">
        <f>D2152+D2160+D2157+D2164+D2171+D2174</f>
        <v>10593124000</v>
      </c>
      <c r="E2151" s="1462">
        <f>D2151/D1943*100</f>
        <v>6.9033664931951941</v>
      </c>
      <c r="F2151" s="980"/>
      <c r="G2151" s="832"/>
      <c r="H2151" s="1306"/>
      <c r="I2151" s="1645"/>
      <c r="J2151" s="980"/>
      <c r="K2151" s="980"/>
      <c r="L2151" s="1306"/>
      <c r="M2151" s="1307"/>
      <c r="N2151" s="535"/>
    </row>
    <row r="2152" spans="1:16" ht="15" customHeight="1" x14ac:dyDescent="0.25">
      <c r="B2152" s="1242"/>
      <c r="C2152" s="4014" t="s">
        <v>767</v>
      </c>
      <c r="D2152" s="4244">
        <f>SUM(D2153:D2155)</f>
        <v>1900000000</v>
      </c>
      <c r="E2152" s="1461">
        <f>D2152/D1943*100</f>
        <v>1.2381990748971565</v>
      </c>
      <c r="F2152" s="981"/>
      <c r="G2152" s="975"/>
      <c r="H2152" s="1308"/>
      <c r="I2152" s="1309"/>
      <c r="J2152" s="975"/>
      <c r="K2152" s="975"/>
      <c r="L2152" s="766"/>
      <c r="M2152" s="1659"/>
      <c r="N2152" s="535"/>
    </row>
    <row r="2153" spans="1:16" ht="30" customHeight="1" x14ac:dyDescent="0.25">
      <c r="B2153" s="1242"/>
      <c r="C2153" s="3877" t="s">
        <v>3173</v>
      </c>
      <c r="D2153" s="666">
        <v>1200000000</v>
      </c>
      <c r="E2153" s="880">
        <f>D2153/D1943*100</f>
        <v>0.78202046835609895</v>
      </c>
      <c r="F2153" s="967"/>
      <c r="G2153" s="963"/>
      <c r="H2153" s="1310"/>
      <c r="I2153" s="1111"/>
      <c r="J2153" s="963"/>
      <c r="K2153" s="2281"/>
      <c r="L2153" s="782"/>
      <c r="M2153" s="1312"/>
      <c r="N2153" s="535"/>
    </row>
    <row r="2154" spans="1:16" ht="17.25" customHeight="1" x14ac:dyDescent="0.25">
      <c r="B2154" s="1242"/>
      <c r="C2154" s="3877" t="s">
        <v>3174</v>
      </c>
      <c r="D2154" s="4184">
        <v>500000000</v>
      </c>
      <c r="E2154" s="880">
        <f>D2154/D1943*100</f>
        <v>0.32584186181504121</v>
      </c>
      <c r="F2154" s="967"/>
      <c r="G2154" s="982"/>
      <c r="H2154" s="1310"/>
      <c r="I2154" s="1324"/>
      <c r="J2154" s="963"/>
      <c r="K2154" s="1717"/>
      <c r="L2154" s="782"/>
      <c r="M2154" s="1323"/>
      <c r="N2154" s="535"/>
    </row>
    <row r="2155" spans="1:16" ht="15.75" customHeight="1" x14ac:dyDescent="0.25">
      <c r="B2155" s="1242"/>
      <c r="C2155" s="3877" t="s">
        <v>3175</v>
      </c>
      <c r="D2155" s="4184">
        <v>200000000</v>
      </c>
      <c r="E2155" s="880">
        <f>D2155/D1943*100</f>
        <v>0.13033674472601647</v>
      </c>
      <c r="F2155" s="967"/>
      <c r="G2155" s="982"/>
      <c r="H2155" s="985"/>
      <c r="I2155" s="982"/>
      <c r="J2155" s="963"/>
      <c r="K2155" s="1717"/>
      <c r="L2155" s="1323"/>
      <c r="M2155" s="1323"/>
      <c r="N2155" s="535"/>
    </row>
    <row r="2156" spans="1:16" ht="11.25" customHeight="1" x14ac:dyDescent="0.25">
      <c r="B2156" s="1242"/>
      <c r="C2156" s="3929"/>
      <c r="D2156" s="4238"/>
      <c r="E2156" s="995"/>
      <c r="F2156" s="972"/>
      <c r="G2156" s="982"/>
      <c r="H2156" s="985"/>
      <c r="I2156" s="982"/>
      <c r="J2156" s="979"/>
      <c r="K2156" s="2281"/>
      <c r="L2156" s="1323"/>
      <c r="M2156" s="1323"/>
      <c r="N2156" s="535"/>
    </row>
    <row r="2157" spans="1:16" s="1241" customFormat="1" ht="18" customHeight="1" x14ac:dyDescent="0.25">
      <c r="A2157" s="352"/>
      <c r="B2157" s="1242"/>
      <c r="C2157" s="3966" t="s">
        <v>3176</v>
      </c>
      <c r="D2157" s="768">
        <f>D2158</f>
        <v>843124000</v>
      </c>
      <c r="E2157" s="1415">
        <f>D2157/D1943*100</f>
        <v>0.54945018780188959</v>
      </c>
      <c r="F2157" s="753"/>
      <c r="G2157" s="753"/>
      <c r="H2157" s="753"/>
      <c r="I2157" s="766"/>
      <c r="J2157" s="965"/>
      <c r="K2157" s="1013"/>
      <c r="L2157" s="766"/>
      <c r="M2157" s="766"/>
      <c r="N2157" s="535"/>
      <c r="P2157" s="500"/>
    </row>
    <row r="2158" spans="1:16" s="1241" customFormat="1" ht="15.75" customHeight="1" x14ac:dyDescent="0.25">
      <c r="A2158" s="352"/>
      <c r="B2158" s="1242"/>
      <c r="C2158" s="3929" t="s">
        <v>3177</v>
      </c>
      <c r="D2158" s="780">
        <f>1000000000-156876000</f>
        <v>843124000</v>
      </c>
      <c r="E2158" s="885">
        <f>D2158/D1943*100</f>
        <v>0.54945018780188959</v>
      </c>
      <c r="F2158" s="755"/>
      <c r="G2158" s="755"/>
      <c r="H2158" s="755"/>
      <c r="I2158" s="782"/>
      <c r="J2158" s="963"/>
      <c r="K2158" s="1891"/>
      <c r="L2158" s="782"/>
      <c r="M2158" s="782"/>
      <c r="N2158" s="535"/>
      <c r="P2158" s="500"/>
    </row>
    <row r="2159" spans="1:16" s="3024" customFormat="1" ht="8.25" customHeight="1" x14ac:dyDescent="0.25">
      <c r="A2159" s="352"/>
      <c r="B2159" s="1242"/>
      <c r="C2159" s="3929"/>
      <c r="D2159" s="780"/>
      <c r="E2159" s="755"/>
      <c r="F2159" s="755"/>
      <c r="G2159" s="798"/>
      <c r="H2159" s="798"/>
      <c r="I2159" s="827"/>
      <c r="J2159" s="963"/>
      <c r="K2159" s="1891"/>
      <c r="L2159" s="782"/>
      <c r="M2159" s="804"/>
      <c r="N2159" s="535"/>
      <c r="P2159" s="500"/>
    </row>
    <row r="2160" spans="1:16" ht="28.5" customHeight="1" x14ac:dyDescent="0.25">
      <c r="B2160" s="1242"/>
      <c r="C2160" s="3919" t="s">
        <v>7128</v>
      </c>
      <c r="D2160" s="673">
        <f>SUM(D2161:D2162)</f>
        <v>4300000000</v>
      </c>
      <c r="E2160" s="1415">
        <f>D2160/D1943*100</f>
        <v>2.8022400116093542</v>
      </c>
      <c r="F2160" s="965"/>
      <c r="G2160" s="983"/>
      <c r="H2160" s="2374"/>
      <c r="I2160" s="983"/>
      <c r="J2160" s="965"/>
      <c r="K2160" s="965"/>
      <c r="L2160" s="766"/>
      <c r="M2160" s="775"/>
      <c r="N2160" s="535"/>
    </row>
    <row r="2161" spans="1:16" ht="15.75" customHeight="1" x14ac:dyDescent="0.25">
      <c r="B2161" s="1242"/>
      <c r="C2161" s="3877" t="s">
        <v>3178</v>
      </c>
      <c r="D2161" s="4184">
        <v>2300000000</v>
      </c>
      <c r="E2161" s="880">
        <f>D2161/D1943*100</f>
        <v>1.4988725643491896</v>
      </c>
      <c r="F2161" s="967"/>
      <c r="G2161" s="982"/>
      <c r="H2161" s="985"/>
      <c r="I2161" s="982"/>
      <c r="J2161" s="963"/>
      <c r="K2161" s="1717"/>
      <c r="L2161" s="782"/>
      <c r="M2161" s="1323"/>
      <c r="N2161" s="535"/>
    </row>
    <row r="2162" spans="1:16" s="3024" customFormat="1" ht="15.75" customHeight="1" x14ac:dyDescent="0.25">
      <c r="A2162" s="352"/>
      <c r="B2162" s="1242"/>
      <c r="C2162" s="3929" t="s">
        <v>3179</v>
      </c>
      <c r="D2162" s="976">
        <v>2000000000</v>
      </c>
      <c r="E2162" s="880">
        <f>D2162/D1943*100</f>
        <v>1.3033674472601648</v>
      </c>
      <c r="F2162" s="985"/>
      <c r="G2162" s="982"/>
      <c r="H2162" s="3359"/>
      <c r="I2162" s="2796"/>
      <c r="J2162" s="1892"/>
      <c r="K2162" s="1323"/>
      <c r="L2162" s="804"/>
      <c r="M2162" s="1323"/>
      <c r="N2162" s="535"/>
      <c r="P2162" s="500"/>
    </row>
    <row r="2163" spans="1:16" s="3024" customFormat="1" ht="9.75" customHeight="1" x14ac:dyDescent="0.25">
      <c r="A2163" s="352"/>
      <c r="B2163" s="1242"/>
      <c r="C2163" s="3929"/>
      <c r="D2163" s="976"/>
      <c r="E2163" s="995"/>
      <c r="F2163" s="985"/>
      <c r="G2163" s="982"/>
      <c r="H2163" s="3359"/>
      <c r="I2163" s="2796"/>
      <c r="J2163" s="1892"/>
      <c r="K2163" s="1323"/>
      <c r="L2163" s="804"/>
      <c r="M2163" s="1323"/>
      <c r="N2163" s="535"/>
      <c r="P2163" s="500"/>
    </row>
    <row r="2164" spans="1:16" s="3024" customFormat="1" ht="27.75" customHeight="1" x14ac:dyDescent="0.25">
      <c r="A2164" s="352"/>
      <c r="B2164" s="1242"/>
      <c r="C2164" s="3966" t="s">
        <v>3180</v>
      </c>
      <c r="D2164" s="3701">
        <f>SUM(D2165:D2169)</f>
        <v>2650000000</v>
      </c>
      <c r="E2164" s="1415">
        <f>D2164/D1943*100</f>
        <v>1.7269618676197185</v>
      </c>
      <c r="F2164" s="985"/>
      <c r="G2164" s="982"/>
      <c r="H2164" s="3359"/>
      <c r="I2164" s="2796"/>
      <c r="J2164" s="1892"/>
      <c r="K2164" s="1323"/>
      <c r="L2164" s="804"/>
      <c r="M2164" s="1323"/>
      <c r="N2164" s="535"/>
      <c r="P2164" s="500"/>
    </row>
    <row r="2165" spans="1:16" s="3024" customFormat="1" ht="15.75" customHeight="1" x14ac:dyDescent="0.25">
      <c r="A2165" s="352"/>
      <c r="B2165" s="1242"/>
      <c r="C2165" s="3929" t="s">
        <v>3181</v>
      </c>
      <c r="D2165" s="976">
        <v>2000000000</v>
      </c>
      <c r="E2165" s="880">
        <f>D2165/D1943*100</f>
        <v>1.3033674472601648</v>
      </c>
      <c r="F2165" s="985"/>
      <c r="G2165" s="982"/>
      <c r="H2165" s="3359"/>
      <c r="I2165" s="2796"/>
      <c r="J2165" s="1892"/>
      <c r="K2165" s="1323"/>
      <c r="L2165" s="804"/>
      <c r="M2165" s="1323"/>
      <c r="N2165" s="535"/>
      <c r="P2165" s="500"/>
    </row>
    <row r="2166" spans="1:16" s="3024" customFormat="1" ht="15.75" customHeight="1" x14ac:dyDescent="0.25">
      <c r="A2166" s="352"/>
      <c r="B2166" s="1242"/>
      <c r="C2166" s="3929" t="s">
        <v>3182</v>
      </c>
      <c r="D2166" s="976">
        <v>300000000</v>
      </c>
      <c r="E2166" s="880">
        <f>D2166/D1943*100</f>
        <v>0.19550511708902474</v>
      </c>
      <c r="F2166" s="985"/>
      <c r="G2166" s="982"/>
      <c r="H2166" s="3359"/>
      <c r="I2166" s="2796"/>
      <c r="J2166" s="1892"/>
      <c r="K2166" s="1323"/>
      <c r="L2166" s="804"/>
      <c r="M2166" s="1323"/>
      <c r="N2166" s="535"/>
      <c r="P2166" s="500"/>
    </row>
    <row r="2167" spans="1:16" s="3024" customFormat="1" ht="15.75" customHeight="1" x14ac:dyDescent="0.25">
      <c r="A2167" s="352"/>
      <c r="B2167" s="1242"/>
      <c r="C2167" s="3929" t="s">
        <v>3183</v>
      </c>
      <c r="D2167" s="976">
        <v>100000000</v>
      </c>
      <c r="E2167" s="880">
        <f>D2167/D1943*100</f>
        <v>6.5168372363008237E-2</v>
      </c>
      <c r="F2167" s="985"/>
      <c r="G2167" s="982"/>
      <c r="H2167" s="3359"/>
      <c r="I2167" s="2796"/>
      <c r="J2167" s="1892"/>
      <c r="K2167" s="1323"/>
      <c r="L2167" s="804"/>
      <c r="M2167" s="1323"/>
      <c r="N2167" s="535"/>
      <c r="P2167" s="500"/>
    </row>
    <row r="2168" spans="1:16" s="3024" customFormat="1" ht="15.75" customHeight="1" x14ac:dyDescent="0.25">
      <c r="A2168" s="352"/>
      <c r="B2168" s="1242"/>
      <c r="C2168" s="3929" t="s">
        <v>3184</v>
      </c>
      <c r="D2168" s="976">
        <v>150000000</v>
      </c>
      <c r="E2168" s="880">
        <f>D2168/D1943*100</f>
        <v>9.7752558544512369E-2</v>
      </c>
      <c r="F2168" s="985"/>
      <c r="G2168" s="982"/>
      <c r="H2168" s="3359"/>
      <c r="I2168" s="2796"/>
      <c r="J2168" s="1892"/>
      <c r="K2168" s="1323"/>
      <c r="L2168" s="804"/>
      <c r="M2168" s="1323"/>
      <c r="N2168" s="535"/>
      <c r="P2168" s="500"/>
    </row>
    <row r="2169" spans="1:16" s="3024" customFormat="1" ht="15.75" customHeight="1" x14ac:dyDescent="0.25">
      <c r="A2169" s="352"/>
      <c r="B2169" s="1242"/>
      <c r="C2169" s="3929" t="s">
        <v>3185</v>
      </c>
      <c r="D2169" s="976">
        <v>100000000</v>
      </c>
      <c r="E2169" s="880">
        <f>D2169/D1943*100</f>
        <v>6.5168372363008237E-2</v>
      </c>
      <c r="F2169" s="985"/>
      <c r="G2169" s="982"/>
      <c r="H2169" s="3359"/>
      <c r="I2169" s="2796"/>
      <c r="J2169" s="1892"/>
      <c r="K2169" s="1323"/>
      <c r="L2169" s="804"/>
      <c r="M2169" s="1323"/>
      <c r="N2169" s="535"/>
      <c r="P2169" s="500"/>
    </row>
    <row r="2170" spans="1:16" s="3024" customFormat="1" ht="12" customHeight="1" x14ac:dyDescent="0.25">
      <c r="A2170" s="352"/>
      <c r="B2170" s="1242"/>
      <c r="C2170" s="3929"/>
      <c r="D2170" s="976"/>
      <c r="E2170" s="995"/>
      <c r="F2170" s="985"/>
      <c r="G2170" s="982"/>
      <c r="H2170" s="3359"/>
      <c r="I2170" s="2796"/>
      <c r="J2170" s="1892"/>
      <c r="K2170" s="1323"/>
      <c r="L2170" s="804"/>
      <c r="M2170" s="1323"/>
      <c r="N2170" s="535"/>
      <c r="P2170" s="500"/>
    </row>
    <row r="2171" spans="1:16" s="3024" customFormat="1" ht="15.75" customHeight="1" x14ac:dyDescent="0.25">
      <c r="A2171" s="352"/>
      <c r="B2171" s="1242"/>
      <c r="C2171" s="3966" t="s">
        <v>3186</v>
      </c>
      <c r="D2171" s="4245">
        <f>D2172</f>
        <v>500000000</v>
      </c>
      <c r="E2171" s="1415">
        <f>D2171/D1943*100</f>
        <v>0.32584186181504121</v>
      </c>
      <c r="F2171" s="985"/>
      <c r="G2171" s="982"/>
      <c r="H2171" s="3359"/>
      <c r="I2171" s="2796"/>
      <c r="J2171" s="1892"/>
      <c r="K2171" s="1323"/>
      <c r="L2171" s="804"/>
      <c r="M2171" s="1323"/>
      <c r="N2171" s="535"/>
      <c r="P2171" s="500"/>
    </row>
    <row r="2172" spans="1:16" s="3024" customFormat="1" ht="15.75" customHeight="1" x14ac:dyDescent="0.25">
      <c r="A2172" s="352"/>
      <c r="B2172" s="1242"/>
      <c r="C2172" s="3929" t="s">
        <v>3187</v>
      </c>
      <c r="D2172" s="976">
        <v>500000000</v>
      </c>
      <c r="E2172" s="880">
        <f>D2172/D1943*100</f>
        <v>0.32584186181504121</v>
      </c>
      <c r="F2172" s="985"/>
      <c r="G2172" s="982"/>
      <c r="H2172" s="3359"/>
      <c r="I2172" s="2796"/>
      <c r="J2172" s="1892"/>
      <c r="K2172" s="1323"/>
      <c r="L2172" s="804"/>
      <c r="M2172" s="1323"/>
      <c r="N2172" s="535"/>
      <c r="P2172" s="500"/>
    </row>
    <row r="2173" spans="1:16" s="3024" customFormat="1" ht="10.5" customHeight="1" x14ac:dyDescent="0.25">
      <c r="A2173" s="352"/>
      <c r="B2173" s="1242"/>
      <c r="C2173" s="3929"/>
      <c r="D2173" s="976"/>
      <c r="E2173" s="880"/>
      <c r="F2173" s="985"/>
      <c r="G2173" s="982"/>
      <c r="H2173" s="3359"/>
      <c r="I2173" s="2796"/>
      <c r="J2173" s="1892"/>
      <c r="K2173" s="1323"/>
      <c r="L2173" s="804"/>
      <c r="M2173" s="1323"/>
      <c r="N2173" s="535"/>
      <c r="P2173" s="500"/>
    </row>
    <row r="2174" spans="1:16" s="3024" customFormat="1" ht="19.5" customHeight="1" x14ac:dyDescent="0.25">
      <c r="A2174" s="352"/>
      <c r="B2174" s="1242"/>
      <c r="C2174" s="3966" t="s">
        <v>3188</v>
      </c>
      <c r="D2174" s="3701">
        <f>D2175</f>
        <v>400000000</v>
      </c>
      <c r="E2174" s="1415">
        <f>D2174/D1943*100</f>
        <v>0.26067348945203295</v>
      </c>
      <c r="F2174" s="985"/>
      <c r="G2174" s="982"/>
      <c r="H2174" s="3359"/>
      <c r="I2174" s="2796"/>
      <c r="J2174" s="1892"/>
      <c r="K2174" s="1323"/>
      <c r="L2174" s="804"/>
      <c r="M2174" s="1323"/>
      <c r="N2174" s="535"/>
      <c r="P2174" s="500"/>
    </row>
    <row r="2175" spans="1:16" s="3024" customFormat="1" ht="15.75" customHeight="1" x14ac:dyDescent="0.25">
      <c r="A2175" s="352"/>
      <c r="B2175" s="1242"/>
      <c r="C2175" s="3929" t="s">
        <v>3189</v>
      </c>
      <c r="D2175" s="976">
        <v>400000000</v>
      </c>
      <c r="E2175" s="880">
        <f>D2175/D1943*100</f>
        <v>0.26067348945203295</v>
      </c>
      <c r="F2175" s="985"/>
      <c r="G2175" s="982"/>
      <c r="H2175" s="3359"/>
      <c r="I2175" s="2796"/>
      <c r="J2175" s="1892"/>
      <c r="K2175" s="1323"/>
      <c r="L2175" s="804"/>
      <c r="M2175" s="1323"/>
      <c r="N2175" s="535"/>
      <c r="P2175" s="500"/>
    </row>
    <row r="2176" spans="1:16" ht="12" customHeight="1" x14ac:dyDescent="0.25">
      <c r="B2176" s="1242"/>
      <c r="C2176" s="4015"/>
      <c r="D2176" s="868"/>
      <c r="E2176" s="1443"/>
      <c r="F2176" s="835"/>
      <c r="G2176" s="788"/>
      <c r="H2176" s="2234"/>
      <c r="I2176" s="1651"/>
      <c r="J2176" s="2175"/>
      <c r="K2176" s="2175"/>
      <c r="L2176" s="2175"/>
      <c r="M2176" s="2175"/>
      <c r="N2176" s="536"/>
    </row>
    <row r="2177" spans="1:16" s="3024" customFormat="1" ht="19.5" customHeight="1" x14ac:dyDescent="0.25">
      <c r="A2177" s="352"/>
      <c r="B2177" s="1305"/>
      <c r="C2177" s="3858" t="s">
        <v>3201</v>
      </c>
      <c r="D2177" s="669">
        <f>SUM(D2178+D2182+D2185)</f>
        <v>5200000000</v>
      </c>
      <c r="E2177" s="1462">
        <f>D2177/D1943*100</f>
        <v>3.3887553628764286</v>
      </c>
      <c r="F2177" s="3382"/>
      <c r="G2177" s="2845"/>
      <c r="H2177" s="3381"/>
      <c r="I2177" s="2845"/>
      <c r="J2177" s="2533"/>
      <c r="K2177" s="2533"/>
      <c r="L2177" s="2533"/>
      <c r="M2177" s="2533"/>
      <c r="N2177" s="584"/>
      <c r="P2177" s="500"/>
    </row>
    <row r="2178" spans="1:16" s="3024" customFormat="1" ht="17.25" customHeight="1" x14ac:dyDescent="0.25">
      <c r="A2178" s="352"/>
      <c r="B2178" s="1242"/>
      <c r="C2178" s="4071" t="s">
        <v>3202</v>
      </c>
      <c r="D2178" s="889">
        <f>SUM(D2179:D2180)</f>
        <v>1000000000</v>
      </c>
      <c r="E2178" s="1461">
        <f>D2178/D1943*100</f>
        <v>0.65168372363008242</v>
      </c>
      <c r="F2178" s="892"/>
      <c r="G2178" s="3360"/>
      <c r="H2178" s="3383"/>
      <c r="I2178" s="2370"/>
      <c r="J2178" s="2266"/>
      <c r="K2178" s="2266"/>
      <c r="L2178" s="2182"/>
      <c r="M2178" s="2182"/>
      <c r="N2178" s="579"/>
      <c r="P2178" s="500"/>
    </row>
    <row r="2179" spans="1:16" s="3024" customFormat="1" ht="15.75" customHeight="1" x14ac:dyDescent="0.25">
      <c r="A2179" s="352"/>
      <c r="B2179" s="1242"/>
      <c r="C2179" s="3863" t="s">
        <v>3203</v>
      </c>
      <c r="D2179" s="666">
        <v>500000000</v>
      </c>
      <c r="E2179" s="880">
        <f>D2179/D1943*100</f>
        <v>0.32584186181504121</v>
      </c>
      <c r="F2179" s="838"/>
      <c r="G2179" s="894"/>
      <c r="H2179" s="2335"/>
      <c r="I2179" s="1314"/>
      <c r="J2179" s="1311"/>
      <c r="K2179" s="1311"/>
      <c r="L2179" s="2182"/>
      <c r="M2179" s="2182"/>
      <c r="N2179" s="535"/>
      <c r="P2179" s="500"/>
    </row>
    <row r="2180" spans="1:16" s="3024" customFormat="1" ht="15.75" customHeight="1" x14ac:dyDescent="0.25">
      <c r="A2180" s="352"/>
      <c r="B2180" s="1242"/>
      <c r="C2180" s="3863" t="s">
        <v>7137</v>
      </c>
      <c r="D2180" s="666">
        <v>500000000</v>
      </c>
      <c r="E2180" s="880">
        <f>D2180/D1943*100</f>
        <v>0.32584186181504121</v>
      </c>
      <c r="F2180" s="838"/>
      <c r="G2180" s="894"/>
      <c r="H2180" s="2335"/>
      <c r="I2180" s="1314"/>
      <c r="J2180" s="1311"/>
      <c r="K2180" s="1311"/>
      <c r="L2180" s="2182"/>
      <c r="M2180" s="2182"/>
      <c r="N2180" s="535"/>
      <c r="P2180" s="500"/>
    </row>
    <row r="2181" spans="1:16" s="3024" customFormat="1" ht="12" customHeight="1" x14ac:dyDescent="0.25">
      <c r="A2181" s="352"/>
      <c r="B2181" s="1242"/>
      <c r="C2181" s="3862"/>
      <c r="D2181" s="666"/>
      <c r="E2181" s="1463"/>
      <c r="F2181" s="838"/>
      <c r="G2181" s="894"/>
      <c r="H2181" s="2335"/>
      <c r="I2181" s="1314"/>
      <c r="J2181" s="1311"/>
      <c r="K2181" s="1311"/>
      <c r="L2181" s="2182"/>
      <c r="M2181" s="2182"/>
      <c r="N2181" s="535"/>
      <c r="P2181" s="500"/>
    </row>
    <row r="2182" spans="1:16" s="3024" customFormat="1" ht="13.5" customHeight="1" x14ac:dyDescent="0.25">
      <c r="A2182" s="352"/>
      <c r="B2182" s="1242"/>
      <c r="C2182" s="3862" t="s">
        <v>3206</v>
      </c>
      <c r="D2182" s="673">
        <f>D2183</f>
        <v>950000000</v>
      </c>
      <c r="E2182" s="1415">
        <f>D2182/D1943*100</f>
        <v>0.61909953744857826</v>
      </c>
      <c r="F2182" s="838"/>
      <c r="G2182" s="894"/>
      <c r="H2182" s="2335"/>
      <c r="I2182" s="1314"/>
      <c r="J2182" s="1311"/>
      <c r="K2182" s="1311"/>
      <c r="L2182" s="2182"/>
      <c r="M2182" s="2182"/>
      <c r="N2182" s="535"/>
      <c r="P2182" s="500"/>
    </row>
    <row r="2183" spans="1:16" s="3024" customFormat="1" ht="16.5" customHeight="1" x14ac:dyDescent="0.25">
      <c r="A2183" s="352"/>
      <c r="B2183" s="1242"/>
      <c r="C2183" s="3863" t="s">
        <v>3207</v>
      </c>
      <c r="D2183" s="666">
        <v>950000000</v>
      </c>
      <c r="E2183" s="880">
        <f>D2183/D1943*100</f>
        <v>0.61909953744857826</v>
      </c>
      <c r="F2183" s="838"/>
      <c r="G2183" s="894"/>
      <c r="H2183" s="2335"/>
      <c r="I2183" s="1314"/>
      <c r="J2183" s="1311"/>
      <c r="K2183" s="1311"/>
      <c r="L2183" s="2182"/>
      <c r="M2183" s="2182"/>
      <c r="N2183" s="535"/>
      <c r="P2183" s="500"/>
    </row>
    <row r="2184" spans="1:16" s="3024" customFormat="1" ht="12" customHeight="1" x14ac:dyDescent="0.25">
      <c r="A2184" s="352"/>
      <c r="B2184" s="1242"/>
      <c r="C2184" s="3862"/>
      <c r="D2184" s="666"/>
      <c r="E2184" s="1463"/>
      <c r="F2184" s="838"/>
      <c r="G2184" s="894"/>
      <c r="H2184" s="2335"/>
      <c r="I2184" s="1314"/>
      <c r="J2184" s="1311"/>
      <c r="K2184" s="1311"/>
      <c r="L2184" s="2182"/>
      <c r="M2184" s="2182"/>
      <c r="N2184" s="535"/>
      <c r="P2184" s="500"/>
    </row>
    <row r="2185" spans="1:16" s="3024" customFormat="1" ht="15.75" customHeight="1" x14ac:dyDescent="0.25">
      <c r="A2185" s="352"/>
      <c r="B2185" s="1242"/>
      <c r="C2185" s="3862" t="s">
        <v>3208</v>
      </c>
      <c r="D2185" s="673">
        <f>SUM(D2186:D2191)</f>
        <v>3250000000</v>
      </c>
      <c r="E2185" s="1415">
        <f>D2185/D1943*100</f>
        <v>2.117972101797768</v>
      </c>
      <c r="F2185" s="838"/>
      <c r="G2185" s="894"/>
      <c r="H2185" s="2335"/>
      <c r="I2185" s="1314"/>
      <c r="J2185" s="1311"/>
      <c r="K2185" s="1311"/>
      <c r="L2185" s="2182"/>
      <c r="M2185" s="2182"/>
      <c r="N2185" s="535"/>
      <c r="P2185" s="500"/>
    </row>
    <row r="2186" spans="1:16" s="3024" customFormat="1" ht="15.75" customHeight="1" x14ac:dyDescent="0.25">
      <c r="A2186" s="352"/>
      <c r="B2186" s="1242"/>
      <c r="C2186" s="3863" t="s">
        <v>7131</v>
      </c>
      <c r="D2186" s="666">
        <v>500000000</v>
      </c>
      <c r="E2186" s="880">
        <f>D2186/D1943*100</f>
        <v>0.32584186181504121</v>
      </c>
      <c r="F2186" s="838"/>
      <c r="G2186" s="894"/>
      <c r="H2186" s="2335"/>
      <c r="I2186" s="1314"/>
      <c r="J2186" s="1311"/>
      <c r="K2186" s="1311"/>
      <c r="L2186" s="2182"/>
      <c r="M2186" s="2182"/>
      <c r="N2186" s="535"/>
      <c r="P2186" s="500"/>
    </row>
    <row r="2187" spans="1:16" s="3024" customFormat="1" ht="13.5" customHeight="1" x14ac:dyDescent="0.25">
      <c r="A2187" s="352"/>
      <c r="B2187" s="1242"/>
      <c r="C2187" s="3863" t="s">
        <v>7132</v>
      </c>
      <c r="D2187" s="666">
        <v>300000000</v>
      </c>
      <c r="E2187" s="880">
        <f>D2187/D1943*100</f>
        <v>0.19550511708902474</v>
      </c>
      <c r="F2187" s="838"/>
      <c r="G2187" s="894"/>
      <c r="H2187" s="2335"/>
      <c r="I2187" s="1314"/>
      <c r="J2187" s="1311"/>
      <c r="K2187" s="1311"/>
      <c r="L2187" s="2182"/>
      <c r="M2187" s="2182"/>
      <c r="N2187" s="535"/>
      <c r="P2187" s="500"/>
    </row>
    <row r="2188" spans="1:16" s="3024" customFormat="1" ht="14.25" customHeight="1" x14ac:dyDescent="0.25">
      <c r="A2188" s="352"/>
      <c r="B2188" s="1242"/>
      <c r="C2188" s="3863" t="s">
        <v>7133</v>
      </c>
      <c r="D2188" s="666">
        <v>500000000</v>
      </c>
      <c r="E2188" s="880">
        <f>D2188/D1943*100</f>
        <v>0.32584186181504121</v>
      </c>
      <c r="F2188" s="838"/>
      <c r="G2188" s="894"/>
      <c r="H2188" s="2335"/>
      <c r="I2188" s="1314"/>
      <c r="J2188" s="1311"/>
      <c r="K2188" s="1311"/>
      <c r="L2188" s="2182"/>
      <c r="M2188" s="2182"/>
      <c r="N2188" s="535"/>
      <c r="P2188" s="500"/>
    </row>
    <row r="2189" spans="1:16" s="3024" customFormat="1" ht="15.75" customHeight="1" x14ac:dyDescent="0.25">
      <c r="A2189" s="352"/>
      <c r="B2189" s="1242"/>
      <c r="C2189" s="3863" t="s">
        <v>7134</v>
      </c>
      <c r="D2189" s="666">
        <v>950000000</v>
      </c>
      <c r="E2189" s="880">
        <f>D2189/D1943*100</f>
        <v>0.61909953744857826</v>
      </c>
      <c r="F2189" s="838"/>
      <c r="G2189" s="894"/>
      <c r="H2189" s="2335"/>
      <c r="I2189" s="1314"/>
      <c r="J2189" s="1311"/>
      <c r="K2189" s="1311"/>
      <c r="L2189" s="2182"/>
      <c r="M2189" s="2182"/>
      <c r="N2189" s="535"/>
      <c r="P2189" s="500"/>
    </row>
    <row r="2190" spans="1:16" s="3024" customFormat="1" ht="14.25" customHeight="1" x14ac:dyDescent="0.25">
      <c r="A2190" s="352"/>
      <c r="B2190" s="1242"/>
      <c r="C2190" s="3863" t="s">
        <v>7135</v>
      </c>
      <c r="D2190" s="666">
        <v>500000000</v>
      </c>
      <c r="E2190" s="880">
        <f>D2190/D1943*100</f>
        <v>0.32584186181504121</v>
      </c>
      <c r="F2190" s="838"/>
      <c r="G2190" s="894"/>
      <c r="H2190" s="2335"/>
      <c r="I2190" s="1314"/>
      <c r="J2190" s="1311"/>
      <c r="K2190" s="1311"/>
      <c r="L2190" s="2182"/>
      <c r="M2190" s="2182"/>
      <c r="N2190" s="535"/>
      <c r="P2190" s="500"/>
    </row>
    <row r="2191" spans="1:16" s="3024" customFormat="1" ht="16.5" customHeight="1" x14ac:dyDescent="0.25">
      <c r="A2191" s="352"/>
      <c r="B2191" s="1242"/>
      <c r="C2191" s="3863" t="s">
        <v>7136</v>
      </c>
      <c r="D2191" s="666">
        <v>500000000</v>
      </c>
      <c r="E2191" s="880">
        <f>D2191/D1943*100</f>
        <v>0.32584186181504121</v>
      </c>
      <c r="F2191" s="838"/>
      <c r="G2191" s="894"/>
      <c r="H2191" s="2335"/>
      <c r="I2191" s="1314"/>
      <c r="J2191" s="1311"/>
      <c r="K2191" s="1311"/>
      <c r="L2191" s="2182"/>
      <c r="M2191" s="2182"/>
      <c r="N2191" s="535"/>
      <c r="P2191" s="500"/>
    </row>
    <row r="2192" spans="1:16" s="3024" customFormat="1" ht="12" customHeight="1" x14ac:dyDescent="0.25">
      <c r="A2192" s="352"/>
      <c r="B2192" s="1242"/>
      <c r="C2192" s="3953"/>
      <c r="D2192" s="671"/>
      <c r="E2192" s="1393"/>
      <c r="F2192" s="840"/>
      <c r="G2192" s="969"/>
      <c r="H2192" s="2346"/>
      <c r="I2192" s="791"/>
      <c r="J2192" s="2182"/>
      <c r="K2192" s="2182"/>
      <c r="L2192" s="2182"/>
      <c r="M2192" s="2182"/>
      <c r="N2192" s="535"/>
      <c r="P2192" s="500"/>
    </row>
    <row r="2193" spans="1:16" ht="15.75" customHeight="1" x14ac:dyDescent="0.25">
      <c r="B2193" s="1305"/>
      <c r="C2193" s="3906" t="s">
        <v>254</v>
      </c>
      <c r="D2193" s="669">
        <f>D2194+D2199+D2204</f>
        <v>1310000000</v>
      </c>
      <c r="E2193" s="1462">
        <f>D2193/D1943*100</f>
        <v>0.85370567795540808</v>
      </c>
      <c r="F2193" s="832"/>
      <c r="G2193" s="832"/>
      <c r="H2193" s="1306"/>
      <c r="I2193" s="765"/>
      <c r="J2193" s="1813"/>
      <c r="K2193" s="1813"/>
      <c r="L2193" s="1306"/>
      <c r="M2193" s="980"/>
      <c r="N2193" s="535"/>
    </row>
    <row r="2194" spans="1:16" ht="15.75" customHeight="1" x14ac:dyDescent="0.25">
      <c r="B2194" s="1242"/>
      <c r="C2194" s="3925" t="s">
        <v>237</v>
      </c>
      <c r="D2194" s="4235">
        <f>SUM(D2195:D2197)</f>
        <v>700000000</v>
      </c>
      <c r="E2194" s="1461">
        <f>D2194/D1943*100</f>
        <v>0.45617860654105769</v>
      </c>
      <c r="F2194" s="965"/>
      <c r="G2194" s="854"/>
      <c r="H2194" s="1308"/>
      <c r="I2194" s="795"/>
      <c r="J2194" s="1836"/>
      <c r="K2194" s="1013"/>
      <c r="L2194" s="766"/>
      <c r="M2194" s="766"/>
      <c r="N2194" s="535"/>
    </row>
    <row r="2195" spans="1:16" ht="16.5" customHeight="1" x14ac:dyDescent="0.25">
      <c r="B2195" s="1242"/>
      <c r="C2195" s="3877" t="s">
        <v>3190</v>
      </c>
      <c r="D2195" s="4184">
        <v>300000000</v>
      </c>
      <c r="E2195" s="885">
        <f>D2195/D1943*100</f>
        <v>0.19550511708902474</v>
      </c>
      <c r="F2195" s="967"/>
      <c r="G2195" s="982"/>
      <c r="H2195" s="985"/>
      <c r="I2195" s="982"/>
      <c r="J2195" s="963"/>
      <c r="K2195" s="1891"/>
      <c r="L2195" s="782"/>
      <c r="M2195" s="782"/>
      <c r="N2195" s="535"/>
    </row>
    <row r="2196" spans="1:16" ht="14.25" customHeight="1" x14ac:dyDescent="0.25">
      <c r="B2196" s="1242"/>
      <c r="C2196" s="3877" t="s">
        <v>3191</v>
      </c>
      <c r="D2196" s="4184">
        <v>200000000</v>
      </c>
      <c r="E2196" s="885">
        <f>D2196/D1943*100</f>
        <v>0.13033674472601647</v>
      </c>
      <c r="F2196" s="967"/>
      <c r="G2196" s="782"/>
      <c r="H2196" s="1310"/>
      <c r="I2196" s="755"/>
      <c r="J2196" s="982"/>
      <c r="K2196" s="1891"/>
      <c r="L2196" s="782"/>
      <c r="M2196" s="782"/>
      <c r="N2196" s="535"/>
    </row>
    <row r="2197" spans="1:16" s="1241" customFormat="1" ht="14.25" customHeight="1" x14ac:dyDescent="0.25">
      <c r="A2197" s="352"/>
      <c r="B2197" s="1242"/>
      <c r="C2197" s="3877" t="s">
        <v>3192</v>
      </c>
      <c r="D2197" s="2674">
        <v>200000000</v>
      </c>
      <c r="E2197" s="885">
        <f>D2197/D1943*100</f>
        <v>0.13033674472601647</v>
      </c>
      <c r="F2197" s="782"/>
      <c r="G2197" s="782"/>
      <c r="H2197" s="782"/>
      <c r="I2197" s="782"/>
      <c r="J2197" s="982"/>
      <c r="K2197" s="1891"/>
      <c r="L2197" s="782"/>
      <c r="M2197" s="782"/>
      <c r="N2197" s="535"/>
      <c r="P2197" s="500"/>
    </row>
    <row r="2198" spans="1:16" ht="12" customHeight="1" x14ac:dyDescent="0.25">
      <c r="B2198" s="1242"/>
      <c r="C2198" s="3877"/>
      <c r="D2198" s="4184"/>
      <c r="E2198" s="1461"/>
      <c r="F2198" s="967"/>
      <c r="G2198" s="782"/>
      <c r="H2198" s="755"/>
      <c r="I2198" s="802"/>
      <c r="J2198" s="1951"/>
      <c r="K2198" s="1312"/>
      <c r="L2198" s="1312"/>
      <c r="M2198" s="1312"/>
      <c r="N2198" s="535"/>
    </row>
    <row r="2199" spans="1:16" ht="28.5" customHeight="1" x14ac:dyDescent="0.25">
      <c r="B2199" s="1242"/>
      <c r="C2199" s="3919" t="s">
        <v>3193</v>
      </c>
      <c r="D2199" s="673">
        <f>SUM(D2200:D2202)</f>
        <v>300000000</v>
      </c>
      <c r="E2199" s="1461">
        <f>D2199/D1943*100</f>
        <v>0.19550511708902474</v>
      </c>
      <c r="F2199" s="965"/>
      <c r="G2199" s="983"/>
      <c r="H2199" s="2374"/>
      <c r="I2199" s="983"/>
      <c r="J2199" s="965"/>
      <c r="K2199" s="965"/>
      <c r="L2199" s="766"/>
      <c r="M2199" s="1650"/>
      <c r="N2199" s="535"/>
    </row>
    <row r="2200" spans="1:16" ht="15.75" customHeight="1" x14ac:dyDescent="0.25">
      <c r="B2200" s="1242"/>
      <c r="C2200" s="3920" t="s">
        <v>3194</v>
      </c>
      <c r="D2200" s="4184">
        <v>50000000</v>
      </c>
      <c r="E2200" s="885">
        <f>D2200/D1943*100</f>
        <v>3.2584186181504118E-2</v>
      </c>
      <c r="F2200" s="967"/>
      <c r="G2200" s="982"/>
      <c r="H2200" s="985"/>
      <c r="I2200" s="982"/>
      <c r="J2200" s="963"/>
      <c r="K2200" s="1312"/>
      <c r="L2200" s="782"/>
      <c r="M2200" s="1312"/>
      <c r="N2200" s="535"/>
    </row>
    <row r="2201" spans="1:16" ht="16.5" customHeight="1" x14ac:dyDescent="0.25">
      <c r="B2201" s="1242"/>
      <c r="C2201" s="3861" t="s">
        <v>3195</v>
      </c>
      <c r="D2201" s="666">
        <v>50000000</v>
      </c>
      <c r="E2201" s="885">
        <f>D2201/D1943*100</f>
        <v>3.2584186181504118E-2</v>
      </c>
      <c r="F2201" s="838"/>
      <c r="G2201" s="894"/>
      <c r="H2201" s="1463"/>
      <c r="I2201" s="894"/>
      <c r="J2201" s="2175"/>
      <c r="K2201" s="2175"/>
      <c r="L2201" s="1323"/>
      <c r="M2201" s="2175"/>
      <c r="N2201" s="535"/>
    </row>
    <row r="2202" spans="1:16" s="3024" customFormat="1" ht="15.75" customHeight="1" x14ac:dyDescent="0.25">
      <c r="A2202" s="352"/>
      <c r="B2202" s="1242"/>
      <c r="C2202" s="3861" t="s">
        <v>3196</v>
      </c>
      <c r="D2202" s="666">
        <v>200000000</v>
      </c>
      <c r="E2202" s="885">
        <f>D2202/D1943*100</f>
        <v>0.13033674472601647</v>
      </c>
      <c r="F2202" s="838"/>
      <c r="G2202" s="894"/>
      <c r="H2202" s="1463"/>
      <c r="I2202" s="894"/>
      <c r="J2202" s="2175"/>
      <c r="K2202" s="2175"/>
      <c r="L2202" s="1323"/>
      <c r="M2202" s="2175"/>
      <c r="N2202" s="535"/>
      <c r="P2202" s="500"/>
    </row>
    <row r="2203" spans="1:16" s="3024" customFormat="1" ht="12" customHeight="1" x14ac:dyDescent="0.25">
      <c r="A2203" s="352"/>
      <c r="B2203" s="1242"/>
      <c r="C2203" s="3873"/>
      <c r="D2203" s="666"/>
      <c r="E2203" s="1415"/>
      <c r="F2203" s="838"/>
      <c r="G2203" s="894"/>
      <c r="H2203" s="1463"/>
      <c r="I2203" s="894"/>
      <c r="J2203" s="2175"/>
      <c r="K2203" s="2175"/>
      <c r="L2203" s="1323"/>
      <c r="M2203" s="2175"/>
      <c r="N2203" s="535"/>
      <c r="P2203" s="500"/>
    </row>
    <row r="2204" spans="1:16" s="3024" customFormat="1" ht="15.75" customHeight="1" x14ac:dyDescent="0.25">
      <c r="A2204" s="352"/>
      <c r="B2204" s="1242"/>
      <c r="C2204" s="3873" t="s">
        <v>3197</v>
      </c>
      <c r="D2204" s="673">
        <f>SUM(D2205:D2206)</f>
        <v>310000000</v>
      </c>
      <c r="E2204" s="1461">
        <f>D2204/D1943*100</f>
        <v>0.20202195432532555</v>
      </c>
      <c r="F2204" s="838"/>
      <c r="G2204" s="894"/>
      <c r="H2204" s="1463"/>
      <c r="I2204" s="894"/>
      <c r="J2204" s="2175"/>
      <c r="K2204" s="2175"/>
      <c r="L2204" s="1323"/>
      <c r="M2204" s="2175"/>
      <c r="N2204" s="535"/>
      <c r="P2204" s="500"/>
    </row>
    <row r="2205" spans="1:16" s="3024" customFormat="1" ht="14.25" customHeight="1" x14ac:dyDescent="0.25">
      <c r="A2205" s="352"/>
      <c r="B2205" s="1242"/>
      <c r="C2205" s="3861" t="s">
        <v>3198</v>
      </c>
      <c r="D2205" s="666">
        <v>10000000</v>
      </c>
      <c r="E2205" s="885">
        <f>D2205/D1943*100</f>
        <v>6.5168372363008245E-3</v>
      </c>
      <c r="F2205" s="838"/>
      <c r="G2205" s="894"/>
      <c r="H2205" s="1463"/>
      <c r="I2205" s="894"/>
      <c r="J2205" s="2175"/>
      <c r="K2205" s="2175"/>
      <c r="L2205" s="1323"/>
      <c r="M2205" s="2175"/>
      <c r="N2205" s="535"/>
      <c r="P2205" s="500"/>
    </row>
    <row r="2206" spans="1:16" s="1241" customFormat="1" ht="15" customHeight="1" x14ac:dyDescent="0.25">
      <c r="A2206" s="352"/>
      <c r="B2206" s="1242"/>
      <c r="C2206" s="3860" t="s">
        <v>3199</v>
      </c>
      <c r="D2206" s="780">
        <v>300000000</v>
      </c>
      <c r="E2206" s="885">
        <f>D2206/D1943*100</f>
        <v>0.19550511708902474</v>
      </c>
      <c r="F2206" s="753"/>
      <c r="G2206" s="753"/>
      <c r="H2206" s="753"/>
      <c r="I2206" s="753"/>
      <c r="J2206" s="965"/>
      <c r="K2206" s="965"/>
      <c r="L2206" s="965"/>
      <c r="M2206" s="965"/>
      <c r="N2206" s="535"/>
      <c r="P2206" s="500"/>
    </row>
    <row r="2207" spans="1:16" ht="12" customHeight="1" x14ac:dyDescent="0.25">
      <c r="B2207" s="1242"/>
      <c r="C2207" s="4017"/>
      <c r="D2207" s="799"/>
      <c r="E2207" s="827"/>
      <c r="F2207" s="827"/>
      <c r="G2207" s="827"/>
      <c r="H2207" s="827"/>
      <c r="I2207" s="827"/>
      <c r="J2207" s="1312"/>
      <c r="K2207" s="1312"/>
      <c r="L2207" s="1312"/>
      <c r="M2207" s="2379"/>
      <c r="N2207" s="535"/>
    </row>
    <row r="2208" spans="1:16" ht="15.75" customHeight="1" x14ac:dyDescent="0.25">
      <c r="B2208" s="1305"/>
      <c r="C2208" s="3858" t="s">
        <v>7138</v>
      </c>
      <c r="D2208" s="669">
        <f>SUM(D2209+D2216+D2222)</f>
        <v>1614600000</v>
      </c>
      <c r="E2208" s="1462">
        <f>D2208/D1943*100</f>
        <v>1.0522085401731311</v>
      </c>
      <c r="F2208" s="832"/>
      <c r="G2208" s="832"/>
      <c r="H2208" s="1306"/>
      <c r="I2208" s="765"/>
      <c r="J2208" s="1813"/>
      <c r="K2208" s="1813"/>
      <c r="L2208" s="1306"/>
      <c r="M2208" s="1726"/>
      <c r="N2208" s="535"/>
    </row>
    <row r="2209" spans="1:16" ht="16.5" customHeight="1" x14ac:dyDescent="0.25">
      <c r="B2209" s="1242"/>
      <c r="C2209" s="3893" t="s">
        <v>7139</v>
      </c>
      <c r="D2209" s="4246">
        <f>SUM(D2210:D2214)</f>
        <v>660000000</v>
      </c>
      <c r="E2209" s="1461">
        <f>D2209/D1943*100</f>
        <v>0.43011125759585439</v>
      </c>
      <c r="F2209" s="984"/>
      <c r="G2209" s="975"/>
      <c r="H2209" s="1308"/>
      <c r="I2209" s="795"/>
      <c r="J2209" s="984"/>
      <c r="K2209" s="975"/>
      <c r="L2209" s="766"/>
      <c r="M2209" s="2380"/>
      <c r="N2209" s="535"/>
    </row>
    <row r="2210" spans="1:16" ht="17.25" customHeight="1" x14ac:dyDescent="0.25">
      <c r="B2210" s="1242"/>
      <c r="C2210" s="3932" t="s">
        <v>7140</v>
      </c>
      <c r="D2210" s="976">
        <v>60000000</v>
      </c>
      <c r="E2210" s="880">
        <f>D2210/D1943*100</f>
        <v>3.9101023417804949E-2</v>
      </c>
      <c r="F2210" s="985"/>
      <c r="G2210" s="755"/>
      <c r="H2210" s="1310"/>
      <c r="I2210" s="827"/>
      <c r="J2210" s="982"/>
      <c r="K2210" s="982"/>
      <c r="L2210" s="782"/>
      <c r="M2210" s="1716"/>
      <c r="N2210" s="535"/>
    </row>
    <row r="2211" spans="1:16" ht="13.5" customHeight="1" x14ac:dyDescent="0.25">
      <c r="B2211" s="1242"/>
      <c r="C2211" s="3904" t="s">
        <v>7141</v>
      </c>
      <c r="D2211" s="868">
        <v>150000000</v>
      </c>
      <c r="E2211" s="880">
        <f>D2211/D1943*100</f>
        <v>9.7752558544512369E-2</v>
      </c>
      <c r="F2211" s="835"/>
      <c r="G2211" s="788"/>
      <c r="H2211" s="2234"/>
      <c r="I2211" s="1651"/>
      <c r="J2211" s="2175"/>
      <c r="K2211" s="2175"/>
      <c r="L2211" s="2175"/>
      <c r="M2211" s="2175"/>
      <c r="N2211" s="535"/>
    </row>
    <row r="2212" spans="1:16" s="3024" customFormat="1" ht="16.5" customHeight="1" x14ac:dyDescent="0.25">
      <c r="A2212" s="352"/>
      <c r="B2212" s="1242"/>
      <c r="C2212" s="4013" t="s">
        <v>7142</v>
      </c>
      <c r="D2212" s="868">
        <v>100000000</v>
      </c>
      <c r="E2212" s="880">
        <f>D2212/D1943*100</f>
        <v>6.5168372363008237E-2</v>
      </c>
      <c r="F2212" s="835"/>
      <c r="G2212" s="788"/>
      <c r="H2212" s="2234"/>
      <c r="I2212" s="1651"/>
      <c r="J2212" s="2175"/>
      <c r="K2212" s="2175"/>
      <c r="L2212" s="2182"/>
      <c r="M2212" s="2175"/>
      <c r="N2212" s="535"/>
      <c r="P2212" s="500"/>
    </row>
    <row r="2213" spans="1:16" s="3024" customFormat="1" ht="18.75" customHeight="1" x14ac:dyDescent="0.25">
      <c r="A2213" s="352"/>
      <c r="B2213" s="1242"/>
      <c r="C2213" s="4013" t="s">
        <v>7143</v>
      </c>
      <c r="D2213" s="868">
        <v>100000000</v>
      </c>
      <c r="E2213" s="880">
        <f>D2213/D1943*100</f>
        <v>6.5168372363008237E-2</v>
      </c>
      <c r="F2213" s="835"/>
      <c r="G2213" s="788"/>
      <c r="H2213" s="2234"/>
      <c r="I2213" s="1651"/>
      <c r="J2213" s="2175"/>
      <c r="K2213" s="2175"/>
      <c r="L2213" s="2182"/>
      <c r="M2213" s="2175"/>
      <c r="N2213" s="535"/>
      <c r="P2213" s="500"/>
    </row>
    <row r="2214" spans="1:16" s="3024" customFormat="1" ht="15" customHeight="1" x14ac:dyDescent="0.25">
      <c r="A2214" s="352"/>
      <c r="B2214" s="1242"/>
      <c r="C2214" s="4013" t="s">
        <v>7144</v>
      </c>
      <c r="D2214" s="868">
        <v>250000000</v>
      </c>
      <c r="E2214" s="880">
        <f>D2214/D1943*100</f>
        <v>0.16292093090752061</v>
      </c>
      <c r="F2214" s="835"/>
      <c r="G2214" s="788"/>
      <c r="H2214" s="2234"/>
      <c r="I2214" s="1651"/>
      <c r="J2214" s="2175"/>
      <c r="K2214" s="2175"/>
      <c r="L2214" s="2182"/>
      <c r="M2214" s="2175"/>
      <c r="N2214" s="535"/>
      <c r="P2214" s="500"/>
    </row>
    <row r="2215" spans="1:16" s="3024" customFormat="1" ht="11.25" customHeight="1" x14ac:dyDescent="0.25">
      <c r="A2215" s="352"/>
      <c r="B2215" s="1242"/>
      <c r="C2215" s="4013"/>
      <c r="D2215" s="868"/>
      <c r="E2215" s="880"/>
      <c r="F2215" s="835"/>
      <c r="G2215" s="788"/>
      <c r="H2215" s="2234"/>
      <c r="I2215" s="1651"/>
      <c r="J2215" s="2175"/>
      <c r="K2215" s="2175"/>
      <c r="L2215" s="2182"/>
      <c r="M2215" s="2175"/>
      <c r="N2215" s="535"/>
      <c r="P2215" s="500"/>
    </row>
    <row r="2216" spans="1:16" ht="18" customHeight="1" x14ac:dyDescent="0.25">
      <c r="B2216" s="1242"/>
      <c r="C2216" s="3919" t="s">
        <v>7145</v>
      </c>
      <c r="D2216" s="4235">
        <f>SUM(D2217:D2220)</f>
        <v>551600000</v>
      </c>
      <c r="E2216" s="1415">
        <f>D2216/D1943*100</f>
        <v>0.35946874195435352</v>
      </c>
      <c r="F2216" s="965"/>
      <c r="G2216" s="965"/>
      <c r="H2216" s="1308"/>
      <c r="I2216" s="1316"/>
      <c r="J2216" s="965"/>
      <c r="K2216" s="965"/>
      <c r="L2216" s="766"/>
      <c r="M2216" s="1650"/>
      <c r="N2216" s="535"/>
    </row>
    <row r="2217" spans="1:16" ht="15.75" customHeight="1" x14ac:dyDescent="0.25">
      <c r="B2217" s="1242"/>
      <c r="C2217" s="3877" t="s">
        <v>7146</v>
      </c>
      <c r="D2217" s="4184">
        <v>175000000</v>
      </c>
      <c r="E2217" s="880">
        <f>D2217/D1943*100</f>
        <v>0.11404465163526442</v>
      </c>
      <c r="F2217" s="967"/>
      <c r="G2217" s="666"/>
      <c r="H2217" s="1310"/>
      <c r="I2217" s="1111"/>
      <c r="J2217" s="963"/>
      <c r="K2217" s="666"/>
      <c r="L2217" s="782"/>
      <c r="M2217" s="1312"/>
      <c r="N2217" s="535"/>
    </row>
    <row r="2218" spans="1:16" ht="18.75" customHeight="1" x14ac:dyDescent="0.25">
      <c r="B2218" s="1242"/>
      <c r="C2218" s="3877" t="s">
        <v>7147</v>
      </c>
      <c r="D2218" s="4184">
        <v>100000000</v>
      </c>
      <c r="E2218" s="880">
        <f>D2218/D1943*100</f>
        <v>6.5168372363008237E-2</v>
      </c>
      <c r="F2218" s="967"/>
      <c r="G2218" s="755"/>
      <c r="H2218" s="755"/>
      <c r="I2218" s="755"/>
      <c r="J2218" s="963"/>
      <c r="K2218" s="1014"/>
      <c r="L2218" s="755"/>
      <c r="M2218" s="755"/>
      <c r="N2218" s="535"/>
    </row>
    <row r="2219" spans="1:16" s="3024" customFormat="1" ht="18.75" customHeight="1" x14ac:dyDescent="0.25">
      <c r="A2219" s="352"/>
      <c r="B2219" s="1242"/>
      <c r="C2219" s="3931" t="s">
        <v>7148</v>
      </c>
      <c r="D2219" s="4184">
        <v>176600000</v>
      </c>
      <c r="E2219" s="880">
        <f>D2219/D1943*100</f>
        <v>0.11508734559307257</v>
      </c>
      <c r="F2219" s="967"/>
      <c r="G2219" s="755"/>
      <c r="H2219" s="755"/>
      <c r="I2219" s="755"/>
      <c r="J2219" s="1892"/>
      <c r="K2219" s="1904"/>
      <c r="L2219" s="802"/>
      <c r="M2219" s="802"/>
      <c r="N2219" s="535"/>
      <c r="P2219" s="500"/>
    </row>
    <row r="2220" spans="1:16" s="3024" customFormat="1" ht="18.75" customHeight="1" x14ac:dyDescent="0.25">
      <c r="A2220" s="352"/>
      <c r="B2220" s="1242"/>
      <c r="C2220" s="3931" t="s">
        <v>7149</v>
      </c>
      <c r="D2220" s="4184">
        <v>100000000</v>
      </c>
      <c r="E2220" s="880">
        <f>D2220/D1943*100</f>
        <v>6.5168372363008237E-2</v>
      </c>
      <c r="F2220" s="967"/>
      <c r="G2220" s="755"/>
      <c r="H2220" s="755"/>
      <c r="I2220" s="755"/>
      <c r="J2220" s="1892"/>
      <c r="K2220" s="1904"/>
      <c r="L2220" s="802"/>
      <c r="M2220" s="802"/>
      <c r="N2220" s="535"/>
      <c r="P2220" s="500"/>
    </row>
    <row r="2221" spans="1:16" ht="12" customHeight="1" x14ac:dyDescent="0.25">
      <c r="B2221" s="1242"/>
      <c r="C2221" s="3863"/>
      <c r="D2221" s="666"/>
      <c r="E2221" s="880"/>
      <c r="F2221" s="838"/>
      <c r="G2221" s="894"/>
      <c r="H2221" s="1463"/>
      <c r="I2221" s="894"/>
      <c r="J2221" s="1311"/>
      <c r="K2221" s="1311"/>
      <c r="L2221" s="1311"/>
      <c r="M2221" s="1311"/>
      <c r="N2221" s="535"/>
    </row>
    <row r="2222" spans="1:16" ht="14.25" customHeight="1" x14ac:dyDescent="0.25">
      <c r="B2222" s="1242"/>
      <c r="C2222" s="3930" t="s">
        <v>7150</v>
      </c>
      <c r="D2222" s="4235">
        <f>SUM(D2223:D2225)</f>
        <v>403000000</v>
      </c>
      <c r="E2222" s="1415">
        <f>D2222/D1943*100</f>
        <v>0.26262854062292323</v>
      </c>
      <c r="F2222" s="965"/>
      <c r="G2222" s="766"/>
      <c r="H2222" s="766"/>
      <c r="I2222" s="766"/>
      <c r="J2222" s="965"/>
      <c r="K2222" s="965"/>
      <c r="L2222" s="766"/>
      <c r="M2222" s="1650"/>
      <c r="N2222" s="535"/>
    </row>
    <row r="2223" spans="1:16" ht="15.75" customHeight="1" x14ac:dyDescent="0.25">
      <c r="B2223" s="1242"/>
      <c r="C2223" s="3931" t="s">
        <v>7151</v>
      </c>
      <c r="D2223" s="4184">
        <v>153000000</v>
      </c>
      <c r="E2223" s="880">
        <f>D2223/D1943*100</f>
        <v>9.9707609715402615E-2</v>
      </c>
      <c r="F2223" s="967"/>
      <c r="G2223" s="755"/>
      <c r="H2223" s="755"/>
      <c r="I2223" s="755"/>
      <c r="J2223" s="963"/>
      <c r="K2223" s="1312"/>
      <c r="L2223" s="782"/>
      <c r="M2223" s="1312"/>
      <c r="N2223" s="535"/>
    </row>
    <row r="2224" spans="1:16" ht="15.75" customHeight="1" x14ac:dyDescent="0.25">
      <c r="B2224" s="1242"/>
      <c r="C2224" s="3863" t="s">
        <v>7152</v>
      </c>
      <c r="D2224" s="666">
        <v>150000000</v>
      </c>
      <c r="E2224" s="880">
        <f>D2224/D1943*100</f>
        <v>9.7752558544512369E-2</v>
      </c>
      <c r="F2224" s="838"/>
      <c r="G2224" s="894"/>
      <c r="H2224" s="1463"/>
      <c r="I2224" s="894"/>
      <c r="J2224" s="1311"/>
      <c r="K2224" s="1311"/>
      <c r="L2224" s="1311"/>
      <c r="M2224" s="1311"/>
      <c r="N2224" s="535"/>
    </row>
    <row r="2225" spans="1:16" s="3024" customFormat="1" ht="16.5" customHeight="1" x14ac:dyDescent="0.25">
      <c r="A2225" s="352"/>
      <c r="B2225" s="1242"/>
      <c r="C2225" s="3863" t="s">
        <v>7153</v>
      </c>
      <c r="D2225" s="666">
        <v>100000000</v>
      </c>
      <c r="E2225" s="880">
        <f>D2225/D1943*100</f>
        <v>6.5168372363008237E-2</v>
      </c>
      <c r="F2225" s="838"/>
      <c r="G2225" s="3360"/>
      <c r="H2225" s="3361"/>
      <c r="I2225" s="3360"/>
      <c r="J2225" s="1311"/>
      <c r="K2225" s="1311"/>
      <c r="L2225" s="2266"/>
      <c r="M2225" s="1311"/>
      <c r="N2225" s="535"/>
      <c r="P2225" s="500"/>
    </row>
    <row r="2226" spans="1:16" ht="12" customHeight="1" x14ac:dyDescent="0.25">
      <c r="B2226" s="1242"/>
      <c r="C2226" s="3892"/>
      <c r="D2226" s="671"/>
      <c r="E2226" s="811"/>
      <c r="F2226" s="840"/>
      <c r="G2226" s="969"/>
      <c r="H2226" s="2346"/>
      <c r="I2226" s="791"/>
      <c r="J2226" s="2182"/>
      <c r="K2226" s="2182"/>
      <c r="L2226" s="2182"/>
      <c r="M2226" s="2182"/>
      <c r="N2226" s="535"/>
    </row>
    <row r="2227" spans="1:16" ht="18" customHeight="1" x14ac:dyDescent="0.25">
      <c r="B2227" s="1305"/>
      <c r="C2227" s="3858" t="s">
        <v>7154</v>
      </c>
      <c r="D2227" s="669">
        <f>SUM(D2228+D2232+D2236+D2239)</f>
        <v>2050000000</v>
      </c>
      <c r="E2227" s="1462">
        <f>D2227/D1943*100</f>
        <v>1.335951633441669</v>
      </c>
      <c r="F2227" s="832"/>
      <c r="G2227" s="832"/>
      <c r="H2227" s="1306"/>
      <c r="I2227" s="2381"/>
      <c r="J2227" s="1813"/>
      <c r="K2227" s="1813"/>
      <c r="L2227" s="1306"/>
      <c r="M2227" s="1307"/>
      <c r="N2227" s="535"/>
    </row>
    <row r="2228" spans="1:16" ht="18.75" customHeight="1" x14ac:dyDescent="0.25">
      <c r="B2228" s="1242"/>
      <c r="C2228" s="3925" t="s">
        <v>2664</v>
      </c>
      <c r="D2228" s="4247">
        <f>SUM(D2229:D2230)</f>
        <v>650000000</v>
      </c>
      <c r="E2228" s="1461">
        <f>D2228/D1943*100</f>
        <v>0.42359442035955358</v>
      </c>
      <c r="F2228" s="986"/>
      <c r="G2228" s="766"/>
      <c r="H2228" s="766"/>
      <c r="I2228" s="766"/>
      <c r="J2228" s="986"/>
      <c r="K2228" s="1013"/>
      <c r="L2228" s="766"/>
      <c r="M2228" s="766"/>
      <c r="N2228" s="535"/>
    </row>
    <row r="2229" spans="1:16" ht="16.5" customHeight="1" x14ac:dyDescent="0.25">
      <c r="B2229" s="1242"/>
      <c r="C2229" s="3877" t="s">
        <v>7155</v>
      </c>
      <c r="D2229" s="4184">
        <v>150000000</v>
      </c>
      <c r="E2229" s="880">
        <f>D2229/D1943*100</f>
        <v>9.7752558544512369E-2</v>
      </c>
      <c r="F2229" s="967"/>
      <c r="G2229" s="755"/>
      <c r="H2229" s="755"/>
      <c r="I2229" s="755"/>
      <c r="J2229" s="963"/>
      <c r="K2229" s="1014"/>
      <c r="L2229" s="755"/>
      <c r="M2229" s="755"/>
      <c r="N2229" s="535"/>
    </row>
    <row r="2230" spans="1:16" s="3024" customFormat="1" ht="16.5" customHeight="1" x14ac:dyDescent="0.25">
      <c r="A2230" s="352"/>
      <c r="B2230" s="1242"/>
      <c r="C2230" s="3877" t="s">
        <v>7156</v>
      </c>
      <c r="D2230" s="4184">
        <v>500000000</v>
      </c>
      <c r="E2230" s="880">
        <f>D2230/D1943*100</f>
        <v>0.32584186181504121</v>
      </c>
      <c r="F2230" s="967"/>
      <c r="G2230" s="755"/>
      <c r="H2230" s="755"/>
      <c r="I2230" s="755"/>
      <c r="J2230" s="1892"/>
      <c r="K2230" s="1904"/>
      <c r="L2230" s="802"/>
      <c r="M2230" s="802"/>
      <c r="N2230" s="535"/>
      <c r="P2230" s="500"/>
    </row>
    <row r="2231" spans="1:16" ht="12" customHeight="1" x14ac:dyDescent="0.25">
      <c r="B2231" s="1242"/>
      <c r="C2231" s="3863"/>
      <c r="D2231" s="666"/>
      <c r="E2231" s="1415"/>
      <c r="F2231" s="838"/>
      <c r="G2231" s="894"/>
      <c r="H2231" s="1463"/>
      <c r="I2231" s="894"/>
      <c r="J2231" s="1311"/>
      <c r="K2231" s="1311"/>
      <c r="L2231" s="1311"/>
      <c r="M2231" s="1311"/>
      <c r="N2231" s="535"/>
    </row>
    <row r="2232" spans="1:16" ht="15.75" customHeight="1" x14ac:dyDescent="0.25">
      <c r="B2232" s="1242"/>
      <c r="C2232" s="3919" t="s">
        <v>7157</v>
      </c>
      <c r="D2232" s="4235">
        <f>SUM(D2233:D2234)</f>
        <v>200000000</v>
      </c>
      <c r="E2232" s="1415">
        <f>D2232/D1943*100</f>
        <v>0.13033674472601647</v>
      </c>
      <c r="F2232" s="965"/>
      <c r="G2232" s="766"/>
      <c r="H2232" s="766"/>
      <c r="I2232" s="766"/>
      <c r="J2232" s="965"/>
      <c r="K2232" s="1013"/>
      <c r="L2232" s="766"/>
      <c r="M2232" s="766"/>
      <c r="N2232" s="535"/>
    </row>
    <row r="2233" spans="1:16" ht="16.5" customHeight="1" x14ac:dyDescent="0.25">
      <c r="B2233" s="1242"/>
      <c r="C2233" s="3877" t="s">
        <v>7158</v>
      </c>
      <c r="D2233" s="4184">
        <v>100000000</v>
      </c>
      <c r="E2233" s="880">
        <f>D2233/D1943*100</f>
        <v>6.5168372363008237E-2</v>
      </c>
      <c r="F2233" s="967"/>
      <c r="G2233" s="755"/>
      <c r="H2233" s="755"/>
      <c r="I2233" s="755"/>
      <c r="J2233" s="963"/>
      <c r="K2233" s="1014"/>
      <c r="L2233" s="755"/>
      <c r="M2233" s="755"/>
      <c r="N2233" s="535"/>
    </row>
    <row r="2234" spans="1:16" ht="17.25" customHeight="1" x14ac:dyDescent="0.25">
      <c r="B2234" s="1242"/>
      <c r="C2234" s="3877" t="s">
        <v>7159</v>
      </c>
      <c r="D2234" s="4184">
        <v>100000000</v>
      </c>
      <c r="E2234" s="880">
        <f>D2234/D1943*100</f>
        <v>6.5168372363008237E-2</v>
      </c>
      <c r="F2234" s="967"/>
      <c r="G2234" s="755"/>
      <c r="H2234" s="755"/>
      <c r="I2234" s="755"/>
      <c r="J2234" s="963"/>
      <c r="K2234" s="1014"/>
      <c r="L2234" s="755"/>
      <c r="M2234" s="755"/>
      <c r="N2234" s="535"/>
    </row>
    <row r="2235" spans="1:16" ht="12" customHeight="1" x14ac:dyDescent="0.25">
      <c r="B2235" s="1242"/>
      <c r="C2235" s="3863"/>
      <c r="D2235" s="666"/>
      <c r="E2235" s="1415"/>
      <c r="F2235" s="838"/>
      <c r="G2235" s="894"/>
      <c r="H2235" s="2335"/>
      <c r="I2235" s="1314"/>
      <c r="J2235" s="1311"/>
      <c r="K2235" s="1311"/>
      <c r="L2235" s="1311"/>
      <c r="M2235" s="1311"/>
      <c r="N2235" s="535"/>
    </row>
    <row r="2236" spans="1:16" ht="18" customHeight="1" x14ac:dyDescent="0.25">
      <c r="B2236" s="1242"/>
      <c r="C2236" s="3919" t="s">
        <v>7160</v>
      </c>
      <c r="D2236" s="4235">
        <f>D2237</f>
        <v>200000000</v>
      </c>
      <c r="E2236" s="1415">
        <f>D2236/D1943*100</f>
        <v>0.13033674472601647</v>
      </c>
      <c r="F2236" s="965"/>
      <c r="G2236" s="965"/>
      <c r="H2236" s="1308"/>
      <c r="I2236" s="1316"/>
      <c r="J2236" s="965"/>
      <c r="K2236" s="965"/>
      <c r="L2236" s="1308"/>
      <c r="M2236" s="1316"/>
      <c r="N2236" s="535"/>
    </row>
    <row r="2237" spans="1:16" ht="17.25" customHeight="1" x14ac:dyDescent="0.25">
      <c r="B2237" s="1242"/>
      <c r="C2237" s="3877" t="s">
        <v>7161</v>
      </c>
      <c r="D2237" s="4184">
        <v>200000000</v>
      </c>
      <c r="E2237" s="880">
        <f>D2237/D1943*100</f>
        <v>0.13033674472601647</v>
      </c>
      <c r="F2237" s="967"/>
      <c r="G2237" s="838"/>
      <c r="H2237" s="1310"/>
      <c r="I2237" s="1111"/>
      <c r="J2237" s="963"/>
      <c r="K2237" s="1818"/>
      <c r="L2237" s="1310"/>
      <c r="M2237" s="1111"/>
      <c r="N2237" s="535"/>
    </row>
    <row r="2238" spans="1:16" s="3024" customFormat="1" ht="9.75" customHeight="1" x14ac:dyDescent="0.25">
      <c r="A2238" s="352"/>
      <c r="B2238" s="1242"/>
      <c r="C2238" s="3877"/>
      <c r="D2238" s="4184"/>
      <c r="E2238" s="880"/>
      <c r="F2238" s="967"/>
      <c r="G2238" s="838"/>
      <c r="H2238" s="1310"/>
      <c r="I2238" s="2181"/>
      <c r="J2238" s="963"/>
      <c r="K2238" s="1818"/>
      <c r="L2238" s="1310"/>
      <c r="M2238" s="2181"/>
      <c r="N2238" s="535"/>
      <c r="P2238" s="500"/>
    </row>
    <row r="2239" spans="1:16" s="3024" customFormat="1" ht="17.25" customHeight="1" x14ac:dyDescent="0.25">
      <c r="A2239" s="352"/>
      <c r="B2239" s="1242"/>
      <c r="C2239" s="4072" t="s">
        <v>7162</v>
      </c>
      <c r="D2239" s="4235">
        <f>D2240</f>
        <v>1000000000</v>
      </c>
      <c r="E2239" s="1415">
        <f>D2239/D1943*100</f>
        <v>0.65168372363008242</v>
      </c>
      <c r="F2239" s="967"/>
      <c r="G2239" s="838"/>
      <c r="H2239" s="1310"/>
      <c r="I2239" s="2181"/>
      <c r="J2239" s="963"/>
      <c r="K2239" s="1818"/>
      <c r="L2239" s="1310"/>
      <c r="M2239" s="2181"/>
      <c r="N2239" s="535"/>
      <c r="P2239" s="500"/>
    </row>
    <row r="2240" spans="1:16" s="3024" customFormat="1" ht="17.25" customHeight="1" x14ac:dyDescent="0.25">
      <c r="A2240" s="352"/>
      <c r="B2240" s="1242"/>
      <c r="C2240" s="3877" t="s">
        <v>7163</v>
      </c>
      <c r="D2240" s="4184">
        <v>1000000000</v>
      </c>
      <c r="E2240" s="880">
        <f>D2240/D1943*100</f>
        <v>0.65168372363008242</v>
      </c>
      <c r="F2240" s="967"/>
      <c r="G2240" s="838"/>
      <c r="H2240" s="1310"/>
      <c r="I2240" s="2181"/>
      <c r="J2240" s="963"/>
      <c r="K2240" s="1818"/>
      <c r="L2240" s="1310"/>
      <c r="M2240" s="2181"/>
      <c r="N2240" s="535"/>
      <c r="P2240" s="500"/>
    </row>
    <row r="2241" spans="1:16" ht="12" customHeight="1" x14ac:dyDescent="0.25">
      <c r="B2241" s="1242"/>
      <c r="C2241" s="4018"/>
      <c r="D2241" s="1094"/>
      <c r="E2241" s="1464"/>
      <c r="F2241" s="852"/>
      <c r="G2241" s="868"/>
      <c r="H2241" s="2174"/>
      <c r="I2241" s="1651"/>
      <c r="J2241" s="2175"/>
      <c r="K2241" s="2175"/>
      <c r="L2241" s="2175"/>
      <c r="M2241" s="2175"/>
      <c r="N2241" s="535"/>
    </row>
    <row r="2242" spans="1:16" s="303" customFormat="1" ht="17.25" customHeight="1" x14ac:dyDescent="0.25">
      <c r="A2242" s="1249"/>
      <c r="B2242" s="1305"/>
      <c r="C2242" s="3858" t="s">
        <v>7164</v>
      </c>
      <c r="D2242" s="4248">
        <f>SUM(D2243+D2246)</f>
        <v>160000000</v>
      </c>
      <c r="E2242" s="1462">
        <f>D2242/D1943*100</f>
        <v>0.10426939578081319</v>
      </c>
      <c r="F2242" s="987"/>
      <c r="G2242" s="980"/>
      <c r="H2242" s="1306"/>
      <c r="I2242" s="669"/>
      <c r="J2242" s="987"/>
      <c r="K2242" s="987"/>
      <c r="L2242" s="1306"/>
      <c r="M2242" s="1307"/>
      <c r="N2242" s="554"/>
      <c r="P2242" s="500"/>
    </row>
    <row r="2243" spans="1:16" s="303" customFormat="1" ht="30.75" customHeight="1" x14ac:dyDescent="0.25">
      <c r="A2243" s="1249"/>
      <c r="B2243" s="1242"/>
      <c r="C2243" s="3919" t="s">
        <v>7165</v>
      </c>
      <c r="D2243" s="1702">
        <f>D2244</f>
        <v>10000000</v>
      </c>
      <c r="E2243" s="1461">
        <f>D2243/D1943*100</f>
        <v>6.5168372363008245E-3</v>
      </c>
      <c r="F2243" s="975"/>
      <c r="G2243" s="975"/>
      <c r="H2243" s="1308"/>
      <c r="I2243" s="1309"/>
      <c r="J2243" s="975"/>
      <c r="K2243" s="975"/>
      <c r="L2243" s="1308"/>
      <c r="M2243" s="766"/>
      <c r="N2243" s="554"/>
      <c r="P2243" s="500"/>
    </row>
    <row r="2244" spans="1:16" s="303" customFormat="1" ht="17.25" customHeight="1" x14ac:dyDescent="0.25">
      <c r="A2244" s="1249"/>
      <c r="B2244" s="1242"/>
      <c r="C2244" s="3877" t="s">
        <v>7166</v>
      </c>
      <c r="D2244" s="4184">
        <v>10000000</v>
      </c>
      <c r="E2244" s="885">
        <f>D2244/D1943*100</f>
        <v>6.5168372363008245E-3</v>
      </c>
      <c r="F2244" s="967"/>
      <c r="G2244" s="386"/>
      <c r="H2244" s="1310"/>
      <c r="I2244" s="1111"/>
      <c r="J2244" s="963"/>
      <c r="K2244" s="963"/>
      <c r="L2244" s="1310"/>
      <c r="M2244" s="755"/>
      <c r="N2244" s="554"/>
      <c r="P2244" s="500"/>
    </row>
    <row r="2245" spans="1:16" s="303" customFormat="1" ht="9" customHeight="1" x14ac:dyDescent="0.25">
      <c r="A2245" s="1249"/>
      <c r="B2245" s="1242"/>
      <c r="C2245" s="3933"/>
      <c r="D2245" s="4239"/>
      <c r="E2245" s="1461"/>
      <c r="F2245" s="988"/>
      <c r="G2245" s="674"/>
      <c r="H2245" s="1313"/>
      <c r="I2245" s="1314"/>
      <c r="J2245" s="1893"/>
      <c r="K2245" s="1315"/>
      <c r="L2245" s="1312"/>
      <c r="M2245" s="1311"/>
      <c r="N2245" s="554"/>
      <c r="P2245" s="500"/>
    </row>
    <row r="2246" spans="1:16" s="303" customFormat="1" ht="16.5" customHeight="1" x14ac:dyDescent="0.25">
      <c r="A2246" s="1249"/>
      <c r="B2246" s="1242"/>
      <c r="C2246" s="3919" t="s">
        <v>7167</v>
      </c>
      <c r="D2246" s="4235">
        <f>D2247</f>
        <v>150000000</v>
      </c>
      <c r="E2246" s="1461">
        <f>D2246/D1943*100</f>
        <v>9.7752558544512369E-2</v>
      </c>
      <c r="F2246" s="965"/>
      <c r="G2246" s="965"/>
      <c r="H2246" s="1308"/>
      <c r="I2246" s="1316"/>
      <c r="J2246" s="965"/>
      <c r="K2246" s="965"/>
      <c r="L2246" s="1308"/>
      <c r="M2246" s="1308"/>
      <c r="N2246" s="554"/>
      <c r="P2246" s="500"/>
    </row>
    <row r="2247" spans="1:16" s="303" customFormat="1" ht="18.75" customHeight="1" x14ac:dyDescent="0.25">
      <c r="A2247" s="1249"/>
      <c r="B2247" s="1242"/>
      <c r="C2247" s="3877" t="s">
        <v>7168</v>
      </c>
      <c r="D2247" s="4184">
        <v>150000000</v>
      </c>
      <c r="E2247" s="3384">
        <f>D2247/D1943*100</f>
        <v>9.7752558544512369E-2</v>
      </c>
      <c r="F2247" s="967"/>
      <c r="G2247" s="387"/>
      <c r="H2247" s="1310"/>
      <c r="I2247" s="1111"/>
      <c r="J2247" s="963"/>
      <c r="K2247" s="963"/>
      <c r="L2247" s="1310"/>
      <c r="M2247" s="1310"/>
      <c r="N2247" s="554"/>
      <c r="P2247" s="500"/>
    </row>
    <row r="2248" spans="1:16" ht="11.25" customHeight="1" x14ac:dyDescent="0.25">
      <c r="B2248" s="1242"/>
      <c r="C2248" s="3933"/>
      <c r="D2248" s="4239"/>
      <c r="E2248" s="1415"/>
      <c r="F2248" s="988"/>
      <c r="G2248" s="989"/>
      <c r="H2248" s="1313"/>
      <c r="I2248" s="1314"/>
      <c r="J2248" s="1893"/>
      <c r="K2248" s="2282"/>
      <c r="L2248" s="1312"/>
      <c r="M2248" s="1311"/>
      <c r="N2248" s="535"/>
    </row>
    <row r="2249" spans="1:16" ht="16.5" customHeight="1" x14ac:dyDescent="0.25">
      <c r="B2249" s="1305"/>
      <c r="C2249" s="3906" t="s">
        <v>7169</v>
      </c>
      <c r="D2249" s="669">
        <f>SUM(D2250)</f>
        <v>10000000000</v>
      </c>
      <c r="E2249" s="1462">
        <f>D2249/D1943*100</f>
        <v>6.5168372363008249</v>
      </c>
      <c r="F2249" s="832"/>
      <c r="G2249" s="832"/>
      <c r="H2249" s="1306"/>
      <c r="I2249" s="1645"/>
      <c r="J2249" s="1813"/>
      <c r="K2249" s="1813"/>
      <c r="L2249" s="1306"/>
      <c r="M2249" s="1307"/>
      <c r="N2249" s="535"/>
    </row>
    <row r="2250" spans="1:16" ht="16.5" customHeight="1" x14ac:dyDescent="0.25">
      <c r="B2250" s="1242"/>
      <c r="C2250" s="3919" t="s">
        <v>7170</v>
      </c>
      <c r="D2250" s="4235">
        <f>D2251</f>
        <v>10000000000</v>
      </c>
      <c r="E2250" s="1461">
        <f>D2250/D1943*100</f>
        <v>6.5168372363008249</v>
      </c>
      <c r="F2250" s="965"/>
      <c r="G2250" s="965"/>
      <c r="H2250" s="1308"/>
      <c r="I2250" s="1309"/>
      <c r="J2250" s="965"/>
      <c r="K2250" s="965"/>
      <c r="L2250" s="1308"/>
      <c r="M2250" s="1659"/>
      <c r="N2250" s="535"/>
    </row>
    <row r="2251" spans="1:16" ht="14.25" customHeight="1" x14ac:dyDescent="0.25">
      <c r="B2251" s="1242"/>
      <c r="C2251" s="3877" t="s">
        <v>7171</v>
      </c>
      <c r="D2251" s="4184">
        <v>10000000000</v>
      </c>
      <c r="E2251" s="880">
        <f>D2251/D1943*100</f>
        <v>6.5168372363008249</v>
      </c>
      <c r="F2251" s="967"/>
      <c r="G2251" s="963"/>
      <c r="H2251" s="1310"/>
      <c r="I2251" s="1111"/>
      <c r="J2251" s="963"/>
      <c r="K2251" s="2372"/>
      <c r="L2251" s="1310"/>
      <c r="M2251" s="1312"/>
      <c r="N2251" s="535"/>
    </row>
    <row r="2252" spans="1:16" ht="12" customHeight="1" x14ac:dyDescent="0.25">
      <c r="B2252" s="1242"/>
      <c r="C2252" s="3873"/>
      <c r="D2252" s="868"/>
      <c r="E2252" s="1464"/>
      <c r="F2252" s="835"/>
      <c r="G2252" s="788"/>
      <c r="H2252" s="2234"/>
      <c r="I2252" s="1651"/>
      <c r="J2252" s="2175"/>
      <c r="K2252" s="2175"/>
      <c r="L2252" s="2175"/>
      <c r="M2252" s="2175"/>
      <c r="N2252" s="535"/>
    </row>
    <row r="2253" spans="1:16" ht="15.75" customHeight="1" x14ac:dyDescent="0.25">
      <c r="B2253" s="1305"/>
      <c r="C2253" s="3858" t="s">
        <v>7172</v>
      </c>
      <c r="D2253" s="669">
        <f>SUM(D2254)</f>
        <v>300000000</v>
      </c>
      <c r="E2253" s="1462">
        <f>D2253/D1943*100</f>
        <v>0.19550511708902474</v>
      </c>
      <c r="F2253" s="991"/>
      <c r="G2253" s="992"/>
      <c r="H2253" s="1306"/>
      <c r="I2253" s="1645"/>
      <c r="J2253" s="1813"/>
      <c r="K2253" s="1813"/>
      <c r="L2253" s="1306"/>
      <c r="M2253" s="1307"/>
      <c r="N2253" s="535"/>
    </row>
    <row r="2254" spans="1:16" ht="31.5" customHeight="1" x14ac:dyDescent="0.25">
      <c r="B2254" s="1242"/>
      <c r="C2254" s="3882" t="s">
        <v>7173</v>
      </c>
      <c r="D2254" s="4198">
        <f>D2255</f>
        <v>300000000</v>
      </c>
      <c r="E2254" s="1415">
        <f>D2254/D1943*100</f>
        <v>0.19550511708902474</v>
      </c>
      <c r="F2254" s="993"/>
      <c r="G2254" s="994"/>
      <c r="H2254" s="1308"/>
      <c r="I2254" s="1316"/>
      <c r="J2254" s="975"/>
      <c r="K2254" s="993"/>
      <c r="L2254" s="1308"/>
      <c r="M2254" s="1650"/>
      <c r="N2254" s="535"/>
    </row>
    <row r="2255" spans="1:16" ht="18" customHeight="1" x14ac:dyDescent="0.25">
      <c r="B2255" s="1242"/>
      <c r="C2255" s="3877" t="s">
        <v>7174</v>
      </c>
      <c r="D2255" s="4184">
        <v>300000000</v>
      </c>
      <c r="E2255" s="880">
        <f>D2255/D1943*100</f>
        <v>0.19550511708902474</v>
      </c>
      <c r="F2255" s="967"/>
      <c r="G2255" s="982"/>
      <c r="H2255" s="1310"/>
      <c r="I2255" s="1111"/>
      <c r="J2255" s="963"/>
      <c r="K2255" s="1717"/>
      <c r="L2255" s="1310"/>
      <c r="M2255" s="1312"/>
      <c r="N2255" s="535"/>
    </row>
    <row r="2256" spans="1:16" ht="12" customHeight="1" x14ac:dyDescent="0.25">
      <c r="B2256" s="1242"/>
      <c r="C2256" s="3904"/>
      <c r="D2256" s="4250"/>
      <c r="E2256" s="1465"/>
      <c r="F2256" s="1251"/>
      <c r="G2256" s="995"/>
      <c r="H2256" s="2174"/>
      <c r="I2256" s="1651"/>
      <c r="J2256" s="1311"/>
      <c r="K2256" s="2175"/>
      <c r="L2256" s="1323"/>
      <c r="M2256" s="2175"/>
      <c r="N2256" s="535"/>
    </row>
    <row r="2257" spans="1:16" ht="18" customHeight="1" x14ac:dyDescent="0.25">
      <c r="B2257" s="1305"/>
      <c r="C2257" s="3858" t="s">
        <v>7175</v>
      </c>
      <c r="D2257" s="4248">
        <f>SUM(D2258+D2270+D2282+D2288+D2291)</f>
        <v>9997700000</v>
      </c>
      <c r="E2257" s="1462">
        <f>D2257/D1943*100</f>
        <v>6.5153383637364755</v>
      </c>
      <c r="F2257" s="987"/>
      <c r="G2257" s="980"/>
      <c r="H2257" s="1306"/>
      <c r="I2257" s="1645"/>
      <c r="J2257" s="987"/>
      <c r="K2257" s="980"/>
      <c r="L2257" s="1306"/>
      <c r="M2257" s="1307"/>
      <c r="N2257" s="535"/>
    </row>
    <row r="2258" spans="1:16" ht="16.5" customHeight="1" x14ac:dyDescent="0.25">
      <c r="B2258" s="1242"/>
      <c r="C2258" s="3881" t="s">
        <v>7176</v>
      </c>
      <c r="D2258" s="4244">
        <f>SUM(D2259:D2268)</f>
        <v>2975000000</v>
      </c>
      <c r="E2258" s="1461">
        <f>D2258/D1943*100</f>
        <v>1.9387590777994952</v>
      </c>
      <c r="F2258" s="997"/>
      <c r="G2258" s="753"/>
      <c r="H2258" s="753"/>
      <c r="I2258" s="753"/>
      <c r="J2258" s="981"/>
      <c r="K2258" s="994"/>
      <c r="L2258" s="1308"/>
      <c r="M2258" s="1659"/>
      <c r="N2258" s="535"/>
    </row>
    <row r="2259" spans="1:16" ht="14.25" customHeight="1" x14ac:dyDescent="0.25">
      <c r="B2259" s="1242"/>
      <c r="C2259" s="3877" t="s">
        <v>7177</v>
      </c>
      <c r="D2259" s="4184">
        <v>1000000000</v>
      </c>
      <c r="E2259" s="880">
        <f>D2259/D1943*100</f>
        <v>0.65168372363008242</v>
      </c>
      <c r="F2259" s="967"/>
      <c r="G2259" s="755"/>
      <c r="H2259" s="755"/>
      <c r="I2259" s="755"/>
      <c r="J2259" s="963"/>
      <c r="K2259" s="2378"/>
      <c r="L2259" s="1310"/>
      <c r="M2259" s="1312"/>
      <c r="N2259" s="535"/>
    </row>
    <row r="2260" spans="1:16" ht="15.75" customHeight="1" x14ac:dyDescent="0.25">
      <c r="B2260" s="1242"/>
      <c r="C2260" s="3877" t="s">
        <v>7178</v>
      </c>
      <c r="D2260" s="4184">
        <v>50000000</v>
      </c>
      <c r="E2260" s="880">
        <f>D2260/D1943*100</f>
        <v>3.2584186181504118E-2</v>
      </c>
      <c r="F2260" s="967"/>
      <c r="G2260" s="755"/>
      <c r="H2260" s="755"/>
      <c r="I2260" s="755"/>
      <c r="J2260" s="963"/>
      <c r="K2260" s="963"/>
      <c r="L2260" s="1310"/>
      <c r="M2260" s="1312"/>
      <c r="N2260" s="535"/>
    </row>
    <row r="2261" spans="1:16" ht="15" customHeight="1" x14ac:dyDescent="0.25">
      <c r="B2261" s="1242"/>
      <c r="C2261" s="3877" t="s">
        <v>7179</v>
      </c>
      <c r="D2261" s="4184">
        <v>107900000</v>
      </c>
      <c r="E2261" s="880">
        <f>D2261/D1943*100</f>
        <v>7.0316673779685895E-2</v>
      </c>
      <c r="F2261" s="967"/>
      <c r="G2261" s="755"/>
      <c r="H2261" s="755"/>
      <c r="I2261" s="755"/>
      <c r="J2261" s="963"/>
      <c r="K2261" s="963"/>
      <c r="L2261" s="1310"/>
      <c r="M2261" s="1312"/>
      <c r="N2261" s="535"/>
    </row>
    <row r="2262" spans="1:16" ht="16.5" customHeight="1" x14ac:dyDescent="0.25">
      <c r="B2262" s="1242"/>
      <c r="C2262" s="3877" t="s">
        <v>7180</v>
      </c>
      <c r="D2262" s="4184">
        <v>200000000</v>
      </c>
      <c r="E2262" s="880">
        <f>D2262/D1943*100</f>
        <v>0.13033674472601647</v>
      </c>
      <c r="F2262" s="967"/>
      <c r="G2262" s="755"/>
      <c r="H2262" s="755"/>
      <c r="I2262" s="755"/>
      <c r="J2262" s="963"/>
      <c r="K2262" s="963"/>
      <c r="L2262" s="1310"/>
      <c r="M2262" s="1312"/>
      <c r="N2262" s="535"/>
    </row>
    <row r="2263" spans="1:16" s="3024" customFormat="1" ht="16.5" customHeight="1" x14ac:dyDescent="0.25">
      <c r="A2263" s="352"/>
      <c r="B2263" s="1242"/>
      <c r="C2263" s="3877" t="s">
        <v>7181</v>
      </c>
      <c r="D2263" s="4184">
        <v>100000000</v>
      </c>
      <c r="E2263" s="880">
        <f>D2263/D1943*100</f>
        <v>6.5168372363008237E-2</v>
      </c>
      <c r="F2263" s="967"/>
      <c r="G2263" s="782"/>
      <c r="H2263" s="782"/>
      <c r="I2263" s="782"/>
      <c r="J2263" s="963"/>
      <c r="K2263" s="1892"/>
      <c r="L2263" s="1310"/>
      <c r="M2263" s="1312"/>
      <c r="N2263" s="535"/>
      <c r="P2263" s="500"/>
    </row>
    <row r="2264" spans="1:16" s="3024" customFormat="1" ht="16.5" customHeight="1" x14ac:dyDescent="0.25">
      <c r="A2264" s="352"/>
      <c r="B2264" s="1242"/>
      <c r="C2264" s="3877" t="s">
        <v>7182</v>
      </c>
      <c r="D2264" s="4184">
        <v>150000000</v>
      </c>
      <c r="E2264" s="880">
        <f>D2264/D1943*100</f>
        <v>9.7752558544512369E-2</v>
      </c>
      <c r="F2264" s="967"/>
      <c r="G2264" s="782"/>
      <c r="H2264" s="782"/>
      <c r="I2264" s="782"/>
      <c r="J2264" s="963"/>
      <c r="K2264" s="1892"/>
      <c r="L2264" s="1310"/>
      <c r="M2264" s="1312"/>
      <c r="N2264" s="535"/>
      <c r="P2264" s="500"/>
    </row>
    <row r="2265" spans="1:16" s="3024" customFormat="1" ht="16.5" customHeight="1" x14ac:dyDescent="0.25">
      <c r="A2265" s="352"/>
      <c r="B2265" s="1242"/>
      <c r="C2265" s="3877" t="s">
        <v>7183</v>
      </c>
      <c r="D2265" s="4184">
        <v>125000000</v>
      </c>
      <c r="E2265" s="880">
        <f>D2265/D1943*100</f>
        <v>8.1460465453760303E-2</v>
      </c>
      <c r="F2265" s="967"/>
      <c r="G2265" s="782"/>
      <c r="H2265" s="782"/>
      <c r="I2265" s="782"/>
      <c r="J2265" s="963"/>
      <c r="K2265" s="1892"/>
      <c r="L2265" s="1310"/>
      <c r="M2265" s="1312"/>
      <c r="N2265" s="535"/>
      <c r="P2265" s="500"/>
    </row>
    <row r="2266" spans="1:16" s="3024" customFormat="1" ht="16.5" customHeight="1" x14ac:dyDescent="0.25">
      <c r="A2266" s="352"/>
      <c r="B2266" s="1242"/>
      <c r="C2266" s="3877" t="s">
        <v>7184</v>
      </c>
      <c r="D2266" s="4184">
        <v>50000000</v>
      </c>
      <c r="E2266" s="880">
        <f>D2266/D1943*100</f>
        <v>3.2584186181504118E-2</v>
      </c>
      <c r="F2266" s="967"/>
      <c r="G2266" s="782"/>
      <c r="H2266" s="782"/>
      <c r="I2266" s="782"/>
      <c r="J2266" s="963"/>
      <c r="K2266" s="1892"/>
      <c r="L2266" s="1310"/>
      <c r="M2266" s="1312"/>
      <c r="N2266" s="535"/>
      <c r="P2266" s="500"/>
    </row>
    <row r="2267" spans="1:16" s="3024" customFormat="1" ht="16.5" customHeight="1" x14ac:dyDescent="0.25">
      <c r="A2267" s="352"/>
      <c r="B2267" s="1242"/>
      <c r="C2267" s="3877" t="s">
        <v>7185</v>
      </c>
      <c r="D2267" s="4184">
        <v>1000000000</v>
      </c>
      <c r="E2267" s="880">
        <f>D2267/D1943*100</f>
        <v>0.65168372363008242</v>
      </c>
      <c r="F2267" s="967"/>
      <c r="G2267" s="782"/>
      <c r="H2267" s="782"/>
      <c r="I2267" s="782"/>
      <c r="J2267" s="963"/>
      <c r="K2267" s="1892"/>
      <c r="L2267" s="1310"/>
      <c r="M2267" s="1312"/>
      <c r="N2267" s="535"/>
      <c r="P2267" s="500"/>
    </row>
    <row r="2268" spans="1:16" s="3024" customFormat="1" ht="16.5" customHeight="1" x14ac:dyDescent="0.25">
      <c r="A2268" s="352"/>
      <c r="B2268" s="1242"/>
      <c r="C2268" s="3877" t="s">
        <v>7186</v>
      </c>
      <c r="D2268" s="4184">
        <v>192100000</v>
      </c>
      <c r="E2268" s="880">
        <f>D2268/D1943*100</f>
        <v>0.12518844330933884</v>
      </c>
      <c r="F2268" s="967"/>
      <c r="G2268" s="782"/>
      <c r="H2268" s="782"/>
      <c r="I2268" s="782"/>
      <c r="J2268" s="963"/>
      <c r="K2268" s="1892"/>
      <c r="L2268" s="1310"/>
      <c r="M2268" s="1312"/>
      <c r="N2268" s="535"/>
      <c r="P2268" s="500"/>
    </row>
    <row r="2269" spans="1:16" s="3024" customFormat="1" ht="11.25" customHeight="1" x14ac:dyDescent="0.25">
      <c r="A2269" s="352"/>
      <c r="B2269" s="1242"/>
      <c r="C2269" s="3877"/>
      <c r="D2269" s="4184"/>
      <c r="E2269" s="880"/>
      <c r="F2269" s="967"/>
      <c r="G2269" s="782"/>
      <c r="H2269" s="782"/>
      <c r="I2269" s="782"/>
      <c r="J2269" s="963"/>
      <c r="K2269" s="1892"/>
      <c r="L2269" s="1310"/>
      <c r="M2269" s="1312"/>
      <c r="N2269" s="535"/>
      <c r="P2269" s="500"/>
    </row>
    <row r="2270" spans="1:16" s="3024" customFormat="1" ht="16.5" customHeight="1" x14ac:dyDescent="0.25">
      <c r="A2270" s="352"/>
      <c r="B2270" s="1242"/>
      <c r="C2270" s="4072" t="s">
        <v>7187</v>
      </c>
      <c r="D2270" s="4235">
        <f>SUM(D2271:D2280)</f>
        <v>3422700000</v>
      </c>
      <c r="E2270" s="1461">
        <f>D2270/D1943*100</f>
        <v>2.2305178808686832</v>
      </c>
      <c r="F2270" s="967"/>
      <c r="G2270" s="782"/>
      <c r="H2270" s="782"/>
      <c r="I2270" s="782"/>
      <c r="J2270" s="963"/>
      <c r="K2270" s="1892"/>
      <c r="L2270" s="1310"/>
      <c r="M2270" s="1312"/>
      <c r="N2270" s="535"/>
      <c r="P2270" s="500"/>
    </row>
    <row r="2271" spans="1:16" s="3024" customFormat="1" ht="16.5" customHeight="1" x14ac:dyDescent="0.25">
      <c r="A2271" s="352"/>
      <c r="B2271" s="1242"/>
      <c r="C2271" s="3877" t="s">
        <v>7188</v>
      </c>
      <c r="D2271" s="4184">
        <v>150000000</v>
      </c>
      <c r="E2271" s="880">
        <f>D2271/D1943*100</f>
        <v>9.7752558544512369E-2</v>
      </c>
      <c r="F2271" s="967"/>
      <c r="G2271" s="782"/>
      <c r="H2271" s="782"/>
      <c r="I2271" s="782"/>
      <c r="J2271" s="963"/>
      <c r="K2271" s="1892"/>
      <c r="L2271" s="1310"/>
      <c r="M2271" s="1312"/>
      <c r="N2271" s="535"/>
      <c r="P2271" s="500"/>
    </row>
    <row r="2272" spans="1:16" s="3024" customFormat="1" ht="16.5" customHeight="1" x14ac:dyDescent="0.25">
      <c r="A2272" s="352"/>
      <c r="B2272" s="1242"/>
      <c r="C2272" s="3877" t="s">
        <v>7189</v>
      </c>
      <c r="D2272" s="4184">
        <v>100000000</v>
      </c>
      <c r="E2272" s="880">
        <f>D2272/D1943*100</f>
        <v>6.5168372363008237E-2</v>
      </c>
      <c r="F2272" s="967"/>
      <c r="G2272" s="782"/>
      <c r="H2272" s="782"/>
      <c r="I2272" s="782"/>
      <c r="J2272" s="963"/>
      <c r="K2272" s="1892"/>
      <c r="L2272" s="1310"/>
      <c r="M2272" s="1312"/>
      <c r="N2272" s="535"/>
      <c r="P2272" s="500"/>
    </row>
    <row r="2273" spans="1:16" s="3024" customFormat="1" ht="16.5" customHeight="1" x14ac:dyDescent="0.25">
      <c r="A2273" s="352"/>
      <c r="B2273" s="1242"/>
      <c r="C2273" s="3877" t="s">
        <v>7190</v>
      </c>
      <c r="D2273" s="4184">
        <v>1000000000</v>
      </c>
      <c r="E2273" s="880">
        <f>D2273/D1943*100</f>
        <v>0.65168372363008242</v>
      </c>
      <c r="F2273" s="967"/>
      <c r="G2273" s="782"/>
      <c r="H2273" s="782"/>
      <c r="I2273" s="782"/>
      <c r="J2273" s="963"/>
      <c r="K2273" s="1892"/>
      <c r="L2273" s="1310"/>
      <c r="M2273" s="1312"/>
      <c r="N2273" s="535"/>
      <c r="P2273" s="500"/>
    </row>
    <row r="2274" spans="1:16" s="3024" customFormat="1" ht="16.5" customHeight="1" x14ac:dyDescent="0.25">
      <c r="A2274" s="352"/>
      <c r="B2274" s="1242"/>
      <c r="C2274" s="3877" t="s">
        <v>7191</v>
      </c>
      <c r="D2274" s="4184">
        <v>400000000</v>
      </c>
      <c r="E2274" s="880">
        <f>D2274/D1943*100</f>
        <v>0.26067348945203295</v>
      </c>
      <c r="F2274" s="967"/>
      <c r="G2274" s="782"/>
      <c r="H2274" s="782"/>
      <c r="I2274" s="782"/>
      <c r="J2274" s="963"/>
      <c r="K2274" s="1892"/>
      <c r="L2274" s="1310"/>
      <c r="M2274" s="1312"/>
      <c r="N2274" s="535"/>
      <c r="P2274" s="500"/>
    </row>
    <row r="2275" spans="1:16" s="3024" customFormat="1" ht="16.5" customHeight="1" x14ac:dyDescent="0.25">
      <c r="A2275" s="352"/>
      <c r="B2275" s="1242"/>
      <c r="C2275" s="3877" t="s">
        <v>7192</v>
      </c>
      <c r="D2275" s="4184">
        <v>200000000</v>
      </c>
      <c r="E2275" s="880">
        <f>D2275/D1943*100</f>
        <v>0.13033674472601647</v>
      </c>
      <c r="F2275" s="967"/>
      <c r="G2275" s="782"/>
      <c r="H2275" s="782"/>
      <c r="I2275" s="782"/>
      <c r="J2275" s="963"/>
      <c r="K2275" s="1892"/>
      <c r="L2275" s="1310"/>
      <c r="M2275" s="1312"/>
      <c r="N2275" s="535"/>
      <c r="P2275" s="500"/>
    </row>
    <row r="2276" spans="1:16" s="3024" customFormat="1" ht="16.5" customHeight="1" x14ac:dyDescent="0.25">
      <c r="A2276" s="352"/>
      <c r="B2276" s="1242"/>
      <c r="C2276" s="3877" t="s">
        <v>7193</v>
      </c>
      <c r="D2276" s="4184">
        <v>75000000</v>
      </c>
      <c r="E2276" s="880">
        <f>D2276/D1943*100</f>
        <v>4.8876279272256185E-2</v>
      </c>
      <c r="F2276" s="967"/>
      <c r="G2276" s="782"/>
      <c r="H2276" s="782"/>
      <c r="I2276" s="782"/>
      <c r="J2276" s="963"/>
      <c r="K2276" s="1892"/>
      <c r="L2276" s="1310"/>
      <c r="M2276" s="1312"/>
      <c r="N2276" s="535"/>
      <c r="P2276" s="500"/>
    </row>
    <row r="2277" spans="1:16" s="3024" customFormat="1" ht="16.5" customHeight="1" x14ac:dyDescent="0.25">
      <c r="A2277" s="352"/>
      <c r="B2277" s="1242"/>
      <c r="C2277" s="3877" t="s">
        <v>7194</v>
      </c>
      <c r="D2277" s="4184">
        <v>997700000</v>
      </c>
      <c r="E2277" s="880">
        <f>D2277/D1943*100</f>
        <v>0.6501848510657332</v>
      </c>
      <c r="F2277" s="967"/>
      <c r="G2277" s="782"/>
      <c r="H2277" s="782"/>
      <c r="I2277" s="782"/>
      <c r="J2277" s="963"/>
      <c r="K2277" s="1892"/>
      <c r="L2277" s="1310"/>
      <c r="M2277" s="1312"/>
      <c r="N2277" s="535"/>
      <c r="P2277" s="500"/>
    </row>
    <row r="2278" spans="1:16" s="3024" customFormat="1" ht="29.25" customHeight="1" x14ac:dyDescent="0.25">
      <c r="A2278" s="352"/>
      <c r="B2278" s="1242"/>
      <c r="C2278" s="3877" t="s">
        <v>7195</v>
      </c>
      <c r="D2278" s="666">
        <v>150000000</v>
      </c>
      <c r="E2278" s="880">
        <f>D2278/D1943*100</f>
        <v>9.7752558544512369E-2</v>
      </c>
      <c r="F2278" s="967"/>
      <c r="G2278" s="782"/>
      <c r="H2278" s="782"/>
      <c r="I2278" s="782"/>
      <c r="J2278" s="963"/>
      <c r="K2278" s="1892"/>
      <c r="L2278" s="1310"/>
      <c r="M2278" s="1312"/>
      <c r="N2278" s="535"/>
      <c r="P2278" s="500"/>
    </row>
    <row r="2279" spans="1:16" s="3024" customFormat="1" ht="16.5" customHeight="1" x14ac:dyDescent="0.25">
      <c r="A2279" s="352"/>
      <c r="B2279" s="1242"/>
      <c r="C2279" s="3877" t="s">
        <v>7196</v>
      </c>
      <c r="D2279" s="4184">
        <v>250000000</v>
      </c>
      <c r="E2279" s="880">
        <f>D2279/D1943*100</f>
        <v>0.16292093090752061</v>
      </c>
      <c r="F2279" s="967"/>
      <c r="G2279" s="782"/>
      <c r="H2279" s="782"/>
      <c r="I2279" s="782"/>
      <c r="J2279" s="963"/>
      <c r="K2279" s="1892"/>
      <c r="L2279" s="1310"/>
      <c r="M2279" s="1312"/>
      <c r="N2279" s="535"/>
      <c r="P2279" s="500"/>
    </row>
    <row r="2280" spans="1:16" ht="18" customHeight="1" x14ac:dyDescent="0.25">
      <c r="B2280" s="1242"/>
      <c r="C2280" s="3863" t="s">
        <v>7197</v>
      </c>
      <c r="D2280" s="4184">
        <v>100000000</v>
      </c>
      <c r="E2280" s="880">
        <f>D2280/D1943*100</f>
        <v>6.5168372363008237E-2</v>
      </c>
      <c r="F2280" s="963"/>
      <c r="G2280" s="885"/>
      <c r="H2280" s="885"/>
      <c r="I2280" s="885"/>
      <c r="J2280" s="963"/>
      <c r="K2280" s="1311"/>
      <c r="L2280" s="1312"/>
      <c r="M2280" s="1311"/>
      <c r="N2280" s="535"/>
    </row>
    <row r="2281" spans="1:16" s="3024" customFormat="1" ht="12" customHeight="1" x14ac:dyDescent="0.25">
      <c r="A2281" s="352"/>
      <c r="B2281" s="1242"/>
      <c r="C2281" s="3863"/>
      <c r="D2281" s="4184"/>
      <c r="E2281" s="1467"/>
      <c r="F2281" s="963"/>
      <c r="G2281" s="885"/>
      <c r="H2281" s="885"/>
      <c r="I2281" s="885"/>
      <c r="J2281" s="963"/>
      <c r="K2281" s="1311"/>
      <c r="L2281" s="1312"/>
      <c r="M2281" s="1311"/>
      <c r="N2281" s="535"/>
      <c r="P2281" s="500"/>
    </row>
    <row r="2282" spans="1:16" ht="20.25" customHeight="1" x14ac:dyDescent="0.25">
      <c r="B2282" s="1242"/>
      <c r="C2282" s="3862" t="s">
        <v>7198</v>
      </c>
      <c r="D2282" s="4235">
        <f>SUM(D2283:D2286)</f>
        <v>2550000000</v>
      </c>
      <c r="E2282" s="1415">
        <f>D2282/D1943*100</f>
        <v>1.6617934952567102</v>
      </c>
      <c r="F2282" s="965"/>
      <c r="G2282" s="753"/>
      <c r="H2282" s="753"/>
      <c r="I2282" s="753"/>
      <c r="J2282" s="965"/>
      <c r="K2282" s="965"/>
      <c r="L2282" s="1308"/>
      <c r="M2282" s="1650"/>
      <c r="N2282" s="535"/>
    </row>
    <row r="2283" spans="1:16" ht="14.25" customHeight="1" x14ac:dyDescent="0.25">
      <c r="B2283" s="1242"/>
      <c r="C2283" s="3877" t="s">
        <v>7199</v>
      </c>
      <c r="D2283" s="4184">
        <v>500000000</v>
      </c>
      <c r="E2283" s="880">
        <f>D2283/D1943*100</f>
        <v>0.32584186181504121</v>
      </c>
      <c r="F2283" s="967"/>
      <c r="G2283" s="755"/>
      <c r="H2283" s="755"/>
      <c r="I2283" s="755"/>
      <c r="J2283" s="963"/>
      <c r="K2283" s="1312"/>
      <c r="L2283" s="1310"/>
      <c r="M2283" s="1312"/>
      <c r="N2283" s="535"/>
    </row>
    <row r="2284" spans="1:16" ht="16.5" customHeight="1" x14ac:dyDescent="0.25">
      <c r="B2284" s="1242"/>
      <c r="C2284" s="3877" t="s">
        <v>7200</v>
      </c>
      <c r="D2284" s="4184">
        <v>200000000</v>
      </c>
      <c r="E2284" s="880">
        <f>D2284/D1943*100</f>
        <v>0.13033674472601647</v>
      </c>
      <c r="F2284" s="967"/>
      <c r="G2284" s="755"/>
      <c r="H2284" s="755"/>
      <c r="I2284" s="755"/>
      <c r="J2284" s="963"/>
      <c r="K2284" s="1961"/>
      <c r="L2284" s="1310"/>
      <c r="M2284" s="2371"/>
      <c r="N2284" s="535"/>
    </row>
    <row r="2285" spans="1:16" ht="14.25" customHeight="1" x14ac:dyDescent="0.25">
      <c r="B2285" s="1242"/>
      <c r="C2285" s="3877" t="s">
        <v>7201</v>
      </c>
      <c r="D2285" s="4184">
        <v>350000000</v>
      </c>
      <c r="E2285" s="880">
        <f>D2285/D1943*100</f>
        <v>0.22808930327052884</v>
      </c>
      <c r="F2285" s="967"/>
      <c r="G2285" s="755"/>
      <c r="H2285" s="755"/>
      <c r="I2285" s="755"/>
      <c r="J2285" s="963"/>
      <c r="K2285" s="1312"/>
      <c r="L2285" s="1310"/>
      <c r="M2285" s="1312"/>
      <c r="N2285" s="535"/>
    </row>
    <row r="2286" spans="1:16" ht="18" customHeight="1" x14ac:dyDescent="0.25">
      <c r="B2286" s="1242"/>
      <c r="C2286" s="3877" t="s">
        <v>7202</v>
      </c>
      <c r="D2286" s="4184">
        <v>1500000000</v>
      </c>
      <c r="E2286" s="880">
        <f>D2286/D1943*100</f>
        <v>0.97752558544512369</v>
      </c>
      <c r="F2286" s="967"/>
      <c r="G2286" s="755"/>
      <c r="H2286" s="755"/>
      <c r="I2286" s="755"/>
      <c r="J2286" s="963"/>
      <c r="K2286" s="1312"/>
      <c r="L2286" s="1310"/>
      <c r="M2286" s="1312"/>
      <c r="N2286" s="535"/>
    </row>
    <row r="2287" spans="1:16" ht="9.75" customHeight="1" x14ac:dyDescent="0.25">
      <c r="B2287" s="1242"/>
      <c r="C2287" s="3877"/>
      <c r="D2287" s="4238"/>
      <c r="E2287" s="827"/>
      <c r="F2287" s="972"/>
      <c r="G2287" s="755"/>
      <c r="H2287" s="755"/>
      <c r="I2287" s="755"/>
      <c r="J2287" s="979"/>
      <c r="K2287" s="1753"/>
      <c r="L2287" s="1648"/>
      <c r="M2287" s="1648"/>
      <c r="N2287" s="535"/>
    </row>
    <row r="2288" spans="1:16" ht="15.75" customHeight="1" x14ac:dyDescent="0.25">
      <c r="B2288" s="1242"/>
      <c r="C2288" s="3919" t="s">
        <v>7203</v>
      </c>
      <c r="D2288" s="4235">
        <f>D2289</f>
        <v>100000000</v>
      </c>
      <c r="E2288" s="1415">
        <f>D2288/D1943*100</f>
        <v>6.5168372363008237E-2</v>
      </c>
      <c r="F2288" s="965"/>
      <c r="G2288" s="965"/>
      <c r="H2288" s="753"/>
      <c r="I2288" s="753"/>
      <c r="J2288" s="965"/>
      <c r="K2288" s="965"/>
      <c r="L2288" s="1308"/>
      <c r="M2288" s="1650"/>
      <c r="N2288" s="535"/>
    </row>
    <row r="2289" spans="1:16" ht="16.5" customHeight="1" x14ac:dyDescent="0.25">
      <c r="B2289" s="1242"/>
      <c r="C2289" s="3877" t="s">
        <v>7204</v>
      </c>
      <c r="D2289" s="4184">
        <v>100000000</v>
      </c>
      <c r="E2289" s="880">
        <f>D2289/D1943*100</f>
        <v>6.5168372363008237E-2</v>
      </c>
      <c r="F2289" s="967"/>
      <c r="G2289" s="755"/>
      <c r="H2289" s="755"/>
      <c r="I2289" s="755"/>
      <c r="J2289" s="963"/>
      <c r="K2289" s="1014"/>
      <c r="L2289" s="755"/>
      <c r="M2289" s="755"/>
      <c r="N2289" s="535"/>
    </row>
    <row r="2290" spans="1:16" ht="11.25" customHeight="1" x14ac:dyDescent="0.25">
      <c r="B2290" s="1242"/>
      <c r="C2290" s="3863"/>
      <c r="D2290" s="4238"/>
      <c r="E2290" s="880"/>
      <c r="F2290" s="979"/>
      <c r="G2290" s="755"/>
      <c r="H2290" s="755"/>
      <c r="I2290" s="755"/>
      <c r="J2290" s="979"/>
      <c r="K2290" s="1753"/>
      <c r="L2290" s="1716"/>
      <c r="M2290" s="1716"/>
      <c r="N2290" s="535"/>
    </row>
    <row r="2291" spans="1:16" ht="18" customHeight="1" x14ac:dyDescent="0.25">
      <c r="B2291" s="1242"/>
      <c r="C2291" s="3919" t="s">
        <v>7205</v>
      </c>
      <c r="D2291" s="4235">
        <f>SUM(D2292:D2298)</f>
        <v>950000000</v>
      </c>
      <c r="E2291" s="1415">
        <f>D2291/D1943*100</f>
        <v>0.61909953744857826</v>
      </c>
      <c r="F2291" s="965"/>
      <c r="G2291" s="965"/>
      <c r="H2291" s="1308"/>
      <c r="I2291" s="753"/>
      <c r="J2291" s="965"/>
      <c r="K2291" s="965"/>
      <c r="L2291" s="1308"/>
      <c r="M2291" s="1308"/>
      <c r="N2291" s="535"/>
    </row>
    <row r="2292" spans="1:16" s="3024" customFormat="1" ht="15" customHeight="1" x14ac:dyDescent="0.25">
      <c r="A2292" s="352"/>
      <c r="B2292" s="1242"/>
      <c r="C2292" s="3926" t="s">
        <v>7206</v>
      </c>
      <c r="D2292" s="4184">
        <v>150000000</v>
      </c>
      <c r="E2292" s="880">
        <f>D2292/D1943*100</f>
        <v>9.7752558544512369E-2</v>
      </c>
      <c r="F2292" s="965"/>
      <c r="G2292" s="965"/>
      <c r="H2292" s="1308"/>
      <c r="I2292" s="753"/>
      <c r="J2292" s="965"/>
      <c r="K2292" s="965"/>
      <c r="L2292" s="1308"/>
      <c r="M2292" s="1308"/>
      <c r="N2292" s="535"/>
      <c r="P2292" s="500"/>
    </row>
    <row r="2293" spans="1:16" s="3024" customFormat="1" ht="14.25" customHeight="1" x14ac:dyDescent="0.25">
      <c r="A2293" s="352"/>
      <c r="B2293" s="1242"/>
      <c r="C2293" s="3926" t="s">
        <v>7207</v>
      </c>
      <c r="D2293" s="4184">
        <v>100000000</v>
      </c>
      <c r="E2293" s="880">
        <f>D2293/D1943*100</f>
        <v>6.5168372363008237E-2</v>
      </c>
      <c r="F2293" s="965"/>
      <c r="G2293" s="965"/>
      <c r="H2293" s="1308"/>
      <c r="I2293" s="753"/>
      <c r="J2293" s="965"/>
      <c r="K2293" s="965"/>
      <c r="L2293" s="1308"/>
      <c r="M2293" s="1308"/>
      <c r="N2293" s="535"/>
      <c r="P2293" s="500"/>
    </row>
    <row r="2294" spans="1:16" s="3024" customFormat="1" ht="14.25" customHeight="1" x14ac:dyDescent="0.25">
      <c r="A2294" s="352"/>
      <c r="B2294" s="1242"/>
      <c r="C2294" s="3926" t="s">
        <v>7208</v>
      </c>
      <c r="D2294" s="4184">
        <v>150000000</v>
      </c>
      <c r="E2294" s="880">
        <f>D2294/D1943*100</f>
        <v>9.7752558544512369E-2</v>
      </c>
      <c r="F2294" s="965"/>
      <c r="G2294" s="965"/>
      <c r="H2294" s="1308"/>
      <c r="I2294" s="753"/>
      <c r="J2294" s="965"/>
      <c r="K2294" s="965"/>
      <c r="L2294" s="1308"/>
      <c r="M2294" s="1308"/>
      <c r="N2294" s="535"/>
      <c r="P2294" s="500"/>
    </row>
    <row r="2295" spans="1:16" s="3024" customFormat="1" ht="14.25" customHeight="1" x14ac:dyDescent="0.25">
      <c r="A2295" s="352"/>
      <c r="B2295" s="1242"/>
      <c r="C2295" s="3926" t="s">
        <v>7209</v>
      </c>
      <c r="D2295" s="4184">
        <v>100000000</v>
      </c>
      <c r="E2295" s="880">
        <f>D2295/D1943*100</f>
        <v>6.5168372363008237E-2</v>
      </c>
      <c r="F2295" s="965"/>
      <c r="G2295" s="965"/>
      <c r="H2295" s="1308"/>
      <c r="I2295" s="753"/>
      <c r="J2295" s="965"/>
      <c r="K2295" s="965"/>
      <c r="L2295" s="1308"/>
      <c r="M2295" s="1308"/>
      <c r="N2295" s="535"/>
      <c r="P2295" s="500"/>
    </row>
    <row r="2296" spans="1:16" s="3024" customFormat="1" ht="14.25" customHeight="1" x14ac:dyDescent="0.25">
      <c r="A2296" s="352"/>
      <c r="B2296" s="1242"/>
      <c r="C2296" s="3926" t="s">
        <v>7210</v>
      </c>
      <c r="D2296" s="4184">
        <v>200000000</v>
      </c>
      <c r="E2296" s="880">
        <f>D2296/D1943*100</f>
        <v>0.13033674472601647</v>
      </c>
      <c r="F2296" s="965"/>
      <c r="G2296" s="965"/>
      <c r="H2296" s="1308"/>
      <c r="I2296" s="753"/>
      <c r="J2296" s="965"/>
      <c r="K2296" s="965"/>
      <c r="L2296" s="1308"/>
      <c r="M2296" s="1308"/>
      <c r="N2296" s="535"/>
      <c r="P2296" s="500"/>
    </row>
    <row r="2297" spans="1:16" s="3024" customFormat="1" ht="14.25" customHeight="1" x14ac:dyDescent="0.25">
      <c r="A2297" s="352"/>
      <c r="B2297" s="1242"/>
      <c r="C2297" s="3926" t="s">
        <v>7211</v>
      </c>
      <c r="D2297" s="4184">
        <v>100000000</v>
      </c>
      <c r="E2297" s="880">
        <f>D2297/D1943*100</f>
        <v>6.5168372363008237E-2</v>
      </c>
      <c r="F2297" s="965"/>
      <c r="G2297" s="965"/>
      <c r="H2297" s="1308"/>
      <c r="I2297" s="753"/>
      <c r="J2297" s="965"/>
      <c r="K2297" s="965"/>
      <c r="L2297" s="1308"/>
      <c r="M2297" s="1308"/>
      <c r="N2297" s="535"/>
      <c r="P2297" s="500"/>
    </row>
    <row r="2298" spans="1:16" s="3024" customFormat="1" ht="14.25" customHeight="1" x14ac:dyDescent="0.25">
      <c r="A2298" s="352"/>
      <c r="B2298" s="1242"/>
      <c r="C2298" s="3926" t="s">
        <v>7212</v>
      </c>
      <c r="D2298" s="4184">
        <v>150000000</v>
      </c>
      <c r="E2298" s="880">
        <f>D2298/D1943*100</f>
        <v>9.7752558544512369E-2</v>
      </c>
      <c r="F2298" s="965"/>
      <c r="G2298" s="965"/>
      <c r="H2298" s="1308"/>
      <c r="I2298" s="753"/>
      <c r="J2298" s="965"/>
      <c r="K2298" s="965"/>
      <c r="L2298" s="1308"/>
      <c r="M2298" s="1308"/>
      <c r="N2298" s="535"/>
      <c r="P2298" s="500"/>
    </row>
    <row r="2299" spans="1:16" ht="13.5" customHeight="1" x14ac:dyDescent="0.25">
      <c r="B2299" s="1242"/>
      <c r="C2299" s="3929"/>
      <c r="D2299" s="976"/>
      <c r="E2299" s="995"/>
      <c r="F2299" s="985"/>
      <c r="G2299" s="798"/>
      <c r="H2299" s="805"/>
      <c r="I2299" s="805"/>
      <c r="J2299" s="982"/>
      <c r="K2299" s="2225"/>
      <c r="L2299" s="2271"/>
      <c r="M2299" s="2271"/>
      <c r="N2299" s="535"/>
    </row>
    <row r="2300" spans="1:16" ht="15" customHeight="1" x14ac:dyDescent="0.25">
      <c r="B2300" s="1305"/>
      <c r="C2300" s="3934" t="s">
        <v>7213</v>
      </c>
      <c r="D2300" s="4243">
        <f>D2301+D2304</f>
        <v>639100000</v>
      </c>
      <c r="E2300" s="1462">
        <f>D2300/D1943*100</f>
        <v>0.41649106777198569</v>
      </c>
      <c r="F2300" s="998"/>
      <c r="G2300" s="998"/>
      <c r="H2300" s="807"/>
      <c r="I2300" s="807"/>
      <c r="J2300" s="980"/>
      <c r="K2300" s="980"/>
      <c r="L2300" s="1306"/>
      <c r="M2300" s="1726"/>
      <c r="N2300" s="535"/>
    </row>
    <row r="2301" spans="1:16" ht="16.5" customHeight="1" x14ac:dyDescent="0.25">
      <c r="B2301" s="1242"/>
      <c r="C2301" s="3935" t="s">
        <v>7214</v>
      </c>
      <c r="D2301" s="4253">
        <f>D2302</f>
        <v>100000000</v>
      </c>
      <c r="E2301" s="1461">
        <f>D2301/D1943*100</f>
        <v>6.5168372363008237E-2</v>
      </c>
      <c r="F2301" s="999"/>
      <c r="G2301" s="999"/>
      <c r="H2301" s="753"/>
      <c r="I2301" s="1018"/>
      <c r="J2301" s="1894"/>
      <c r="K2301" s="1894"/>
      <c r="L2301" s="1308"/>
      <c r="M2301" s="2264"/>
      <c r="N2301" s="535"/>
    </row>
    <row r="2302" spans="1:16" ht="30.75" customHeight="1" x14ac:dyDescent="0.25">
      <c r="B2302" s="1242"/>
      <c r="C2302" s="3926" t="s">
        <v>7215</v>
      </c>
      <c r="D2302" s="666">
        <v>100000000</v>
      </c>
      <c r="E2302" s="885">
        <f>D2302/D1943*100</f>
        <v>6.5168372363008237E-2</v>
      </c>
      <c r="F2302" s="965"/>
      <c r="G2302" s="965"/>
      <c r="H2302" s="753"/>
      <c r="I2302" s="1018"/>
      <c r="J2302" s="965"/>
      <c r="K2302" s="965"/>
      <c r="L2302" s="1308"/>
      <c r="M2302" s="2278"/>
      <c r="N2302" s="535"/>
    </row>
    <row r="2303" spans="1:16" s="3024" customFormat="1" ht="13.5" customHeight="1" x14ac:dyDescent="0.25">
      <c r="A2303" s="352"/>
      <c r="B2303" s="1242"/>
      <c r="C2303" s="3926"/>
      <c r="D2303" s="4184"/>
      <c r="E2303" s="1461"/>
      <c r="F2303" s="965"/>
      <c r="G2303" s="983"/>
      <c r="H2303" s="803"/>
      <c r="I2303" s="1018"/>
      <c r="J2303" s="965"/>
      <c r="K2303" s="3362"/>
      <c r="L2303" s="1308"/>
      <c r="M2303" s="2278"/>
      <c r="N2303" s="535"/>
      <c r="P2303" s="500"/>
    </row>
    <row r="2304" spans="1:16" ht="30.75" customHeight="1" x14ac:dyDescent="0.25">
      <c r="B2304" s="1242"/>
      <c r="C2304" s="4072" t="s">
        <v>7216</v>
      </c>
      <c r="D2304" s="673">
        <f>SUM(D2305:D2307)</f>
        <v>539100000</v>
      </c>
      <c r="E2304" s="1461">
        <f>D2304/D1943*100</f>
        <v>0.35132269540897748</v>
      </c>
      <c r="F2304" s="967"/>
      <c r="G2304" s="798"/>
      <c r="H2304" s="1310"/>
      <c r="I2304" s="805"/>
      <c r="J2304" s="963"/>
      <c r="K2304" s="2225"/>
      <c r="L2304" s="1310"/>
      <c r="M2304" s="2271"/>
      <c r="N2304" s="535"/>
    </row>
    <row r="2305" spans="1:16" ht="15.75" customHeight="1" x14ac:dyDescent="0.25">
      <c r="B2305" s="1242"/>
      <c r="C2305" s="3877" t="s">
        <v>7217</v>
      </c>
      <c r="D2305" s="4184">
        <v>327000000</v>
      </c>
      <c r="E2305" s="885">
        <f>D2305/D1943*100</f>
        <v>0.21310057762703696</v>
      </c>
      <c r="F2305" s="967"/>
      <c r="G2305" s="798"/>
      <c r="H2305" s="1310"/>
      <c r="I2305" s="805"/>
      <c r="J2305" s="963"/>
      <c r="K2305" s="2225"/>
      <c r="L2305" s="1310"/>
      <c r="M2305" s="2271"/>
      <c r="N2305" s="535"/>
    </row>
    <row r="2306" spans="1:16" ht="17.25" customHeight="1" x14ac:dyDescent="0.25">
      <c r="B2306" s="1242"/>
      <c r="C2306" s="3877" t="s">
        <v>7218</v>
      </c>
      <c r="D2306" s="4184">
        <v>162100000</v>
      </c>
      <c r="E2306" s="885">
        <f>D2306/D1943*100</f>
        <v>0.10563793160043636</v>
      </c>
      <c r="F2306" s="967"/>
      <c r="G2306" s="798"/>
      <c r="H2306" s="1310"/>
      <c r="I2306" s="805"/>
      <c r="J2306" s="963"/>
      <c r="K2306" s="2225"/>
      <c r="L2306" s="1310"/>
      <c r="M2306" s="2271"/>
      <c r="N2306" s="535"/>
    </row>
    <row r="2307" spans="1:16" ht="15.75" customHeight="1" x14ac:dyDescent="0.25">
      <c r="B2307" s="1242"/>
      <c r="C2307" s="3877" t="s">
        <v>7219</v>
      </c>
      <c r="D2307" s="4184">
        <v>50000000</v>
      </c>
      <c r="E2307" s="885">
        <f>D2307/D1943*100</f>
        <v>3.2584186181504118E-2</v>
      </c>
      <c r="F2307" s="967"/>
      <c r="G2307" s="798"/>
      <c r="H2307" s="1310"/>
      <c r="I2307" s="805"/>
      <c r="J2307" s="963"/>
      <c r="K2307" s="2225"/>
      <c r="L2307" s="1310"/>
      <c r="M2307" s="2271"/>
      <c r="N2307" s="535"/>
    </row>
    <row r="2308" spans="1:16" ht="13.5" customHeight="1" x14ac:dyDescent="0.25">
      <c r="B2308" s="1242"/>
      <c r="C2308" s="3929"/>
      <c r="D2308" s="976"/>
      <c r="E2308" s="995"/>
      <c r="F2308" s="985"/>
      <c r="G2308" s="798"/>
      <c r="H2308" s="805"/>
      <c r="I2308" s="805"/>
      <c r="J2308" s="2382"/>
      <c r="K2308" s="2225"/>
      <c r="L2308" s="2271"/>
      <c r="M2308" s="2271"/>
      <c r="N2308" s="535"/>
    </row>
    <row r="2309" spans="1:16" ht="18" customHeight="1" x14ac:dyDescent="0.25">
      <c r="B2309" s="1305"/>
      <c r="C2309" s="3934" t="s">
        <v>7220</v>
      </c>
      <c r="D2309" s="4243">
        <f>D2310+D2313</f>
        <v>9990000000</v>
      </c>
      <c r="E2309" s="1462">
        <f>D2309/D1943*100</f>
        <v>6.5103203990645229</v>
      </c>
      <c r="F2309" s="980"/>
      <c r="G2309" s="980"/>
      <c r="H2309" s="807"/>
      <c r="I2309" s="807"/>
      <c r="J2309" s="980"/>
      <c r="K2309" s="980"/>
      <c r="L2309" s="807"/>
      <c r="M2309" s="1726"/>
      <c r="N2309" s="535"/>
    </row>
    <row r="2310" spans="1:16" ht="15.75" customHeight="1" x14ac:dyDescent="0.25">
      <c r="B2310" s="1242"/>
      <c r="C2310" s="3936" t="s">
        <v>336</v>
      </c>
      <c r="D2310" s="4241">
        <f>D2311</f>
        <v>2500000000</v>
      </c>
      <c r="E2310" s="1461">
        <f>D2310/D1943*100</f>
        <v>1.6292093090752062</v>
      </c>
      <c r="F2310" s="994"/>
      <c r="G2310" s="994"/>
      <c r="H2310" s="793"/>
      <c r="I2310" s="793"/>
      <c r="J2310" s="994"/>
      <c r="K2310" s="994"/>
      <c r="L2310" s="793"/>
      <c r="M2310" s="857"/>
      <c r="N2310" s="535"/>
    </row>
    <row r="2311" spans="1:16" ht="15.75" customHeight="1" x14ac:dyDescent="0.25">
      <c r="B2311" s="1242"/>
      <c r="C2311" s="3877" t="s">
        <v>7221</v>
      </c>
      <c r="D2311" s="4184">
        <v>2500000000</v>
      </c>
      <c r="E2311" s="885">
        <f>D2311/D1943*100</f>
        <v>1.6292093090752062</v>
      </c>
      <c r="F2311" s="967"/>
      <c r="G2311" s="798"/>
      <c r="H2311" s="1310"/>
      <c r="I2311" s="805"/>
      <c r="J2311" s="963"/>
      <c r="K2311" s="865"/>
      <c r="L2311" s="1310"/>
      <c r="M2311" s="798"/>
      <c r="N2311" s="535"/>
    </row>
    <row r="2312" spans="1:16" ht="9.75" customHeight="1" x14ac:dyDescent="0.25">
      <c r="B2312" s="1242"/>
      <c r="C2312" s="3929"/>
      <c r="D2312" s="4184"/>
      <c r="E2312" s="995"/>
      <c r="F2312" s="967"/>
      <c r="G2312" s="798"/>
      <c r="H2312" s="798"/>
      <c r="I2312" s="798"/>
      <c r="J2312" s="2382"/>
      <c r="K2312" s="2225"/>
      <c r="L2312" s="2271"/>
      <c r="M2312" s="2271"/>
      <c r="N2312" s="535"/>
    </row>
    <row r="2313" spans="1:16" ht="18" customHeight="1" x14ac:dyDescent="0.25">
      <c r="B2313" s="1242"/>
      <c r="C2313" s="3919" t="s">
        <v>7222</v>
      </c>
      <c r="D2313" s="4242">
        <f>SUM(D2314:D2322)</f>
        <v>7490000000</v>
      </c>
      <c r="E2313" s="1415">
        <f>D2313/D1943*100</f>
        <v>4.881111089989318</v>
      </c>
      <c r="F2313" s="968"/>
      <c r="G2313" s="857"/>
      <c r="H2313" s="857"/>
      <c r="I2313" s="857"/>
      <c r="J2313" s="968"/>
      <c r="K2313" s="968"/>
      <c r="L2313" s="1308"/>
      <c r="M2313" s="2278"/>
      <c r="N2313" s="535"/>
    </row>
    <row r="2314" spans="1:16" s="3024" customFormat="1" ht="18" customHeight="1" x14ac:dyDescent="0.25">
      <c r="A2314" s="352"/>
      <c r="B2314" s="1242"/>
      <c r="C2314" s="3926" t="s">
        <v>7223</v>
      </c>
      <c r="D2314" s="4254">
        <v>830000000</v>
      </c>
      <c r="E2314" s="885">
        <f>D2314/D1943*100</f>
        <v>0.54089749061296843</v>
      </c>
      <c r="F2314" s="968"/>
      <c r="G2314" s="857"/>
      <c r="H2314" s="857"/>
      <c r="I2314" s="857"/>
      <c r="J2314" s="968"/>
      <c r="K2314" s="3363"/>
      <c r="L2314" s="2251"/>
      <c r="M2314" s="2278"/>
      <c r="N2314" s="535"/>
      <c r="P2314" s="500"/>
    </row>
    <row r="2315" spans="1:16" s="3024" customFormat="1" ht="18" customHeight="1" x14ac:dyDescent="0.25">
      <c r="A2315" s="352"/>
      <c r="B2315" s="1242"/>
      <c r="C2315" s="3926" t="s">
        <v>7224</v>
      </c>
      <c r="D2315" s="4254">
        <v>830000000</v>
      </c>
      <c r="E2315" s="885">
        <f>D2315/D1943*100</f>
        <v>0.54089749061296843</v>
      </c>
      <c r="F2315" s="968"/>
      <c r="G2315" s="857"/>
      <c r="H2315" s="857"/>
      <c r="I2315" s="857"/>
      <c r="J2315" s="968"/>
      <c r="K2315" s="3363"/>
      <c r="L2315" s="2251"/>
      <c r="M2315" s="2278"/>
      <c r="N2315" s="535"/>
      <c r="P2315" s="500"/>
    </row>
    <row r="2316" spans="1:16" s="3024" customFormat="1" ht="18" customHeight="1" x14ac:dyDescent="0.25">
      <c r="A2316" s="352"/>
      <c r="B2316" s="1242"/>
      <c r="C2316" s="3926" t="s">
        <v>7225</v>
      </c>
      <c r="D2316" s="4254">
        <v>830000000</v>
      </c>
      <c r="E2316" s="885">
        <f>D2316/D1943*100</f>
        <v>0.54089749061296843</v>
      </c>
      <c r="F2316" s="968"/>
      <c r="G2316" s="857"/>
      <c r="H2316" s="857"/>
      <c r="I2316" s="857"/>
      <c r="J2316" s="968"/>
      <c r="K2316" s="3363"/>
      <c r="L2316" s="2251"/>
      <c r="M2316" s="2278"/>
      <c r="N2316" s="535"/>
      <c r="P2316" s="500"/>
    </row>
    <row r="2317" spans="1:16" s="3024" customFormat="1" ht="18" customHeight="1" x14ac:dyDescent="0.25">
      <c r="A2317" s="352"/>
      <c r="B2317" s="1242"/>
      <c r="C2317" s="3926" t="s">
        <v>7226</v>
      </c>
      <c r="D2317" s="4254">
        <v>500000000</v>
      </c>
      <c r="E2317" s="885">
        <f>D2317/D1943*100</f>
        <v>0.32584186181504121</v>
      </c>
      <c r="F2317" s="968"/>
      <c r="G2317" s="857"/>
      <c r="H2317" s="857"/>
      <c r="I2317" s="857"/>
      <c r="J2317" s="968"/>
      <c r="K2317" s="3363"/>
      <c r="L2317" s="2251"/>
      <c r="M2317" s="2278"/>
      <c r="N2317" s="535"/>
      <c r="P2317" s="500"/>
    </row>
    <row r="2318" spans="1:16" s="3024" customFormat="1" ht="18" customHeight="1" x14ac:dyDescent="0.25">
      <c r="A2318" s="352"/>
      <c r="B2318" s="1242"/>
      <c r="C2318" s="3926" t="s">
        <v>7227</v>
      </c>
      <c r="D2318" s="4254">
        <v>500000000</v>
      </c>
      <c r="E2318" s="885">
        <f>D2318/D1943*100</f>
        <v>0.32584186181504121</v>
      </c>
      <c r="F2318" s="968"/>
      <c r="G2318" s="857"/>
      <c r="H2318" s="857"/>
      <c r="I2318" s="857"/>
      <c r="J2318" s="968"/>
      <c r="K2318" s="3363"/>
      <c r="L2318" s="2251"/>
      <c r="M2318" s="2278"/>
      <c r="N2318" s="535"/>
      <c r="P2318" s="500"/>
    </row>
    <row r="2319" spans="1:16" s="3024" customFormat="1" ht="18" customHeight="1" x14ac:dyDescent="0.25">
      <c r="A2319" s="352"/>
      <c r="B2319" s="1242"/>
      <c r="C2319" s="3926" t="s">
        <v>7228</v>
      </c>
      <c r="D2319" s="4254">
        <v>500000000</v>
      </c>
      <c r="E2319" s="885">
        <f>D2319/D1943*100</f>
        <v>0.32584186181504121</v>
      </c>
      <c r="F2319" s="968"/>
      <c r="G2319" s="857"/>
      <c r="H2319" s="857"/>
      <c r="I2319" s="857"/>
      <c r="J2319" s="968"/>
      <c r="K2319" s="3363"/>
      <c r="L2319" s="2251"/>
      <c r="M2319" s="2278"/>
      <c r="N2319" s="535"/>
      <c r="P2319" s="500"/>
    </row>
    <row r="2320" spans="1:16" s="3024" customFormat="1" ht="18" customHeight="1" x14ac:dyDescent="0.25">
      <c r="A2320" s="352"/>
      <c r="B2320" s="1242"/>
      <c r="C2320" s="3926" t="s">
        <v>7229</v>
      </c>
      <c r="D2320" s="4254">
        <v>2500000000</v>
      </c>
      <c r="E2320" s="885">
        <f>D2320/D1943*100</f>
        <v>1.6292093090752062</v>
      </c>
      <c r="F2320" s="968"/>
      <c r="G2320" s="857"/>
      <c r="H2320" s="857"/>
      <c r="I2320" s="857"/>
      <c r="J2320" s="968"/>
      <c r="K2320" s="3363"/>
      <c r="L2320" s="2251"/>
      <c r="M2320" s="2278"/>
      <c r="N2320" s="535"/>
      <c r="P2320" s="500"/>
    </row>
    <row r="2321" spans="1:16" s="3024" customFormat="1" ht="18" customHeight="1" x14ac:dyDescent="0.25">
      <c r="A2321" s="352"/>
      <c r="B2321" s="1242"/>
      <c r="C2321" s="3926" t="s">
        <v>7230</v>
      </c>
      <c r="D2321" s="4254">
        <v>500000000</v>
      </c>
      <c r="E2321" s="885">
        <f>D2321/D1943*100</f>
        <v>0.32584186181504121</v>
      </c>
      <c r="F2321" s="968"/>
      <c r="G2321" s="857"/>
      <c r="H2321" s="857"/>
      <c r="I2321" s="857"/>
      <c r="J2321" s="968"/>
      <c r="K2321" s="3363"/>
      <c r="L2321" s="2251"/>
      <c r="M2321" s="2278"/>
      <c r="N2321" s="535"/>
      <c r="P2321" s="500"/>
    </row>
    <row r="2322" spans="1:16" s="3024" customFormat="1" ht="18" customHeight="1" x14ac:dyDescent="0.25">
      <c r="A2322" s="352"/>
      <c r="B2322" s="1242"/>
      <c r="C2322" s="3926" t="s">
        <v>7231</v>
      </c>
      <c r="D2322" s="4254">
        <v>500000000</v>
      </c>
      <c r="E2322" s="885">
        <f>D2322/D1943*100</f>
        <v>0.32584186181504121</v>
      </c>
      <c r="F2322" s="968"/>
      <c r="G2322" s="857"/>
      <c r="H2322" s="857"/>
      <c r="I2322" s="857"/>
      <c r="J2322" s="968"/>
      <c r="K2322" s="3363"/>
      <c r="L2322" s="2251"/>
      <c r="M2322" s="2278"/>
      <c r="N2322" s="535"/>
      <c r="P2322" s="500"/>
    </row>
    <row r="2323" spans="1:16" ht="13.5" customHeight="1" x14ac:dyDescent="0.25">
      <c r="B2323" s="1242"/>
      <c r="C2323" s="3929"/>
      <c r="D2323" s="976"/>
      <c r="E2323" s="995"/>
      <c r="F2323" s="985"/>
      <c r="G2323" s="798"/>
      <c r="H2323" s="805"/>
      <c r="I2323" s="805"/>
      <c r="J2323" s="2382"/>
      <c r="K2323" s="2225"/>
      <c r="L2323" s="2271"/>
      <c r="M2323" s="2271"/>
      <c r="N2323" s="535"/>
    </row>
    <row r="2324" spans="1:16" s="3024" customFormat="1" ht="21" customHeight="1" x14ac:dyDescent="0.25">
      <c r="A2324" s="352"/>
      <c r="B2324" s="1305"/>
      <c r="C2324" s="4076" t="s">
        <v>7232</v>
      </c>
      <c r="D2324" s="4255">
        <f>SUM(D2325+D2328)</f>
        <v>500000000</v>
      </c>
      <c r="E2324" s="1462">
        <f>D2324/D1943*100</f>
        <v>0.32584186181504121</v>
      </c>
      <c r="F2324" s="3368"/>
      <c r="G2324" s="3369"/>
      <c r="H2324" s="3369"/>
      <c r="I2324" s="3369"/>
      <c r="J2324" s="3370"/>
      <c r="K2324" s="3371"/>
      <c r="L2324" s="3372"/>
      <c r="M2324" s="3372"/>
      <c r="N2324" s="535"/>
      <c r="P2324" s="500"/>
    </row>
    <row r="2325" spans="1:16" s="3024" customFormat="1" ht="17.25" customHeight="1" x14ac:dyDescent="0.25">
      <c r="A2325" s="352"/>
      <c r="B2325" s="1242"/>
      <c r="C2325" s="4075" t="s">
        <v>7233</v>
      </c>
      <c r="D2325" s="4249">
        <f>D2326</f>
        <v>300000000</v>
      </c>
      <c r="E2325" s="1461">
        <f>D2325/D1943*100</f>
        <v>0.19550511708902474</v>
      </c>
      <c r="F2325" s="1589"/>
      <c r="G2325" s="827"/>
      <c r="H2325" s="804"/>
      <c r="I2325" s="804"/>
      <c r="J2325" s="3373"/>
      <c r="K2325" s="3374"/>
      <c r="L2325" s="1649"/>
      <c r="M2325" s="1649"/>
      <c r="N2325" s="535"/>
      <c r="P2325" s="500"/>
    </row>
    <row r="2326" spans="1:16" s="3024" customFormat="1" ht="15" customHeight="1" x14ac:dyDescent="0.25">
      <c r="A2326" s="352"/>
      <c r="B2326" s="1242"/>
      <c r="C2326" s="3932" t="s">
        <v>7234</v>
      </c>
      <c r="D2326" s="4184">
        <v>300000000</v>
      </c>
      <c r="E2326" s="885">
        <f>D2326/D1943*100</f>
        <v>0.19550511708902474</v>
      </c>
      <c r="F2326" s="967"/>
      <c r="G2326" s="755"/>
      <c r="H2326" s="755"/>
      <c r="I2326" s="755"/>
      <c r="J2326" s="2372"/>
      <c r="K2326" s="1753"/>
      <c r="L2326" s="1716"/>
      <c r="M2326" s="1716"/>
      <c r="N2326" s="535"/>
      <c r="P2326" s="500"/>
    </row>
    <row r="2327" spans="1:16" s="3024" customFormat="1" ht="9.75" customHeight="1" x14ac:dyDescent="0.25">
      <c r="A2327" s="352"/>
      <c r="B2327" s="1242"/>
      <c r="C2327" s="3932"/>
      <c r="D2327" s="4184"/>
      <c r="E2327" s="880"/>
      <c r="F2327" s="967"/>
      <c r="G2327" s="755"/>
      <c r="H2327" s="755"/>
      <c r="I2327" s="755"/>
      <c r="J2327" s="2372"/>
      <c r="K2327" s="1753"/>
      <c r="L2327" s="1716"/>
      <c r="M2327" s="1716"/>
      <c r="N2327" s="535"/>
      <c r="P2327" s="500"/>
    </row>
    <row r="2328" spans="1:16" s="3024" customFormat="1" ht="17.25" customHeight="1" x14ac:dyDescent="0.25">
      <c r="A2328" s="352"/>
      <c r="B2328" s="1242"/>
      <c r="C2328" s="3859" t="s">
        <v>7235</v>
      </c>
      <c r="D2328" s="4235">
        <f>SUM(D2329:D2330)</f>
        <v>200000000</v>
      </c>
      <c r="E2328" s="1461">
        <f>D2328/D1943*100</f>
        <v>0.13033674472601647</v>
      </c>
      <c r="F2328" s="967"/>
      <c r="G2328" s="755"/>
      <c r="H2328" s="755"/>
      <c r="I2328" s="755"/>
      <c r="J2328" s="2372"/>
      <c r="K2328" s="1753"/>
      <c r="L2328" s="1716"/>
      <c r="M2328" s="1716"/>
      <c r="N2328" s="535"/>
      <c r="P2328" s="500"/>
    </row>
    <row r="2329" spans="1:16" s="3024" customFormat="1" ht="15.75" customHeight="1" x14ac:dyDescent="0.25">
      <c r="A2329" s="352"/>
      <c r="B2329" s="1242"/>
      <c r="C2329" s="3932" t="s">
        <v>7236</v>
      </c>
      <c r="D2329" s="4184">
        <v>100000000</v>
      </c>
      <c r="E2329" s="885">
        <f>D2329/D1943*100</f>
        <v>6.5168372363008237E-2</v>
      </c>
      <c r="F2329" s="967"/>
      <c r="G2329" s="755"/>
      <c r="H2329" s="755"/>
      <c r="I2329" s="755"/>
      <c r="J2329" s="2372"/>
      <c r="K2329" s="1753"/>
      <c r="L2329" s="1716"/>
      <c r="M2329" s="1716"/>
      <c r="N2329" s="535"/>
      <c r="P2329" s="500"/>
    </row>
    <row r="2330" spans="1:16" s="3024" customFormat="1" ht="15.75" customHeight="1" x14ac:dyDescent="0.25">
      <c r="A2330" s="352"/>
      <c r="B2330" s="1242"/>
      <c r="C2330" s="3932" t="s">
        <v>7237</v>
      </c>
      <c r="D2330" s="4184">
        <v>100000000</v>
      </c>
      <c r="E2330" s="885">
        <f>D2330/D1943*100</f>
        <v>6.5168372363008237E-2</v>
      </c>
      <c r="F2330" s="967"/>
      <c r="G2330" s="755"/>
      <c r="H2330" s="755"/>
      <c r="I2330" s="755"/>
      <c r="J2330" s="2372"/>
      <c r="K2330" s="1753"/>
      <c r="L2330" s="1716"/>
      <c r="M2330" s="1716"/>
      <c r="N2330" s="535"/>
      <c r="P2330" s="500"/>
    </row>
    <row r="2331" spans="1:16" s="3024" customFormat="1" ht="13.5" customHeight="1" x14ac:dyDescent="0.25">
      <c r="A2331" s="352"/>
      <c r="B2331" s="1242"/>
      <c r="C2331" s="4073"/>
      <c r="D2331" s="4252"/>
      <c r="E2331" s="886"/>
      <c r="F2331" s="1589"/>
      <c r="G2331" s="827"/>
      <c r="H2331" s="804"/>
      <c r="I2331" s="804"/>
      <c r="J2331" s="3375"/>
      <c r="K2331" s="1961"/>
      <c r="L2331" s="1649"/>
      <c r="M2331" s="1649"/>
      <c r="N2331" s="535"/>
      <c r="P2331" s="500"/>
    </row>
    <row r="2332" spans="1:16" s="3024" customFormat="1" ht="17.25" customHeight="1" x14ac:dyDescent="0.25">
      <c r="A2332" s="352"/>
      <c r="B2332" s="1305"/>
      <c r="C2332" s="4076" t="s">
        <v>7238</v>
      </c>
      <c r="D2332" s="4243">
        <f>SUM(D2333+D2337)</f>
        <v>2052700000</v>
      </c>
      <c r="E2332" s="1462">
        <f>D2332/D1943*100</f>
        <v>1.3377111794954701</v>
      </c>
      <c r="F2332" s="3364"/>
      <c r="G2332" s="2226"/>
      <c r="H2332" s="2226"/>
      <c r="I2332" s="2226"/>
      <c r="J2332" s="3365"/>
      <c r="K2332" s="3366"/>
      <c r="L2332" s="3367"/>
      <c r="M2332" s="3367"/>
      <c r="N2332" s="535"/>
      <c r="P2332" s="500"/>
    </row>
    <row r="2333" spans="1:16" s="3024" customFormat="1" ht="27" customHeight="1" x14ac:dyDescent="0.25">
      <c r="A2333" s="352"/>
      <c r="B2333" s="1242"/>
      <c r="C2333" s="3871" t="s">
        <v>7239</v>
      </c>
      <c r="D2333" s="889">
        <f>SUM(D2334:D2335)</f>
        <v>552700000</v>
      </c>
      <c r="E2333" s="1461">
        <f>D2333/D1943*100</f>
        <v>0.36018559405034656</v>
      </c>
      <c r="F2333" s="978"/>
      <c r="G2333" s="782"/>
      <c r="H2333" s="782"/>
      <c r="I2333" s="782"/>
      <c r="J2333" s="2378"/>
      <c r="K2333" s="1762"/>
      <c r="L2333" s="1649"/>
      <c r="M2333" s="1649"/>
      <c r="N2333" s="535"/>
      <c r="P2333" s="500"/>
    </row>
    <row r="2334" spans="1:16" s="3024" customFormat="1" ht="15" customHeight="1" x14ac:dyDescent="0.25">
      <c r="A2334" s="352"/>
      <c r="B2334" s="1242"/>
      <c r="C2334" s="3932" t="s">
        <v>7240</v>
      </c>
      <c r="D2334" s="4184">
        <v>343550000</v>
      </c>
      <c r="E2334" s="885">
        <f>D2334/D1943*100</f>
        <v>0.22388594325311481</v>
      </c>
      <c r="F2334" s="967"/>
      <c r="G2334" s="755"/>
      <c r="H2334" s="755"/>
      <c r="I2334" s="755"/>
      <c r="J2334" s="2372"/>
      <c r="K2334" s="1753"/>
      <c r="L2334" s="1649"/>
      <c r="M2334" s="1649"/>
      <c r="N2334" s="535"/>
      <c r="P2334" s="500"/>
    </row>
    <row r="2335" spans="1:16" s="3024" customFormat="1" ht="17.25" customHeight="1" x14ac:dyDescent="0.25">
      <c r="A2335" s="352"/>
      <c r="B2335" s="1242"/>
      <c r="C2335" s="3932" t="s">
        <v>7241</v>
      </c>
      <c r="D2335" s="4184">
        <v>209150000</v>
      </c>
      <c r="E2335" s="885">
        <f>D2335/D1943*100</f>
        <v>0.13629965079723175</v>
      </c>
      <c r="F2335" s="967"/>
      <c r="G2335" s="755"/>
      <c r="H2335" s="755"/>
      <c r="I2335" s="755"/>
      <c r="J2335" s="2372"/>
      <c r="K2335" s="1753"/>
      <c r="L2335" s="1649"/>
      <c r="M2335" s="1649"/>
      <c r="N2335" s="535"/>
      <c r="P2335" s="500"/>
    </row>
    <row r="2336" spans="1:16" s="3024" customFormat="1" ht="13.5" customHeight="1" x14ac:dyDescent="0.25">
      <c r="A2336" s="352"/>
      <c r="B2336" s="1242"/>
      <c r="C2336" s="3932"/>
      <c r="D2336" s="4184"/>
      <c r="E2336" s="880"/>
      <c r="F2336" s="967"/>
      <c r="G2336" s="755"/>
      <c r="H2336" s="755"/>
      <c r="I2336" s="755"/>
      <c r="J2336" s="2372"/>
      <c r="K2336" s="1753"/>
      <c r="L2336" s="1649"/>
      <c r="M2336" s="1649"/>
      <c r="N2336" s="535"/>
      <c r="P2336" s="500"/>
    </row>
    <row r="2337" spans="1:16" s="3024" customFormat="1" ht="15" customHeight="1" x14ac:dyDescent="0.25">
      <c r="A2337" s="352"/>
      <c r="B2337" s="1242"/>
      <c r="C2337" s="3859" t="s">
        <v>7242</v>
      </c>
      <c r="D2337" s="4235">
        <f>D2338</f>
        <v>1500000000</v>
      </c>
      <c r="E2337" s="1461">
        <f>D2337/D1943*100</f>
        <v>0.97752558544512369</v>
      </c>
      <c r="F2337" s="967"/>
      <c r="G2337" s="755"/>
      <c r="H2337" s="755"/>
      <c r="I2337" s="755"/>
      <c r="J2337" s="2372"/>
      <c r="K2337" s="1753"/>
      <c r="L2337" s="1649"/>
      <c r="M2337" s="1649"/>
      <c r="N2337" s="535"/>
      <c r="P2337" s="500"/>
    </row>
    <row r="2338" spans="1:16" s="3024" customFormat="1" ht="15" customHeight="1" x14ac:dyDescent="0.25">
      <c r="A2338" s="352"/>
      <c r="B2338" s="1242"/>
      <c r="C2338" s="3932" t="s">
        <v>7243</v>
      </c>
      <c r="D2338" s="4184">
        <v>1500000000</v>
      </c>
      <c r="E2338" s="885">
        <f>D2338/D1943*100</f>
        <v>0.97752558544512369</v>
      </c>
      <c r="F2338" s="967"/>
      <c r="G2338" s="755"/>
      <c r="H2338" s="755"/>
      <c r="I2338" s="755"/>
      <c r="J2338" s="2372"/>
      <c r="K2338" s="1753"/>
      <c r="L2338" s="1649"/>
      <c r="M2338" s="1649"/>
      <c r="N2338" s="535"/>
      <c r="P2338" s="500"/>
    </row>
    <row r="2339" spans="1:16" s="3024" customFormat="1" ht="13.5" customHeight="1" x14ac:dyDescent="0.25">
      <c r="A2339" s="352"/>
      <c r="B2339" s="1242"/>
      <c r="C2339" s="4074"/>
      <c r="D2339" s="4252"/>
      <c r="E2339" s="886"/>
      <c r="F2339" s="1589"/>
      <c r="G2339" s="827"/>
      <c r="H2339" s="804"/>
      <c r="I2339" s="804"/>
      <c r="J2339" s="3377"/>
      <c r="K2339" s="3376"/>
      <c r="L2339" s="1649"/>
      <c r="M2339" s="1649"/>
      <c r="N2339" s="535"/>
      <c r="P2339" s="500"/>
    </row>
    <row r="2340" spans="1:16" ht="15.75" customHeight="1" x14ac:dyDescent="0.25">
      <c r="B2340" s="1305"/>
      <c r="C2340" s="3858" t="s">
        <v>6944</v>
      </c>
      <c r="D2340" s="4251">
        <f>SUM(D2341+D2351+D2354)</f>
        <v>31790000000</v>
      </c>
      <c r="E2340" s="1462">
        <f>D2340/D1943*100</f>
        <v>20.717025574200321</v>
      </c>
      <c r="F2340" s="996"/>
      <c r="G2340" s="980"/>
      <c r="H2340" s="1306"/>
      <c r="I2340" s="1645"/>
      <c r="J2340" s="996"/>
      <c r="K2340" s="980"/>
      <c r="L2340" s="807"/>
      <c r="M2340" s="1307"/>
      <c r="N2340" s="535"/>
    </row>
    <row r="2341" spans="1:16" ht="18" customHeight="1" x14ac:dyDescent="0.25">
      <c r="B2341" s="1242"/>
      <c r="C2341" s="3881" t="s">
        <v>6945</v>
      </c>
      <c r="D2341" s="889">
        <f>SUM(D2342:D2349)</f>
        <v>18690000000</v>
      </c>
      <c r="E2341" s="1461">
        <f>D2341/D1943*100</f>
        <v>12.179968794646241</v>
      </c>
      <c r="F2341" s="854"/>
      <c r="G2341" s="854"/>
      <c r="H2341" s="1661"/>
      <c r="I2341" s="1309"/>
      <c r="J2341" s="1836"/>
      <c r="K2341" s="1836"/>
      <c r="L2341" s="1308"/>
      <c r="M2341" s="1659"/>
      <c r="N2341" s="535"/>
    </row>
    <row r="2342" spans="1:16" ht="18" customHeight="1" x14ac:dyDescent="0.25">
      <c r="B2342" s="1242"/>
      <c r="C2342" s="4019" t="s">
        <v>7244</v>
      </c>
      <c r="D2342" s="4217">
        <v>8000000000</v>
      </c>
      <c r="E2342" s="880">
        <f>D2342/D1943*100</f>
        <v>5.2134697890406594</v>
      </c>
      <c r="F2342" s="1252"/>
      <c r="G2342" s="798"/>
      <c r="H2342" s="798"/>
      <c r="I2342" s="798"/>
      <c r="J2342" s="1895"/>
      <c r="K2342" s="865"/>
      <c r="L2342" s="798"/>
      <c r="M2342" s="798"/>
      <c r="N2342" s="535"/>
    </row>
    <row r="2343" spans="1:16" ht="30" customHeight="1" x14ac:dyDescent="0.25">
      <c r="B2343" s="1242"/>
      <c r="C2343" s="4020" t="s">
        <v>7245</v>
      </c>
      <c r="D2343" s="4256">
        <v>1500000000</v>
      </c>
      <c r="E2343" s="880">
        <f>D2343/D1943*100</f>
        <v>0.97752558544512369</v>
      </c>
      <c r="F2343" s="1000"/>
      <c r="G2343" s="798"/>
      <c r="H2343" s="798"/>
      <c r="I2343" s="798"/>
      <c r="J2343" s="3379"/>
      <c r="K2343" s="865"/>
      <c r="L2343" s="798"/>
      <c r="M2343" s="798"/>
      <c r="N2343" s="535"/>
    </row>
    <row r="2344" spans="1:16" s="615" customFormat="1" ht="16.5" customHeight="1" x14ac:dyDescent="0.25">
      <c r="A2344" s="352"/>
      <c r="B2344" s="1242"/>
      <c r="C2344" s="4049" t="s">
        <v>7246</v>
      </c>
      <c r="D2344" s="4257">
        <v>1000000000</v>
      </c>
      <c r="E2344" s="880">
        <f>D2344/D1943*100</f>
        <v>0.65168372363008242</v>
      </c>
      <c r="F2344" s="1000"/>
      <c r="G2344" s="755"/>
      <c r="H2344" s="755"/>
      <c r="I2344" s="755"/>
      <c r="J2344" s="3380"/>
      <c r="K2344" s="1014"/>
      <c r="L2344" s="1310"/>
      <c r="M2344" s="1649"/>
      <c r="N2344" s="535"/>
      <c r="P2344" s="500"/>
    </row>
    <row r="2345" spans="1:16" s="1250" customFormat="1" ht="16.5" customHeight="1" x14ac:dyDescent="0.25">
      <c r="A2345" s="352"/>
      <c r="B2345" s="1242"/>
      <c r="C2345" s="4049" t="s">
        <v>7247</v>
      </c>
      <c r="D2345" s="660">
        <v>3690000000</v>
      </c>
      <c r="E2345" s="880">
        <f>D2345/D1943*100</f>
        <v>2.4047129401950045</v>
      </c>
      <c r="F2345" s="798"/>
      <c r="G2345" s="755"/>
      <c r="H2345" s="755"/>
      <c r="I2345" s="755"/>
      <c r="J2345" s="3380"/>
      <c r="K2345" s="1014"/>
      <c r="L2345" s="1310"/>
      <c r="M2345" s="1649"/>
      <c r="N2345" s="535"/>
      <c r="P2345" s="500"/>
    </row>
    <row r="2346" spans="1:16" s="1250" customFormat="1" ht="16.5" customHeight="1" x14ac:dyDescent="0.25">
      <c r="A2346" s="352"/>
      <c r="B2346" s="1242"/>
      <c r="C2346" s="4049" t="s">
        <v>7248</v>
      </c>
      <c r="D2346" s="660">
        <v>500000000</v>
      </c>
      <c r="E2346" s="880">
        <f>D2346/D1943*100</f>
        <v>0.32584186181504121</v>
      </c>
      <c r="F2346" s="798"/>
      <c r="G2346" s="755"/>
      <c r="H2346" s="755"/>
      <c r="I2346" s="755"/>
      <c r="J2346" s="3380"/>
      <c r="K2346" s="1014"/>
      <c r="L2346" s="798"/>
      <c r="M2346" s="798"/>
      <c r="N2346" s="535"/>
      <c r="P2346" s="500"/>
    </row>
    <row r="2347" spans="1:16" s="1250" customFormat="1" ht="16.5" customHeight="1" x14ac:dyDescent="0.25">
      <c r="A2347" s="352"/>
      <c r="B2347" s="1242"/>
      <c r="C2347" s="4049" t="s">
        <v>7249</v>
      </c>
      <c r="D2347" s="660">
        <v>1000000000</v>
      </c>
      <c r="E2347" s="880">
        <f>D2347/D1943*100</f>
        <v>0.65168372363008242</v>
      </c>
      <c r="F2347" s="798"/>
      <c r="G2347" s="755"/>
      <c r="H2347" s="755"/>
      <c r="I2347" s="755"/>
      <c r="J2347" s="3380"/>
      <c r="K2347" s="3380"/>
      <c r="L2347" s="1310"/>
      <c r="M2347" s="1649"/>
      <c r="N2347" s="535"/>
      <c r="P2347" s="500"/>
    </row>
    <row r="2348" spans="1:16" s="1250" customFormat="1" ht="16.5" customHeight="1" x14ac:dyDescent="0.25">
      <c r="A2348" s="352"/>
      <c r="B2348" s="1242"/>
      <c r="C2348" s="4049" t="s">
        <v>7250</v>
      </c>
      <c r="D2348" s="660">
        <v>2000000000</v>
      </c>
      <c r="E2348" s="880">
        <f>D2348/D1943*100</f>
        <v>1.3033674472601648</v>
      </c>
      <c r="F2348" s="798"/>
      <c r="G2348" s="755"/>
      <c r="H2348" s="755"/>
      <c r="I2348" s="755"/>
      <c r="J2348" s="3380"/>
      <c r="K2348" s="1014"/>
      <c r="L2348" s="798"/>
      <c r="M2348" s="798"/>
      <c r="N2348" s="535"/>
      <c r="P2348" s="500"/>
    </row>
    <row r="2349" spans="1:16" s="3024" customFormat="1" ht="33" customHeight="1" x14ac:dyDescent="0.25">
      <c r="A2349" s="352"/>
      <c r="B2349" s="1242"/>
      <c r="C2349" s="4077" t="s">
        <v>7251</v>
      </c>
      <c r="D2349" s="780">
        <v>1000000000</v>
      </c>
      <c r="E2349" s="880">
        <f>D2349/D1943*100</f>
        <v>0.65168372363008242</v>
      </c>
      <c r="F2349" s="755"/>
      <c r="G2349" s="755"/>
      <c r="H2349" s="755"/>
      <c r="I2349" s="755"/>
      <c r="J2349" s="3380"/>
      <c r="K2349" s="1014"/>
      <c r="L2349" s="805"/>
      <c r="M2349" s="805"/>
      <c r="N2349" s="536"/>
      <c r="P2349" s="500"/>
    </row>
    <row r="2350" spans="1:16" s="3024" customFormat="1" ht="12" customHeight="1" x14ac:dyDescent="0.25">
      <c r="A2350" s="352"/>
      <c r="B2350" s="1242"/>
      <c r="C2350" s="4077"/>
      <c r="D2350" s="780"/>
      <c r="E2350" s="755"/>
      <c r="F2350" s="755"/>
      <c r="G2350" s="755"/>
      <c r="H2350" s="755"/>
      <c r="I2350" s="755"/>
      <c r="J2350" s="3380"/>
      <c r="K2350" s="1014"/>
      <c r="L2350" s="805"/>
      <c r="M2350" s="805"/>
      <c r="N2350" s="536"/>
      <c r="P2350" s="500"/>
    </row>
    <row r="2351" spans="1:16" s="3024" customFormat="1" ht="16.5" customHeight="1" x14ac:dyDescent="0.25">
      <c r="A2351" s="352"/>
      <c r="B2351" s="1242"/>
      <c r="C2351" s="4078" t="s">
        <v>7252</v>
      </c>
      <c r="D2351" s="768">
        <f>D2352</f>
        <v>8000000000</v>
      </c>
      <c r="E2351" s="1461">
        <f>D2351/D1943*100</f>
        <v>5.2134697890406594</v>
      </c>
      <c r="F2351" s="755"/>
      <c r="G2351" s="755"/>
      <c r="H2351" s="755"/>
      <c r="I2351" s="755"/>
      <c r="J2351" s="3380"/>
      <c r="K2351" s="1014"/>
      <c r="L2351" s="805"/>
      <c r="M2351" s="805"/>
      <c r="N2351" s="536"/>
      <c r="P2351" s="500"/>
    </row>
    <row r="2352" spans="1:16" s="3024" customFormat="1" ht="16.5" customHeight="1" x14ac:dyDescent="0.25">
      <c r="A2352" s="352"/>
      <c r="B2352" s="1242"/>
      <c r="C2352" s="4077" t="s">
        <v>7253</v>
      </c>
      <c r="D2352" s="780">
        <v>8000000000</v>
      </c>
      <c r="E2352" s="880">
        <f>D2352/D1943*100</f>
        <v>5.2134697890406594</v>
      </c>
      <c r="F2352" s="755"/>
      <c r="G2352" s="755"/>
      <c r="H2352" s="755"/>
      <c r="I2352" s="755"/>
      <c r="J2352" s="3380"/>
      <c r="K2352" s="1014"/>
      <c r="L2352" s="805"/>
      <c r="M2352" s="805"/>
      <c r="N2352" s="536"/>
      <c r="P2352" s="500"/>
    </row>
    <row r="2353" spans="1:16" s="3024" customFormat="1" ht="12" customHeight="1" x14ac:dyDescent="0.25">
      <c r="A2353" s="352"/>
      <c r="B2353" s="1242"/>
      <c r="C2353" s="4077"/>
      <c r="D2353" s="780"/>
      <c r="E2353" s="755"/>
      <c r="F2353" s="755"/>
      <c r="G2353" s="755"/>
      <c r="H2353" s="755"/>
      <c r="I2353" s="755"/>
      <c r="J2353" s="3380"/>
      <c r="K2353" s="1014"/>
      <c r="L2353" s="805"/>
      <c r="M2353" s="805"/>
      <c r="N2353" s="536"/>
      <c r="P2353" s="500"/>
    </row>
    <row r="2354" spans="1:16" ht="15.75" customHeight="1" x14ac:dyDescent="0.25">
      <c r="B2354" s="1242"/>
      <c r="C2354" s="3946" t="s">
        <v>7254</v>
      </c>
      <c r="D2354" s="4242">
        <f>SUM(D2355:D2356)</f>
        <v>5100000000</v>
      </c>
      <c r="E2354" s="1415">
        <f>D2354/D1943*100</f>
        <v>3.3235869905134203</v>
      </c>
      <c r="F2354" s="968"/>
      <c r="G2354" s="766"/>
      <c r="H2354" s="766"/>
      <c r="I2354" s="795"/>
      <c r="J2354" s="3378"/>
      <c r="K2354" s="3378"/>
      <c r="L2354" s="1661"/>
      <c r="M2354" s="1659"/>
      <c r="N2354" s="579"/>
    </row>
    <row r="2355" spans="1:16" ht="17.25" customHeight="1" x14ac:dyDescent="0.25">
      <c r="B2355" s="1242"/>
      <c r="C2355" s="3926" t="s">
        <v>7255</v>
      </c>
      <c r="D2355" s="666">
        <v>4300000000</v>
      </c>
      <c r="E2355" s="880">
        <f>D2355/D1943*100</f>
        <v>2.8022400116093542</v>
      </c>
      <c r="F2355" s="1238"/>
      <c r="G2355" s="755"/>
      <c r="H2355" s="755"/>
      <c r="I2355" s="798"/>
      <c r="J2355" s="1238"/>
      <c r="K2355" s="2383"/>
      <c r="L2355" s="1310"/>
      <c r="M2355" s="2371"/>
      <c r="N2355" s="535"/>
    </row>
    <row r="2356" spans="1:16" ht="21" customHeight="1" x14ac:dyDescent="0.25">
      <c r="B2356" s="1242"/>
      <c r="C2356" s="3926" t="s">
        <v>7256</v>
      </c>
      <c r="D2356" s="666">
        <v>800000000</v>
      </c>
      <c r="E2356" s="880">
        <f>D2356/D1943*100</f>
        <v>0.52134697890406589</v>
      </c>
      <c r="F2356" s="971"/>
      <c r="G2356" s="798"/>
      <c r="H2356" s="798"/>
      <c r="I2356" s="798"/>
      <c r="J2356" s="865"/>
      <c r="K2356" s="865"/>
      <c r="L2356" s="798"/>
      <c r="M2356" s="798"/>
      <c r="N2356" s="535"/>
    </row>
    <row r="2357" spans="1:16" ht="12" customHeight="1" thickBot="1" x14ac:dyDescent="0.3">
      <c r="B2357" s="1242"/>
      <c r="C2357" s="3861"/>
      <c r="D2357" s="4258"/>
      <c r="E2357" s="995"/>
      <c r="F2357" s="1001"/>
      <c r="G2357" s="995"/>
      <c r="H2357" s="2174"/>
      <c r="I2357" s="1651"/>
      <c r="J2357" s="2285"/>
      <c r="K2357" s="2175"/>
      <c r="L2357" s="2182"/>
      <c r="M2357" s="2182"/>
      <c r="N2357" s="535"/>
    </row>
    <row r="2358" spans="1:16" ht="17.25" customHeight="1" thickBot="1" x14ac:dyDescent="0.3">
      <c r="B2358" s="2914"/>
      <c r="C2358" s="4008" t="s">
        <v>267</v>
      </c>
      <c r="D2358" s="4259">
        <f>SUM(D2359+D2401+D2468+D2485+D2491+D2498+D2507+D2519)</f>
        <v>147784925000</v>
      </c>
      <c r="E2358" s="1460">
        <f>D2358/2507241496000*100</f>
        <v>5.8943235119462143</v>
      </c>
      <c r="F2358" s="3513"/>
      <c r="G2358" s="3636"/>
      <c r="H2358" s="2364"/>
      <c r="I2358" s="2365"/>
      <c r="J2358" s="1002"/>
      <c r="K2358" s="1003"/>
      <c r="L2358" s="2384"/>
      <c r="M2358" s="2366"/>
      <c r="N2358" s="535"/>
    </row>
    <row r="2359" spans="1:16" ht="17.25" customHeight="1" x14ac:dyDescent="0.25">
      <c r="B2359" s="2915"/>
      <c r="C2359" s="3995" t="s">
        <v>238</v>
      </c>
      <c r="D2359" s="2404">
        <f>SUM(D2360+D2363+D2367+D2372+D2386+D2389+D2398)</f>
        <v>36979450000</v>
      </c>
      <c r="E2359" s="1468">
        <f>D2359/D2358*100</f>
        <v>25.022477766253896</v>
      </c>
      <c r="F2359" s="3637"/>
      <c r="G2359" s="1004"/>
      <c r="H2359" s="1468"/>
      <c r="I2359" s="1713"/>
      <c r="J2359" s="1896"/>
      <c r="K2359" s="1896"/>
      <c r="L2359" s="2385"/>
      <c r="M2359" s="2291"/>
      <c r="N2359" s="535"/>
    </row>
    <row r="2360" spans="1:16" ht="17.25" customHeight="1" x14ac:dyDescent="0.25">
      <c r="B2360" s="1242"/>
      <c r="C2360" s="4021" t="s">
        <v>4194</v>
      </c>
      <c r="D2360" s="2024">
        <v>40000000</v>
      </c>
      <c r="E2360" s="1469">
        <f>D2360/D2358*100</f>
        <v>2.7066360117583035E-2</v>
      </c>
      <c r="F2360" s="795"/>
      <c r="G2360" s="795"/>
      <c r="H2360" s="795"/>
      <c r="I2360" s="795"/>
      <c r="J2360" s="1771"/>
      <c r="K2360" s="1771"/>
      <c r="L2360" s="2380"/>
      <c r="M2360" s="2380"/>
      <c r="N2360" s="535"/>
    </row>
    <row r="2361" spans="1:16" ht="15.75" customHeight="1" x14ac:dyDescent="0.25">
      <c r="B2361" s="1242"/>
      <c r="C2361" s="3937" t="s">
        <v>4195</v>
      </c>
      <c r="D2361" s="666">
        <v>40000000</v>
      </c>
      <c r="E2361" s="1470">
        <f>D2361/D2358*100</f>
        <v>2.7066360117583035E-2</v>
      </c>
      <c r="F2361" s="881"/>
      <c r="G2361" s="755"/>
      <c r="H2361" s="755"/>
      <c r="I2361" s="755"/>
      <c r="J2361" s="666"/>
      <c r="K2361" s="1352"/>
      <c r="L2361" s="1310"/>
      <c r="M2361" s="1716"/>
      <c r="N2361" s="535"/>
    </row>
    <row r="2362" spans="1:16" ht="9.75" customHeight="1" x14ac:dyDescent="0.25">
      <c r="B2362" s="1242"/>
      <c r="C2362" s="3917"/>
      <c r="D2362" s="780"/>
      <c r="E2362" s="1470"/>
      <c r="F2362" s="1005"/>
      <c r="G2362" s="827"/>
      <c r="H2362" s="1472"/>
      <c r="I2362" s="1314"/>
      <c r="J2362" s="1961"/>
      <c r="K2362" s="1961"/>
      <c r="L2362" s="2386"/>
      <c r="M2362" s="1311"/>
      <c r="N2362" s="535"/>
    </row>
    <row r="2363" spans="1:16" ht="25.5" customHeight="1" x14ac:dyDescent="0.25">
      <c r="B2363" s="1242"/>
      <c r="C2363" s="3938" t="s">
        <v>4196</v>
      </c>
      <c r="D2363" s="768">
        <v>40000000</v>
      </c>
      <c r="E2363" s="1469">
        <f>D2363/D2358*100</f>
        <v>2.7066360117583035E-2</v>
      </c>
      <c r="F2363" s="1006"/>
      <c r="G2363" s="1006"/>
      <c r="H2363" s="2387"/>
      <c r="I2363" s="1316"/>
      <c r="J2363" s="1897"/>
      <c r="K2363" s="1897"/>
      <c r="L2363" s="1308"/>
      <c r="M2363" s="1650"/>
      <c r="N2363" s="535"/>
    </row>
    <row r="2364" spans="1:16" ht="16.5" customHeight="1" x14ac:dyDescent="0.25">
      <c r="B2364" s="1242"/>
      <c r="C2364" s="3937" t="s">
        <v>4197</v>
      </c>
      <c r="D2364" s="666">
        <v>20000000</v>
      </c>
      <c r="E2364" s="1470">
        <f>D2364/D2358*100</f>
        <v>1.3533180058791517E-2</v>
      </c>
      <c r="F2364" s="881"/>
      <c r="G2364" s="755"/>
      <c r="H2364" s="827"/>
      <c r="I2364" s="827"/>
      <c r="J2364" s="666"/>
      <c r="K2364" s="1352"/>
      <c r="L2364" s="1310"/>
      <c r="M2364" s="2371"/>
      <c r="N2364" s="535"/>
    </row>
    <row r="2365" spans="1:16" ht="18" customHeight="1" x14ac:dyDescent="0.25">
      <c r="B2365" s="1242"/>
      <c r="C2365" s="3937" t="s">
        <v>4198</v>
      </c>
      <c r="D2365" s="666">
        <v>20000000</v>
      </c>
      <c r="E2365" s="1470">
        <f>D2365/D2358*100</f>
        <v>1.3533180058791517E-2</v>
      </c>
      <c r="F2365" s="881"/>
      <c r="G2365" s="755"/>
      <c r="H2365" s="755"/>
      <c r="I2365" s="755"/>
      <c r="J2365" s="666"/>
      <c r="K2365" s="865"/>
      <c r="L2365" s="798"/>
      <c r="M2365" s="798"/>
      <c r="N2365" s="535"/>
    </row>
    <row r="2366" spans="1:16" ht="8.25" customHeight="1" x14ac:dyDescent="0.25">
      <c r="B2366" s="1242"/>
      <c r="C2366" s="3937"/>
      <c r="D2366" s="666"/>
      <c r="E2366" s="1470"/>
      <c r="F2366" s="881"/>
      <c r="G2366" s="755"/>
      <c r="H2366" s="755"/>
      <c r="I2366" s="755"/>
      <c r="J2366" s="666"/>
      <c r="K2366" s="865"/>
      <c r="L2366" s="798"/>
      <c r="M2366" s="798"/>
      <c r="N2366" s="535"/>
    </row>
    <row r="2367" spans="1:16" s="1696" customFormat="1" ht="17.25" customHeight="1" x14ac:dyDescent="0.25">
      <c r="A2367" s="350"/>
      <c r="B2367" s="1242"/>
      <c r="C2367" s="3938" t="s">
        <v>4199</v>
      </c>
      <c r="D2367" s="2024">
        <v>1600000000</v>
      </c>
      <c r="E2367" s="1469">
        <f>D2367/D2358*100</f>
        <v>1.0826544047033215</v>
      </c>
      <c r="F2367" s="795"/>
      <c r="G2367" s="795"/>
      <c r="H2367" s="2387"/>
      <c r="I2367" s="1316"/>
      <c r="J2367" s="2542"/>
      <c r="K2367" s="2542"/>
      <c r="L2367" s="1503"/>
      <c r="M2367" s="1650"/>
      <c r="N2367" s="553"/>
      <c r="P2367" s="4592"/>
    </row>
    <row r="2368" spans="1:16" s="3387" customFormat="1" ht="17.25" customHeight="1" x14ac:dyDescent="0.25">
      <c r="A2368" s="353"/>
      <c r="B2368" s="2899"/>
      <c r="C2368" s="3917" t="s">
        <v>4200</v>
      </c>
      <c r="D2368" s="780">
        <v>800000000</v>
      </c>
      <c r="E2368" s="1470">
        <f>D2368/D2358*100</f>
        <v>0.54132720235166076</v>
      </c>
      <c r="F2368" s="3551"/>
      <c r="G2368" s="3551"/>
      <c r="H2368" s="1472"/>
      <c r="I2368" s="1111"/>
      <c r="J2368" s="3552"/>
      <c r="K2368" s="3552"/>
      <c r="L2368" s="1310"/>
      <c r="M2368" s="1312"/>
      <c r="N2368" s="354"/>
      <c r="P2368" s="612"/>
    </row>
    <row r="2369" spans="1:16" ht="15.75" customHeight="1" x14ac:dyDescent="0.25">
      <c r="B2369" s="1242"/>
      <c r="C2369" s="3937" t="s">
        <v>4201</v>
      </c>
      <c r="D2369" s="666">
        <v>300000000</v>
      </c>
      <c r="E2369" s="1470">
        <f>D2369/D2358*100</f>
        <v>0.20299770088187274</v>
      </c>
      <c r="F2369" s="881"/>
      <c r="G2369" s="755"/>
      <c r="H2369" s="755"/>
      <c r="I2369" s="755"/>
      <c r="J2369" s="666"/>
      <c r="K2369" s="865"/>
      <c r="L2369" s="798"/>
      <c r="M2369" s="798"/>
      <c r="N2369" s="535"/>
    </row>
    <row r="2370" spans="1:16" ht="16.5" customHeight="1" x14ac:dyDescent="0.25">
      <c r="B2370" s="1242"/>
      <c r="C2370" s="3937" t="s">
        <v>4202</v>
      </c>
      <c r="D2370" s="666">
        <v>500000000</v>
      </c>
      <c r="E2370" s="1470">
        <f>D2370/D2358*100</f>
        <v>0.33832950146978791</v>
      </c>
      <c r="F2370" s="881"/>
      <c r="G2370" s="755"/>
      <c r="H2370" s="827"/>
      <c r="I2370" s="827"/>
      <c r="J2370" s="666"/>
      <c r="K2370" s="1352"/>
      <c r="L2370" s="1310"/>
      <c r="M2370" s="2371"/>
      <c r="N2370" s="535"/>
    </row>
    <row r="2371" spans="1:16" ht="9.75" customHeight="1" x14ac:dyDescent="0.25">
      <c r="B2371" s="1242"/>
      <c r="C2371" s="3937"/>
      <c r="D2371" s="666"/>
      <c r="E2371" s="1470"/>
      <c r="F2371" s="881"/>
      <c r="G2371" s="755"/>
      <c r="H2371" s="827"/>
      <c r="I2371" s="1111"/>
      <c r="J2371" s="1898"/>
      <c r="K2371" s="1352"/>
      <c r="L2371" s="1310"/>
      <c r="M2371" s="1312"/>
      <c r="N2371" s="535"/>
    </row>
    <row r="2372" spans="1:16" s="1696" customFormat="1" ht="15" customHeight="1" x14ac:dyDescent="0.25">
      <c r="A2372" s="350"/>
      <c r="B2372" s="1242"/>
      <c r="C2372" s="3561" t="s">
        <v>4203</v>
      </c>
      <c r="D2372" s="673">
        <v>25999450000</v>
      </c>
      <c r="E2372" s="1469">
        <f>D2372/D2358*100</f>
        <v>17.592761913977355</v>
      </c>
      <c r="F2372" s="1017"/>
      <c r="G2372" s="753"/>
      <c r="H2372" s="753"/>
      <c r="I2372" s="753"/>
      <c r="J2372" s="3560"/>
      <c r="K2372" s="3562"/>
      <c r="L2372" s="1308"/>
      <c r="M2372" s="1650"/>
      <c r="N2372" s="553"/>
      <c r="P2372" s="4592"/>
    </row>
    <row r="2373" spans="1:16" ht="17.25" customHeight="1" x14ac:dyDescent="0.25">
      <c r="B2373" s="1242"/>
      <c r="C2373" s="3937" t="s">
        <v>4284</v>
      </c>
      <c r="D2373" s="666">
        <v>8300000000</v>
      </c>
      <c r="E2373" s="1470">
        <f>D2373/D2358*100</f>
        <v>5.6162697243984798</v>
      </c>
      <c r="F2373" s="881"/>
      <c r="G2373" s="755"/>
      <c r="H2373" s="755"/>
      <c r="I2373" s="755"/>
      <c r="J2373" s="2388"/>
      <c r="K2373" s="1352"/>
      <c r="L2373" s="1310"/>
      <c r="M2373" s="1310"/>
      <c r="N2373" s="535"/>
    </row>
    <row r="2374" spans="1:16" ht="13.5" customHeight="1" x14ac:dyDescent="0.25">
      <c r="B2374" s="1242"/>
      <c r="C2374" s="3937" t="s">
        <v>4283</v>
      </c>
      <c r="D2374" s="666">
        <v>12299450000</v>
      </c>
      <c r="E2374" s="1470">
        <f>D2374/D2358*100</f>
        <v>8.3225335737051669</v>
      </c>
      <c r="F2374" s="881"/>
      <c r="G2374" s="755"/>
      <c r="H2374" s="755"/>
      <c r="I2374" s="755"/>
      <c r="J2374" s="2388"/>
      <c r="K2374" s="1352"/>
      <c r="L2374" s="1310"/>
      <c r="M2374" s="1310"/>
      <c r="N2374" s="535"/>
    </row>
    <row r="2375" spans="1:16" ht="17.25" customHeight="1" x14ac:dyDescent="0.25">
      <c r="B2375" s="1242"/>
      <c r="C2375" s="3937" t="s">
        <v>4282</v>
      </c>
      <c r="D2375" s="666">
        <v>2100000000</v>
      </c>
      <c r="E2375" s="1470">
        <f>D2375/D2358*100</f>
        <v>1.4209839061731093</v>
      </c>
      <c r="F2375" s="881"/>
      <c r="G2375" s="755"/>
      <c r="H2375" s="827"/>
      <c r="I2375" s="827"/>
      <c r="J2375" s="666"/>
      <c r="K2375" s="1352"/>
      <c r="L2375" s="1310"/>
      <c r="M2375" s="1310"/>
      <c r="N2375" s="535"/>
    </row>
    <row r="2376" spans="1:16" ht="16.5" customHeight="1" x14ac:dyDescent="0.25">
      <c r="B2376" s="1242"/>
      <c r="C2376" s="3937" t="s">
        <v>4281</v>
      </c>
      <c r="D2376" s="666">
        <v>200000000</v>
      </c>
      <c r="E2376" s="1470">
        <f>D2376/D2358*100</f>
        <v>0.13533180058791519</v>
      </c>
      <c r="F2376" s="881"/>
      <c r="G2376" s="755"/>
      <c r="H2376" s="827"/>
      <c r="I2376" s="1111"/>
      <c r="J2376" s="666"/>
      <c r="K2376" s="1352"/>
      <c r="L2376" s="1310"/>
      <c r="M2376" s="1310"/>
      <c r="N2376" s="535"/>
    </row>
    <row r="2377" spans="1:16" ht="18" customHeight="1" x14ac:dyDescent="0.25">
      <c r="B2377" s="1242"/>
      <c r="C2377" s="3937" t="s">
        <v>4280</v>
      </c>
      <c r="D2377" s="666">
        <v>200000000</v>
      </c>
      <c r="E2377" s="1470">
        <f>D2377/D2358*100</f>
        <v>0.13533180058791519</v>
      </c>
      <c r="F2377" s="881"/>
      <c r="G2377" s="755"/>
      <c r="H2377" s="755"/>
      <c r="I2377" s="755"/>
      <c r="J2377" s="666"/>
      <c r="K2377" s="1352"/>
      <c r="L2377" s="1310"/>
      <c r="M2377" s="1310"/>
      <c r="N2377" s="535"/>
    </row>
    <row r="2378" spans="1:16" ht="15.75" customHeight="1" x14ac:dyDescent="0.25">
      <c r="B2378" s="1242"/>
      <c r="C2378" s="3937" t="s">
        <v>4279</v>
      </c>
      <c r="D2378" s="666">
        <v>200000000</v>
      </c>
      <c r="E2378" s="1470">
        <f>D2378/D2358*100</f>
        <v>0.13533180058791519</v>
      </c>
      <c r="F2378" s="881"/>
      <c r="G2378" s="755"/>
      <c r="H2378" s="827"/>
      <c r="I2378" s="1111"/>
      <c r="J2378" s="666"/>
      <c r="K2378" s="1352"/>
      <c r="L2378" s="1310"/>
      <c r="M2378" s="1310"/>
      <c r="N2378" s="535"/>
    </row>
    <row r="2379" spans="1:16" ht="14.25" customHeight="1" x14ac:dyDescent="0.25">
      <c r="B2379" s="1242"/>
      <c r="C2379" s="3937" t="s">
        <v>4278</v>
      </c>
      <c r="D2379" s="666">
        <v>200000000</v>
      </c>
      <c r="E2379" s="1470">
        <f>D2379/D2358*100</f>
        <v>0.13533180058791519</v>
      </c>
      <c r="F2379" s="881"/>
      <c r="G2379" s="755"/>
      <c r="H2379" s="827"/>
      <c r="I2379" s="827"/>
      <c r="J2379" s="666"/>
      <c r="K2379" s="1352"/>
      <c r="L2379" s="1310"/>
      <c r="M2379" s="1310"/>
      <c r="N2379" s="535"/>
    </row>
    <row r="2380" spans="1:16" ht="14.25" customHeight="1" x14ac:dyDescent="0.25">
      <c r="B2380" s="1242"/>
      <c r="C2380" s="3937" t="s">
        <v>4277</v>
      </c>
      <c r="D2380" s="666">
        <v>200000000</v>
      </c>
      <c r="E2380" s="1470">
        <f>D2380/D2358*100</f>
        <v>0.13533180058791519</v>
      </c>
      <c r="F2380" s="881"/>
      <c r="G2380" s="755"/>
      <c r="H2380" s="755"/>
      <c r="I2380" s="755"/>
      <c r="J2380" s="666"/>
      <c r="K2380" s="1352"/>
      <c r="L2380" s="1310"/>
      <c r="M2380" s="1310"/>
      <c r="N2380" s="535"/>
    </row>
    <row r="2381" spans="1:16" ht="18" customHeight="1" x14ac:dyDescent="0.25">
      <c r="B2381" s="1242"/>
      <c r="C2381" s="3937" t="s">
        <v>4276</v>
      </c>
      <c r="D2381" s="666">
        <v>200000000</v>
      </c>
      <c r="E2381" s="1470">
        <f>D2381/D2358*100</f>
        <v>0.13533180058791519</v>
      </c>
      <c r="F2381" s="881"/>
      <c r="G2381" s="755"/>
      <c r="H2381" s="755"/>
      <c r="I2381" s="755"/>
      <c r="J2381" s="666"/>
      <c r="K2381" s="1352"/>
      <c r="L2381" s="1310"/>
      <c r="M2381" s="1310"/>
      <c r="N2381" s="535"/>
    </row>
    <row r="2382" spans="1:16" ht="15.75" customHeight="1" x14ac:dyDescent="0.25">
      <c r="B2382" s="1242"/>
      <c r="C2382" s="3937" t="s">
        <v>4275</v>
      </c>
      <c r="D2382" s="666">
        <v>1000000000</v>
      </c>
      <c r="E2382" s="1470">
        <f>D2382/D2358*100</f>
        <v>0.67665900293957582</v>
      </c>
      <c r="F2382" s="881"/>
      <c r="G2382" s="755"/>
      <c r="H2382" s="755"/>
      <c r="I2382" s="755"/>
      <c r="J2382" s="666"/>
      <c r="K2382" s="1352"/>
      <c r="L2382" s="1310"/>
      <c r="M2382" s="1310"/>
      <c r="N2382" s="535"/>
    </row>
    <row r="2383" spans="1:16" ht="16.5" customHeight="1" x14ac:dyDescent="0.25">
      <c r="B2383" s="1242"/>
      <c r="C2383" s="3937" t="s">
        <v>4274</v>
      </c>
      <c r="D2383" s="666">
        <v>1000000000</v>
      </c>
      <c r="E2383" s="1470">
        <f>D2383/D2358*100</f>
        <v>0.67665900293957582</v>
      </c>
      <c r="F2383" s="881"/>
      <c r="G2383" s="755"/>
      <c r="H2383" s="755"/>
      <c r="I2383" s="755"/>
      <c r="J2383" s="666"/>
      <c r="K2383" s="1352"/>
      <c r="L2383" s="1310"/>
      <c r="M2383" s="1310"/>
      <c r="N2383" s="535"/>
    </row>
    <row r="2384" spans="1:16" ht="14.25" customHeight="1" x14ac:dyDescent="0.25">
      <c r="B2384" s="1242"/>
      <c r="C2384" s="3917" t="s">
        <v>4273</v>
      </c>
      <c r="D2384" s="780">
        <v>100000000</v>
      </c>
      <c r="E2384" s="1470">
        <f>D2384/D2358*100</f>
        <v>6.7665900293957595E-2</v>
      </c>
      <c r="F2384" s="1005"/>
      <c r="G2384" s="827"/>
      <c r="H2384" s="2284"/>
      <c r="I2384" s="2370"/>
      <c r="J2384" s="1961"/>
      <c r="K2384" s="1353"/>
      <c r="L2384" s="2389"/>
      <c r="M2384" s="2389"/>
      <c r="N2384" s="535"/>
    </row>
    <row r="2385" spans="1:16" ht="9.75" customHeight="1" x14ac:dyDescent="0.25">
      <c r="B2385" s="1242"/>
      <c r="C2385" s="3938"/>
      <c r="D2385" s="768"/>
      <c r="E2385" s="1469"/>
      <c r="F2385" s="1006"/>
      <c r="G2385" s="1006"/>
      <c r="H2385" s="1473"/>
      <c r="I2385" s="1316"/>
      <c r="J2385" s="1897"/>
      <c r="K2385" s="1897"/>
      <c r="L2385" s="1308"/>
      <c r="M2385" s="1650"/>
      <c r="N2385" s="535"/>
    </row>
    <row r="2386" spans="1:16" s="1696" customFormat="1" ht="15.75" customHeight="1" x14ac:dyDescent="0.25">
      <c r="A2386" s="350"/>
      <c r="B2386" s="1242"/>
      <c r="C2386" s="3561" t="s">
        <v>4204</v>
      </c>
      <c r="D2386" s="673">
        <v>6000000000</v>
      </c>
      <c r="E2386" s="1469">
        <f>D2386/D2358*100</f>
        <v>4.0599540176374553</v>
      </c>
      <c r="F2386" s="1017"/>
      <c r="G2386" s="753"/>
      <c r="H2386" s="753"/>
      <c r="I2386" s="753"/>
      <c r="J2386" s="673"/>
      <c r="K2386" s="3562"/>
      <c r="L2386" s="1308"/>
      <c r="M2386" s="3555"/>
      <c r="N2386" s="553"/>
      <c r="P2386" s="4592"/>
    </row>
    <row r="2387" spans="1:16" ht="15" customHeight="1" x14ac:dyDescent="0.25">
      <c r="B2387" s="1242"/>
      <c r="C2387" s="3937" t="s">
        <v>4272</v>
      </c>
      <c r="D2387" s="666">
        <v>6000000000</v>
      </c>
      <c r="E2387" s="1470">
        <f>D2387/D2358*100</f>
        <v>4.0599540176374553</v>
      </c>
      <c r="F2387" s="881"/>
      <c r="G2387" s="755"/>
      <c r="H2387" s="827"/>
      <c r="I2387" s="1111"/>
      <c r="J2387" s="666"/>
      <c r="K2387" s="1352"/>
      <c r="L2387" s="1310"/>
      <c r="M2387" s="1716"/>
      <c r="N2387" s="535"/>
    </row>
    <row r="2388" spans="1:16" ht="9.75" customHeight="1" x14ac:dyDescent="0.25">
      <c r="B2388" s="1242"/>
      <c r="C2388" s="3937"/>
      <c r="D2388" s="666"/>
      <c r="E2388" s="1470"/>
      <c r="F2388" s="881"/>
      <c r="G2388" s="755"/>
      <c r="H2388" s="827"/>
      <c r="I2388" s="1111"/>
      <c r="J2388" s="666"/>
      <c r="K2388" s="1352"/>
      <c r="L2388" s="1310"/>
      <c r="M2388" s="1312"/>
      <c r="N2388" s="535"/>
    </row>
    <row r="2389" spans="1:16" s="1696" customFormat="1" ht="17.25" customHeight="1" x14ac:dyDescent="0.25">
      <c r="A2389" s="350"/>
      <c r="B2389" s="1242"/>
      <c r="C2389" s="3561" t="s">
        <v>809</v>
      </c>
      <c r="D2389" s="673">
        <v>1600000000</v>
      </c>
      <c r="E2389" s="1469">
        <f>D2389/D2358*100</f>
        <v>1.0826544047033215</v>
      </c>
      <c r="F2389" s="1017"/>
      <c r="G2389" s="753"/>
      <c r="H2389" s="753"/>
      <c r="I2389" s="753"/>
      <c r="J2389" s="673"/>
      <c r="K2389" s="3562"/>
      <c r="L2389" s="1308"/>
      <c r="M2389" s="3555"/>
      <c r="N2389" s="553"/>
      <c r="P2389" s="4592"/>
    </row>
    <row r="2390" spans="1:16" ht="15.75" customHeight="1" x14ac:dyDescent="0.25">
      <c r="B2390" s="1242"/>
      <c r="C2390" s="3937" t="s">
        <v>4205</v>
      </c>
      <c r="D2390" s="666">
        <v>100000000</v>
      </c>
      <c r="E2390" s="1470">
        <f>D2390/D2358*100</f>
        <v>6.7665900293957595E-2</v>
      </c>
      <c r="F2390" s="881"/>
      <c r="G2390" s="755"/>
      <c r="H2390" s="755"/>
      <c r="I2390" s="755"/>
      <c r="J2390" s="666"/>
      <c r="K2390" s="1352"/>
      <c r="L2390" s="1310"/>
      <c r="M2390" s="1716"/>
      <c r="N2390" s="535"/>
    </row>
    <row r="2391" spans="1:16" ht="15.75" customHeight="1" x14ac:dyDescent="0.25">
      <c r="B2391" s="1242"/>
      <c r="C2391" s="3937" t="s">
        <v>934</v>
      </c>
      <c r="D2391" s="666">
        <v>100000000</v>
      </c>
      <c r="E2391" s="1470">
        <f>D2391/D2358*100</f>
        <v>6.7665900293957595E-2</v>
      </c>
      <c r="F2391" s="881"/>
      <c r="G2391" s="755"/>
      <c r="H2391" s="755"/>
      <c r="I2391" s="755"/>
      <c r="J2391" s="666"/>
      <c r="K2391" s="865"/>
      <c r="L2391" s="798"/>
      <c r="M2391" s="798"/>
      <c r="N2391" s="535"/>
    </row>
    <row r="2392" spans="1:16" ht="15.75" customHeight="1" x14ac:dyDescent="0.25">
      <c r="B2392" s="1242"/>
      <c r="C2392" s="3917" t="s">
        <v>4270</v>
      </c>
      <c r="D2392" s="780">
        <v>100000000</v>
      </c>
      <c r="E2392" s="1470">
        <f>D2392/D2358*100</f>
        <v>6.7665900293957595E-2</v>
      </c>
      <c r="F2392" s="1005"/>
      <c r="G2392" s="755"/>
      <c r="H2392" s="1474"/>
      <c r="I2392" s="1314"/>
      <c r="J2392" s="1753"/>
      <c r="K2392" s="1753"/>
      <c r="L2392" s="2390"/>
      <c r="M2392" s="1311"/>
      <c r="N2392" s="535"/>
    </row>
    <row r="2393" spans="1:16" s="3387" customFormat="1" ht="18.75" customHeight="1" x14ac:dyDescent="0.25">
      <c r="A2393" s="353"/>
      <c r="B2393" s="2899"/>
      <c r="C2393" s="3917" t="s">
        <v>4271</v>
      </c>
      <c r="D2393" s="780">
        <v>300000000</v>
      </c>
      <c r="E2393" s="1470">
        <f>D2393/D2358*100</f>
        <v>0.20299770088187274</v>
      </c>
      <c r="F2393" s="1005"/>
      <c r="G2393" s="1005"/>
      <c r="H2393" s="1474"/>
      <c r="I2393" s="1111"/>
      <c r="J2393" s="1753"/>
      <c r="K2393" s="1753"/>
      <c r="L2393" s="1310"/>
      <c r="M2393" s="1312"/>
      <c r="N2393" s="354"/>
      <c r="P2393" s="612"/>
    </row>
    <row r="2394" spans="1:16" ht="16.5" customHeight="1" x14ac:dyDescent="0.25">
      <c r="B2394" s="1242"/>
      <c r="C2394" s="3937" t="s">
        <v>4206</v>
      </c>
      <c r="D2394" s="666">
        <v>100000000</v>
      </c>
      <c r="E2394" s="1470">
        <f>D2394/D2358*100</f>
        <v>6.7665900293957595E-2</v>
      </c>
      <c r="F2394" s="881"/>
      <c r="G2394" s="755"/>
      <c r="H2394" s="755"/>
      <c r="I2394" s="755"/>
      <c r="J2394" s="1899"/>
      <c r="K2394" s="1352"/>
      <c r="L2394" s="1310"/>
      <c r="M2394" s="1312"/>
      <c r="N2394" s="535"/>
    </row>
    <row r="2395" spans="1:16" ht="17.25" customHeight="1" x14ac:dyDescent="0.25">
      <c r="B2395" s="1242"/>
      <c r="C2395" s="3937" t="s">
        <v>4207</v>
      </c>
      <c r="D2395" s="666">
        <v>400000000</v>
      </c>
      <c r="E2395" s="1470">
        <f>D2395/D2358*100</f>
        <v>0.27066360117583038</v>
      </c>
      <c r="F2395" s="881"/>
      <c r="G2395" s="755"/>
      <c r="H2395" s="827"/>
      <c r="I2395" s="1111"/>
      <c r="J2395" s="1899"/>
      <c r="K2395" s="1352"/>
      <c r="L2395" s="1310"/>
      <c r="M2395" s="1312"/>
      <c r="N2395" s="535"/>
    </row>
    <row r="2396" spans="1:16" ht="15.75" customHeight="1" x14ac:dyDescent="0.25">
      <c r="B2396" s="1242"/>
      <c r="C2396" s="3937" t="s">
        <v>4208</v>
      </c>
      <c r="D2396" s="666">
        <v>500000000</v>
      </c>
      <c r="E2396" s="1470">
        <f>D2396/D2358*100</f>
        <v>0.33832950146978791</v>
      </c>
      <c r="F2396" s="881"/>
      <c r="G2396" s="755"/>
      <c r="H2396" s="827"/>
      <c r="I2396" s="1111"/>
      <c r="J2396" s="1899"/>
      <c r="K2396" s="1352"/>
      <c r="L2396" s="1310"/>
      <c r="M2396" s="1312"/>
      <c r="N2396" s="535"/>
    </row>
    <row r="2397" spans="1:16" ht="10.5" customHeight="1" x14ac:dyDescent="0.25">
      <c r="B2397" s="1242"/>
      <c r="C2397" s="3937"/>
      <c r="D2397" s="666"/>
      <c r="E2397" s="1470"/>
      <c r="F2397" s="881"/>
      <c r="G2397" s="755"/>
      <c r="H2397" s="755"/>
      <c r="I2397" s="755"/>
      <c r="J2397" s="1899"/>
      <c r="K2397" s="1352"/>
      <c r="L2397" s="1310"/>
      <c r="M2397" s="1312"/>
      <c r="N2397" s="535"/>
    </row>
    <row r="2398" spans="1:16" s="1696" customFormat="1" ht="15.75" customHeight="1" x14ac:dyDescent="0.25">
      <c r="A2398" s="350"/>
      <c r="B2398" s="1242"/>
      <c r="C2398" s="3561" t="s">
        <v>943</v>
      </c>
      <c r="D2398" s="673">
        <v>1700000000</v>
      </c>
      <c r="E2398" s="1469">
        <f>D2398/D2358*100</f>
        <v>1.150320304997279</v>
      </c>
      <c r="F2398" s="1017"/>
      <c r="G2398" s="753"/>
      <c r="H2398" s="753"/>
      <c r="I2398" s="753"/>
      <c r="J2398" s="3563"/>
      <c r="K2398" s="3562"/>
      <c r="L2398" s="1308"/>
      <c r="M2398" s="1650"/>
      <c r="N2398" s="553"/>
      <c r="P2398" s="4592"/>
    </row>
    <row r="2399" spans="1:16" ht="15.75" customHeight="1" x14ac:dyDescent="0.25">
      <c r="B2399" s="1242"/>
      <c r="C2399" s="3937" t="s">
        <v>4209</v>
      </c>
      <c r="D2399" s="666">
        <v>1700000000</v>
      </c>
      <c r="E2399" s="1470">
        <f>D2399/D2358*100</f>
        <v>1.150320304997279</v>
      </c>
      <c r="F2399" s="881"/>
      <c r="G2399" s="755"/>
      <c r="H2399" s="755"/>
      <c r="I2399" s="755"/>
      <c r="J2399" s="1899"/>
      <c r="K2399" s="865"/>
      <c r="L2399" s="798"/>
      <c r="M2399" s="798"/>
      <c r="N2399" s="535"/>
    </row>
    <row r="2400" spans="1:16" ht="12.75" customHeight="1" x14ac:dyDescent="0.25">
      <c r="B2400" s="1242"/>
      <c r="C2400" s="4001"/>
      <c r="D2400" s="4260"/>
      <c r="E2400" s="1450"/>
      <c r="F2400" s="1008"/>
      <c r="G2400" s="853"/>
      <c r="H2400" s="2391"/>
      <c r="I2400" s="2368"/>
      <c r="J2400" s="2392"/>
      <c r="K2400" s="2274"/>
      <c r="L2400" s="2393"/>
      <c r="M2400" s="2175"/>
      <c r="N2400" s="535"/>
    </row>
    <row r="2401" spans="1:16" ht="18.75" customHeight="1" x14ac:dyDescent="0.25">
      <c r="B2401" s="1305"/>
      <c r="C2401" s="3913" t="s">
        <v>248</v>
      </c>
      <c r="D2401" s="2659">
        <f>SUM(D2402+D2419+D2425+D2430+D2437+D2444+D2455)</f>
        <v>12281000000</v>
      </c>
      <c r="E2401" s="1445">
        <f>D2401/D2358*100</f>
        <v>8.310049215100932</v>
      </c>
      <c r="F2401" s="3631"/>
      <c r="G2401" s="765"/>
      <c r="H2401" s="1445"/>
      <c r="I2401" s="1645"/>
      <c r="J2401" s="1773"/>
      <c r="K2401" s="1773"/>
      <c r="L2401" s="2385"/>
      <c r="M2401" s="1307"/>
      <c r="N2401" s="535"/>
    </row>
    <row r="2402" spans="1:16" ht="15" customHeight="1" x14ac:dyDescent="0.25">
      <c r="B2402" s="1242"/>
      <c r="C2402" s="4021" t="s">
        <v>610</v>
      </c>
      <c r="D2402" s="2026">
        <v>4145000000</v>
      </c>
      <c r="E2402" s="1469">
        <f>D2402/D2358*100</f>
        <v>2.804751567184542</v>
      </c>
      <c r="F2402" s="766"/>
      <c r="G2402" s="766"/>
      <c r="H2402" s="766"/>
      <c r="I2402" s="766"/>
      <c r="J2402" s="1013"/>
      <c r="K2402" s="1013"/>
      <c r="L2402" s="2380"/>
      <c r="M2402" s="2380"/>
      <c r="N2402" s="535"/>
    </row>
    <row r="2403" spans="1:16" ht="17.25" customHeight="1" x14ac:dyDescent="0.25">
      <c r="B2403" s="1242"/>
      <c r="C2403" s="3937" t="s">
        <v>4218</v>
      </c>
      <c r="D2403" s="666">
        <v>200000000</v>
      </c>
      <c r="E2403" s="1470">
        <f>D2403/D2358*100</f>
        <v>0.13533180058791519</v>
      </c>
      <c r="F2403" s="881"/>
      <c r="G2403" s="755"/>
      <c r="H2403" s="755"/>
      <c r="I2403" s="755"/>
      <c r="J2403" s="666"/>
      <c r="K2403" s="1354"/>
      <c r="L2403" s="1310"/>
      <c r="M2403" s="1310"/>
      <c r="N2403" s="535"/>
    </row>
    <row r="2404" spans="1:16" ht="20.25" customHeight="1" x14ac:dyDescent="0.25">
      <c r="B2404" s="1242"/>
      <c r="C2404" s="3937" t="s">
        <v>4219</v>
      </c>
      <c r="D2404" s="666">
        <v>2400000000</v>
      </c>
      <c r="E2404" s="1470">
        <f>D2404/D2358*100</f>
        <v>1.623981607054982</v>
      </c>
      <c r="F2404" s="881"/>
      <c r="G2404" s="755"/>
      <c r="H2404" s="755"/>
      <c r="I2404" s="755"/>
      <c r="J2404" s="666"/>
      <c r="K2404" s="1354"/>
      <c r="L2404" s="1310"/>
      <c r="M2404" s="1310"/>
      <c r="N2404" s="535"/>
    </row>
    <row r="2405" spans="1:16" ht="16.5" customHeight="1" x14ac:dyDescent="0.25">
      <c r="B2405" s="1242"/>
      <c r="C2405" s="3917" t="s">
        <v>4220</v>
      </c>
      <c r="D2405" s="780">
        <v>70000000</v>
      </c>
      <c r="E2405" s="1470">
        <f>D2405/D2358*100</f>
        <v>4.736613020577031E-2</v>
      </c>
      <c r="F2405" s="755"/>
      <c r="G2405" s="755"/>
      <c r="H2405" s="755"/>
      <c r="I2405" s="755"/>
      <c r="J2405" s="1014"/>
      <c r="K2405" s="1753"/>
      <c r="L2405" s="2386"/>
      <c r="M2405" s="1311"/>
      <c r="N2405" s="535"/>
    </row>
    <row r="2406" spans="1:16" s="3387" customFormat="1" ht="18" customHeight="1" x14ac:dyDescent="0.25">
      <c r="A2406" s="3587"/>
      <c r="B2406" s="3604"/>
      <c r="C2406" s="3917" t="s">
        <v>4221</v>
      </c>
      <c r="D2406" s="780">
        <v>70000000</v>
      </c>
      <c r="E2406" s="1470">
        <f>D2406/D2358*100</f>
        <v>4.736613020577031E-2</v>
      </c>
      <c r="F2406" s="3594"/>
      <c r="G2406" s="3594"/>
      <c r="H2406" s="3594"/>
      <c r="I2406" s="3594"/>
      <c r="J2406" s="3596"/>
      <c r="K2406" s="3596"/>
      <c r="L2406" s="1310"/>
      <c r="M2406" s="1312"/>
      <c r="N2406" s="3590"/>
      <c r="P2406" s="612"/>
    </row>
    <row r="2407" spans="1:16" ht="15" customHeight="1" x14ac:dyDescent="0.25">
      <c r="B2407" s="1242"/>
      <c r="C2407" s="3937" t="s">
        <v>4222</v>
      </c>
      <c r="D2407" s="666">
        <v>250000000</v>
      </c>
      <c r="E2407" s="1470">
        <f>D2407/D2358*100</f>
        <v>0.16916475073489395</v>
      </c>
      <c r="F2407" s="1009"/>
      <c r="G2407" s="755"/>
      <c r="H2407" s="755"/>
      <c r="I2407" s="755"/>
      <c r="J2407" s="1900"/>
      <c r="K2407" s="1354"/>
      <c r="L2407" s="1310"/>
      <c r="M2407" s="1312"/>
      <c r="N2407" s="535"/>
    </row>
    <row r="2408" spans="1:16" ht="15.75" customHeight="1" x14ac:dyDescent="0.25">
      <c r="B2408" s="1242"/>
      <c r="C2408" s="3937" t="s">
        <v>4262</v>
      </c>
      <c r="D2408" s="666">
        <v>100000000</v>
      </c>
      <c r="E2408" s="1470">
        <f>D2408/D2358*100</f>
        <v>6.7665900293957595E-2</v>
      </c>
      <c r="F2408" s="1009"/>
      <c r="G2408" s="755"/>
      <c r="H2408" s="755"/>
      <c r="I2408" s="755"/>
      <c r="J2408" s="1900"/>
      <c r="K2408" s="1354"/>
      <c r="L2408" s="1310"/>
      <c r="M2408" s="1716"/>
      <c r="N2408" s="535"/>
    </row>
    <row r="2409" spans="1:16" ht="16.5" customHeight="1" x14ac:dyDescent="0.25">
      <c r="B2409" s="1242"/>
      <c r="C2409" s="3937" t="s">
        <v>4223</v>
      </c>
      <c r="D2409" s="666">
        <v>50000000</v>
      </c>
      <c r="E2409" s="1470">
        <f>D2409/D2358*100</f>
        <v>3.3832950146978798E-2</v>
      </c>
      <c r="F2409" s="1009"/>
      <c r="G2409" s="755"/>
      <c r="H2409" s="755"/>
      <c r="I2409" s="755"/>
      <c r="J2409" s="1900"/>
      <c r="K2409" s="1354"/>
      <c r="L2409" s="1310"/>
      <c r="M2409" s="1716"/>
      <c r="N2409" s="535"/>
    </row>
    <row r="2410" spans="1:16" ht="14.25" customHeight="1" x14ac:dyDescent="0.25">
      <c r="B2410" s="1242"/>
      <c r="C2410" s="3917" t="s">
        <v>4263</v>
      </c>
      <c r="D2410" s="780">
        <v>70000000</v>
      </c>
      <c r="E2410" s="1470">
        <f>D2410/D2358*100</f>
        <v>4.736613020577031E-2</v>
      </c>
      <c r="F2410" s="755"/>
      <c r="G2410" s="755"/>
      <c r="H2410" s="755"/>
      <c r="I2410" s="755"/>
      <c r="J2410" s="1014"/>
      <c r="K2410" s="1753"/>
      <c r="L2410" s="2386"/>
      <c r="M2410" s="1311"/>
      <c r="N2410" s="535"/>
    </row>
    <row r="2411" spans="1:16" s="3387" customFormat="1" ht="16.5" customHeight="1" x14ac:dyDescent="0.25">
      <c r="A2411" s="3587"/>
      <c r="B2411" s="3604"/>
      <c r="C2411" s="3917" t="s">
        <v>4264</v>
      </c>
      <c r="D2411" s="780">
        <v>200000000</v>
      </c>
      <c r="E2411" s="1470">
        <f>D2411/D2358*100</f>
        <v>0.13533180058791519</v>
      </c>
      <c r="F2411" s="3594"/>
      <c r="G2411" s="3594"/>
      <c r="H2411" s="3594"/>
      <c r="I2411" s="3594"/>
      <c r="J2411" s="3596"/>
      <c r="K2411" s="3596"/>
      <c r="L2411" s="1310"/>
      <c r="M2411" s="3599"/>
      <c r="N2411" s="3590"/>
      <c r="P2411" s="612"/>
    </row>
    <row r="2412" spans="1:16" ht="16.5" customHeight="1" x14ac:dyDescent="0.25">
      <c r="B2412" s="1242"/>
      <c r="C2412" s="3937" t="s">
        <v>4265</v>
      </c>
      <c r="D2412" s="666">
        <v>70000000</v>
      </c>
      <c r="E2412" s="1470">
        <f>D2412/D2358*100</f>
        <v>4.736613020577031E-2</v>
      </c>
      <c r="F2412" s="881"/>
      <c r="G2412" s="755"/>
      <c r="H2412" s="755"/>
      <c r="I2412" s="755"/>
      <c r="J2412" s="666"/>
      <c r="K2412" s="666"/>
      <c r="L2412" s="1310"/>
      <c r="M2412" s="1716"/>
      <c r="N2412" s="535"/>
    </row>
    <row r="2413" spans="1:16" ht="15.75" customHeight="1" x14ac:dyDescent="0.25">
      <c r="B2413" s="1242"/>
      <c r="C2413" s="3917" t="s">
        <v>4266</v>
      </c>
      <c r="D2413" s="780">
        <v>100000000</v>
      </c>
      <c r="E2413" s="1470">
        <f>D2413/D2358*100</f>
        <v>6.7665900293957595E-2</v>
      </c>
      <c r="F2413" s="755"/>
      <c r="G2413" s="755"/>
      <c r="H2413" s="755"/>
      <c r="I2413" s="755"/>
      <c r="J2413" s="1014"/>
      <c r="K2413" s="1753"/>
      <c r="L2413" s="2386"/>
      <c r="M2413" s="1311"/>
      <c r="N2413" s="535"/>
    </row>
    <row r="2414" spans="1:16" s="3387" customFormat="1" ht="28.5" customHeight="1" x14ac:dyDescent="0.25">
      <c r="A2414" s="3587"/>
      <c r="B2414" s="3604"/>
      <c r="C2414" s="3917" t="s">
        <v>4210</v>
      </c>
      <c r="D2414" s="780">
        <v>355000000</v>
      </c>
      <c r="E2414" s="1470">
        <f>D2414/D2358*100</f>
        <v>0.24021394604354943</v>
      </c>
      <c r="F2414" s="3594"/>
      <c r="G2414" s="3594"/>
      <c r="H2414" s="3594"/>
      <c r="I2414" s="3594"/>
      <c r="J2414" s="3596"/>
      <c r="K2414" s="3596"/>
      <c r="L2414" s="1310"/>
      <c r="M2414" s="3599"/>
      <c r="N2414" s="3590"/>
      <c r="P2414" s="612"/>
    </row>
    <row r="2415" spans="1:16" ht="17.25" customHeight="1" x14ac:dyDescent="0.25">
      <c r="B2415" s="1242"/>
      <c r="C2415" s="3937" t="s">
        <v>4267</v>
      </c>
      <c r="D2415" s="666">
        <v>70000000</v>
      </c>
      <c r="E2415" s="1470">
        <f>D2415/D2358*100</f>
        <v>4.736613020577031E-2</v>
      </c>
      <c r="F2415" s="881"/>
      <c r="G2415" s="755"/>
      <c r="H2415" s="755"/>
      <c r="I2415" s="755"/>
      <c r="J2415" s="666"/>
      <c r="K2415" s="666"/>
      <c r="L2415" s="1310"/>
      <c r="M2415" s="1716"/>
      <c r="N2415" s="535"/>
    </row>
    <row r="2416" spans="1:16" ht="16.5" customHeight="1" x14ac:dyDescent="0.25">
      <c r="B2416" s="1242"/>
      <c r="C2416" s="3937" t="s">
        <v>4268</v>
      </c>
      <c r="D2416" s="666">
        <v>70000000</v>
      </c>
      <c r="E2416" s="1470">
        <f>D2416/D2358*100</f>
        <v>4.736613020577031E-2</v>
      </c>
      <c r="F2416" s="881"/>
      <c r="G2416" s="755"/>
      <c r="H2416" s="755"/>
      <c r="I2416" s="755"/>
      <c r="J2416" s="666"/>
      <c r="K2416" s="666"/>
      <c r="L2416" s="1310"/>
      <c r="M2416" s="1716"/>
      <c r="N2416" s="535"/>
    </row>
    <row r="2417" spans="1:16" ht="16.5" customHeight="1" x14ac:dyDescent="0.25">
      <c r="B2417" s="1242"/>
      <c r="C2417" s="3917" t="s">
        <v>4269</v>
      </c>
      <c r="D2417" s="780">
        <v>70000000</v>
      </c>
      <c r="E2417" s="1470">
        <f>D2417/D2358*100</f>
        <v>4.736613020577031E-2</v>
      </c>
      <c r="F2417" s="755"/>
      <c r="G2417" s="755"/>
      <c r="H2417" s="1472"/>
      <c r="I2417" s="1314"/>
      <c r="J2417" s="1014"/>
      <c r="K2417" s="1753"/>
      <c r="L2417" s="2386"/>
      <c r="M2417" s="1311"/>
      <c r="N2417" s="535"/>
    </row>
    <row r="2418" spans="1:16" ht="10.5" customHeight="1" x14ac:dyDescent="0.25">
      <c r="B2418" s="1242"/>
      <c r="C2418" s="3938"/>
      <c r="D2418" s="768"/>
      <c r="E2418" s="1453"/>
      <c r="F2418" s="753"/>
      <c r="G2418" s="753"/>
      <c r="H2418" s="1453"/>
      <c r="I2418" s="2394"/>
      <c r="J2418" s="1772"/>
      <c r="K2418" s="1772"/>
      <c r="L2418" s="1308"/>
      <c r="M2418" s="2395"/>
      <c r="N2418" s="535"/>
    </row>
    <row r="2419" spans="1:16" s="3598" customFormat="1" ht="15.75" customHeight="1" x14ac:dyDescent="0.25">
      <c r="A2419" s="3588"/>
      <c r="B2419" s="3597"/>
      <c r="C2419" s="3561" t="s">
        <v>611</v>
      </c>
      <c r="D2419" s="673">
        <v>650000000</v>
      </c>
      <c r="E2419" s="1447">
        <f>D2419/D2358*100</f>
        <v>0.43982835191072434</v>
      </c>
      <c r="F2419" s="1017"/>
      <c r="G2419" s="3593"/>
      <c r="H2419" s="2387"/>
      <c r="I2419" s="3593"/>
      <c r="J2419" s="673"/>
      <c r="K2419" s="3577"/>
      <c r="L2419" s="1308"/>
      <c r="M2419" s="3600"/>
      <c r="N2419" s="3592"/>
      <c r="P2419" s="4592"/>
    </row>
    <row r="2420" spans="1:16" ht="16.5" customHeight="1" x14ac:dyDescent="0.25">
      <c r="B2420" s="1242"/>
      <c r="C2420" s="3937" t="s">
        <v>4285</v>
      </c>
      <c r="D2420" s="666">
        <v>500000000</v>
      </c>
      <c r="E2420" s="1470">
        <f>D2420/D2358*100</f>
        <v>0.33832950146978791</v>
      </c>
      <c r="F2420" s="881"/>
      <c r="G2420" s="755"/>
      <c r="H2420" s="755"/>
      <c r="I2420" s="755"/>
      <c r="J2420" s="666"/>
      <c r="K2420" s="1354"/>
      <c r="L2420" s="1310"/>
      <c r="M2420" s="1716"/>
      <c r="N2420" s="535"/>
    </row>
    <row r="2421" spans="1:16" ht="14.25" customHeight="1" x14ac:dyDescent="0.25">
      <c r="B2421" s="1242"/>
      <c r="C2421" s="3917" t="s">
        <v>284</v>
      </c>
      <c r="D2421" s="780">
        <v>50000000</v>
      </c>
      <c r="E2421" s="1470">
        <f>D2421/D2358*100</f>
        <v>3.3832950146978798E-2</v>
      </c>
      <c r="F2421" s="755"/>
      <c r="G2421" s="755"/>
      <c r="H2421" s="1472"/>
      <c r="I2421" s="1314"/>
      <c r="J2421" s="1014"/>
      <c r="K2421" s="1753"/>
      <c r="L2421" s="2386"/>
      <c r="M2421" s="1311"/>
      <c r="N2421" s="535"/>
    </row>
    <row r="2422" spans="1:16" s="3387" customFormat="1" ht="15.75" customHeight="1" x14ac:dyDescent="0.25">
      <c r="A2422" s="3587"/>
      <c r="B2422" s="3604"/>
      <c r="C2422" s="3917" t="s">
        <v>4286</v>
      </c>
      <c r="D2422" s="780">
        <v>50000000</v>
      </c>
      <c r="E2422" s="1470">
        <f>D2422/D2358*100</f>
        <v>3.3832950146978798E-2</v>
      </c>
      <c r="F2422" s="3594"/>
      <c r="G2422" s="3594"/>
      <c r="H2422" s="864"/>
      <c r="I2422" s="1111"/>
      <c r="J2422" s="3596"/>
      <c r="K2422" s="3596"/>
      <c r="L2422" s="1310"/>
      <c r="M2422" s="1312"/>
      <c r="N2422" s="3590"/>
      <c r="P2422" s="612"/>
    </row>
    <row r="2423" spans="1:16" ht="16.5" customHeight="1" x14ac:dyDescent="0.25">
      <c r="B2423" s="1242"/>
      <c r="C2423" s="3937" t="s">
        <v>4287</v>
      </c>
      <c r="D2423" s="666">
        <v>50000000</v>
      </c>
      <c r="E2423" s="1470">
        <f>D2423/D2358*100</f>
        <v>3.3832950146978798E-2</v>
      </c>
      <c r="F2423" s="881"/>
      <c r="G2423" s="755"/>
      <c r="H2423" s="1126"/>
      <c r="I2423" s="1111"/>
      <c r="J2423" s="666"/>
      <c r="K2423" s="1354"/>
      <c r="L2423" s="1310"/>
      <c r="M2423" s="1312"/>
      <c r="N2423" s="535"/>
    </row>
    <row r="2424" spans="1:16" ht="10.5" customHeight="1" x14ac:dyDescent="0.25">
      <c r="B2424" s="1242"/>
      <c r="C2424" s="3937"/>
      <c r="D2424" s="666"/>
      <c r="E2424" s="1470"/>
      <c r="F2424" s="881"/>
      <c r="G2424" s="755"/>
      <c r="H2424" s="1472"/>
      <c r="I2424" s="1111"/>
      <c r="J2424" s="666"/>
      <c r="K2424" s="1354"/>
      <c r="L2424" s="1310"/>
      <c r="M2424" s="1312"/>
      <c r="N2424" s="535"/>
    </row>
    <row r="2425" spans="1:16" s="3598" customFormat="1" ht="18" customHeight="1" x14ac:dyDescent="0.25">
      <c r="A2425" s="3588"/>
      <c r="B2425" s="3597"/>
      <c r="C2425" s="3561" t="s">
        <v>4211</v>
      </c>
      <c r="D2425" s="673">
        <v>370000000</v>
      </c>
      <c r="E2425" s="1469">
        <f>D2425/D2358*100</f>
        <v>0.2503638310876431</v>
      </c>
      <c r="F2425" s="1017"/>
      <c r="G2425" s="3593"/>
      <c r="H2425" s="2387"/>
      <c r="I2425" s="1316"/>
      <c r="J2425" s="673"/>
      <c r="K2425" s="3577"/>
      <c r="L2425" s="1308"/>
      <c r="M2425" s="1650"/>
      <c r="N2425" s="3592"/>
      <c r="P2425" s="4592"/>
    </row>
    <row r="2426" spans="1:16" ht="17.25" customHeight="1" x14ac:dyDescent="0.25">
      <c r="B2426" s="1242"/>
      <c r="C2426" s="3937" t="s">
        <v>4288</v>
      </c>
      <c r="D2426" s="666">
        <v>250000000</v>
      </c>
      <c r="E2426" s="1470">
        <f>D2426/D2359*100</f>
        <v>0.67605115814323902</v>
      </c>
      <c r="F2426" s="1009"/>
      <c r="G2426" s="755"/>
      <c r="H2426" s="1472"/>
      <c r="I2426" s="1314"/>
      <c r="J2426" s="1900"/>
      <c r="K2426" s="1753"/>
      <c r="L2426" s="2386"/>
      <c r="M2426" s="1311"/>
      <c r="N2426" s="535"/>
    </row>
    <row r="2427" spans="1:16" s="3387" customFormat="1" ht="16.5" customHeight="1" x14ac:dyDescent="0.25">
      <c r="A2427" s="3587"/>
      <c r="B2427" s="3604"/>
      <c r="C2427" s="3917" t="s">
        <v>4289</v>
      </c>
      <c r="D2427" s="780">
        <v>50000000</v>
      </c>
      <c r="E2427" s="1470">
        <f>D2427/D2358*100</f>
        <v>3.3832950146978798E-2</v>
      </c>
      <c r="F2427" s="3594"/>
      <c r="G2427" s="3594"/>
      <c r="H2427" s="864"/>
      <c r="I2427" s="1111"/>
      <c r="J2427" s="3596"/>
      <c r="K2427" s="3596"/>
      <c r="L2427" s="1310"/>
      <c r="M2427" s="1312"/>
      <c r="N2427" s="3590"/>
      <c r="P2427" s="612"/>
    </row>
    <row r="2428" spans="1:16" ht="17.25" customHeight="1" x14ac:dyDescent="0.25">
      <c r="B2428" s="1242"/>
      <c r="C2428" s="3937" t="s">
        <v>4212</v>
      </c>
      <c r="D2428" s="666">
        <v>70000000</v>
      </c>
      <c r="E2428" s="1470">
        <f>D2428/D2358*100</f>
        <v>4.736613020577031E-2</v>
      </c>
      <c r="F2428" s="881"/>
      <c r="G2428" s="755"/>
      <c r="H2428" s="1126"/>
      <c r="I2428" s="755"/>
      <c r="J2428" s="666"/>
      <c r="K2428" s="1354"/>
      <c r="L2428" s="1310"/>
      <c r="M2428" s="1716"/>
      <c r="N2428" s="535"/>
    </row>
    <row r="2429" spans="1:16" ht="11.25" customHeight="1" x14ac:dyDescent="0.25">
      <c r="B2429" s="1242"/>
      <c r="C2429" s="3939"/>
      <c r="D2429" s="1901"/>
      <c r="E2429" s="1470"/>
      <c r="F2429" s="1010"/>
      <c r="G2429" s="798"/>
      <c r="H2429" s="804"/>
      <c r="I2429" s="805"/>
      <c r="J2429" s="1901"/>
      <c r="K2429" s="1962"/>
      <c r="L2429" s="1649"/>
      <c r="M2429" s="2271"/>
      <c r="N2429" s="535"/>
    </row>
    <row r="2430" spans="1:16" ht="17.25" customHeight="1" x14ac:dyDescent="0.25">
      <c r="B2430" s="1242"/>
      <c r="C2430" s="4022" t="s">
        <v>4213</v>
      </c>
      <c r="D2430" s="1902">
        <v>1080000000</v>
      </c>
      <c r="E2430" s="1469">
        <f>D2430/D2358*100</f>
        <v>0.73079172317474195</v>
      </c>
      <c r="F2430" s="1011"/>
      <c r="G2430" s="857"/>
      <c r="H2430" s="857"/>
      <c r="I2430" s="857"/>
      <c r="J2430" s="1902"/>
      <c r="K2430" s="673"/>
      <c r="L2430" s="1308"/>
      <c r="M2430" s="2278"/>
      <c r="N2430" s="535"/>
    </row>
    <row r="2431" spans="1:16" ht="17.25" customHeight="1" x14ac:dyDescent="0.25">
      <c r="B2431" s="1242"/>
      <c r="C2431" s="3937" t="s">
        <v>4290</v>
      </c>
      <c r="D2431" s="868">
        <v>140000000</v>
      </c>
      <c r="E2431" s="1450">
        <f>D2431/D2358*100</f>
        <v>9.473226041154062E-2</v>
      </c>
      <c r="F2431" s="891"/>
      <c r="G2431" s="798"/>
      <c r="H2431" s="798"/>
      <c r="I2431" s="798"/>
      <c r="J2431" s="868"/>
      <c r="K2431" s="868"/>
      <c r="L2431" s="1310"/>
      <c r="M2431" s="2271"/>
      <c r="N2431" s="535"/>
    </row>
    <row r="2432" spans="1:16" s="3572" customFormat="1" ht="19.5" customHeight="1" x14ac:dyDescent="0.25">
      <c r="A2432" s="3573"/>
      <c r="B2432" s="3575"/>
      <c r="C2432" s="3939" t="s">
        <v>4291</v>
      </c>
      <c r="D2432" s="666">
        <v>120000000</v>
      </c>
      <c r="E2432" s="1126">
        <f>D2432/D2358*100</f>
        <v>8.1199080352749101E-2</v>
      </c>
      <c r="F2432" s="881"/>
      <c r="G2432" s="3594"/>
      <c r="H2432" s="3594"/>
      <c r="I2432" s="3594"/>
      <c r="J2432" s="666"/>
      <c r="K2432" s="666"/>
      <c r="L2432" s="2255"/>
      <c r="M2432" s="3576"/>
      <c r="N2432" s="3574"/>
      <c r="P2432" s="500"/>
    </row>
    <row r="2433" spans="1:16" s="3572" customFormat="1" ht="17.25" customHeight="1" x14ac:dyDescent="0.25">
      <c r="A2433" s="3573"/>
      <c r="B2433" s="3575"/>
      <c r="C2433" s="3939" t="s">
        <v>4292</v>
      </c>
      <c r="D2433" s="666">
        <v>500000000</v>
      </c>
      <c r="E2433" s="1126">
        <f>D2433/D2358*100</f>
        <v>0.33832950146978791</v>
      </c>
      <c r="F2433" s="881"/>
      <c r="G2433" s="3594"/>
      <c r="H2433" s="3594"/>
      <c r="I2433" s="3594"/>
      <c r="J2433" s="666"/>
      <c r="K2433" s="666"/>
      <c r="L2433" s="2255"/>
      <c r="M2433" s="3576"/>
      <c r="N2433" s="3574"/>
      <c r="P2433" s="500"/>
    </row>
    <row r="2434" spans="1:16" s="3572" customFormat="1" ht="17.25" customHeight="1" x14ac:dyDescent="0.25">
      <c r="A2434" s="3573"/>
      <c r="B2434" s="3575"/>
      <c r="C2434" s="3939" t="s">
        <v>4293</v>
      </c>
      <c r="D2434" s="666">
        <v>120000000</v>
      </c>
      <c r="E2434" s="1126">
        <f>D2434/D2358*100</f>
        <v>8.1199080352749101E-2</v>
      </c>
      <c r="F2434" s="881"/>
      <c r="G2434" s="3594"/>
      <c r="H2434" s="3594"/>
      <c r="I2434" s="3594"/>
      <c r="J2434" s="666"/>
      <c r="K2434" s="666"/>
      <c r="L2434" s="2255"/>
      <c r="M2434" s="3576"/>
      <c r="N2434" s="3574"/>
      <c r="P2434" s="500"/>
    </row>
    <row r="2435" spans="1:16" s="3572" customFormat="1" ht="17.25" customHeight="1" x14ac:dyDescent="0.25">
      <c r="A2435" s="3573"/>
      <c r="B2435" s="3575"/>
      <c r="C2435" s="3939" t="s">
        <v>4294</v>
      </c>
      <c r="D2435" s="666">
        <v>200000000</v>
      </c>
      <c r="E2435" s="1450">
        <f>D2435/D2358*100</f>
        <v>0.13533180058791519</v>
      </c>
      <c r="F2435" s="881"/>
      <c r="G2435" s="3594"/>
      <c r="H2435" s="3594"/>
      <c r="I2435" s="3594"/>
      <c r="J2435" s="666"/>
      <c r="K2435" s="666"/>
      <c r="L2435" s="2255"/>
      <c r="M2435" s="3576"/>
      <c r="N2435" s="3574"/>
      <c r="P2435" s="500"/>
    </row>
    <row r="2436" spans="1:16" s="3572" customFormat="1" ht="12" customHeight="1" x14ac:dyDescent="0.25">
      <c r="A2436" s="3573"/>
      <c r="B2436" s="3575"/>
      <c r="C2436" s="3939"/>
      <c r="D2436" s="666"/>
      <c r="E2436" s="1126"/>
      <c r="F2436" s="881"/>
      <c r="G2436" s="3594"/>
      <c r="H2436" s="3594"/>
      <c r="I2436" s="3594"/>
      <c r="J2436" s="666"/>
      <c r="K2436" s="666"/>
      <c r="L2436" s="2255"/>
      <c r="M2436" s="3576"/>
      <c r="N2436" s="3574"/>
      <c r="P2436" s="500"/>
    </row>
    <row r="2437" spans="1:16" s="3598" customFormat="1" ht="17.25" customHeight="1" x14ac:dyDescent="0.25">
      <c r="A2437" s="3588"/>
      <c r="B2437" s="3597"/>
      <c r="C2437" s="4022" t="s">
        <v>4214</v>
      </c>
      <c r="D2437" s="673">
        <v>790000000</v>
      </c>
      <c r="E2437" s="1469">
        <f>D2437/D2358*100</f>
        <v>0.53456061232226493</v>
      </c>
      <c r="F2437" s="1017"/>
      <c r="G2437" s="3593"/>
      <c r="H2437" s="3593"/>
      <c r="I2437" s="3593"/>
      <c r="J2437" s="673"/>
      <c r="K2437" s="673"/>
      <c r="L2437" s="2238"/>
      <c r="M2437" s="3602"/>
      <c r="N2437" s="3592"/>
      <c r="P2437" s="4592"/>
    </row>
    <row r="2438" spans="1:16" s="3572" customFormat="1" ht="17.25" customHeight="1" x14ac:dyDescent="0.25">
      <c r="A2438" s="3573"/>
      <c r="B2438" s="3575"/>
      <c r="C2438" s="3939" t="s">
        <v>4299</v>
      </c>
      <c r="D2438" s="666">
        <v>100000000</v>
      </c>
      <c r="E2438" s="1450">
        <f>D2438/D2358*100</f>
        <v>6.7665900293957595E-2</v>
      </c>
      <c r="F2438" s="881"/>
      <c r="G2438" s="3594"/>
      <c r="H2438" s="3594"/>
      <c r="I2438" s="3594"/>
      <c r="J2438" s="666"/>
      <c r="K2438" s="666"/>
      <c r="L2438" s="2255"/>
      <c r="M2438" s="3576"/>
      <c r="N2438" s="3574"/>
      <c r="P2438" s="500"/>
    </row>
    <row r="2439" spans="1:16" s="3572" customFormat="1" ht="17.25" customHeight="1" x14ac:dyDescent="0.25">
      <c r="A2439" s="3573"/>
      <c r="B2439" s="3575"/>
      <c r="C2439" s="3939" t="s">
        <v>4298</v>
      </c>
      <c r="D2439" s="666">
        <v>198000000</v>
      </c>
      <c r="E2439" s="1126">
        <f>D2439/D2358*100</f>
        <v>0.13397848258203601</v>
      </c>
      <c r="F2439" s="881"/>
      <c r="G2439" s="3594"/>
      <c r="H2439" s="3594"/>
      <c r="I2439" s="3594"/>
      <c r="J2439" s="666"/>
      <c r="K2439" s="666"/>
      <c r="L2439" s="2255"/>
      <c r="M2439" s="3576"/>
      <c r="N2439" s="3574"/>
      <c r="P2439" s="500"/>
    </row>
    <row r="2440" spans="1:16" s="3572" customFormat="1" ht="17.25" customHeight="1" x14ac:dyDescent="0.25">
      <c r="A2440" s="3573"/>
      <c r="B2440" s="3575"/>
      <c r="C2440" s="3939" t="s">
        <v>4297</v>
      </c>
      <c r="D2440" s="666">
        <v>150000000</v>
      </c>
      <c r="E2440" s="1126">
        <f>D2440/D2358*100</f>
        <v>0.10149885044093637</v>
      </c>
      <c r="F2440" s="881"/>
      <c r="G2440" s="3594"/>
      <c r="H2440" s="3594"/>
      <c r="I2440" s="3594"/>
      <c r="J2440" s="666"/>
      <c r="K2440" s="666"/>
      <c r="L2440" s="2255"/>
      <c r="M2440" s="3576"/>
      <c r="N2440" s="3574"/>
      <c r="P2440" s="500"/>
    </row>
    <row r="2441" spans="1:16" s="3572" customFormat="1" ht="17.25" customHeight="1" x14ac:dyDescent="0.25">
      <c r="A2441" s="3573"/>
      <c r="B2441" s="3575"/>
      <c r="C2441" s="3939" t="s">
        <v>4296</v>
      </c>
      <c r="D2441" s="666">
        <v>152000000</v>
      </c>
      <c r="E2441" s="1126">
        <f>D2441/D2358*100</f>
        <v>0.10285216844681552</v>
      </c>
      <c r="F2441" s="881"/>
      <c r="G2441" s="3594"/>
      <c r="H2441" s="3594"/>
      <c r="I2441" s="3594"/>
      <c r="J2441" s="666"/>
      <c r="K2441" s="666"/>
      <c r="L2441" s="2255"/>
      <c r="M2441" s="3576"/>
      <c r="N2441" s="3574"/>
      <c r="P2441" s="500"/>
    </row>
    <row r="2442" spans="1:16" s="3572" customFormat="1" ht="17.25" customHeight="1" x14ac:dyDescent="0.25">
      <c r="A2442" s="3573"/>
      <c r="B2442" s="3575"/>
      <c r="C2442" s="3939" t="s">
        <v>4295</v>
      </c>
      <c r="D2442" s="666">
        <v>190000000</v>
      </c>
      <c r="E2442" s="1126">
        <f>D2442/D2358*100</f>
        <v>0.12856521055851941</v>
      </c>
      <c r="F2442" s="881"/>
      <c r="G2442" s="3594"/>
      <c r="H2442" s="3594"/>
      <c r="I2442" s="3594"/>
      <c r="J2442" s="666"/>
      <c r="K2442" s="666"/>
      <c r="L2442" s="2255"/>
      <c r="M2442" s="3576"/>
      <c r="N2442" s="3574"/>
      <c r="P2442" s="500"/>
    </row>
    <row r="2443" spans="1:16" s="3572" customFormat="1" ht="12.75" customHeight="1" x14ac:dyDescent="0.25">
      <c r="A2443" s="3573"/>
      <c r="B2443" s="3575"/>
      <c r="C2443" s="3939"/>
      <c r="D2443" s="666"/>
      <c r="E2443" s="1126"/>
      <c r="F2443" s="881"/>
      <c r="G2443" s="3594"/>
      <c r="H2443" s="3594"/>
      <c r="I2443" s="3594"/>
      <c r="J2443" s="666"/>
      <c r="K2443" s="666"/>
      <c r="L2443" s="2255"/>
      <c r="M2443" s="3576"/>
      <c r="N2443" s="3574"/>
      <c r="P2443" s="500"/>
    </row>
    <row r="2444" spans="1:16" s="3598" customFormat="1" ht="27.75" customHeight="1" x14ac:dyDescent="0.25">
      <c r="A2444" s="3588"/>
      <c r="B2444" s="3597"/>
      <c r="C2444" s="4022" t="s">
        <v>4215</v>
      </c>
      <c r="D2444" s="673">
        <v>3496000000</v>
      </c>
      <c r="E2444" s="1447">
        <f>D2444/D2358*100</f>
        <v>2.3655998742767572</v>
      </c>
      <c r="F2444" s="1017"/>
      <c r="G2444" s="3593"/>
      <c r="H2444" s="3593"/>
      <c r="I2444" s="3593"/>
      <c r="J2444" s="673"/>
      <c r="K2444" s="673"/>
      <c r="L2444" s="2238"/>
      <c r="M2444" s="3602"/>
      <c r="N2444" s="3592"/>
      <c r="P2444" s="4592"/>
    </row>
    <row r="2445" spans="1:16" s="3572" customFormat="1" ht="17.25" customHeight="1" x14ac:dyDescent="0.25">
      <c r="A2445" s="3573"/>
      <c r="B2445" s="3575"/>
      <c r="C2445" s="3939" t="s">
        <v>4300</v>
      </c>
      <c r="D2445" s="666">
        <v>100000000</v>
      </c>
      <c r="E2445" s="1126">
        <f>D2445/D2358*100</f>
        <v>6.7665900293957595E-2</v>
      </c>
      <c r="F2445" s="881"/>
      <c r="G2445" s="3594"/>
      <c r="H2445" s="3594"/>
      <c r="I2445" s="3594"/>
      <c r="J2445" s="666"/>
      <c r="K2445" s="666"/>
      <c r="L2445" s="2255"/>
      <c r="M2445" s="3576"/>
      <c r="N2445" s="3574"/>
      <c r="P2445" s="500"/>
    </row>
    <row r="2446" spans="1:16" s="3572" customFormat="1" ht="17.25" customHeight="1" x14ac:dyDescent="0.25">
      <c r="A2446" s="3573"/>
      <c r="B2446" s="3575"/>
      <c r="C2446" s="3939" t="s">
        <v>4301</v>
      </c>
      <c r="D2446" s="666">
        <v>1271566000</v>
      </c>
      <c r="E2446" s="1126">
        <f>D2446/D2358*100</f>
        <v>0.86041658173186475</v>
      </c>
      <c r="F2446" s="881"/>
      <c r="G2446" s="3594"/>
      <c r="H2446" s="3594"/>
      <c r="I2446" s="3594"/>
      <c r="J2446" s="666"/>
      <c r="K2446" s="666"/>
      <c r="L2446" s="2255"/>
      <c r="M2446" s="3576"/>
      <c r="N2446" s="3574"/>
      <c r="P2446" s="500"/>
    </row>
    <row r="2447" spans="1:16" s="3572" customFormat="1" ht="17.25" customHeight="1" x14ac:dyDescent="0.25">
      <c r="A2447" s="3573"/>
      <c r="B2447" s="3575"/>
      <c r="C2447" s="3939" t="s">
        <v>4302</v>
      </c>
      <c r="D2447" s="666">
        <v>950000000</v>
      </c>
      <c r="E2447" s="1126">
        <f>D2447/D2358*100</f>
        <v>0.64282605279259708</v>
      </c>
      <c r="F2447" s="881"/>
      <c r="G2447" s="3594"/>
      <c r="H2447" s="3594"/>
      <c r="I2447" s="3594"/>
      <c r="J2447" s="666"/>
      <c r="K2447" s="666"/>
      <c r="L2447" s="2255"/>
      <c r="M2447" s="3576"/>
      <c r="N2447" s="3574"/>
      <c r="P2447" s="500"/>
    </row>
    <row r="2448" spans="1:16" s="3572" customFormat="1" ht="16.5" customHeight="1" x14ac:dyDescent="0.25">
      <c r="A2448" s="3573"/>
      <c r="B2448" s="3575"/>
      <c r="C2448" s="3939" t="s">
        <v>4217</v>
      </c>
      <c r="D2448" s="666">
        <v>350000000</v>
      </c>
      <c r="E2448" s="1126">
        <f>D2448/D2358*100</f>
        <v>0.23683065102885156</v>
      </c>
      <c r="F2448" s="881"/>
      <c r="G2448" s="3594"/>
      <c r="H2448" s="3594"/>
      <c r="I2448" s="3594"/>
      <c r="J2448" s="666"/>
      <c r="K2448" s="666"/>
      <c r="L2448" s="2255"/>
      <c r="M2448" s="3576"/>
      <c r="N2448" s="3574"/>
      <c r="P2448" s="500"/>
    </row>
    <row r="2449" spans="1:16" s="3572" customFormat="1" ht="17.25" customHeight="1" x14ac:dyDescent="0.25">
      <c r="A2449" s="3573"/>
      <c r="B2449" s="3575"/>
      <c r="C2449" s="3939" t="s">
        <v>4303</v>
      </c>
      <c r="D2449" s="666">
        <v>475000000</v>
      </c>
      <c r="E2449" s="1126">
        <f>D2449/D2358*100</f>
        <v>0.32141302639629854</v>
      </c>
      <c r="F2449" s="881"/>
      <c r="G2449" s="3594"/>
      <c r="H2449" s="3594"/>
      <c r="I2449" s="3594"/>
      <c r="J2449" s="666"/>
      <c r="K2449" s="666"/>
      <c r="L2449" s="2255"/>
      <c r="M2449" s="3576"/>
      <c r="N2449" s="3574"/>
      <c r="P2449" s="500"/>
    </row>
    <row r="2450" spans="1:16" s="3572" customFormat="1" ht="17.25" customHeight="1" x14ac:dyDescent="0.25">
      <c r="A2450" s="3573"/>
      <c r="B2450" s="3575"/>
      <c r="C2450" s="3939" t="s">
        <v>4304</v>
      </c>
      <c r="D2450" s="666">
        <v>200000000</v>
      </c>
      <c r="E2450" s="1126">
        <f>D2450/D2358*100</f>
        <v>0.13533180058791519</v>
      </c>
      <c r="F2450" s="881"/>
      <c r="G2450" s="3594"/>
      <c r="H2450" s="3594"/>
      <c r="I2450" s="3594"/>
      <c r="J2450" s="666"/>
      <c r="K2450" s="666"/>
      <c r="L2450" s="2255"/>
      <c r="M2450" s="3576"/>
      <c r="N2450" s="3574"/>
      <c r="P2450" s="500"/>
    </row>
    <row r="2451" spans="1:16" s="3572" customFormat="1" ht="17.25" customHeight="1" x14ac:dyDescent="0.25">
      <c r="A2451" s="3573"/>
      <c r="B2451" s="3575"/>
      <c r="C2451" s="3939" t="s">
        <v>4305</v>
      </c>
      <c r="D2451" s="666">
        <v>37365250</v>
      </c>
      <c r="E2451" s="1126">
        <f>D2451/D2358*100</f>
        <v>2.5283532809587988E-2</v>
      </c>
      <c r="F2451" s="881"/>
      <c r="G2451" s="3594"/>
      <c r="H2451" s="3594"/>
      <c r="I2451" s="3594"/>
      <c r="J2451" s="666"/>
      <c r="K2451" s="666"/>
      <c r="L2451" s="2255"/>
      <c r="M2451" s="3576"/>
      <c r="N2451" s="3574"/>
      <c r="P2451" s="500"/>
    </row>
    <row r="2452" spans="1:16" s="3572" customFormat="1" ht="17.25" customHeight="1" x14ac:dyDescent="0.25">
      <c r="A2452" s="3573"/>
      <c r="B2452" s="3575"/>
      <c r="C2452" s="3939" t="s">
        <v>4306</v>
      </c>
      <c r="D2452" s="666">
        <v>52298750</v>
      </c>
      <c r="E2452" s="1126">
        <f>D2452/D2358*100</f>
        <v>3.5388420029986142E-2</v>
      </c>
      <c r="F2452" s="881"/>
      <c r="G2452" s="3594"/>
      <c r="H2452" s="3594"/>
      <c r="I2452" s="3594"/>
      <c r="J2452" s="666"/>
      <c r="K2452" s="666"/>
      <c r="L2452" s="2255"/>
      <c r="M2452" s="3576"/>
      <c r="N2452" s="3574"/>
      <c r="P2452" s="500"/>
    </row>
    <row r="2453" spans="1:16" s="3572" customFormat="1" ht="17.25" customHeight="1" x14ac:dyDescent="0.25">
      <c r="A2453" s="3573"/>
      <c r="B2453" s="3575"/>
      <c r="C2453" s="3939" t="s">
        <v>4307</v>
      </c>
      <c r="D2453" s="666">
        <v>59770000</v>
      </c>
      <c r="E2453" s="1450">
        <f>D2453/D2358*100</f>
        <v>4.044390860569845E-2</v>
      </c>
      <c r="F2453" s="881"/>
      <c r="G2453" s="3594"/>
      <c r="H2453" s="3594"/>
      <c r="I2453" s="3594"/>
      <c r="J2453" s="666"/>
      <c r="K2453" s="666"/>
      <c r="L2453" s="2255"/>
      <c r="M2453" s="3576"/>
      <c r="N2453" s="3574"/>
      <c r="P2453" s="500"/>
    </row>
    <row r="2454" spans="1:16" s="3572" customFormat="1" ht="11.25" customHeight="1" x14ac:dyDescent="0.25">
      <c r="A2454" s="3573"/>
      <c r="B2454" s="3575"/>
      <c r="C2454" s="3939"/>
      <c r="D2454" s="666"/>
      <c r="E2454" s="1126"/>
      <c r="F2454" s="881"/>
      <c r="G2454" s="3594"/>
      <c r="H2454" s="3594"/>
      <c r="I2454" s="3594"/>
      <c r="J2454" s="666"/>
      <c r="K2454" s="666"/>
      <c r="L2454" s="2255"/>
      <c r="M2454" s="3576"/>
      <c r="N2454" s="3574"/>
      <c r="P2454" s="500"/>
    </row>
    <row r="2455" spans="1:16" s="3598" customFormat="1" ht="17.25" customHeight="1" x14ac:dyDescent="0.25">
      <c r="A2455" s="3588"/>
      <c r="B2455" s="3597"/>
      <c r="C2455" s="4022" t="s">
        <v>4216</v>
      </c>
      <c r="D2455" s="673">
        <v>1750000000</v>
      </c>
      <c r="E2455" s="1446">
        <f>D2455/D2358*100</f>
        <v>1.1841532551442577</v>
      </c>
      <c r="F2455" s="1017"/>
      <c r="G2455" s="3593"/>
      <c r="H2455" s="3593"/>
      <c r="I2455" s="3593"/>
      <c r="J2455" s="673"/>
      <c r="K2455" s="673"/>
      <c r="L2455" s="2238"/>
      <c r="M2455" s="3602"/>
      <c r="N2455" s="3592"/>
      <c r="P2455" s="4592"/>
    </row>
    <row r="2456" spans="1:16" ht="18" customHeight="1" x14ac:dyDescent="0.25">
      <c r="B2456" s="1242"/>
      <c r="C2456" s="4001" t="s">
        <v>4308</v>
      </c>
      <c r="D2456" s="3104">
        <v>200000000</v>
      </c>
      <c r="E2456" s="1126">
        <f>D2456/D2358*100</f>
        <v>0.13533180058791519</v>
      </c>
      <c r="F2456" s="3601"/>
      <c r="G2456" s="1126"/>
      <c r="H2456" s="1126"/>
      <c r="I2456" s="894"/>
      <c r="J2456" s="3564"/>
      <c r="K2456" s="771"/>
      <c r="L2456" s="2389"/>
      <c r="M2456" s="2175"/>
      <c r="N2456" s="535"/>
    </row>
    <row r="2457" spans="1:16" s="3504" customFormat="1" ht="18" customHeight="1" x14ac:dyDescent="0.25">
      <c r="A2457" s="352"/>
      <c r="B2457" s="1242"/>
      <c r="C2457" s="3917" t="s">
        <v>4309</v>
      </c>
      <c r="D2457" s="3104">
        <v>200000000</v>
      </c>
      <c r="E2457" s="1126">
        <f>D2457/D2358*100</f>
        <v>0.13533180058791519</v>
      </c>
      <c r="F2457" s="3601"/>
      <c r="G2457" s="1126"/>
      <c r="H2457" s="1126"/>
      <c r="I2457" s="894"/>
      <c r="J2457" s="3564"/>
      <c r="K2457" s="771"/>
      <c r="L2457" s="2389"/>
      <c r="M2457" s="2182"/>
      <c r="N2457" s="535"/>
      <c r="P2457" s="500"/>
    </row>
    <row r="2458" spans="1:16" s="3504" customFormat="1" ht="18" customHeight="1" x14ac:dyDescent="0.25">
      <c r="A2458" s="352"/>
      <c r="B2458" s="1242"/>
      <c r="C2458" s="3917" t="s">
        <v>4310</v>
      </c>
      <c r="D2458" s="3104">
        <v>200000000</v>
      </c>
      <c r="E2458" s="1126">
        <f>D2458/D2358*100</f>
        <v>0.13533180058791519</v>
      </c>
      <c r="F2458" s="3601"/>
      <c r="G2458" s="1126"/>
      <c r="H2458" s="1126"/>
      <c r="I2458" s="894"/>
      <c r="J2458" s="3564"/>
      <c r="K2458" s="771"/>
      <c r="L2458" s="2389"/>
      <c r="M2458" s="2182"/>
      <c r="N2458" s="535"/>
      <c r="P2458" s="500"/>
    </row>
    <row r="2459" spans="1:16" s="3504" customFormat="1" ht="18" customHeight="1" x14ac:dyDescent="0.25">
      <c r="A2459" s="352"/>
      <c r="B2459" s="1242"/>
      <c r="C2459" s="3917" t="s">
        <v>4311</v>
      </c>
      <c r="D2459" s="3104">
        <v>200000000</v>
      </c>
      <c r="E2459" s="1126">
        <f>D2459/D2358*100</f>
        <v>0.13533180058791519</v>
      </c>
      <c r="F2459" s="3601"/>
      <c r="G2459" s="1126"/>
      <c r="H2459" s="1126"/>
      <c r="I2459" s="894"/>
      <c r="J2459" s="3564"/>
      <c r="K2459" s="771"/>
      <c r="L2459" s="2389"/>
      <c r="M2459" s="2182"/>
      <c r="N2459" s="535"/>
      <c r="P2459" s="500"/>
    </row>
    <row r="2460" spans="1:16" s="3504" customFormat="1" ht="18" customHeight="1" x14ac:dyDescent="0.25">
      <c r="A2460" s="352"/>
      <c r="B2460" s="1242"/>
      <c r="C2460" s="3917" t="s">
        <v>4312</v>
      </c>
      <c r="D2460" s="3104">
        <v>250000000</v>
      </c>
      <c r="E2460" s="1126">
        <f>D2460/D2358*100</f>
        <v>0.16916475073489395</v>
      </c>
      <c r="F2460" s="3601"/>
      <c r="G2460" s="1126"/>
      <c r="H2460" s="1126"/>
      <c r="I2460" s="894"/>
      <c r="J2460" s="3564"/>
      <c r="K2460" s="771"/>
      <c r="L2460" s="2389"/>
      <c r="M2460" s="2182"/>
      <c r="N2460" s="535"/>
      <c r="P2460" s="500"/>
    </row>
    <row r="2461" spans="1:16" s="3504" customFormat="1" ht="18" customHeight="1" x14ac:dyDescent="0.25">
      <c r="A2461" s="352"/>
      <c r="B2461" s="1242"/>
      <c r="C2461" s="3917" t="s">
        <v>4313</v>
      </c>
      <c r="D2461" s="3104">
        <v>100000000</v>
      </c>
      <c r="E2461" s="1126">
        <f>D2461/D2358*100</f>
        <v>6.7665900293957595E-2</v>
      </c>
      <c r="F2461" s="3601"/>
      <c r="G2461" s="1126"/>
      <c r="H2461" s="1126"/>
      <c r="I2461" s="894"/>
      <c r="J2461" s="3564"/>
      <c r="K2461" s="771"/>
      <c r="L2461" s="2389"/>
      <c r="M2461" s="2182"/>
      <c r="N2461" s="535"/>
      <c r="P2461" s="500"/>
    </row>
    <row r="2462" spans="1:16" s="3504" customFormat="1" ht="18" customHeight="1" x14ac:dyDescent="0.25">
      <c r="A2462" s="352"/>
      <c r="B2462" s="1242"/>
      <c r="C2462" s="3917" t="s">
        <v>4314</v>
      </c>
      <c r="D2462" s="3104">
        <v>100000000</v>
      </c>
      <c r="E2462" s="1126">
        <f>D2462/D2358*100</f>
        <v>6.7665900293957595E-2</v>
      </c>
      <c r="F2462" s="3601"/>
      <c r="G2462" s="1126"/>
      <c r="H2462" s="1126"/>
      <c r="I2462" s="894"/>
      <c r="J2462" s="3564"/>
      <c r="K2462" s="771"/>
      <c r="L2462" s="2389"/>
      <c r="M2462" s="2182"/>
      <c r="N2462" s="535"/>
      <c r="P2462" s="500"/>
    </row>
    <row r="2463" spans="1:16" s="3504" customFormat="1" ht="18" customHeight="1" x14ac:dyDescent="0.25">
      <c r="A2463" s="352"/>
      <c r="B2463" s="1242"/>
      <c r="C2463" s="3917" t="s">
        <v>4227</v>
      </c>
      <c r="D2463" s="3104">
        <v>100000000</v>
      </c>
      <c r="E2463" s="1126">
        <f>D2463/D2358*100</f>
        <v>6.7665900293957595E-2</v>
      </c>
      <c r="F2463" s="3601"/>
      <c r="G2463" s="1126"/>
      <c r="H2463" s="1126"/>
      <c r="I2463" s="894"/>
      <c r="J2463" s="3564"/>
      <c r="K2463" s="771"/>
      <c r="L2463" s="2389"/>
      <c r="M2463" s="2182"/>
      <c r="N2463" s="535"/>
      <c r="P2463" s="500"/>
    </row>
    <row r="2464" spans="1:16" s="3504" customFormat="1" ht="18" customHeight="1" x14ac:dyDescent="0.25">
      <c r="A2464" s="352"/>
      <c r="B2464" s="1242"/>
      <c r="C2464" s="3917" t="s">
        <v>4226</v>
      </c>
      <c r="D2464" s="3104">
        <v>200000000</v>
      </c>
      <c r="E2464" s="1126">
        <f>D2464/D2358*100</f>
        <v>0.13533180058791519</v>
      </c>
      <c r="F2464" s="3601"/>
      <c r="G2464" s="1126"/>
      <c r="H2464" s="1126"/>
      <c r="I2464" s="894"/>
      <c r="J2464" s="3564"/>
      <c r="K2464" s="771"/>
      <c r="L2464" s="2389"/>
      <c r="M2464" s="2182"/>
      <c r="N2464" s="535"/>
      <c r="P2464" s="500"/>
    </row>
    <row r="2465" spans="1:16" s="3504" customFormat="1" ht="18" customHeight="1" x14ac:dyDescent="0.25">
      <c r="A2465" s="352"/>
      <c r="B2465" s="1242"/>
      <c r="C2465" s="3917" t="s">
        <v>4225</v>
      </c>
      <c r="D2465" s="3104">
        <v>100000000</v>
      </c>
      <c r="E2465" s="1126">
        <f>D2465/D2358*100</f>
        <v>6.7665900293957595E-2</v>
      </c>
      <c r="F2465" s="3601"/>
      <c r="G2465" s="1126"/>
      <c r="H2465" s="1126"/>
      <c r="I2465" s="894"/>
      <c r="J2465" s="3564"/>
      <c r="K2465" s="771"/>
      <c r="L2465" s="2389"/>
      <c r="M2465" s="2182"/>
      <c r="N2465" s="535"/>
      <c r="P2465" s="500"/>
    </row>
    <row r="2466" spans="1:16" s="3504" customFormat="1" ht="18" customHeight="1" x14ac:dyDescent="0.25">
      <c r="A2466" s="352"/>
      <c r="B2466" s="1242"/>
      <c r="C2466" s="3917" t="s">
        <v>4224</v>
      </c>
      <c r="D2466" s="3104">
        <v>100000000</v>
      </c>
      <c r="E2466" s="1126">
        <f>D2466/D2358*100</f>
        <v>6.7665900293957595E-2</v>
      </c>
      <c r="F2466" s="3601"/>
      <c r="G2466" s="1126"/>
      <c r="H2466" s="1126"/>
      <c r="I2466" s="894"/>
      <c r="J2466" s="3564"/>
      <c r="K2466" s="771"/>
      <c r="L2466" s="2389"/>
      <c r="M2466" s="2182"/>
      <c r="N2466" s="535"/>
      <c r="P2466" s="500"/>
    </row>
    <row r="2467" spans="1:16" s="3504" customFormat="1" ht="12" customHeight="1" x14ac:dyDescent="0.25">
      <c r="A2467" s="352"/>
      <c r="B2467" s="1242"/>
      <c r="C2467" s="3896"/>
      <c r="D2467" s="4260"/>
      <c r="E2467" s="1450"/>
      <c r="F2467" s="1008"/>
      <c r="G2467" s="1326"/>
      <c r="H2467" s="1326"/>
      <c r="I2467" s="973"/>
      <c r="J2467" s="3607"/>
      <c r="K2467" s="2359"/>
      <c r="L2467" s="2389"/>
      <c r="M2467" s="2182"/>
      <c r="N2467" s="535"/>
      <c r="P2467" s="500"/>
    </row>
    <row r="2468" spans="1:16" ht="21" customHeight="1" x14ac:dyDescent="0.25">
      <c r="B2468" s="1305"/>
      <c r="C2468" s="3913" t="s">
        <v>270</v>
      </c>
      <c r="D2468" s="2239">
        <f>SUM(D2469+D2473+D2476+D2479+D2482)</f>
        <v>73353549961</v>
      </c>
      <c r="E2468" s="1445">
        <f>D2468/D2358*100</f>
        <v>49.635339978688627</v>
      </c>
      <c r="F2468" s="3635"/>
      <c r="G2468" s="807"/>
      <c r="H2468" s="1445"/>
      <c r="I2468" s="1645"/>
      <c r="J2468" s="1781"/>
      <c r="K2468" s="1781"/>
      <c r="L2468" s="2065"/>
      <c r="M2468" s="1307"/>
      <c r="N2468" s="535"/>
    </row>
    <row r="2469" spans="1:16" ht="18" customHeight="1" x14ac:dyDescent="0.25">
      <c r="B2469" s="1242"/>
      <c r="C2469" s="4021" t="s">
        <v>615</v>
      </c>
      <c r="D2469" s="3095">
        <v>21000000000</v>
      </c>
      <c r="E2469" s="1469">
        <f>D2469/D2358*100</f>
        <v>14.209839061731094</v>
      </c>
      <c r="F2469" s="1012"/>
      <c r="G2469" s="1012"/>
      <c r="H2469" s="1012"/>
      <c r="I2469" s="1012"/>
      <c r="J2469" s="1903"/>
      <c r="K2469" s="1903"/>
      <c r="L2469" s="1012"/>
      <c r="M2469" s="1012"/>
      <c r="N2469" s="535"/>
    </row>
    <row r="2470" spans="1:16" ht="18" customHeight="1" x14ac:dyDescent="0.25">
      <c r="B2470" s="1242"/>
      <c r="C2470" s="3937" t="s">
        <v>4235</v>
      </c>
      <c r="D2470" s="666">
        <v>15000000000</v>
      </c>
      <c r="E2470" s="1470">
        <f>D2470/D2358*100</f>
        <v>10.149885044093638</v>
      </c>
      <c r="F2470" s="881"/>
      <c r="G2470" s="802"/>
      <c r="H2470" s="802"/>
      <c r="I2470" s="802"/>
      <c r="J2470" s="666"/>
      <c r="K2470" s="1904"/>
      <c r="L2470" s="802"/>
      <c r="M2470" s="802"/>
      <c r="N2470" s="535"/>
    </row>
    <row r="2471" spans="1:16" ht="15.75" customHeight="1" x14ac:dyDescent="0.25">
      <c r="B2471" s="1242"/>
      <c r="C2471" s="3937" t="s">
        <v>4228</v>
      </c>
      <c r="D2471" s="666">
        <v>6000000000</v>
      </c>
      <c r="E2471" s="1470">
        <f>D2471/D2358*100</f>
        <v>4.0599540176374553</v>
      </c>
      <c r="F2471" s="802"/>
      <c r="G2471" s="802"/>
      <c r="H2471" s="1472"/>
      <c r="I2471" s="1314"/>
      <c r="J2471" s="1904"/>
      <c r="K2471" s="2180"/>
      <c r="L2471" s="2386"/>
      <c r="M2471" s="1311"/>
      <c r="N2471" s="535"/>
    </row>
    <row r="2472" spans="1:16" ht="10.5" customHeight="1" x14ac:dyDescent="0.25">
      <c r="B2472" s="1242"/>
      <c r="C2472" s="3917"/>
      <c r="D2472" s="2249"/>
      <c r="E2472" s="1469"/>
      <c r="F2472" s="803"/>
      <c r="G2472" s="803"/>
      <c r="H2472" s="2387"/>
      <c r="I2472" s="1316"/>
      <c r="J2472" s="1872"/>
      <c r="K2472" s="1872"/>
      <c r="L2472" s="1308"/>
      <c r="M2472" s="1650"/>
      <c r="N2472" s="535"/>
    </row>
    <row r="2473" spans="1:16" ht="15.75" customHeight="1" x14ac:dyDescent="0.25">
      <c r="B2473" s="1242"/>
      <c r="C2473" s="3938" t="s">
        <v>4229</v>
      </c>
      <c r="D2473" s="2243">
        <v>47303549961</v>
      </c>
      <c r="E2473" s="1469">
        <f>D2473/D2358*100</f>
        <v>32.008372952112673</v>
      </c>
      <c r="F2473" s="881"/>
      <c r="G2473" s="802"/>
      <c r="H2473" s="1472"/>
      <c r="I2473" s="1111"/>
      <c r="J2473" s="666"/>
      <c r="K2473" s="1354"/>
      <c r="L2473" s="1310"/>
      <c r="M2473" s="1312"/>
      <c r="N2473" s="535"/>
    </row>
    <row r="2474" spans="1:16" ht="17.25" customHeight="1" x14ac:dyDescent="0.25">
      <c r="B2474" s="1242"/>
      <c r="C2474" s="3937" t="s">
        <v>4236</v>
      </c>
      <c r="D2474" s="666">
        <v>47303549961</v>
      </c>
      <c r="E2474" s="1470">
        <f>D2474/D2358*100</f>
        <v>32.008372952112673</v>
      </c>
      <c r="F2474" s="802"/>
      <c r="G2474" s="802"/>
      <c r="H2474" s="1472"/>
      <c r="I2474" s="1314"/>
      <c r="J2474" s="1904"/>
      <c r="K2474" s="2180"/>
      <c r="L2474" s="2386"/>
      <c r="M2474" s="1311"/>
      <c r="N2474" s="535"/>
    </row>
    <row r="2475" spans="1:16" ht="11.25" customHeight="1" x14ac:dyDescent="0.25">
      <c r="B2475" s="1242"/>
      <c r="C2475" s="3917"/>
      <c r="D2475" s="2249"/>
      <c r="E2475" s="1469"/>
      <c r="F2475" s="803"/>
      <c r="G2475" s="803"/>
      <c r="H2475" s="803"/>
      <c r="I2475" s="803"/>
      <c r="J2475" s="1872"/>
      <c r="K2475" s="1872"/>
      <c r="L2475" s="1308"/>
      <c r="M2475" s="1650"/>
      <c r="N2475" s="535"/>
    </row>
    <row r="2476" spans="1:16" ht="15.75" customHeight="1" x14ac:dyDescent="0.25">
      <c r="B2476" s="1242"/>
      <c r="C2476" s="3938" t="s">
        <v>4230</v>
      </c>
      <c r="D2476" s="2243">
        <v>600000000</v>
      </c>
      <c r="E2476" s="1469">
        <f>D2476/D2358*100</f>
        <v>0.40599540176374549</v>
      </c>
      <c r="F2476" s="881"/>
      <c r="G2476" s="755"/>
      <c r="H2476" s="755"/>
      <c r="I2476" s="755"/>
      <c r="J2476" s="666"/>
      <c r="K2476" s="1354"/>
      <c r="L2476" s="1310"/>
      <c r="M2476" s="1312"/>
      <c r="N2476" s="535"/>
    </row>
    <row r="2477" spans="1:16" ht="18" customHeight="1" x14ac:dyDescent="0.25">
      <c r="B2477" s="1242"/>
      <c r="C2477" s="3937" t="s">
        <v>4237</v>
      </c>
      <c r="D2477" s="666">
        <v>600000000</v>
      </c>
      <c r="E2477" s="1126">
        <f>D2477/D2358*100</f>
        <v>0.40599540176374549</v>
      </c>
      <c r="F2477" s="3650"/>
      <c r="G2477" s="1126"/>
      <c r="H2477" s="1126"/>
      <c r="I2477" s="894"/>
      <c r="J2477" s="3564"/>
      <c r="K2477" s="771"/>
      <c r="L2477" s="1507"/>
      <c r="M2477" s="1315"/>
      <c r="N2477" s="535"/>
    </row>
    <row r="2478" spans="1:16" s="3586" customFormat="1" ht="10.5" customHeight="1" x14ac:dyDescent="0.25">
      <c r="A2478" s="3589"/>
      <c r="B2478" s="3597"/>
      <c r="C2478" s="3937"/>
      <c r="D2478" s="1111"/>
      <c r="E2478" s="1126"/>
      <c r="F2478" s="3650"/>
      <c r="G2478" s="1126"/>
      <c r="H2478" s="1126"/>
      <c r="I2478" s="894"/>
      <c r="J2478" s="3564"/>
      <c r="K2478" s="771"/>
      <c r="L2478" s="1507"/>
      <c r="M2478" s="1315"/>
      <c r="N2478" s="3591"/>
      <c r="P2478" s="500"/>
    </row>
    <row r="2479" spans="1:16" s="3586" customFormat="1" ht="12" customHeight="1" x14ac:dyDescent="0.25">
      <c r="A2479" s="3589"/>
      <c r="B2479" s="3597"/>
      <c r="C2479" s="3938" t="s">
        <v>4231</v>
      </c>
      <c r="D2479" s="2243">
        <v>1450000000</v>
      </c>
      <c r="E2479" s="1447">
        <f>D2479/D2358*100</f>
        <v>0.98115555426238499</v>
      </c>
      <c r="F2479" s="3650"/>
      <c r="G2479" s="1126"/>
      <c r="H2479" s="1126"/>
      <c r="I2479" s="894"/>
      <c r="J2479" s="3564"/>
      <c r="K2479" s="771"/>
      <c r="L2479" s="1507"/>
      <c r="M2479" s="1315"/>
      <c r="N2479" s="3591"/>
      <c r="P2479" s="500"/>
    </row>
    <row r="2480" spans="1:16" s="3586" customFormat="1" ht="17.25" customHeight="1" x14ac:dyDescent="0.25">
      <c r="A2480" s="3589"/>
      <c r="B2480" s="3597"/>
      <c r="C2480" s="3937" t="s">
        <v>4232</v>
      </c>
      <c r="D2480" s="666">
        <v>1450000000</v>
      </c>
      <c r="E2480" s="1126">
        <f>D2480/D2358*100</f>
        <v>0.98115555426238499</v>
      </c>
      <c r="F2480" s="3650"/>
      <c r="G2480" s="1126"/>
      <c r="H2480" s="1126"/>
      <c r="I2480" s="894"/>
      <c r="J2480" s="3564"/>
      <c r="K2480" s="771"/>
      <c r="L2480" s="1507"/>
      <c r="M2480" s="1315"/>
      <c r="N2480" s="3591"/>
      <c r="P2480" s="500"/>
    </row>
    <row r="2481" spans="1:16" s="3586" customFormat="1" ht="9.75" customHeight="1" x14ac:dyDescent="0.25">
      <c r="A2481" s="3589"/>
      <c r="B2481" s="3597"/>
      <c r="C2481" s="3937"/>
      <c r="D2481" s="1111"/>
      <c r="E2481" s="1126"/>
      <c r="F2481" s="3650"/>
      <c r="G2481" s="1126"/>
      <c r="H2481" s="1126"/>
      <c r="I2481" s="894"/>
      <c r="J2481" s="3564"/>
      <c r="K2481" s="771"/>
      <c r="L2481" s="1507"/>
      <c r="M2481" s="1315"/>
      <c r="N2481" s="3591"/>
      <c r="P2481" s="500"/>
    </row>
    <row r="2482" spans="1:16" s="3586" customFormat="1" ht="15.75" customHeight="1" x14ac:dyDescent="0.25">
      <c r="A2482" s="3589"/>
      <c r="B2482" s="3597"/>
      <c r="C2482" s="3938" t="s">
        <v>4233</v>
      </c>
      <c r="D2482" s="2243">
        <v>3000000000</v>
      </c>
      <c r="E2482" s="1447">
        <f>D2482/D2358*100</f>
        <v>2.0299770088187277</v>
      </c>
      <c r="F2482" s="3650"/>
      <c r="G2482" s="1126"/>
      <c r="H2482" s="1126"/>
      <c r="I2482" s="894"/>
      <c r="J2482" s="3564"/>
      <c r="K2482" s="771"/>
      <c r="L2482" s="1507"/>
      <c r="M2482" s="1315"/>
      <c r="N2482" s="3591"/>
      <c r="P2482" s="500"/>
    </row>
    <row r="2483" spans="1:16" s="3586" customFormat="1" ht="15.75" customHeight="1" x14ac:dyDescent="0.25">
      <c r="A2483" s="3589"/>
      <c r="B2483" s="3597"/>
      <c r="C2483" s="3937" t="s">
        <v>4234</v>
      </c>
      <c r="D2483" s="666">
        <v>3000000000</v>
      </c>
      <c r="E2483" s="1126">
        <f>D2483/D2358*100</f>
        <v>2.0299770088187277</v>
      </c>
      <c r="F2483" s="3650"/>
      <c r="G2483" s="1126"/>
      <c r="H2483" s="1126"/>
      <c r="I2483" s="894"/>
      <c r="J2483" s="3564"/>
      <c r="K2483" s="771"/>
      <c r="L2483" s="1507"/>
      <c r="M2483" s="1315"/>
      <c r="N2483" s="3591"/>
      <c r="P2483" s="500"/>
    </row>
    <row r="2484" spans="1:16" s="3586" customFormat="1" ht="11.25" customHeight="1" x14ac:dyDescent="0.25">
      <c r="A2484" s="3589"/>
      <c r="B2484" s="3597"/>
      <c r="C2484" s="3896"/>
      <c r="D2484" s="4260"/>
      <c r="E2484" s="1450"/>
      <c r="F2484" s="3595"/>
      <c r="G2484" s="1450"/>
      <c r="H2484" s="2284"/>
      <c r="I2484" s="791"/>
      <c r="J2484" s="3603"/>
      <c r="K2484" s="2300"/>
      <c r="L2484" s="2389"/>
      <c r="M2484" s="2182"/>
      <c r="N2484" s="3591"/>
      <c r="P2484" s="500"/>
    </row>
    <row r="2485" spans="1:16" ht="15.75" customHeight="1" x14ac:dyDescent="0.25">
      <c r="B2485" s="1305"/>
      <c r="C2485" s="3913" t="s">
        <v>4238</v>
      </c>
      <c r="D2485" s="2659">
        <v>1500000000</v>
      </c>
      <c r="E2485" s="1445">
        <f>D2485/D2358*100</f>
        <v>1.0149885044093638</v>
      </c>
      <c r="F2485" s="3631"/>
      <c r="G2485" s="765"/>
      <c r="H2485" s="1445"/>
      <c r="I2485" s="807"/>
      <c r="J2485" s="1773"/>
      <c r="K2485" s="1773"/>
      <c r="L2485" s="2065"/>
      <c r="M2485" s="1656"/>
      <c r="N2485" s="535"/>
    </row>
    <row r="2486" spans="1:16" ht="27" customHeight="1" x14ac:dyDescent="0.25">
      <c r="B2486" s="1242"/>
      <c r="C2486" s="4021" t="s">
        <v>4239</v>
      </c>
      <c r="D2486" s="3095">
        <v>1500000000</v>
      </c>
      <c r="E2486" s="1469">
        <f>D2486/D2358*100</f>
        <v>1.0149885044093638</v>
      </c>
      <c r="F2486" s="1012"/>
      <c r="G2486" s="1012"/>
      <c r="H2486" s="2387"/>
      <c r="I2486" s="1012"/>
      <c r="J2486" s="1903"/>
      <c r="K2486" s="1903"/>
      <c r="L2486" s="2380"/>
      <c r="M2486" s="2118"/>
      <c r="N2486" s="535"/>
    </row>
    <row r="2487" spans="1:16" ht="16.5" customHeight="1" x14ac:dyDescent="0.25">
      <c r="B2487" s="1242"/>
      <c r="C2487" s="3937" t="s">
        <v>7327</v>
      </c>
      <c r="D2487" s="868">
        <v>500000000</v>
      </c>
      <c r="E2487" s="1470">
        <f>D2487/D2358*100</f>
        <v>0.33832950146978791</v>
      </c>
      <c r="F2487" s="891"/>
      <c r="G2487" s="802"/>
      <c r="H2487" s="802"/>
      <c r="I2487" s="802"/>
      <c r="J2487" s="868"/>
      <c r="K2487" s="1355"/>
      <c r="L2487" s="1310"/>
      <c r="M2487" s="1648"/>
      <c r="N2487" s="535"/>
    </row>
    <row r="2488" spans="1:16" ht="16.5" customHeight="1" x14ac:dyDescent="0.25">
      <c r="B2488" s="1242"/>
      <c r="C2488" s="3937" t="s">
        <v>6144</v>
      </c>
      <c r="D2488" s="666">
        <v>500000000</v>
      </c>
      <c r="E2488" s="1126">
        <f>D2488/D2358*100</f>
        <v>0.33832950146978791</v>
      </c>
      <c r="F2488" s="881"/>
      <c r="G2488" s="802"/>
      <c r="H2488" s="802"/>
      <c r="I2488" s="802"/>
      <c r="J2488" s="666"/>
      <c r="K2488" s="1904"/>
      <c r="L2488" s="802"/>
      <c r="M2488" s="802"/>
      <c r="N2488" s="535"/>
    </row>
    <row r="2489" spans="1:16" ht="13.5" customHeight="1" x14ac:dyDescent="0.25">
      <c r="B2489" s="1242"/>
      <c r="C2489" s="3937" t="s">
        <v>4240</v>
      </c>
      <c r="D2489" s="666">
        <v>500000000</v>
      </c>
      <c r="E2489" s="1126">
        <f>D2489/D2358*100</f>
        <v>0.33832950146978791</v>
      </c>
      <c r="F2489" s="3580"/>
      <c r="G2489" s="864"/>
      <c r="H2489" s="864"/>
      <c r="I2489" s="864"/>
      <c r="J2489" s="3606"/>
      <c r="K2489" s="781"/>
      <c r="L2489" s="2389"/>
      <c r="M2489" s="2175"/>
      <c r="N2489" s="535"/>
    </row>
    <row r="2490" spans="1:16" s="3608" customFormat="1" ht="12" customHeight="1" x14ac:dyDescent="0.25">
      <c r="A2490" s="3609"/>
      <c r="B2490" s="3612"/>
      <c r="C2490" s="3614"/>
      <c r="D2490" s="671"/>
      <c r="E2490" s="1326"/>
      <c r="F2490" s="3611"/>
      <c r="G2490" s="1326"/>
      <c r="H2490" s="1326"/>
      <c r="I2490" s="1326"/>
      <c r="J2490" s="3613"/>
      <c r="K2490" s="2330"/>
      <c r="L2490" s="2389"/>
      <c r="M2490" s="2182"/>
      <c r="N2490" s="3610"/>
      <c r="P2490" s="500"/>
    </row>
    <row r="2491" spans="1:16" ht="17.25" customHeight="1" x14ac:dyDescent="0.25">
      <c r="B2491" s="1305"/>
      <c r="C2491" s="3913" t="s">
        <v>1004</v>
      </c>
      <c r="D2491" s="2659">
        <v>1000000000</v>
      </c>
      <c r="E2491" s="1445">
        <f>D2491/D2358*100</f>
        <v>0.67665900293957582</v>
      </c>
      <c r="F2491" s="3631"/>
      <c r="G2491" s="807"/>
      <c r="H2491" s="807"/>
      <c r="I2491" s="807"/>
      <c r="J2491" s="1773"/>
      <c r="K2491" s="1773"/>
      <c r="L2491" s="2065"/>
      <c r="M2491" s="1307"/>
      <c r="N2491" s="535"/>
    </row>
    <row r="2492" spans="1:16" ht="18.75" customHeight="1" x14ac:dyDescent="0.25">
      <c r="B2492" s="1242"/>
      <c r="C2492" s="4021" t="s">
        <v>973</v>
      </c>
      <c r="D2492" s="2026">
        <v>800000000</v>
      </c>
      <c r="E2492" s="1469">
        <f>D2492/D2358*100</f>
        <v>0.54132720235166076</v>
      </c>
      <c r="F2492" s="1013"/>
      <c r="G2492" s="1013"/>
      <c r="H2492" s="766"/>
      <c r="I2492" s="1013"/>
      <c r="J2492" s="1013"/>
      <c r="K2492" s="1013"/>
      <c r="L2492" s="2380"/>
      <c r="M2492" s="2397"/>
      <c r="N2492" s="535"/>
    </row>
    <row r="2493" spans="1:16" ht="16.5" customHeight="1" x14ac:dyDescent="0.25">
      <c r="B2493" s="1242"/>
      <c r="C2493" s="3937" t="s">
        <v>975</v>
      </c>
      <c r="D2493" s="868">
        <v>800000000</v>
      </c>
      <c r="E2493" s="1470">
        <f>D2493/D2358*100</f>
        <v>0.54132720235166076</v>
      </c>
      <c r="F2493" s="891"/>
      <c r="G2493" s="1014"/>
      <c r="H2493" s="755"/>
      <c r="I2493" s="1014"/>
      <c r="J2493" s="868"/>
      <c r="K2493" s="1355"/>
      <c r="L2493" s="1310"/>
      <c r="M2493" s="1717"/>
      <c r="N2493" s="535"/>
    </row>
    <row r="2494" spans="1:16" ht="12" customHeight="1" x14ac:dyDescent="0.25">
      <c r="B2494" s="1242"/>
      <c r="C2494" s="3937"/>
      <c r="D2494" s="1324"/>
      <c r="E2494" s="3616"/>
      <c r="F2494" s="1015"/>
      <c r="G2494" s="803"/>
      <c r="H2494" s="803"/>
      <c r="I2494" s="803"/>
      <c r="J2494" s="1905"/>
      <c r="K2494" s="2244"/>
      <c r="L2494" s="2398"/>
      <c r="M2494" s="2399"/>
      <c r="N2494" s="535"/>
    </row>
    <row r="2495" spans="1:16" ht="18" customHeight="1" x14ac:dyDescent="0.25">
      <c r="B2495" s="1242"/>
      <c r="C2495" s="3938" t="s">
        <v>974</v>
      </c>
      <c r="D2495" s="2243">
        <v>200000000</v>
      </c>
      <c r="E2495" s="1469">
        <f>D2495/D2358*100</f>
        <v>0.13533180058791519</v>
      </c>
      <c r="F2495" s="803"/>
      <c r="G2495" s="1013"/>
      <c r="H2495" s="766"/>
      <c r="I2495" s="1013"/>
      <c r="J2495" s="1872"/>
      <c r="K2495" s="1013"/>
      <c r="L2495" s="766"/>
      <c r="M2495" s="1013"/>
      <c r="N2495" s="535"/>
    </row>
    <row r="2496" spans="1:16" ht="15.75" customHeight="1" x14ac:dyDescent="0.25">
      <c r="B2496" s="1242"/>
      <c r="C2496" s="3937" t="s">
        <v>976</v>
      </c>
      <c r="D2496" s="868">
        <v>200000000</v>
      </c>
      <c r="E2496" s="1470">
        <f>D2496/D2358*100</f>
        <v>0.13533180058791519</v>
      </c>
      <c r="F2496" s="891"/>
      <c r="G2496" s="1014"/>
      <c r="H2496" s="755"/>
      <c r="I2496" s="1014"/>
      <c r="J2496" s="868"/>
      <c r="K2496" s="1014"/>
      <c r="L2496" s="755"/>
      <c r="M2496" s="1014"/>
      <c r="N2496" s="535"/>
    </row>
    <row r="2497" spans="1:16" ht="12" customHeight="1" x14ac:dyDescent="0.25">
      <c r="B2497" s="1242"/>
      <c r="C2497" s="4001"/>
      <c r="D2497" s="4261"/>
      <c r="E2497" s="1326"/>
      <c r="F2497" s="1327"/>
      <c r="G2497" s="864"/>
      <c r="H2497" s="2284"/>
      <c r="I2497" s="1651"/>
      <c r="J2497" s="2396"/>
      <c r="K2497" s="781"/>
      <c r="L2497" s="2389"/>
      <c r="M2497" s="2175"/>
      <c r="N2497" s="535"/>
    </row>
    <row r="2498" spans="1:16" ht="19.5" customHeight="1" x14ac:dyDescent="0.25">
      <c r="B2498" s="1305"/>
      <c r="C2498" s="3913" t="s">
        <v>4241</v>
      </c>
      <c r="D2498" s="4262">
        <v>1500000000</v>
      </c>
      <c r="E2498" s="1445">
        <f>D2498/D2358*100</f>
        <v>1.0149885044093638</v>
      </c>
      <c r="F2498" s="3642"/>
      <c r="G2498" s="765"/>
      <c r="H2498" s="1445"/>
      <c r="I2498" s="1645"/>
      <c r="J2498" s="1906"/>
      <c r="K2498" s="1773"/>
      <c r="L2498" s="2065"/>
      <c r="M2498" s="1307"/>
      <c r="N2498" s="535"/>
    </row>
    <row r="2499" spans="1:16" ht="18.75" customHeight="1" x14ac:dyDescent="0.25">
      <c r="B2499" s="1242"/>
      <c r="C2499" s="3968" t="s">
        <v>4242</v>
      </c>
      <c r="D2499" s="2260">
        <v>91500000</v>
      </c>
      <c r="E2499" s="1469">
        <f>D2499/D2358*100</f>
        <v>6.1914298768971199E-2</v>
      </c>
      <c r="F2499" s="793"/>
      <c r="G2499" s="793"/>
      <c r="H2499" s="2387"/>
      <c r="I2499" s="793"/>
      <c r="J2499" s="790"/>
      <c r="K2499" s="790"/>
      <c r="L2499" s="2380"/>
      <c r="M2499" s="2264"/>
      <c r="N2499" s="535"/>
    </row>
    <row r="2500" spans="1:16" ht="18" customHeight="1" x14ac:dyDescent="0.25">
      <c r="B2500" s="1242"/>
      <c r="C2500" s="3937" t="s">
        <v>4243</v>
      </c>
      <c r="D2500" s="868">
        <v>91500000</v>
      </c>
      <c r="E2500" s="1470">
        <f>D2500/D2358*100</f>
        <v>6.1914298768971199E-2</v>
      </c>
      <c r="F2500" s="891"/>
      <c r="G2500" s="802"/>
      <c r="H2500" s="802"/>
      <c r="I2500" s="802"/>
      <c r="J2500" s="868"/>
      <c r="K2500" s="868"/>
      <c r="L2500" s="1310"/>
      <c r="M2500" s="1648"/>
      <c r="N2500" s="535"/>
    </row>
    <row r="2501" spans="1:16" ht="9.75" customHeight="1" x14ac:dyDescent="0.25">
      <c r="B2501" s="1242"/>
      <c r="C2501" s="3917"/>
      <c r="D2501" s="2249"/>
      <c r="E2501" s="1470"/>
      <c r="F2501" s="802"/>
      <c r="G2501" s="802"/>
      <c r="H2501" s="1472"/>
      <c r="I2501" s="1314"/>
      <c r="J2501" s="1904"/>
      <c r="K2501" s="2180"/>
      <c r="L2501" s="2386"/>
      <c r="M2501" s="1311"/>
      <c r="N2501" s="535"/>
    </row>
    <row r="2502" spans="1:16" ht="27" customHeight="1" x14ac:dyDescent="0.25">
      <c r="B2502" s="1242"/>
      <c r="C2502" s="3938" t="s">
        <v>4244</v>
      </c>
      <c r="D2502" s="2243">
        <v>1408500000</v>
      </c>
      <c r="E2502" s="1469">
        <f>D2502/D2358*100</f>
        <v>0.95307420564039269</v>
      </c>
      <c r="F2502" s="803"/>
      <c r="G2502" s="803"/>
      <c r="H2502" s="2387"/>
      <c r="I2502" s="1316"/>
      <c r="J2502" s="1872"/>
      <c r="K2502" s="1872"/>
      <c r="L2502" s="1308"/>
      <c r="M2502" s="1650"/>
      <c r="N2502" s="535"/>
    </row>
    <row r="2503" spans="1:16" ht="20.25" customHeight="1" x14ac:dyDescent="0.25">
      <c r="B2503" s="1242"/>
      <c r="C2503" s="3937" t="s">
        <v>4245</v>
      </c>
      <c r="D2503" s="868">
        <v>142030000</v>
      </c>
      <c r="E2503" s="1470">
        <f>D2503/D2358*100</f>
        <v>9.6105878187507959E-2</v>
      </c>
      <c r="F2503" s="891"/>
      <c r="G2503" s="802"/>
      <c r="H2503" s="802"/>
      <c r="I2503" s="1111"/>
      <c r="J2503" s="868"/>
      <c r="K2503" s="1355"/>
      <c r="L2503" s="1310"/>
      <c r="M2503" s="1312"/>
      <c r="N2503" s="535"/>
    </row>
    <row r="2504" spans="1:16" ht="15.75" customHeight="1" x14ac:dyDescent="0.25">
      <c r="B2504" s="1242"/>
      <c r="C2504" s="3937" t="s">
        <v>4246</v>
      </c>
      <c r="D2504" s="868">
        <v>507970000</v>
      </c>
      <c r="E2504" s="1470">
        <f>D2504/D2358*100</f>
        <v>0.3437224737232164</v>
      </c>
      <c r="F2504" s="891"/>
      <c r="G2504" s="802"/>
      <c r="H2504" s="802"/>
      <c r="I2504" s="802"/>
      <c r="J2504" s="868"/>
      <c r="K2504" s="1355"/>
      <c r="L2504" s="1310"/>
      <c r="M2504" s="1648"/>
      <c r="N2504" s="535"/>
    </row>
    <row r="2505" spans="1:16" ht="17.25" customHeight="1" x14ac:dyDescent="0.25">
      <c r="B2505" s="1242"/>
      <c r="C2505" s="3937" t="s">
        <v>4247</v>
      </c>
      <c r="D2505" s="868">
        <v>758500000</v>
      </c>
      <c r="E2505" s="1470">
        <f>D2505/D2358*100</f>
        <v>0.51324585372966836</v>
      </c>
      <c r="F2505" s="891"/>
      <c r="G2505" s="802"/>
      <c r="H2505" s="802"/>
      <c r="I2505" s="802"/>
      <c r="J2505" s="868"/>
      <c r="K2505" s="1355"/>
      <c r="L2505" s="1310"/>
      <c r="M2505" s="1648"/>
      <c r="N2505" s="535"/>
    </row>
    <row r="2506" spans="1:16" ht="12" customHeight="1" x14ac:dyDescent="0.25">
      <c r="B2506" s="1242"/>
      <c r="C2506" s="4001"/>
      <c r="D2506" s="4263"/>
      <c r="E2506" s="1450"/>
      <c r="F2506" s="1019"/>
      <c r="G2506" s="864"/>
      <c r="H2506" s="864"/>
      <c r="I2506" s="864"/>
      <c r="J2506" s="1019"/>
      <c r="K2506" s="2300"/>
      <c r="L2506" s="2400"/>
      <c r="M2506" s="2175"/>
      <c r="N2506" s="535"/>
    </row>
    <row r="2507" spans="1:16" ht="16.5" customHeight="1" x14ac:dyDescent="0.25">
      <c r="B2507" s="1305"/>
      <c r="C2507" s="3913" t="s">
        <v>4248</v>
      </c>
      <c r="D2507" s="2659">
        <v>1500000000</v>
      </c>
      <c r="E2507" s="1445">
        <f>D2507/D2358*100</f>
        <v>1.0149885044093638</v>
      </c>
      <c r="F2507" s="3631"/>
      <c r="G2507" s="765"/>
      <c r="H2507" s="765"/>
      <c r="I2507" s="765"/>
      <c r="J2507" s="1773"/>
      <c r="K2507" s="1773"/>
      <c r="L2507" s="765"/>
      <c r="M2507" s="765"/>
      <c r="N2507" s="535"/>
    </row>
    <row r="2508" spans="1:16" ht="18" customHeight="1" x14ac:dyDescent="0.25">
      <c r="B2508" s="1242"/>
      <c r="C2508" s="3968" t="s">
        <v>4249</v>
      </c>
      <c r="D2508" s="2260">
        <v>300000000</v>
      </c>
      <c r="E2508" s="1469">
        <f>D2508/D2358*100</f>
        <v>0.20299770088187274</v>
      </c>
      <c r="F2508" s="793"/>
      <c r="G2508" s="793"/>
      <c r="H2508" s="793"/>
      <c r="I2508" s="793"/>
      <c r="J2508" s="790"/>
      <c r="K2508" s="790"/>
      <c r="L2508" s="793"/>
      <c r="M2508" s="793"/>
      <c r="N2508" s="535"/>
    </row>
    <row r="2509" spans="1:16" ht="18" customHeight="1" x14ac:dyDescent="0.25">
      <c r="B2509" s="1242"/>
      <c r="C2509" s="3937" t="s">
        <v>4250</v>
      </c>
      <c r="D2509" s="868">
        <v>300000000</v>
      </c>
      <c r="E2509" s="1450">
        <f>D2509/D2358*100</f>
        <v>0.20299770088187274</v>
      </c>
      <c r="F2509" s="891"/>
      <c r="G2509" s="3634"/>
      <c r="H2509" s="3634"/>
      <c r="I2509" s="3634"/>
      <c r="J2509" s="868"/>
      <c r="K2509" s="3649"/>
      <c r="L2509" s="3634"/>
      <c r="M2509" s="3634"/>
      <c r="N2509" s="535"/>
    </row>
    <row r="2510" spans="1:16" ht="8.25" customHeight="1" x14ac:dyDescent="0.25">
      <c r="B2510" s="1242"/>
      <c r="C2510" s="3626"/>
      <c r="D2510" s="768"/>
      <c r="E2510" s="1126"/>
      <c r="F2510" s="3650"/>
      <c r="G2510" s="1126"/>
      <c r="H2510" s="1126"/>
      <c r="I2510" s="894"/>
      <c r="J2510" s="3564"/>
      <c r="K2510" s="771"/>
      <c r="L2510" s="1507"/>
      <c r="M2510" s="1315"/>
      <c r="N2510" s="535"/>
    </row>
    <row r="2511" spans="1:16" s="3617" customFormat="1" ht="13.5" customHeight="1" x14ac:dyDescent="0.25">
      <c r="A2511" s="3618"/>
      <c r="B2511" s="3623"/>
      <c r="C2511" s="3938" t="s">
        <v>4251</v>
      </c>
      <c r="D2511" s="768">
        <v>800000000</v>
      </c>
      <c r="E2511" s="1447">
        <f>D2511/D2358*100</f>
        <v>0.54132720235166076</v>
      </c>
      <c r="F2511" s="3650"/>
      <c r="G2511" s="1126"/>
      <c r="H2511" s="1126"/>
      <c r="I2511" s="894"/>
      <c r="J2511" s="3564"/>
      <c r="K2511" s="771"/>
      <c r="L2511" s="1507"/>
      <c r="M2511" s="1315"/>
      <c r="N2511" s="3619"/>
      <c r="P2511" s="500"/>
    </row>
    <row r="2512" spans="1:16" s="3617" customFormat="1" ht="14.25" customHeight="1" x14ac:dyDescent="0.25">
      <c r="A2512" s="3618"/>
      <c r="B2512" s="3623"/>
      <c r="C2512" s="3937" t="s">
        <v>4252</v>
      </c>
      <c r="D2512" s="666">
        <v>500000000</v>
      </c>
      <c r="E2512" s="1126">
        <f>D2512/D2358*100</f>
        <v>0.33832950146978791</v>
      </c>
      <c r="F2512" s="3650"/>
      <c r="G2512" s="1126"/>
      <c r="H2512" s="1126"/>
      <c r="I2512" s="894"/>
      <c r="J2512" s="3564"/>
      <c r="K2512" s="771"/>
      <c r="L2512" s="1507"/>
      <c r="M2512" s="1315"/>
      <c r="N2512" s="3619"/>
      <c r="P2512" s="500"/>
    </row>
    <row r="2513" spans="1:16" s="3617" customFormat="1" ht="15.75" customHeight="1" x14ac:dyDescent="0.25">
      <c r="A2513" s="3618"/>
      <c r="B2513" s="3623"/>
      <c r="C2513" s="3937" t="s">
        <v>4253</v>
      </c>
      <c r="D2513" s="666">
        <v>300000000</v>
      </c>
      <c r="E2513" s="1450">
        <f>D2513/D2358*100</f>
        <v>0.20299770088187274</v>
      </c>
      <c r="F2513" s="3650"/>
      <c r="G2513" s="1126"/>
      <c r="H2513" s="1126"/>
      <c r="I2513" s="894"/>
      <c r="J2513" s="3564"/>
      <c r="K2513" s="771"/>
      <c r="L2513" s="1507"/>
      <c r="M2513" s="1315"/>
      <c r="N2513" s="3619"/>
      <c r="P2513" s="500"/>
    </row>
    <row r="2514" spans="1:16" s="3617" customFormat="1" ht="12" customHeight="1" x14ac:dyDescent="0.25">
      <c r="A2514" s="3618"/>
      <c r="B2514" s="3623"/>
      <c r="C2514" s="3626"/>
      <c r="D2514" s="768"/>
      <c r="E2514" s="1126"/>
      <c r="F2514" s="3650"/>
      <c r="G2514" s="1126"/>
      <c r="H2514" s="1126"/>
      <c r="I2514" s="894"/>
      <c r="J2514" s="3564"/>
      <c r="K2514" s="771"/>
      <c r="L2514" s="1507"/>
      <c r="M2514" s="1315"/>
      <c r="N2514" s="3619"/>
      <c r="P2514" s="500"/>
    </row>
    <row r="2515" spans="1:16" s="3617" customFormat="1" ht="17.25" customHeight="1" x14ac:dyDescent="0.25">
      <c r="A2515" s="3618"/>
      <c r="B2515" s="3623"/>
      <c r="C2515" s="3938" t="s">
        <v>4254</v>
      </c>
      <c r="D2515" s="768">
        <v>400000000</v>
      </c>
      <c r="E2515" s="1447">
        <f>D2515/D2358*100</f>
        <v>0.27066360117583038</v>
      </c>
      <c r="F2515" s="3650"/>
      <c r="G2515" s="1126"/>
      <c r="H2515" s="1126"/>
      <c r="I2515" s="894"/>
      <c r="J2515" s="3564"/>
      <c r="K2515" s="771"/>
      <c r="L2515" s="1507"/>
      <c r="M2515" s="1315"/>
      <c r="N2515" s="3619"/>
      <c r="P2515" s="500"/>
    </row>
    <row r="2516" spans="1:16" s="3617" customFormat="1" ht="16.5" customHeight="1" x14ac:dyDescent="0.25">
      <c r="A2516" s="3618"/>
      <c r="B2516" s="3623"/>
      <c r="C2516" s="4067" t="s">
        <v>4255</v>
      </c>
      <c r="D2516" s="666">
        <v>200000000</v>
      </c>
      <c r="E2516" s="1126">
        <f>D2516/D2358*100</f>
        <v>0.13533180058791519</v>
      </c>
      <c r="F2516" s="3650"/>
      <c r="G2516" s="1126"/>
      <c r="H2516" s="1126"/>
      <c r="I2516" s="894"/>
      <c r="J2516" s="3564"/>
      <c r="K2516" s="771"/>
      <c r="L2516" s="1507"/>
      <c r="M2516" s="1315"/>
      <c r="N2516" s="3619"/>
      <c r="P2516" s="500"/>
    </row>
    <row r="2517" spans="1:16" s="3617" customFormat="1" ht="13.5" customHeight="1" x14ac:dyDescent="0.25">
      <c r="A2517" s="3618"/>
      <c r="B2517" s="3623"/>
      <c r="C2517" s="4067" t="s">
        <v>4256</v>
      </c>
      <c r="D2517" s="666">
        <v>200000000</v>
      </c>
      <c r="E2517" s="1126">
        <f>D2517/D2358*100</f>
        <v>0.13533180058791519</v>
      </c>
      <c r="F2517" s="3650"/>
      <c r="G2517" s="1126"/>
      <c r="H2517" s="1126"/>
      <c r="I2517" s="894"/>
      <c r="J2517" s="3564"/>
      <c r="K2517" s="771"/>
      <c r="L2517" s="1507"/>
      <c r="M2517" s="1315"/>
      <c r="N2517" s="3619"/>
      <c r="P2517" s="500"/>
    </row>
    <row r="2518" spans="1:16" s="3617" customFormat="1" ht="12" customHeight="1" x14ac:dyDescent="0.25">
      <c r="A2518" s="3618"/>
      <c r="B2518" s="3623"/>
      <c r="C2518" s="3896"/>
      <c r="D2518" s="4260"/>
      <c r="E2518" s="1450"/>
      <c r="F2518" s="3622"/>
      <c r="G2518" s="1450"/>
      <c r="H2518" s="2284"/>
      <c r="I2518" s="791"/>
      <c r="J2518" s="3624"/>
      <c r="K2518" s="2300"/>
      <c r="L2518" s="2389"/>
      <c r="M2518" s="2182"/>
      <c r="N2518" s="3619"/>
      <c r="P2518" s="500"/>
    </row>
    <row r="2519" spans="1:16" ht="19.5" customHeight="1" x14ac:dyDescent="0.25">
      <c r="B2519" s="1305"/>
      <c r="C2519" s="3913" t="s">
        <v>4257</v>
      </c>
      <c r="D2519" s="2659">
        <f>D2520</f>
        <v>19670925039</v>
      </c>
      <c r="E2519" s="1445">
        <f>D2519/D2358*100</f>
        <v>13.310508523788878</v>
      </c>
      <c r="F2519" s="3631"/>
      <c r="G2519" s="765"/>
      <c r="H2519" s="1445"/>
      <c r="I2519" s="1645"/>
      <c r="J2519" s="1773"/>
      <c r="K2519" s="1773"/>
      <c r="L2519" s="2065"/>
      <c r="M2519" s="1307"/>
      <c r="N2519" s="535"/>
    </row>
    <row r="2520" spans="1:16" ht="21" customHeight="1" x14ac:dyDescent="0.25">
      <c r="B2520" s="1242"/>
      <c r="C2520" s="4021" t="s">
        <v>995</v>
      </c>
      <c r="D2520" s="3095">
        <f>SUM(D2521:D2526)</f>
        <v>19670925039</v>
      </c>
      <c r="E2520" s="1469">
        <f>D2520/D2358*100</f>
        <v>13.310508523788878</v>
      </c>
      <c r="F2520" s="1012"/>
      <c r="G2520" s="1012"/>
      <c r="H2520" s="2387"/>
      <c r="I2520" s="1309"/>
      <c r="J2520" s="1903"/>
      <c r="K2520" s="1903"/>
      <c r="L2520" s="2380"/>
      <c r="M2520" s="1659"/>
      <c r="N2520" s="535"/>
    </row>
    <row r="2521" spans="1:16" ht="16.5" customHeight="1" x14ac:dyDescent="0.25">
      <c r="B2521" s="1242"/>
      <c r="C2521" s="3937" t="s">
        <v>4258</v>
      </c>
      <c r="D2521" s="868">
        <v>3000000000</v>
      </c>
      <c r="E2521" s="1470">
        <f>D2521/D2358*100</f>
        <v>2.0299770088187277</v>
      </c>
      <c r="F2521" s="891"/>
      <c r="G2521" s="802"/>
      <c r="H2521" s="802"/>
      <c r="I2521" s="1111"/>
      <c r="J2521" s="868"/>
      <c r="K2521" s="1355"/>
      <c r="L2521" s="1310"/>
      <c r="M2521" s="1312"/>
      <c r="N2521" s="535"/>
    </row>
    <row r="2522" spans="1:16" ht="17.25" customHeight="1" x14ac:dyDescent="0.25">
      <c r="B2522" s="1242"/>
      <c r="C2522" s="3939" t="s">
        <v>4259</v>
      </c>
      <c r="D2522" s="868">
        <f>1000000000+674076000</f>
        <v>1674076000</v>
      </c>
      <c r="E2522" s="864">
        <f>D2522/D2358*100</f>
        <v>1.1327785970050734</v>
      </c>
      <c r="F2522" s="891"/>
      <c r="G2522" s="805"/>
      <c r="H2522" s="802"/>
      <c r="I2522" s="805"/>
      <c r="J2522" s="868"/>
      <c r="K2522" s="1355"/>
      <c r="L2522" s="1310"/>
      <c r="M2522" s="2271"/>
      <c r="N2522" s="535"/>
    </row>
    <row r="2523" spans="1:16" ht="15.75" customHeight="1" x14ac:dyDescent="0.25">
      <c r="B2523" s="1242"/>
      <c r="C2523" s="3939" t="s">
        <v>998</v>
      </c>
      <c r="D2523" s="868">
        <v>2500000000</v>
      </c>
      <c r="E2523" s="864">
        <f>D2523/D2358*100</f>
        <v>1.6916475073489394</v>
      </c>
      <c r="F2523" s="891"/>
      <c r="G2523" s="798"/>
      <c r="H2523" s="802"/>
      <c r="I2523" s="798"/>
      <c r="J2523" s="868"/>
      <c r="K2523" s="1355"/>
      <c r="L2523" s="1310"/>
      <c r="M2523" s="1722"/>
      <c r="N2523" s="535"/>
    </row>
    <row r="2524" spans="1:16" ht="15.75" customHeight="1" x14ac:dyDescent="0.25">
      <c r="B2524" s="1242"/>
      <c r="C2524" s="3939" t="s">
        <v>4260</v>
      </c>
      <c r="D2524" s="868">
        <f>9745001039-1348152000</f>
        <v>8396849039</v>
      </c>
      <c r="E2524" s="864">
        <f>D2524/D2358*100</f>
        <v>5.6818034985638759</v>
      </c>
      <c r="F2524" s="891"/>
      <c r="G2524" s="755"/>
      <c r="H2524" s="802"/>
      <c r="I2524" s="802"/>
      <c r="J2524" s="868"/>
      <c r="K2524" s="1355"/>
      <c r="L2524" s="1310"/>
      <c r="M2524" s="2271"/>
      <c r="N2524" s="535"/>
    </row>
    <row r="2525" spans="1:16" ht="17.25" customHeight="1" x14ac:dyDescent="0.25">
      <c r="B2525" s="1242"/>
      <c r="C2525" s="3939" t="s">
        <v>1000</v>
      </c>
      <c r="D2525" s="868">
        <v>3000000000</v>
      </c>
      <c r="E2525" s="864">
        <f>D2525/D2358*100</f>
        <v>2.0299770088187277</v>
      </c>
      <c r="F2525" s="891"/>
      <c r="G2525" s="755"/>
      <c r="H2525" s="755"/>
      <c r="I2525" s="755"/>
      <c r="J2525" s="868"/>
      <c r="K2525" s="1904"/>
      <c r="L2525" s="802"/>
      <c r="M2525" s="802"/>
      <c r="N2525" s="535"/>
    </row>
    <row r="2526" spans="1:16" ht="16.5" customHeight="1" x14ac:dyDescent="0.25">
      <c r="B2526" s="1242"/>
      <c r="C2526" s="4067" t="s">
        <v>4261</v>
      </c>
      <c r="D2526" s="666">
        <v>1100000000</v>
      </c>
      <c r="E2526" s="1126">
        <f>D2526/D2358*100</f>
        <v>0.74432490323353351</v>
      </c>
      <c r="F2526" s="881"/>
      <c r="G2526" s="755"/>
      <c r="H2526" s="802"/>
      <c r="I2526" s="802"/>
      <c r="J2526" s="868"/>
      <c r="K2526" s="1904"/>
      <c r="L2526" s="802"/>
      <c r="M2526" s="802"/>
      <c r="N2526" s="535"/>
    </row>
    <row r="2527" spans="1:16" ht="12" customHeight="1" thickBot="1" x14ac:dyDescent="0.3">
      <c r="B2527" s="1242"/>
      <c r="C2527" s="3896"/>
      <c r="D2527" s="4264"/>
      <c r="E2527" s="1450"/>
      <c r="F2527" s="1007"/>
      <c r="G2527" s="827"/>
      <c r="H2527" s="804"/>
      <c r="I2527" s="804"/>
      <c r="J2527" s="2175"/>
      <c r="K2527" s="2175"/>
      <c r="L2527" s="2175"/>
      <c r="M2527" s="2175"/>
      <c r="N2527" s="535"/>
    </row>
    <row r="2528" spans="1:16" s="269" customFormat="1" ht="16.5" customHeight="1" thickBot="1" x14ac:dyDescent="0.3">
      <c r="A2528" s="350"/>
      <c r="B2528" s="2914"/>
      <c r="C2528" s="4008" t="s">
        <v>604</v>
      </c>
      <c r="D2528" s="4259">
        <f>SUM(D2530+D2626+D2692+D2696+D2763+D2788+D2821+D2847+D2856+D2869+D2903+D2948)</f>
        <v>146478382000</v>
      </c>
      <c r="E2528" s="1460">
        <f>D2528/2507241496000*100</f>
        <v>5.8422127359366263</v>
      </c>
      <c r="F2528" s="3513"/>
      <c r="G2528" s="1003"/>
      <c r="H2528" s="2364"/>
      <c r="I2528" s="2365"/>
      <c r="J2528" s="1002"/>
      <c r="K2528" s="1003"/>
      <c r="L2528" s="2401"/>
      <c r="M2528" s="2402"/>
      <c r="N2528" s="553"/>
      <c r="P2528" s="4597" t="s">
        <v>7257</v>
      </c>
    </row>
    <row r="2529" spans="1:18" s="269" customFormat="1" ht="6.75" customHeight="1" x14ac:dyDescent="0.25">
      <c r="A2529" s="350"/>
      <c r="B2529" s="2908"/>
      <c r="C2529" s="3977"/>
      <c r="D2529" s="4265"/>
      <c r="E2529" s="1468"/>
      <c r="F2529" s="1020"/>
      <c r="G2529" s="1021"/>
      <c r="H2529" s="2403"/>
      <c r="I2529" s="2404"/>
      <c r="J2529" s="2405"/>
      <c r="K2529" s="2406"/>
      <c r="L2529" s="2407"/>
      <c r="M2529" s="2408"/>
      <c r="N2529" s="553"/>
      <c r="P2529" s="300"/>
    </row>
    <row r="2530" spans="1:18" ht="15.75" customHeight="1" x14ac:dyDescent="0.25">
      <c r="B2530" s="1305"/>
      <c r="C2530" s="4023" t="s">
        <v>238</v>
      </c>
      <c r="D2530" s="2792">
        <f>SUM(D2531+D2537+D2577+D2583+D2601+D2606+D2618)</f>
        <v>39296600000</v>
      </c>
      <c r="E2530" s="1022">
        <f>D2530/D2528*100</f>
        <v>26.827576508866681</v>
      </c>
      <c r="F2530" s="3537"/>
      <c r="G2530" s="1022"/>
      <c r="H2530" s="1022"/>
      <c r="I2530" s="1713"/>
      <c r="J2530" s="1907"/>
      <c r="K2530" s="1907"/>
      <c r="L2530" s="1745"/>
      <c r="M2530" s="1307"/>
      <c r="N2530" s="535"/>
      <c r="P2530" s="5735" t="s">
        <v>4105</v>
      </c>
      <c r="Q2530" s="5736"/>
      <c r="R2530" s="5736"/>
    </row>
    <row r="2531" spans="1:18" ht="14.25" customHeight="1" x14ac:dyDescent="0.25">
      <c r="B2531" s="1242"/>
      <c r="C2531" s="3942" t="s">
        <v>3806</v>
      </c>
      <c r="D2531" s="673">
        <f>SUM(D2532:D2535)</f>
        <v>1100000000</v>
      </c>
      <c r="E2531" s="1025">
        <f>D2531/D2528*100</f>
        <v>0.75096405693503632</v>
      </c>
      <c r="F2531" s="1025"/>
      <c r="G2531" s="753"/>
      <c r="H2531" s="753"/>
      <c r="I2531" s="753"/>
      <c r="J2531" s="1908"/>
      <c r="K2531" s="1908"/>
      <c r="L2531" s="2410"/>
      <c r="M2531" s="1650"/>
      <c r="N2531" s="535"/>
    </row>
    <row r="2532" spans="1:18" ht="14.25" customHeight="1" x14ac:dyDescent="0.25">
      <c r="B2532" s="1242"/>
      <c r="C2532" s="3940" t="s">
        <v>3764</v>
      </c>
      <c r="D2532" s="666">
        <v>350000000</v>
      </c>
      <c r="E2532" s="1070">
        <f>D2532/D2528*100</f>
        <v>0.23894310902478427</v>
      </c>
      <c r="F2532" s="939"/>
      <c r="G2532" s="755"/>
      <c r="H2532" s="755"/>
      <c r="I2532" s="755"/>
      <c r="J2532" s="1909"/>
      <c r="K2532" s="1909"/>
      <c r="L2532" s="1310"/>
      <c r="M2532" s="2411"/>
      <c r="N2532" s="535"/>
      <c r="P2532" s="4035" t="s">
        <v>4106</v>
      </c>
      <c r="Q2532" s="1922">
        <v>9500000000</v>
      </c>
    </row>
    <row r="2533" spans="1:18" ht="13.5" customHeight="1" x14ac:dyDescent="0.25">
      <c r="B2533" s="1242"/>
      <c r="C2533" s="3940" t="s">
        <v>3765</v>
      </c>
      <c r="D2533" s="666">
        <v>350000000</v>
      </c>
      <c r="E2533" s="1070">
        <f>D2533/D2528*100</f>
        <v>0.23894310902478427</v>
      </c>
      <c r="F2533" s="311"/>
      <c r="G2533" s="1024"/>
      <c r="H2533" s="1070"/>
      <c r="I2533" s="791"/>
      <c r="J2533" s="1717"/>
      <c r="K2533" s="2412"/>
      <c r="L2533" s="2411"/>
      <c r="M2533" s="2411"/>
      <c r="N2533" s="535"/>
      <c r="P2533" s="500" t="s">
        <v>4118</v>
      </c>
      <c r="Q2533" s="522">
        <v>19320000000</v>
      </c>
    </row>
    <row r="2534" spans="1:18" s="3504" customFormat="1" ht="15.75" customHeight="1" x14ac:dyDescent="0.25">
      <c r="A2534" s="352"/>
      <c r="B2534" s="1242"/>
      <c r="C2534" s="3940" t="s">
        <v>3766</v>
      </c>
      <c r="D2534" s="666">
        <v>250000000</v>
      </c>
      <c r="E2534" s="1070">
        <f>D2534/D2528*100</f>
        <v>0.17067364930341736</v>
      </c>
      <c r="F2534" s="311"/>
      <c r="G2534" s="1040"/>
      <c r="H2534" s="1070"/>
      <c r="I2534" s="791"/>
      <c r="J2534" s="1717"/>
      <c r="K2534" s="2412"/>
      <c r="L2534" s="2411"/>
      <c r="M2534" s="2411"/>
      <c r="N2534" s="535"/>
      <c r="P2534" s="500"/>
    </row>
    <row r="2535" spans="1:18" s="3504" customFormat="1" ht="13.5" customHeight="1" x14ac:dyDescent="0.25">
      <c r="A2535" s="352"/>
      <c r="B2535" s="1242"/>
      <c r="C2535" s="3940" t="s">
        <v>3767</v>
      </c>
      <c r="D2535" s="666">
        <v>150000000</v>
      </c>
      <c r="E2535" s="1070">
        <f>D2535/D2528*100</f>
        <v>0.1024041895820504</v>
      </c>
      <c r="F2535" s="311"/>
      <c r="G2535" s="1040"/>
      <c r="H2535" s="1070"/>
      <c r="I2535" s="791"/>
      <c r="J2535" s="1717"/>
      <c r="K2535" s="2412"/>
      <c r="L2535" s="2411"/>
      <c r="M2535" s="2411"/>
      <c r="N2535" s="535"/>
      <c r="P2535" s="500"/>
    </row>
    <row r="2536" spans="1:18" s="3504" customFormat="1" ht="12" customHeight="1" x14ac:dyDescent="0.25">
      <c r="A2536" s="352"/>
      <c r="B2536" s="1242"/>
      <c r="C2536" s="3940"/>
      <c r="D2536" s="894"/>
      <c r="E2536" s="1070"/>
      <c r="F2536" s="311"/>
      <c r="G2536" s="1040"/>
      <c r="H2536" s="1070"/>
      <c r="I2536" s="791"/>
      <c r="J2536" s="1717"/>
      <c r="K2536" s="2412"/>
      <c r="L2536" s="2411"/>
      <c r="M2536" s="2411"/>
      <c r="N2536" s="535"/>
      <c r="P2536" s="500"/>
    </row>
    <row r="2537" spans="1:18" ht="14.25" customHeight="1" x14ac:dyDescent="0.25">
      <c r="B2537" s="1242"/>
      <c r="C2537" s="3942" t="s">
        <v>356</v>
      </c>
      <c r="D2537" s="673">
        <f>SUM(D2538:D2575)</f>
        <v>28494000000</v>
      </c>
      <c r="E2537" s="1023">
        <f>D2537/D2528*100</f>
        <v>19.452699853006294</v>
      </c>
      <c r="F2537" s="1025"/>
      <c r="G2537" s="1026"/>
      <c r="H2537" s="1023"/>
      <c r="I2537" s="1908"/>
      <c r="J2537" s="1910"/>
      <c r="K2537" s="1910"/>
      <c r="L2537" s="2410"/>
      <c r="M2537" s="2410"/>
      <c r="N2537" s="535"/>
    </row>
    <row r="2538" spans="1:18" ht="16.5" customHeight="1" x14ac:dyDescent="0.25">
      <c r="B2538" s="1242"/>
      <c r="C2538" s="3940" t="s">
        <v>3768</v>
      </c>
      <c r="D2538" s="666">
        <v>150000000</v>
      </c>
      <c r="E2538" s="1070">
        <f>D2538/D2528*100</f>
        <v>0.1024041895820504</v>
      </c>
      <c r="F2538" s="939"/>
      <c r="G2538" s="963"/>
      <c r="H2538" s="1070"/>
      <c r="I2538" s="1929"/>
      <c r="J2538" s="1909"/>
      <c r="K2538" s="2411"/>
      <c r="L2538" s="1310"/>
      <c r="M2538" s="2411"/>
      <c r="N2538" s="535"/>
    </row>
    <row r="2539" spans="1:18" ht="13.5" customHeight="1" x14ac:dyDescent="0.25">
      <c r="B2539" s="1242"/>
      <c r="C2539" s="3940" t="s">
        <v>3769</v>
      </c>
      <c r="D2539" s="666">
        <v>250000000</v>
      </c>
      <c r="E2539" s="1070">
        <f>D2539/D2528*100</f>
        <v>0.17067364930341736</v>
      </c>
      <c r="F2539" s="939"/>
      <c r="G2539" s="963"/>
      <c r="H2539" s="1070"/>
      <c r="I2539" s="2413"/>
      <c r="J2539" s="1909"/>
      <c r="K2539" s="2414"/>
      <c r="L2539" s="1310"/>
      <c r="M2539" s="2414"/>
      <c r="N2539" s="535"/>
    </row>
    <row r="2540" spans="1:18" ht="16.5" customHeight="1" x14ac:dyDescent="0.25">
      <c r="B2540" s="1242"/>
      <c r="C2540" s="3940" t="s">
        <v>3770</v>
      </c>
      <c r="D2540" s="666">
        <v>200000000</v>
      </c>
      <c r="E2540" s="1070">
        <f>D2540/D2528*100</f>
        <v>0.13653891944273389</v>
      </c>
      <c r="F2540" s="939"/>
      <c r="G2540" s="963"/>
      <c r="H2540" s="1070"/>
      <c r="I2540" s="894"/>
      <c r="J2540" s="1909"/>
      <c r="K2540" s="1312"/>
      <c r="L2540" s="1310"/>
      <c r="M2540" s="1312"/>
      <c r="N2540" s="535"/>
    </row>
    <row r="2541" spans="1:18" ht="14.25" customHeight="1" x14ac:dyDescent="0.25">
      <c r="B2541" s="1242"/>
      <c r="C2541" s="3940" t="s">
        <v>3771</v>
      </c>
      <c r="D2541" s="666">
        <v>150000000</v>
      </c>
      <c r="E2541" s="1070">
        <f>D2541/D2528*100</f>
        <v>0.1024041895820504</v>
      </c>
      <c r="F2541" s="939"/>
      <c r="G2541" s="963"/>
      <c r="H2541" s="1070"/>
      <c r="I2541" s="963"/>
      <c r="J2541" s="1909"/>
      <c r="K2541" s="963"/>
      <c r="L2541" s="1070"/>
      <c r="M2541" s="963"/>
      <c r="N2541" s="535"/>
    </row>
    <row r="2542" spans="1:18" ht="13.5" customHeight="1" x14ac:dyDescent="0.25">
      <c r="B2542" s="1242"/>
      <c r="C2542" s="3940" t="s">
        <v>3772</v>
      </c>
      <c r="D2542" s="666">
        <v>200000000</v>
      </c>
      <c r="E2542" s="1070">
        <f>D2542/D2528*100</f>
        <v>0.13653891944273389</v>
      </c>
      <c r="F2542" s="939"/>
      <c r="G2542" s="963"/>
      <c r="H2542" s="1070"/>
      <c r="I2542" s="755"/>
      <c r="J2542" s="1909"/>
      <c r="K2542" s="1312"/>
      <c r="L2542" s="1310"/>
      <c r="M2542" s="2411"/>
      <c r="N2542" s="535"/>
    </row>
    <row r="2543" spans="1:18" ht="15" customHeight="1" x14ac:dyDescent="0.25">
      <c r="B2543" s="1242"/>
      <c r="C2543" s="3940" t="s">
        <v>3773</v>
      </c>
      <c r="D2543" s="666">
        <v>1500000000</v>
      </c>
      <c r="E2543" s="1070">
        <f>D2543/D2528*100</f>
        <v>1.024041895820504</v>
      </c>
      <c r="F2543" s="939"/>
      <c r="G2543" s="963"/>
      <c r="H2543" s="963"/>
      <c r="I2543" s="963"/>
      <c r="J2543" s="1909"/>
      <c r="K2543" s="1312"/>
      <c r="L2543" s="1310"/>
      <c r="M2543" s="2411"/>
      <c r="N2543" s="535"/>
    </row>
    <row r="2544" spans="1:18" ht="13.5" customHeight="1" x14ac:dyDescent="0.25">
      <c r="B2544" s="1242"/>
      <c r="C2544" s="3940" t="s">
        <v>3774</v>
      </c>
      <c r="D2544" s="666">
        <v>500000000</v>
      </c>
      <c r="E2544" s="1070">
        <f>D2544/D2528*100</f>
        <v>0.34134729860683471</v>
      </c>
      <c r="F2544" s="939"/>
      <c r="G2544" s="963"/>
      <c r="H2544" s="963"/>
      <c r="I2544" s="963"/>
      <c r="J2544" s="1909"/>
      <c r="K2544" s="1312"/>
      <c r="L2544" s="1310"/>
      <c r="M2544" s="2411"/>
      <c r="N2544" s="535"/>
    </row>
    <row r="2545" spans="2:14" ht="12.75" customHeight="1" x14ac:dyDescent="0.25">
      <c r="B2545" s="1242"/>
      <c r="C2545" s="3940" t="s">
        <v>3775</v>
      </c>
      <c r="D2545" s="666">
        <v>5000000000</v>
      </c>
      <c r="E2545" s="1070">
        <f>D2545/D2528*100</f>
        <v>3.413472986068347</v>
      </c>
      <c r="F2545" s="939"/>
      <c r="G2545" s="963"/>
      <c r="H2545" s="963"/>
      <c r="I2545" s="963"/>
      <c r="J2545" s="1909"/>
      <c r="K2545" s="2411"/>
      <c r="L2545" s="1310"/>
      <c r="M2545" s="2411"/>
      <c r="N2545" s="535"/>
    </row>
    <row r="2546" spans="2:14" ht="13.5" customHeight="1" x14ac:dyDescent="0.25">
      <c r="B2546" s="1242"/>
      <c r="C2546" s="3940" t="s">
        <v>3776</v>
      </c>
      <c r="D2546" s="666">
        <v>500000000</v>
      </c>
      <c r="E2546" s="1070">
        <f>D2546/D2528*100</f>
        <v>0.34134729860683471</v>
      </c>
      <c r="F2546" s="939"/>
      <c r="G2546" s="963"/>
      <c r="H2546" s="963"/>
      <c r="I2546" s="963"/>
      <c r="J2546" s="1909"/>
      <c r="K2546" s="2411"/>
      <c r="L2546" s="1310"/>
      <c r="M2546" s="2411"/>
      <c r="N2546" s="535"/>
    </row>
    <row r="2547" spans="2:14" ht="14.25" customHeight="1" x14ac:dyDescent="0.25">
      <c r="B2547" s="1242"/>
      <c r="C2547" s="3940" t="s">
        <v>3777</v>
      </c>
      <c r="D2547" s="666">
        <v>500000000</v>
      </c>
      <c r="E2547" s="1070">
        <f>D2547/D2528*100</f>
        <v>0.34134729860683471</v>
      </c>
      <c r="F2547" s="939"/>
      <c r="G2547" s="963"/>
      <c r="H2547" s="963"/>
      <c r="I2547" s="963"/>
      <c r="J2547" s="1909"/>
      <c r="K2547" s="2411"/>
      <c r="L2547" s="1310"/>
      <c r="M2547" s="2411"/>
      <c r="N2547" s="535"/>
    </row>
    <row r="2548" spans="2:14" ht="17.25" customHeight="1" x14ac:dyDescent="0.25">
      <c r="B2548" s="1242"/>
      <c r="C2548" s="3940" t="s">
        <v>3778</v>
      </c>
      <c r="D2548" s="666">
        <v>1000000000</v>
      </c>
      <c r="E2548" s="1070">
        <f>D2548/D2528*100</f>
        <v>0.68269459721366943</v>
      </c>
      <c r="F2548" s="939"/>
      <c r="G2548" s="963"/>
      <c r="H2548" s="963"/>
      <c r="I2548" s="963"/>
      <c r="J2548" s="1909"/>
      <c r="K2548" s="1312"/>
      <c r="L2548" s="1310"/>
      <c r="M2548" s="2411"/>
      <c r="N2548" s="535"/>
    </row>
    <row r="2549" spans="2:14" ht="17.25" customHeight="1" x14ac:dyDescent="0.25">
      <c r="B2549" s="1242"/>
      <c r="C2549" s="3940" t="s">
        <v>3779</v>
      </c>
      <c r="D2549" s="666">
        <v>10000000000</v>
      </c>
      <c r="E2549" s="1070">
        <f>D2549/D2528*100</f>
        <v>6.8269459721366941</v>
      </c>
      <c r="F2549" s="939"/>
      <c r="G2549" s="963"/>
      <c r="H2549" s="963"/>
      <c r="I2549" s="963"/>
      <c r="J2549" s="1909"/>
      <c r="K2549" s="1312"/>
      <c r="L2549" s="1310"/>
      <c r="M2549" s="2411"/>
      <c r="N2549" s="535"/>
    </row>
    <row r="2550" spans="2:14" ht="15" customHeight="1" x14ac:dyDescent="0.25">
      <c r="B2550" s="1242"/>
      <c r="C2550" s="3940" t="s">
        <v>3780</v>
      </c>
      <c r="D2550" s="666">
        <v>300000000</v>
      </c>
      <c r="E2550" s="1070">
        <f>D2550/D2528*100</f>
        <v>0.2048083791641008</v>
      </c>
      <c r="F2550" s="939"/>
      <c r="G2550" s="963"/>
      <c r="H2550" s="963"/>
      <c r="I2550" s="963"/>
      <c r="J2550" s="1909"/>
      <c r="K2550" s="1312"/>
      <c r="L2550" s="1310"/>
      <c r="M2550" s="2411"/>
      <c r="N2550" s="535"/>
    </row>
    <row r="2551" spans="2:14" ht="14.25" customHeight="1" x14ac:dyDescent="0.25">
      <c r="B2551" s="1242"/>
      <c r="C2551" s="3940" t="s">
        <v>3781</v>
      </c>
      <c r="D2551" s="666">
        <v>500000000</v>
      </c>
      <c r="E2551" s="1070">
        <f>D2551/D2528*100</f>
        <v>0.34134729860683471</v>
      </c>
      <c r="F2551" s="939"/>
      <c r="G2551" s="963"/>
      <c r="H2551" s="963"/>
      <c r="I2551" s="963"/>
      <c r="J2551" s="1909"/>
      <c r="K2551" s="1312"/>
      <c r="L2551" s="1310"/>
      <c r="M2551" s="1311"/>
      <c r="N2551" s="535"/>
    </row>
    <row r="2552" spans="2:14" ht="17.25" customHeight="1" x14ac:dyDescent="0.25">
      <c r="B2552" s="1242"/>
      <c r="C2552" s="3940" t="s">
        <v>3782</v>
      </c>
      <c r="D2552" s="666">
        <v>500000000</v>
      </c>
      <c r="E2552" s="1070">
        <f>D2552/D2528*100</f>
        <v>0.34134729860683471</v>
      </c>
      <c r="F2552" s="939"/>
      <c r="G2552" s="963"/>
      <c r="H2552" s="963"/>
      <c r="I2552" s="963"/>
      <c r="J2552" s="1909"/>
      <c r="K2552" s="1717"/>
      <c r="L2552" s="1310"/>
      <c r="M2552" s="1312"/>
      <c r="N2552" s="535"/>
    </row>
    <row r="2553" spans="2:14" ht="13.5" customHeight="1" x14ac:dyDescent="0.25">
      <c r="B2553" s="1242"/>
      <c r="C2553" s="3940" t="s">
        <v>3783</v>
      </c>
      <c r="D2553" s="666">
        <v>634000000</v>
      </c>
      <c r="E2553" s="1070">
        <f>D2553/D2528*100</f>
        <v>0.43282837463346641</v>
      </c>
      <c r="F2553" s="939"/>
      <c r="G2553" s="963"/>
      <c r="H2553" s="963"/>
      <c r="I2553" s="963"/>
      <c r="J2553" s="1909"/>
      <c r="K2553" s="1312"/>
      <c r="L2553" s="1310"/>
      <c r="M2553" s="2411"/>
      <c r="N2553" s="535"/>
    </row>
    <row r="2554" spans="2:14" ht="17.25" customHeight="1" x14ac:dyDescent="0.25">
      <c r="B2554" s="1242"/>
      <c r="C2554" s="3940" t="s">
        <v>3784</v>
      </c>
      <c r="D2554" s="666">
        <v>600000000</v>
      </c>
      <c r="E2554" s="1070">
        <f>D2554/D2528*100</f>
        <v>0.4096167583282016</v>
      </c>
      <c r="F2554" s="939"/>
      <c r="G2554" s="963"/>
      <c r="H2554" s="963"/>
      <c r="I2554" s="963"/>
      <c r="J2554" s="1909"/>
      <c r="K2554" s="1753"/>
      <c r="L2554" s="1310"/>
      <c r="M2554" s="1716"/>
      <c r="N2554" s="535"/>
    </row>
    <row r="2555" spans="2:14" ht="17.25" customHeight="1" x14ac:dyDescent="0.25">
      <c r="B2555" s="1242"/>
      <c r="C2555" s="3940" t="s">
        <v>3785</v>
      </c>
      <c r="D2555" s="666">
        <v>600000000</v>
      </c>
      <c r="E2555" s="1070">
        <f>D2555/D2528*100</f>
        <v>0.4096167583282016</v>
      </c>
      <c r="F2555" s="939"/>
      <c r="G2555" s="963"/>
      <c r="H2555" s="963"/>
      <c r="I2555" s="963"/>
      <c r="J2555" s="1909"/>
      <c r="K2555" s="1753"/>
      <c r="L2555" s="1310"/>
      <c r="M2555" s="1716"/>
      <c r="N2555" s="535"/>
    </row>
    <row r="2556" spans="2:14" ht="14.25" customHeight="1" x14ac:dyDescent="0.25">
      <c r="B2556" s="1242"/>
      <c r="C2556" s="3940" t="s">
        <v>3786</v>
      </c>
      <c r="D2556" s="666">
        <v>600000000</v>
      </c>
      <c r="E2556" s="1070">
        <f>D2556/D2528*100</f>
        <v>0.4096167583282016</v>
      </c>
      <c r="F2556" s="939"/>
      <c r="G2556" s="963"/>
      <c r="H2556" s="963"/>
      <c r="I2556" s="963"/>
      <c r="J2556" s="1909"/>
      <c r="K2556" s="1753"/>
      <c r="L2556" s="1310"/>
      <c r="M2556" s="1716"/>
      <c r="N2556" s="535"/>
    </row>
    <row r="2557" spans="2:14" ht="15.75" customHeight="1" x14ac:dyDescent="0.25">
      <c r="B2557" s="1242"/>
      <c r="C2557" s="3940" t="s">
        <v>3787</v>
      </c>
      <c r="D2557" s="666">
        <v>500000000</v>
      </c>
      <c r="E2557" s="1070">
        <f>D2557/D2528*100</f>
        <v>0.34134729860683471</v>
      </c>
      <c r="F2557" s="939"/>
      <c r="G2557" s="963"/>
      <c r="H2557" s="963"/>
      <c r="I2557" s="963"/>
      <c r="J2557" s="1909"/>
      <c r="K2557" s="1753"/>
      <c r="L2557" s="1310"/>
      <c r="M2557" s="1716"/>
      <c r="N2557" s="535"/>
    </row>
    <row r="2558" spans="2:14" ht="17.25" customHeight="1" x14ac:dyDescent="0.25">
      <c r="B2558" s="1242"/>
      <c r="C2558" s="3940" t="s">
        <v>3788</v>
      </c>
      <c r="D2558" s="666">
        <v>200000000</v>
      </c>
      <c r="E2558" s="1070">
        <f>D2558/D2528*100</f>
        <v>0.13653891944273389</v>
      </c>
      <c r="F2558" s="939"/>
      <c r="G2558" s="963"/>
      <c r="H2558" s="963"/>
      <c r="I2558" s="963"/>
      <c r="J2558" s="1909"/>
      <c r="K2558" s="1753"/>
      <c r="L2558" s="1310"/>
      <c r="M2558" s="1716"/>
      <c r="N2558" s="535"/>
    </row>
    <row r="2559" spans="2:14" ht="17.25" customHeight="1" x14ac:dyDescent="0.25">
      <c r="B2559" s="1242"/>
      <c r="C2559" s="3940" t="s">
        <v>3789</v>
      </c>
      <c r="D2559" s="666">
        <v>210000000</v>
      </c>
      <c r="E2559" s="1070">
        <f>D2559/D2528*100</f>
        <v>0.14336586541487056</v>
      </c>
      <c r="F2559" s="939"/>
      <c r="G2559" s="963"/>
      <c r="H2559" s="963"/>
      <c r="I2559" s="963"/>
      <c r="J2559" s="1909"/>
      <c r="K2559" s="1753"/>
      <c r="L2559" s="1310"/>
      <c r="M2559" s="1716"/>
      <c r="N2559" s="535"/>
    </row>
    <row r="2560" spans="2:14" ht="17.25" customHeight="1" x14ac:dyDescent="0.25">
      <c r="B2560" s="1242"/>
      <c r="C2560" s="3940" t="s">
        <v>3790</v>
      </c>
      <c r="D2560" s="666">
        <v>250000000</v>
      </c>
      <c r="E2560" s="1070">
        <f>D2560/D2528*100</f>
        <v>0.17067364930341736</v>
      </c>
      <c r="F2560" s="939"/>
      <c r="G2560" s="963"/>
      <c r="H2560" s="963"/>
      <c r="I2560" s="963"/>
      <c r="J2560" s="1909"/>
      <c r="K2560" s="1312"/>
      <c r="L2560" s="1310"/>
      <c r="M2560" s="1312"/>
      <c r="N2560" s="535"/>
    </row>
    <row r="2561" spans="1:16" ht="16.5" customHeight="1" x14ac:dyDescent="0.25">
      <c r="B2561" s="1242"/>
      <c r="C2561" s="3940" t="s">
        <v>3791</v>
      </c>
      <c r="D2561" s="666">
        <v>450000000</v>
      </c>
      <c r="E2561" s="1070">
        <f>D2561/D2528*100</f>
        <v>0.30721256874615122</v>
      </c>
      <c r="F2561" s="939"/>
      <c r="G2561" s="963"/>
      <c r="H2561" s="963"/>
      <c r="I2561" s="963"/>
      <c r="J2561" s="1909"/>
      <c r="K2561" s="1717"/>
      <c r="L2561" s="1310"/>
      <c r="M2561" s="1312"/>
      <c r="N2561" s="535"/>
    </row>
    <row r="2562" spans="1:16" ht="17.25" customHeight="1" x14ac:dyDescent="0.25">
      <c r="B2562" s="1242"/>
      <c r="C2562" s="3940" t="s">
        <v>3792</v>
      </c>
      <c r="D2562" s="666">
        <v>450000000</v>
      </c>
      <c r="E2562" s="1070">
        <f>D2562/D2528*100</f>
        <v>0.30721256874615122</v>
      </c>
      <c r="F2562" s="939"/>
      <c r="G2562" s="963"/>
      <c r="H2562" s="963"/>
      <c r="I2562" s="963"/>
      <c r="J2562" s="1909"/>
      <c r="K2562" s="963"/>
      <c r="L2562" s="1070"/>
      <c r="M2562" s="963"/>
      <c r="N2562" s="535"/>
    </row>
    <row r="2563" spans="1:16" ht="14.25" customHeight="1" x14ac:dyDescent="0.25">
      <c r="B2563" s="1242"/>
      <c r="C2563" s="3940" t="s">
        <v>3793</v>
      </c>
      <c r="D2563" s="666">
        <v>300000000</v>
      </c>
      <c r="E2563" s="1070">
        <f>D2563/D2528*100</f>
        <v>0.2048083791641008</v>
      </c>
      <c r="F2563" s="939"/>
      <c r="G2563" s="963"/>
      <c r="H2563" s="963"/>
      <c r="I2563" s="963"/>
      <c r="J2563" s="1909"/>
      <c r="K2563" s="1753"/>
      <c r="L2563" s="1310"/>
      <c r="M2563" s="1716"/>
      <c r="N2563" s="535"/>
    </row>
    <row r="2564" spans="1:16" ht="15.75" customHeight="1" x14ac:dyDescent="0.25">
      <c r="B2564" s="1242"/>
      <c r="C2564" s="3940" t="s">
        <v>3794</v>
      </c>
      <c r="D2564" s="666">
        <v>200000000</v>
      </c>
      <c r="E2564" s="1070">
        <f>D2564/D2528*100</f>
        <v>0.13653891944273389</v>
      </c>
      <c r="F2564" s="971"/>
      <c r="G2564" s="971"/>
      <c r="H2564" s="971"/>
      <c r="I2564" s="971"/>
      <c r="J2564" s="1717"/>
      <c r="K2564" s="1753"/>
      <c r="L2564" s="1310"/>
      <c r="M2564" s="1310"/>
      <c r="N2564" s="535"/>
    </row>
    <row r="2565" spans="1:16" s="3504" customFormat="1" ht="16.5" customHeight="1" x14ac:dyDescent="0.25">
      <c r="A2565" s="352"/>
      <c r="B2565" s="1242"/>
      <c r="C2565" s="3940" t="s">
        <v>3795</v>
      </c>
      <c r="D2565" s="666">
        <v>150000000</v>
      </c>
      <c r="E2565" s="1070">
        <f>D2565/D2528*100</f>
        <v>0.1024041895820504</v>
      </c>
      <c r="F2565" s="971"/>
      <c r="G2565" s="971"/>
      <c r="H2565" s="3512"/>
      <c r="I2565" s="971"/>
      <c r="J2565" s="1717"/>
      <c r="K2565" s="2180"/>
      <c r="L2565" s="2303"/>
      <c r="M2565" s="1310"/>
      <c r="N2565" s="535"/>
      <c r="P2565" s="500"/>
    </row>
    <row r="2566" spans="1:16" s="3504" customFormat="1" ht="16.5" customHeight="1" x14ac:dyDescent="0.25">
      <c r="A2566" s="352"/>
      <c r="B2566" s="1242"/>
      <c r="C2566" s="3940" t="s">
        <v>3796</v>
      </c>
      <c r="D2566" s="666">
        <v>150000000</v>
      </c>
      <c r="E2566" s="1070">
        <f>D2566/D2528*100</f>
        <v>0.1024041895820504</v>
      </c>
      <c r="F2566" s="971"/>
      <c r="G2566" s="971"/>
      <c r="H2566" s="3512"/>
      <c r="I2566" s="971"/>
      <c r="J2566" s="1717"/>
      <c r="K2566" s="2180"/>
      <c r="L2566" s="2303"/>
      <c r="M2566" s="1310"/>
      <c r="N2566" s="535"/>
      <c r="P2566" s="500"/>
    </row>
    <row r="2567" spans="1:16" s="3504" customFormat="1" ht="15.75" customHeight="1" x14ac:dyDescent="0.25">
      <c r="A2567" s="352"/>
      <c r="B2567" s="1242"/>
      <c r="C2567" s="3940" t="s">
        <v>3797</v>
      </c>
      <c r="D2567" s="666">
        <v>250000000</v>
      </c>
      <c r="E2567" s="1070">
        <f>D2567/D2528*100</f>
        <v>0.17067364930341736</v>
      </c>
      <c r="F2567" s="971"/>
      <c r="G2567" s="971"/>
      <c r="H2567" s="3512"/>
      <c r="I2567" s="971"/>
      <c r="J2567" s="1717"/>
      <c r="K2567" s="2180"/>
      <c r="L2567" s="2303"/>
      <c r="M2567" s="1310"/>
      <c r="N2567" s="535"/>
      <c r="P2567" s="500"/>
    </row>
    <row r="2568" spans="1:16" s="3504" customFormat="1" ht="18" customHeight="1" x14ac:dyDescent="0.25">
      <c r="A2568" s="352"/>
      <c r="B2568" s="1242"/>
      <c r="C2568" s="3940" t="s">
        <v>3798</v>
      </c>
      <c r="D2568" s="666">
        <v>250000000</v>
      </c>
      <c r="E2568" s="1070">
        <f>D2568/D2528*100</f>
        <v>0.17067364930341736</v>
      </c>
      <c r="F2568" s="971"/>
      <c r="G2568" s="971"/>
      <c r="H2568" s="3512"/>
      <c r="I2568" s="971"/>
      <c r="J2568" s="1717"/>
      <c r="K2568" s="2180"/>
      <c r="L2568" s="2303"/>
      <c r="M2568" s="1310"/>
      <c r="N2568" s="535"/>
      <c r="P2568" s="500"/>
    </row>
    <row r="2569" spans="1:16" s="3504" customFormat="1" ht="15.75" customHeight="1" x14ac:dyDescent="0.25">
      <c r="A2569" s="352"/>
      <c r="B2569" s="1242"/>
      <c r="C2569" s="3940" t="s">
        <v>3799</v>
      </c>
      <c r="D2569" s="666">
        <v>200000000</v>
      </c>
      <c r="E2569" s="1070">
        <f>D2569/D2528*100</f>
        <v>0.13653891944273389</v>
      </c>
      <c r="F2569" s="971"/>
      <c r="G2569" s="971"/>
      <c r="H2569" s="3512"/>
      <c r="I2569" s="971"/>
      <c r="J2569" s="1717"/>
      <c r="K2569" s="2180"/>
      <c r="L2569" s="2303"/>
      <c r="M2569" s="1310"/>
      <c r="N2569" s="535"/>
      <c r="P2569" s="500"/>
    </row>
    <row r="2570" spans="1:16" s="3504" customFormat="1" ht="18" customHeight="1" x14ac:dyDescent="0.25">
      <c r="A2570" s="352"/>
      <c r="B2570" s="1242"/>
      <c r="C2570" s="3940" t="s">
        <v>3800</v>
      </c>
      <c r="D2570" s="666">
        <v>150000000</v>
      </c>
      <c r="E2570" s="1070">
        <f>D2570/D2528*100</f>
        <v>0.1024041895820504</v>
      </c>
      <c r="F2570" s="971"/>
      <c r="G2570" s="971"/>
      <c r="H2570" s="3512"/>
      <c r="I2570" s="971"/>
      <c r="J2570" s="1717"/>
      <c r="K2570" s="2180"/>
      <c r="L2570" s="2303"/>
      <c r="M2570" s="1310"/>
      <c r="N2570" s="535"/>
      <c r="P2570" s="500"/>
    </row>
    <row r="2571" spans="1:16" s="3504" customFormat="1" ht="18" customHeight="1" x14ac:dyDescent="0.25">
      <c r="A2571" s="352"/>
      <c r="B2571" s="1242"/>
      <c r="C2571" s="3940" t="s">
        <v>3801</v>
      </c>
      <c r="D2571" s="666">
        <v>150000000</v>
      </c>
      <c r="E2571" s="1070">
        <f>D2571/D2528*100</f>
        <v>0.1024041895820504</v>
      </c>
      <c r="F2571" s="971"/>
      <c r="G2571" s="971"/>
      <c r="H2571" s="3512"/>
      <c r="I2571" s="971"/>
      <c r="J2571" s="1717"/>
      <c r="K2571" s="2180"/>
      <c r="L2571" s="2303"/>
      <c r="M2571" s="1310"/>
      <c r="N2571" s="535"/>
      <c r="P2571" s="500"/>
    </row>
    <row r="2572" spans="1:16" s="3504" customFormat="1" ht="18.75" customHeight="1" x14ac:dyDescent="0.25">
      <c r="A2572" s="352"/>
      <c r="B2572" s="1242"/>
      <c r="C2572" s="3940" t="s">
        <v>3802</v>
      </c>
      <c r="D2572" s="666">
        <v>200000000</v>
      </c>
      <c r="E2572" s="1070">
        <f>D2572/D2528*100</f>
        <v>0.13653891944273389</v>
      </c>
      <c r="F2572" s="971"/>
      <c r="G2572" s="971"/>
      <c r="H2572" s="3512"/>
      <c r="I2572" s="971"/>
      <c r="J2572" s="1717"/>
      <c r="K2572" s="2180"/>
      <c r="L2572" s="2303"/>
      <c r="M2572" s="1310"/>
      <c r="N2572" s="535"/>
      <c r="P2572" s="500"/>
    </row>
    <row r="2573" spans="1:16" s="3504" customFormat="1" ht="16.5" customHeight="1" x14ac:dyDescent="0.25">
      <c r="A2573" s="352"/>
      <c r="B2573" s="1242"/>
      <c r="C2573" s="3940" t="s">
        <v>3803</v>
      </c>
      <c r="D2573" s="666">
        <v>200000000</v>
      </c>
      <c r="E2573" s="1070">
        <f>D2573/D2528*100</f>
        <v>0.13653891944273389</v>
      </c>
      <c r="F2573" s="971"/>
      <c r="G2573" s="971"/>
      <c r="H2573" s="3512"/>
      <c r="I2573" s="971"/>
      <c r="J2573" s="1717"/>
      <c r="K2573" s="2180"/>
      <c r="L2573" s="2303"/>
      <c r="M2573" s="1310"/>
      <c r="N2573" s="535"/>
      <c r="P2573" s="500"/>
    </row>
    <row r="2574" spans="1:16" s="3504" customFormat="1" ht="16.5" customHeight="1" x14ac:dyDescent="0.25">
      <c r="A2574" s="352"/>
      <c r="B2574" s="1242"/>
      <c r="C2574" s="3940" t="s">
        <v>3804</v>
      </c>
      <c r="D2574" s="666">
        <v>250000000</v>
      </c>
      <c r="E2574" s="1070">
        <f>D2574/D2528*100</f>
        <v>0.17067364930341736</v>
      </c>
      <c r="F2574" s="971"/>
      <c r="G2574" s="971"/>
      <c r="H2574" s="3512"/>
      <c r="I2574" s="971"/>
      <c r="J2574" s="1717"/>
      <c r="K2574" s="2180"/>
      <c r="L2574" s="2303"/>
      <c r="M2574" s="1310"/>
      <c r="N2574" s="535"/>
      <c r="P2574" s="500"/>
    </row>
    <row r="2575" spans="1:16" s="3504" customFormat="1" ht="15" customHeight="1" x14ac:dyDescent="0.25">
      <c r="A2575" s="352"/>
      <c r="B2575" s="1242"/>
      <c r="C2575" s="3940" t="s">
        <v>3805</v>
      </c>
      <c r="D2575" s="666">
        <v>300000000</v>
      </c>
      <c r="E2575" s="1070">
        <f>D2575/D2528*100</f>
        <v>0.2048083791641008</v>
      </c>
      <c r="F2575" s="971"/>
      <c r="G2575" s="971"/>
      <c r="H2575" s="3512"/>
      <c r="I2575" s="971"/>
      <c r="J2575" s="1717"/>
      <c r="K2575" s="2180"/>
      <c r="L2575" s="2303"/>
      <c r="M2575" s="1310"/>
      <c r="N2575" s="535"/>
      <c r="P2575" s="500"/>
    </row>
    <row r="2576" spans="1:16" s="1378" customFormat="1" ht="11.25" customHeight="1" x14ac:dyDescent="0.25">
      <c r="A2576" s="352"/>
      <c r="B2576" s="1242"/>
      <c r="C2576" s="3940"/>
      <c r="D2576" s="894"/>
      <c r="E2576" s="1070"/>
      <c r="F2576" s="311"/>
      <c r="G2576" s="755"/>
      <c r="H2576" s="1070"/>
      <c r="I2576" s="755"/>
      <c r="J2576" s="1717"/>
      <c r="K2576" s="2180"/>
      <c r="L2576" s="1668"/>
      <c r="M2576" s="1648"/>
      <c r="N2576" s="535"/>
      <c r="P2576" s="500"/>
    </row>
    <row r="2577" spans="1:16" ht="13.5" customHeight="1" x14ac:dyDescent="0.25">
      <c r="B2577" s="1242"/>
      <c r="C2577" s="3942" t="s">
        <v>1334</v>
      </c>
      <c r="D2577" s="673">
        <f>SUM(D2578:D2581)</f>
        <v>650000000</v>
      </c>
      <c r="E2577" s="1023">
        <f>D2577/D2528*100</f>
        <v>0.4437514881888851</v>
      </c>
      <c r="F2577" s="1025"/>
      <c r="G2577" s="1025"/>
      <c r="H2577" s="1023"/>
      <c r="I2577" s="753"/>
      <c r="J2577" s="1910"/>
      <c r="K2577" s="1910"/>
      <c r="L2577" s="2410"/>
      <c r="M2577" s="1650"/>
      <c r="N2577" s="535"/>
    </row>
    <row r="2578" spans="1:16" ht="15.75" customHeight="1" x14ac:dyDescent="0.25">
      <c r="B2578" s="1242"/>
      <c r="C2578" s="3940" t="s">
        <v>3807</v>
      </c>
      <c r="D2578" s="666">
        <v>200000000</v>
      </c>
      <c r="E2578" s="1070">
        <f>D2578/D2528*100</f>
        <v>0.13653891944273389</v>
      </c>
      <c r="F2578" s="939"/>
      <c r="G2578" s="963"/>
      <c r="H2578" s="963"/>
      <c r="I2578" s="963"/>
      <c r="J2578" s="1909"/>
      <c r="K2578" s="1312"/>
      <c r="L2578" s="1310"/>
      <c r="M2578" s="1312"/>
      <c r="N2578" s="535"/>
    </row>
    <row r="2579" spans="1:16" ht="14.25" customHeight="1" x14ac:dyDescent="0.25">
      <c r="B2579" s="1242"/>
      <c r="C2579" s="3940" t="s">
        <v>3808</v>
      </c>
      <c r="D2579" s="666">
        <v>100000000</v>
      </c>
      <c r="E2579" s="1070">
        <f>D2579/D2528*100</f>
        <v>6.8269459721366943E-2</v>
      </c>
      <c r="F2579" s="939"/>
      <c r="G2579" s="967"/>
      <c r="H2579" s="1070"/>
      <c r="I2579" s="755"/>
      <c r="J2579" s="1717"/>
      <c r="K2579" s="1753"/>
      <c r="L2579" s="1310"/>
      <c r="M2579" s="1716"/>
      <c r="N2579" s="535"/>
    </row>
    <row r="2580" spans="1:16" s="3504" customFormat="1" ht="14.25" customHeight="1" x14ac:dyDescent="0.25">
      <c r="A2580" s="352"/>
      <c r="B2580" s="1242"/>
      <c r="C2580" s="3940" t="s">
        <v>3809</v>
      </c>
      <c r="D2580" s="666">
        <v>200000000</v>
      </c>
      <c r="E2580" s="1070">
        <f>D2580/D2528*100</f>
        <v>0.13653891944273389</v>
      </c>
      <c r="F2580" s="939"/>
      <c r="G2580" s="978"/>
      <c r="H2580" s="1070"/>
      <c r="I2580" s="804"/>
      <c r="J2580" s="1717"/>
      <c r="K2580" s="2180"/>
      <c r="L2580" s="1310"/>
      <c r="M2580" s="1648"/>
      <c r="N2580" s="535"/>
      <c r="P2580" s="500"/>
    </row>
    <row r="2581" spans="1:16" s="3504" customFormat="1" ht="14.25" customHeight="1" x14ac:dyDescent="0.25">
      <c r="A2581" s="352"/>
      <c r="B2581" s="1242"/>
      <c r="C2581" s="3940" t="s">
        <v>3810</v>
      </c>
      <c r="D2581" s="666">
        <v>150000000</v>
      </c>
      <c r="E2581" s="1070">
        <f>D2581/D2528*100</f>
        <v>0.1024041895820504</v>
      </c>
      <c r="F2581" s="939"/>
      <c r="G2581" s="978"/>
      <c r="H2581" s="1070"/>
      <c r="I2581" s="804"/>
      <c r="J2581" s="1717"/>
      <c r="K2581" s="2180"/>
      <c r="L2581" s="1310"/>
      <c r="M2581" s="1648"/>
      <c r="N2581" s="535"/>
      <c r="P2581" s="500"/>
    </row>
    <row r="2582" spans="1:16" ht="12" customHeight="1" x14ac:dyDescent="0.25">
      <c r="B2582" s="1242"/>
      <c r="C2582" s="3940"/>
      <c r="D2582" s="894"/>
      <c r="E2582" s="1070"/>
      <c r="F2582" s="311"/>
      <c r="G2582" s="1027"/>
      <c r="H2582" s="1070"/>
      <c r="I2582" s="791"/>
      <c r="J2582" s="1717"/>
      <c r="K2582" s="1312"/>
      <c r="L2582" s="1310"/>
      <c r="M2582" s="1312"/>
      <c r="N2582" s="535"/>
    </row>
    <row r="2583" spans="1:16" ht="15.75" customHeight="1" x14ac:dyDescent="0.25">
      <c r="B2583" s="1242"/>
      <c r="C2583" s="3942" t="s">
        <v>1897</v>
      </c>
      <c r="D2583" s="673">
        <f>SUM(D2584:D2599)</f>
        <v>3752600000</v>
      </c>
      <c r="E2583" s="1023">
        <f>D2583/D2528*100</f>
        <v>2.5618797455040156</v>
      </c>
      <c r="F2583" s="1025"/>
      <c r="G2583" s="1025"/>
      <c r="H2583" s="1023"/>
      <c r="I2583" s="753"/>
      <c r="J2583" s="1910"/>
      <c r="K2583" s="1910"/>
      <c r="L2583" s="2410"/>
      <c r="M2583" s="1650"/>
      <c r="N2583" s="535"/>
    </row>
    <row r="2584" spans="1:16" ht="18" customHeight="1" x14ac:dyDescent="0.25">
      <c r="B2584" s="1242"/>
      <c r="C2584" s="3940" t="s">
        <v>3811</v>
      </c>
      <c r="D2584" s="666">
        <v>250000000</v>
      </c>
      <c r="E2584" s="1070">
        <f>D2584/D2528*100</f>
        <v>0.17067364930341736</v>
      </c>
      <c r="F2584" s="939"/>
      <c r="G2584" s="963"/>
      <c r="H2584" s="963"/>
      <c r="I2584" s="963"/>
      <c r="J2584" s="963"/>
      <c r="K2584" s="963"/>
      <c r="L2584" s="963"/>
      <c r="M2584" s="963"/>
      <c r="N2584" s="535"/>
    </row>
    <row r="2585" spans="1:16" ht="14.25" customHeight="1" x14ac:dyDescent="0.25">
      <c r="B2585" s="1242"/>
      <c r="C2585" s="3940" t="s">
        <v>3812</v>
      </c>
      <c r="D2585" s="666">
        <v>200000000</v>
      </c>
      <c r="E2585" s="1070">
        <f>D2585/D2528*100</f>
        <v>0.13653891944273389</v>
      </c>
      <c r="F2585" s="939"/>
      <c r="G2585" s="963"/>
      <c r="H2585" s="963"/>
      <c r="I2585" s="963"/>
      <c r="J2585" s="963"/>
      <c r="K2585" s="963"/>
      <c r="L2585" s="963"/>
      <c r="M2585" s="963"/>
      <c r="N2585" s="535"/>
    </row>
    <row r="2586" spans="1:16" ht="23.25" customHeight="1" x14ac:dyDescent="0.25">
      <c r="B2586" s="1242"/>
      <c r="C2586" s="3940" t="s">
        <v>3813</v>
      </c>
      <c r="D2586" s="666">
        <v>250000000</v>
      </c>
      <c r="E2586" s="1070">
        <f>D2586/D2528*100</f>
        <v>0.17067364930341736</v>
      </c>
      <c r="F2586" s="939"/>
      <c r="G2586" s="971"/>
      <c r="H2586" s="971"/>
      <c r="I2586" s="971"/>
      <c r="J2586" s="1238"/>
      <c r="K2586" s="1238"/>
      <c r="L2586" s="971"/>
      <c r="M2586" s="971"/>
      <c r="N2586" s="535"/>
    </row>
    <row r="2587" spans="1:16" ht="14.25" customHeight="1" x14ac:dyDescent="0.25">
      <c r="B2587" s="1242"/>
      <c r="C2587" s="3940" t="s">
        <v>3814</v>
      </c>
      <c r="D2587" s="666">
        <v>350000000</v>
      </c>
      <c r="E2587" s="1070">
        <f>D2587/D2528*100</f>
        <v>0.23894310902478427</v>
      </c>
      <c r="F2587" s="939"/>
      <c r="G2587" s="963"/>
      <c r="H2587" s="963"/>
      <c r="I2587" s="963"/>
      <c r="J2587" s="963"/>
      <c r="K2587" s="963"/>
      <c r="L2587" s="963"/>
      <c r="M2587" s="963"/>
      <c r="N2587" s="535"/>
    </row>
    <row r="2588" spans="1:16" ht="18.75" customHeight="1" x14ac:dyDescent="0.25">
      <c r="B2588" s="1242"/>
      <c r="C2588" s="3940" t="s">
        <v>3815</v>
      </c>
      <c r="D2588" s="666">
        <v>200000000</v>
      </c>
      <c r="E2588" s="1070">
        <f>D2588/D2528*100</f>
        <v>0.13653891944273389</v>
      </c>
      <c r="F2588" s="939"/>
      <c r="G2588" s="967"/>
      <c r="H2588" s="1070"/>
      <c r="I2588" s="755"/>
      <c r="J2588" s="1717"/>
      <c r="K2588" s="1753"/>
      <c r="L2588" s="1310"/>
      <c r="M2588" s="1716"/>
      <c r="N2588" s="535"/>
    </row>
    <row r="2589" spans="1:16" ht="17.25" customHeight="1" x14ac:dyDescent="0.25">
      <c r="B2589" s="1242"/>
      <c r="C2589" s="3940" t="s">
        <v>3816</v>
      </c>
      <c r="D2589" s="666">
        <v>200000000</v>
      </c>
      <c r="E2589" s="1070">
        <f>D2589/D2528*100</f>
        <v>0.13653891944273389</v>
      </c>
      <c r="F2589" s="939"/>
      <c r="G2589" s="967"/>
      <c r="H2589" s="1070"/>
      <c r="I2589" s="791"/>
      <c r="J2589" s="1909"/>
      <c r="K2589" s="1312"/>
      <c r="L2589" s="1310"/>
      <c r="M2589" s="1312"/>
      <c r="N2589" s="535"/>
    </row>
    <row r="2590" spans="1:16" ht="18.75" customHeight="1" x14ac:dyDescent="0.25">
      <c r="B2590" s="1242"/>
      <c r="C2590" s="3940" t="s">
        <v>3817</v>
      </c>
      <c r="D2590" s="666">
        <v>300000000</v>
      </c>
      <c r="E2590" s="1070">
        <f>D2590/D2528*100</f>
        <v>0.2048083791641008</v>
      </c>
      <c r="F2590" s="939"/>
      <c r="G2590" s="967"/>
      <c r="H2590" s="1070"/>
      <c r="I2590" s="894"/>
      <c r="J2590" s="1909"/>
      <c r="K2590" s="1311"/>
      <c r="L2590" s="1310"/>
      <c r="M2590" s="1312"/>
      <c r="N2590" s="535"/>
    </row>
    <row r="2591" spans="1:16" ht="14.25" customHeight="1" x14ac:dyDescent="0.25">
      <c r="B2591" s="1242"/>
      <c r="C2591" s="3940" t="s">
        <v>3818</v>
      </c>
      <c r="D2591" s="666">
        <v>250000000</v>
      </c>
      <c r="E2591" s="1070">
        <f>D2591/D2528*100</f>
        <v>0.17067364930341736</v>
      </c>
      <c r="F2591" s="939"/>
      <c r="G2591" s="963"/>
      <c r="H2591" s="963"/>
      <c r="I2591" s="963"/>
      <c r="J2591" s="963"/>
      <c r="K2591" s="963"/>
      <c r="L2591" s="963"/>
      <c r="M2591" s="963"/>
      <c r="N2591" s="535"/>
    </row>
    <row r="2592" spans="1:16" ht="18" customHeight="1" x14ac:dyDescent="0.25">
      <c r="B2592" s="1242"/>
      <c r="C2592" s="3940" t="s">
        <v>3819</v>
      </c>
      <c r="D2592" s="666">
        <v>400000000</v>
      </c>
      <c r="E2592" s="1070">
        <f>D2592/D2528*100</f>
        <v>0.27307783888546777</v>
      </c>
      <c r="F2592" s="939"/>
      <c r="G2592" s="963"/>
      <c r="H2592" s="963"/>
      <c r="I2592" s="963"/>
      <c r="J2592" s="963"/>
      <c r="K2592" s="963"/>
      <c r="L2592" s="963"/>
      <c r="M2592" s="963"/>
      <c r="N2592" s="535"/>
    </row>
    <row r="2593" spans="1:16" ht="13.5" customHeight="1" x14ac:dyDescent="0.25">
      <c r="B2593" s="1242"/>
      <c r="C2593" s="3940" t="s">
        <v>3820</v>
      </c>
      <c r="D2593" s="666">
        <v>402600000</v>
      </c>
      <c r="E2593" s="1070">
        <f>D2593/D2528*100</f>
        <v>0.27485284483822331</v>
      </c>
      <c r="F2593" s="939"/>
      <c r="G2593" s="963"/>
      <c r="H2593" s="963"/>
      <c r="I2593" s="963"/>
      <c r="J2593" s="963"/>
      <c r="K2593" s="963"/>
      <c r="L2593" s="963"/>
      <c r="M2593" s="963"/>
      <c r="N2593" s="535"/>
    </row>
    <row r="2594" spans="1:16" ht="17.25" customHeight="1" x14ac:dyDescent="0.25">
      <c r="B2594" s="1242"/>
      <c r="C2594" s="3940" t="s">
        <v>3821</v>
      </c>
      <c r="D2594" s="666">
        <v>150000000</v>
      </c>
      <c r="E2594" s="1070">
        <f>D2594/D2528*100</f>
        <v>0.1024041895820504</v>
      </c>
      <c r="F2594" s="939"/>
      <c r="G2594" s="963"/>
      <c r="H2594" s="963"/>
      <c r="I2594" s="963"/>
      <c r="J2594" s="963"/>
      <c r="K2594" s="963"/>
      <c r="L2594" s="963"/>
      <c r="M2594" s="963"/>
      <c r="N2594" s="535"/>
    </row>
    <row r="2595" spans="1:16" ht="17.25" customHeight="1" x14ac:dyDescent="0.25">
      <c r="B2595" s="1242"/>
      <c r="C2595" s="3940" t="s">
        <v>3822</v>
      </c>
      <c r="D2595" s="666">
        <v>150000000</v>
      </c>
      <c r="E2595" s="1070">
        <f>D2595/D2528*100</f>
        <v>0.1024041895820504</v>
      </c>
      <c r="F2595" s="939"/>
      <c r="G2595" s="971"/>
      <c r="H2595" s="1070"/>
      <c r="I2595" s="666"/>
      <c r="J2595" s="1909"/>
      <c r="K2595" s="1312"/>
      <c r="L2595" s="1310"/>
      <c r="M2595" s="1312"/>
      <c r="N2595" s="535"/>
    </row>
    <row r="2596" spans="1:16" ht="19.5" customHeight="1" x14ac:dyDescent="0.25">
      <c r="B2596" s="1242"/>
      <c r="C2596" s="3940" t="s">
        <v>3823</v>
      </c>
      <c r="D2596" s="666">
        <v>150000000</v>
      </c>
      <c r="E2596" s="1070">
        <f>D2596/D2528*100</f>
        <v>0.1024041895820504</v>
      </c>
      <c r="F2596" s="939"/>
      <c r="G2596" s="967"/>
      <c r="H2596" s="1070"/>
      <c r="I2596" s="2181"/>
      <c r="J2596" s="1909"/>
      <c r="K2596" s="1312"/>
      <c r="L2596" s="1310"/>
      <c r="M2596" s="1312"/>
      <c r="N2596" s="535"/>
    </row>
    <row r="2597" spans="1:16" s="3504" customFormat="1" ht="18" customHeight="1" x14ac:dyDescent="0.25">
      <c r="A2597" s="352"/>
      <c r="B2597" s="1242"/>
      <c r="C2597" s="3940" t="s">
        <v>3824</v>
      </c>
      <c r="D2597" s="666">
        <v>150000000</v>
      </c>
      <c r="E2597" s="1070">
        <f>D2597/D2528*100</f>
        <v>0.1024041895820504</v>
      </c>
      <c r="F2597" s="939"/>
      <c r="G2597" s="978"/>
      <c r="H2597" s="1070"/>
      <c r="I2597" s="2181"/>
      <c r="J2597" s="1909"/>
      <c r="K2597" s="1312"/>
      <c r="L2597" s="2303"/>
      <c r="M2597" s="1312"/>
      <c r="N2597" s="535"/>
      <c r="P2597" s="500"/>
    </row>
    <row r="2598" spans="1:16" s="3504" customFormat="1" ht="18.75" customHeight="1" x14ac:dyDescent="0.25">
      <c r="A2598" s="352"/>
      <c r="B2598" s="1242"/>
      <c r="C2598" s="3940" t="s">
        <v>3825</v>
      </c>
      <c r="D2598" s="666">
        <v>150000000</v>
      </c>
      <c r="E2598" s="1070">
        <f>D2598/D2528*100</f>
        <v>0.1024041895820504</v>
      </c>
      <c r="F2598" s="939"/>
      <c r="G2598" s="978"/>
      <c r="H2598" s="1070"/>
      <c r="I2598" s="2181"/>
      <c r="J2598" s="1909"/>
      <c r="K2598" s="1312"/>
      <c r="L2598" s="2303"/>
      <c r="M2598" s="1312"/>
      <c r="N2598" s="535"/>
      <c r="P2598" s="500"/>
    </row>
    <row r="2599" spans="1:16" s="3504" customFormat="1" ht="18" customHeight="1" x14ac:dyDescent="0.25">
      <c r="A2599" s="352"/>
      <c r="B2599" s="1242"/>
      <c r="C2599" s="3940" t="s">
        <v>3826</v>
      </c>
      <c r="D2599" s="666">
        <v>200000000</v>
      </c>
      <c r="E2599" s="1070">
        <f>D2599/D2528*100</f>
        <v>0.13653891944273389</v>
      </c>
      <c r="F2599" s="939"/>
      <c r="G2599" s="978"/>
      <c r="H2599" s="1070"/>
      <c r="I2599" s="2181"/>
      <c r="J2599" s="1909"/>
      <c r="K2599" s="1312"/>
      <c r="L2599" s="2303"/>
      <c r="M2599" s="1312"/>
      <c r="N2599" s="535"/>
      <c r="P2599" s="500"/>
    </row>
    <row r="2600" spans="1:16" ht="12" customHeight="1" x14ac:dyDescent="0.25">
      <c r="B2600" s="1242"/>
      <c r="C2600" s="3940"/>
      <c r="D2600" s="666"/>
      <c r="E2600" s="1070"/>
      <c r="F2600" s="939"/>
      <c r="G2600" s="782"/>
      <c r="H2600" s="1070"/>
      <c r="I2600" s="755"/>
      <c r="J2600" s="1717"/>
      <c r="K2600" s="1312"/>
      <c r="L2600" s="2411"/>
      <c r="M2600" s="1312"/>
      <c r="N2600" s="535"/>
    </row>
    <row r="2601" spans="1:16" ht="18.75" customHeight="1" x14ac:dyDescent="0.25">
      <c r="B2601" s="1242"/>
      <c r="C2601" s="3942" t="s">
        <v>261</v>
      </c>
      <c r="D2601" s="673">
        <f>SUM(D2602:D2604)</f>
        <v>1650000000</v>
      </c>
      <c r="E2601" s="1023">
        <f>D2601/D2528*100</f>
        <v>1.1264460854025544</v>
      </c>
      <c r="F2601" s="1025"/>
      <c r="G2601" s="1379"/>
      <c r="H2601" s="1379"/>
      <c r="I2601" s="1379"/>
      <c r="J2601" s="1910"/>
      <c r="K2601" s="1329"/>
      <c r="L2601" s="1379"/>
      <c r="M2601" s="1379"/>
      <c r="N2601" s="535"/>
    </row>
    <row r="2602" spans="1:16" ht="17.25" customHeight="1" x14ac:dyDescent="0.25">
      <c r="B2602" s="1242"/>
      <c r="C2602" s="3940" t="s">
        <v>3827</v>
      </c>
      <c r="D2602" s="666">
        <v>300000000</v>
      </c>
      <c r="E2602" s="1070">
        <f>D2602/D2528*100</f>
        <v>0.2048083791641008</v>
      </c>
      <c r="F2602" s="939"/>
      <c r="G2602" s="963"/>
      <c r="H2602" s="963"/>
      <c r="I2602" s="963"/>
      <c r="J2602" s="1909"/>
      <c r="K2602" s="963"/>
      <c r="L2602" s="963"/>
      <c r="M2602" s="963"/>
      <c r="N2602" s="535"/>
    </row>
    <row r="2603" spans="1:16" ht="16.5" customHeight="1" x14ac:dyDescent="0.25">
      <c r="B2603" s="1242"/>
      <c r="C2603" s="3940" t="s">
        <v>3828</v>
      </c>
      <c r="D2603" s="666">
        <v>150000000</v>
      </c>
      <c r="E2603" s="1070">
        <f>D2603/D2528*100</f>
        <v>0.1024041895820504</v>
      </c>
      <c r="F2603" s="939"/>
      <c r="G2603" s="1024"/>
      <c r="H2603" s="1070"/>
      <c r="I2603" s="2181"/>
      <c r="J2603" s="1717"/>
      <c r="K2603" s="1312"/>
      <c r="L2603" s="2411"/>
      <c r="M2603" s="1312"/>
      <c r="N2603" s="535"/>
    </row>
    <row r="2604" spans="1:16" s="3504" customFormat="1" ht="19.5" customHeight="1" x14ac:dyDescent="0.25">
      <c r="A2604" s="352"/>
      <c r="B2604" s="1242"/>
      <c r="C2604" s="3940" t="s">
        <v>3829</v>
      </c>
      <c r="D2604" s="666">
        <v>1200000000</v>
      </c>
      <c r="E2604" s="1070">
        <f>D2604/D2528*100</f>
        <v>0.8192335166564032</v>
      </c>
      <c r="F2604" s="939"/>
      <c r="G2604" s="1024"/>
      <c r="H2604" s="1070"/>
      <c r="I2604" s="2181"/>
      <c r="J2604" s="1717"/>
      <c r="K2604" s="1312"/>
      <c r="L2604" s="2411"/>
      <c r="M2604" s="1312"/>
      <c r="N2604" s="535"/>
      <c r="P2604" s="500"/>
    </row>
    <row r="2605" spans="1:16" s="3504" customFormat="1" ht="12" customHeight="1" x14ac:dyDescent="0.25">
      <c r="A2605" s="352"/>
      <c r="B2605" s="1242"/>
      <c r="C2605" s="3940"/>
      <c r="D2605" s="666"/>
      <c r="E2605" s="1070"/>
      <c r="F2605" s="939"/>
      <c r="G2605" s="1024"/>
      <c r="H2605" s="1070"/>
      <c r="I2605" s="2181"/>
      <c r="J2605" s="1717"/>
      <c r="K2605" s="1312"/>
      <c r="L2605" s="2411"/>
      <c r="M2605" s="1312"/>
      <c r="N2605" s="535"/>
      <c r="P2605" s="500"/>
    </row>
    <row r="2606" spans="1:16" ht="17.25" customHeight="1" x14ac:dyDescent="0.25">
      <c r="B2606" s="1242"/>
      <c r="C2606" s="3942" t="s">
        <v>3633</v>
      </c>
      <c r="D2606" s="673">
        <f>SUM(D2607:D2616)</f>
        <v>2150000000</v>
      </c>
      <c r="E2606" s="1023">
        <f>D2606/D2528*100</f>
        <v>1.4677933840093893</v>
      </c>
      <c r="F2606" s="1025"/>
      <c r="G2606" s="1025"/>
      <c r="H2606" s="1023"/>
      <c r="I2606" s="2409"/>
      <c r="J2606" s="1910"/>
      <c r="K2606" s="1910"/>
      <c r="L2606" s="2410"/>
      <c r="M2606" s="1650"/>
      <c r="N2606" s="535"/>
    </row>
    <row r="2607" spans="1:16" ht="13.5" customHeight="1" x14ac:dyDescent="0.25">
      <c r="B2607" s="1242"/>
      <c r="C2607" s="3940" t="s">
        <v>3830</v>
      </c>
      <c r="D2607" s="666">
        <v>150000000</v>
      </c>
      <c r="E2607" s="1070">
        <f>D2607/D2528*100</f>
        <v>0.1024041895820504</v>
      </c>
      <c r="F2607" s="939"/>
      <c r="G2607" s="963"/>
      <c r="H2607" s="1070"/>
      <c r="I2607" s="755"/>
      <c r="J2607" s="1717"/>
      <c r="K2607" s="1753"/>
      <c r="L2607" s="1310"/>
      <c r="M2607" s="1716"/>
      <c r="N2607" s="535"/>
    </row>
    <row r="2608" spans="1:16" ht="17.25" customHeight="1" x14ac:dyDescent="0.25">
      <c r="B2608" s="1242"/>
      <c r="C2608" s="3940" t="s">
        <v>3831</v>
      </c>
      <c r="D2608" s="666">
        <v>150000000</v>
      </c>
      <c r="E2608" s="1070">
        <f>D2608/D2528*100</f>
        <v>0.1024041895820504</v>
      </c>
      <c r="F2608" s="939"/>
      <c r="G2608" s="963"/>
      <c r="H2608" s="963"/>
      <c r="I2608" s="963"/>
      <c r="J2608" s="1311"/>
      <c r="K2608" s="963"/>
      <c r="L2608" s="963"/>
      <c r="M2608" s="963"/>
      <c r="N2608" s="535"/>
    </row>
    <row r="2609" spans="2:14" ht="14.25" customHeight="1" x14ac:dyDescent="0.25">
      <c r="B2609" s="1242"/>
      <c r="C2609" s="3940" t="s">
        <v>3832</v>
      </c>
      <c r="D2609" s="666">
        <v>150000000</v>
      </c>
      <c r="E2609" s="1070">
        <f>D2609/D2528*100</f>
        <v>0.1024041895820504</v>
      </c>
      <c r="F2609" s="939"/>
      <c r="G2609" s="963"/>
      <c r="H2609" s="963"/>
      <c r="I2609" s="963"/>
      <c r="J2609" s="1909"/>
      <c r="K2609" s="2415"/>
      <c r="L2609" s="1310"/>
      <c r="M2609" s="1312"/>
      <c r="N2609" s="535"/>
    </row>
    <row r="2610" spans="2:14" ht="16.5" customHeight="1" x14ac:dyDescent="0.25">
      <c r="B2610" s="1242"/>
      <c r="C2610" s="3940" t="s">
        <v>3833</v>
      </c>
      <c r="D2610" s="666">
        <v>150000000</v>
      </c>
      <c r="E2610" s="1070">
        <f>D2610/D2528*100</f>
        <v>0.1024041895820504</v>
      </c>
      <c r="F2610" s="939"/>
      <c r="G2610" s="963"/>
      <c r="H2610" s="1070"/>
      <c r="I2610" s="755"/>
      <c r="J2610" s="1909"/>
      <c r="K2610" s="1312"/>
      <c r="L2610" s="1310"/>
      <c r="M2610" s="1312"/>
      <c r="N2610" s="535"/>
    </row>
    <row r="2611" spans="2:14" ht="14.25" customHeight="1" x14ac:dyDescent="0.25">
      <c r="B2611" s="1242"/>
      <c r="C2611" s="3940" t="s">
        <v>3834</v>
      </c>
      <c r="D2611" s="666">
        <v>150000000</v>
      </c>
      <c r="E2611" s="1070">
        <f>D2611/D2528*100</f>
        <v>0.1024041895820504</v>
      </c>
      <c r="F2611" s="939"/>
      <c r="G2611" s="963"/>
      <c r="H2611" s="1070"/>
      <c r="I2611" s="755"/>
      <c r="J2611" s="2415"/>
      <c r="K2611" s="1312"/>
      <c r="L2611" s="1310"/>
      <c r="M2611" s="1312"/>
      <c r="N2611" s="535"/>
    </row>
    <row r="2612" spans="2:14" ht="27.75" customHeight="1" x14ac:dyDescent="0.25">
      <c r="B2612" s="1242"/>
      <c r="C2612" s="3940" t="s">
        <v>3835</v>
      </c>
      <c r="D2612" s="666">
        <v>300000000</v>
      </c>
      <c r="E2612" s="1070">
        <f>D2612/D2528*100</f>
        <v>0.2048083791641008</v>
      </c>
      <c r="F2612" s="939"/>
      <c r="G2612" s="963"/>
      <c r="H2612" s="1070"/>
      <c r="I2612" s="2181"/>
      <c r="J2612" s="2415"/>
      <c r="K2612" s="1312"/>
      <c r="L2612" s="1310"/>
      <c r="M2612" s="1312"/>
      <c r="N2612" s="535"/>
    </row>
    <row r="2613" spans="2:14" ht="16.5" customHeight="1" x14ac:dyDescent="0.25">
      <c r="B2613" s="1242"/>
      <c r="C2613" s="3940" t="s">
        <v>3836</v>
      </c>
      <c r="D2613" s="666">
        <v>300000000</v>
      </c>
      <c r="E2613" s="1070">
        <f>D2613/D2528*100</f>
        <v>0.2048083791641008</v>
      </c>
      <c r="F2613" s="939"/>
      <c r="G2613" s="963"/>
      <c r="H2613" s="1070"/>
      <c r="I2613" s="755"/>
      <c r="J2613" s="1909"/>
      <c r="K2613" s="1753"/>
      <c r="L2613" s="1310"/>
      <c r="M2613" s="1716"/>
      <c r="N2613" s="535"/>
    </row>
    <row r="2614" spans="2:14" ht="14.25" customHeight="1" x14ac:dyDescent="0.25">
      <c r="B2614" s="1242"/>
      <c r="C2614" s="3940" t="s">
        <v>3837</v>
      </c>
      <c r="D2614" s="666">
        <v>500000000</v>
      </c>
      <c r="E2614" s="1070">
        <f>D2614/D2528*100</f>
        <v>0.34134729860683471</v>
      </c>
      <c r="F2614" s="939"/>
      <c r="G2614" s="963"/>
      <c r="H2614" s="963"/>
      <c r="I2614" s="963"/>
      <c r="J2614" s="1909"/>
      <c r="K2614" s="1753"/>
      <c r="L2614" s="1310"/>
      <c r="M2614" s="1716"/>
      <c r="N2614" s="535"/>
    </row>
    <row r="2615" spans="2:14" ht="18.75" customHeight="1" x14ac:dyDescent="0.25">
      <c r="B2615" s="1242"/>
      <c r="C2615" s="3940" t="s">
        <v>3838</v>
      </c>
      <c r="D2615" s="666">
        <v>150000000</v>
      </c>
      <c r="E2615" s="1070">
        <f>D2615/D2528*100</f>
        <v>0.1024041895820504</v>
      </c>
      <c r="F2615" s="939"/>
      <c r="G2615" s="963"/>
      <c r="H2615" s="1070"/>
      <c r="I2615" s="2181"/>
      <c r="J2615" s="1909"/>
      <c r="K2615" s="1312"/>
      <c r="L2615" s="1310"/>
      <c r="M2615" s="1312"/>
      <c r="N2615" s="535"/>
    </row>
    <row r="2616" spans="2:14" ht="13.5" customHeight="1" x14ac:dyDescent="0.25">
      <c r="B2616" s="1242"/>
      <c r="C2616" s="3940" t="s">
        <v>3839</v>
      </c>
      <c r="D2616" s="666">
        <v>150000000</v>
      </c>
      <c r="E2616" s="1070">
        <f>D2616/D2528*100</f>
        <v>0.1024041895820504</v>
      </c>
      <c r="F2616" s="939"/>
      <c r="G2616" s="963"/>
      <c r="H2616" s="1070"/>
      <c r="I2616" s="2181"/>
      <c r="J2616" s="1909"/>
      <c r="K2616" s="1312"/>
      <c r="L2616" s="1310"/>
      <c r="M2616" s="1312"/>
      <c r="N2616" s="535"/>
    </row>
    <row r="2617" spans="2:14" ht="12" customHeight="1" x14ac:dyDescent="0.25">
      <c r="B2617" s="1242"/>
      <c r="C2617" s="3940"/>
      <c r="D2617" s="666"/>
      <c r="E2617" s="1070"/>
      <c r="F2617" s="939"/>
      <c r="G2617" s="1028"/>
      <c r="H2617" s="1070"/>
      <c r="I2617" s="2181"/>
      <c r="J2617" s="2415"/>
      <c r="K2617" s="1312"/>
      <c r="L2617" s="2411"/>
      <c r="M2617" s="1312"/>
      <c r="N2617" s="535"/>
    </row>
    <row r="2618" spans="2:14" ht="20.25" customHeight="1" x14ac:dyDescent="0.25">
      <c r="B2618" s="1242"/>
      <c r="C2618" s="3942" t="s">
        <v>2295</v>
      </c>
      <c r="D2618" s="673">
        <f>SUM(D2619:D2624)</f>
        <v>1500000000</v>
      </c>
      <c r="E2618" s="1023">
        <f>D2618/D2528*100</f>
        <v>1.024041895820504</v>
      </c>
      <c r="F2618" s="1025"/>
      <c r="G2618" s="1025"/>
      <c r="H2618" s="1023"/>
      <c r="I2618" s="2409"/>
      <c r="J2618" s="1910"/>
      <c r="K2618" s="1910"/>
      <c r="L2618" s="2410"/>
      <c r="M2618" s="775"/>
      <c r="N2618" s="535"/>
    </row>
    <row r="2619" spans="2:14" ht="14.25" customHeight="1" x14ac:dyDescent="0.25">
      <c r="B2619" s="1242"/>
      <c r="C2619" s="3940" t="s">
        <v>3840</v>
      </c>
      <c r="D2619" s="666">
        <v>250000000</v>
      </c>
      <c r="E2619" s="1070">
        <f>D2619/D2528*100</f>
        <v>0.17067364930341736</v>
      </c>
      <c r="F2619" s="939"/>
      <c r="G2619" s="963"/>
      <c r="H2619" s="963"/>
      <c r="I2619" s="963"/>
      <c r="J2619" s="963"/>
      <c r="K2619" s="963"/>
      <c r="L2619" s="963"/>
      <c r="M2619" s="963"/>
      <c r="N2619" s="535"/>
    </row>
    <row r="2620" spans="2:14" ht="15" customHeight="1" x14ac:dyDescent="0.25">
      <c r="B2620" s="1242"/>
      <c r="C2620" s="3940" t="s">
        <v>3841</v>
      </c>
      <c r="D2620" s="666">
        <v>150000000</v>
      </c>
      <c r="E2620" s="1070">
        <f>D2620/D2528*100</f>
        <v>0.1024041895820504</v>
      </c>
      <c r="F2620" s="939"/>
      <c r="G2620" s="963"/>
      <c r="H2620" s="963"/>
      <c r="I2620" s="963"/>
      <c r="J2620" s="963"/>
      <c r="K2620" s="963"/>
      <c r="L2620" s="963"/>
      <c r="M2620" s="963"/>
      <c r="N2620" s="535"/>
    </row>
    <row r="2621" spans="2:14" ht="16.5" customHeight="1" x14ac:dyDescent="0.25">
      <c r="B2621" s="1242"/>
      <c r="C2621" s="3940" t="s">
        <v>3842</v>
      </c>
      <c r="D2621" s="666">
        <v>450000000</v>
      </c>
      <c r="E2621" s="1070">
        <f>D2621/D2528*100</f>
        <v>0.30721256874615122</v>
      </c>
      <c r="F2621" s="939"/>
      <c r="G2621" s="963"/>
      <c r="H2621" s="1070"/>
      <c r="I2621" s="1111"/>
      <c r="J2621" s="1909"/>
      <c r="K2621" s="963"/>
      <c r="L2621" s="1310"/>
      <c r="M2621" s="1312"/>
      <c r="N2621" s="535"/>
    </row>
    <row r="2622" spans="2:14" ht="15.75" customHeight="1" x14ac:dyDescent="0.25">
      <c r="B2622" s="1242"/>
      <c r="C2622" s="3940" t="s">
        <v>3843</v>
      </c>
      <c r="D2622" s="666">
        <v>250000000</v>
      </c>
      <c r="E2622" s="1070">
        <f>D2622/D2528*100</f>
        <v>0.17067364930341736</v>
      </c>
      <c r="F2622" s="939"/>
      <c r="G2622" s="963"/>
      <c r="H2622" s="1070"/>
      <c r="I2622" s="1111"/>
      <c r="J2622" s="1909"/>
      <c r="K2622" s="963"/>
      <c r="L2622" s="1310"/>
      <c r="M2622" s="1312"/>
      <c r="N2622" s="535"/>
    </row>
    <row r="2623" spans="2:14" ht="16.5" customHeight="1" x14ac:dyDescent="0.25">
      <c r="B2623" s="1242"/>
      <c r="C2623" s="3940" t="s">
        <v>3844</v>
      </c>
      <c r="D2623" s="666">
        <v>200000000</v>
      </c>
      <c r="E2623" s="1070">
        <f>D2623/D2528*100</f>
        <v>0.13653891944273389</v>
      </c>
      <c r="F2623" s="939"/>
      <c r="G2623" s="963"/>
      <c r="H2623" s="1070"/>
      <c r="I2623" s="791"/>
      <c r="J2623" s="1909"/>
      <c r="K2623" s="963"/>
      <c r="L2623" s="1310"/>
      <c r="M2623" s="1323"/>
      <c r="N2623" s="535"/>
    </row>
    <row r="2624" spans="2:14" ht="18.75" customHeight="1" x14ac:dyDescent="0.25">
      <c r="B2624" s="1242"/>
      <c r="C2624" s="3940" t="s">
        <v>3845</v>
      </c>
      <c r="D2624" s="666">
        <v>200000000</v>
      </c>
      <c r="E2624" s="1070">
        <f>D2624/D2528*100</f>
        <v>0.13653891944273389</v>
      </c>
      <c r="F2624" s="939"/>
      <c r="G2624" s="971"/>
      <c r="H2624" s="971"/>
      <c r="I2624" s="971"/>
      <c r="J2624" s="1909"/>
      <c r="K2624" s="1717"/>
      <c r="L2624" s="1310"/>
      <c r="M2624" s="1312"/>
      <c r="N2624" s="535"/>
    </row>
    <row r="2625" spans="1:16" ht="12" customHeight="1" x14ac:dyDescent="0.25">
      <c r="B2625" s="1242"/>
      <c r="C2625" s="3892"/>
      <c r="D2625" s="4252"/>
      <c r="E2625" s="1038"/>
      <c r="F2625" s="868"/>
      <c r="G2625" s="827"/>
      <c r="H2625" s="1038"/>
      <c r="I2625" s="798"/>
      <c r="J2625" s="2281"/>
      <c r="K2625" s="1323"/>
      <c r="L2625" s="2416"/>
      <c r="M2625" s="1323"/>
      <c r="N2625" s="535"/>
    </row>
    <row r="2626" spans="1:16" ht="17.25" customHeight="1" x14ac:dyDescent="0.25">
      <c r="B2626" s="1305"/>
      <c r="C2626" s="4024" t="s">
        <v>357</v>
      </c>
      <c r="D2626" s="4266">
        <f>SUM(D2627+D2633+D2636+D2639+D2642+D2646+D2655+D2658+D2676+D2679+D2685+D2689+D2672)</f>
        <v>12573300000</v>
      </c>
      <c r="E2626" s="1197">
        <f>D2626/D2528*100</f>
        <v>8.5837239791466295</v>
      </c>
      <c r="F2626" s="1030"/>
      <c r="G2626" s="1030"/>
      <c r="H2626" s="1306"/>
      <c r="I2626" s="1645"/>
      <c r="J2626" s="1911"/>
      <c r="K2626" s="1911"/>
      <c r="L2626" s="2417"/>
      <c r="M2626" s="1307"/>
      <c r="N2626" s="535"/>
    </row>
    <row r="2627" spans="1:16" s="544" customFormat="1" ht="16.5" customHeight="1" x14ac:dyDescent="0.25">
      <c r="A2627" s="352"/>
      <c r="B2627" s="1242"/>
      <c r="C2627" s="3944" t="s">
        <v>3846</v>
      </c>
      <c r="D2627" s="4267">
        <f>SUM(D2628:D2631)</f>
        <v>6850000000</v>
      </c>
      <c r="E2627" s="1025">
        <f>D2627/D2528*100</f>
        <v>4.6764579909136348</v>
      </c>
      <c r="F2627" s="1033"/>
      <c r="G2627" s="966"/>
      <c r="H2627" s="1025"/>
      <c r="I2627" s="2418"/>
      <c r="J2627" s="1912"/>
      <c r="K2627" s="1912"/>
      <c r="L2627" s="2410"/>
      <c r="M2627" s="1650"/>
      <c r="N2627" s="535"/>
      <c r="P2627" s="500"/>
    </row>
    <row r="2628" spans="1:16" s="544" customFormat="1" ht="18" customHeight="1" x14ac:dyDescent="0.25">
      <c r="A2628" s="352"/>
      <c r="B2628" s="1242"/>
      <c r="C2628" s="3940" t="s">
        <v>3847</v>
      </c>
      <c r="D2628" s="666">
        <v>1000000000</v>
      </c>
      <c r="E2628" s="939">
        <f>D2628/D2528*100</f>
        <v>0.68269459721366943</v>
      </c>
      <c r="F2628" s="939"/>
      <c r="G2628" s="967"/>
      <c r="H2628" s="1070"/>
      <c r="I2628" s="967"/>
      <c r="J2628" s="1909"/>
      <c r="K2628" s="1312"/>
      <c r="L2628" s="1310"/>
      <c r="M2628" s="1312"/>
      <c r="N2628" s="535"/>
      <c r="P2628" s="500"/>
    </row>
    <row r="2629" spans="1:16" s="544" customFormat="1" ht="13.5" customHeight="1" x14ac:dyDescent="0.25">
      <c r="A2629" s="352"/>
      <c r="B2629" s="1242"/>
      <c r="C2629" s="4025" t="s">
        <v>3848</v>
      </c>
      <c r="D2629" s="666">
        <v>5000000000</v>
      </c>
      <c r="E2629" s="939">
        <f>D2629/D2528*100</f>
        <v>3.413472986068347</v>
      </c>
      <c r="F2629" s="939"/>
      <c r="G2629" s="1034"/>
      <c r="H2629" s="1310"/>
      <c r="I2629" s="1314"/>
      <c r="J2629" s="1311"/>
      <c r="K2629" s="1311"/>
      <c r="L2629" s="2415"/>
      <c r="M2629" s="1311"/>
      <c r="N2629" s="535"/>
      <c r="P2629" s="500"/>
    </row>
    <row r="2630" spans="1:16" s="3504" customFormat="1" ht="15.75" customHeight="1" x14ac:dyDescent="0.25">
      <c r="A2630" s="352"/>
      <c r="B2630" s="1242"/>
      <c r="C2630" s="4025" t="s">
        <v>3849</v>
      </c>
      <c r="D2630" s="666">
        <v>500000000</v>
      </c>
      <c r="E2630" s="939">
        <f>D2630/D2528*100</f>
        <v>0.34134729860683471</v>
      </c>
      <c r="F2630" s="939"/>
      <c r="G2630" s="1032"/>
      <c r="H2630" s="2303"/>
      <c r="I2630" s="1314"/>
      <c r="J2630" s="1311"/>
      <c r="K2630" s="1311"/>
      <c r="L2630" s="2411"/>
      <c r="M2630" s="1311"/>
      <c r="N2630" s="535"/>
      <c r="P2630" s="500"/>
    </row>
    <row r="2631" spans="1:16" s="3504" customFormat="1" ht="16.5" customHeight="1" x14ac:dyDescent="0.25">
      <c r="A2631" s="352"/>
      <c r="B2631" s="1242"/>
      <c r="C2631" s="4025" t="s">
        <v>3850</v>
      </c>
      <c r="D2631" s="666">
        <v>350000000</v>
      </c>
      <c r="E2631" s="939">
        <f>D2631/D2528*100</f>
        <v>0.23894310902478427</v>
      </c>
      <c r="F2631" s="939"/>
      <c r="G2631" s="1037"/>
      <c r="H2631" s="2303"/>
      <c r="I2631" s="1314"/>
      <c r="J2631" s="1311"/>
      <c r="K2631" s="1311"/>
      <c r="L2631" s="2411"/>
      <c r="M2631" s="1311"/>
      <c r="N2631" s="535"/>
      <c r="P2631" s="500"/>
    </row>
    <row r="2632" spans="1:16" s="3504" customFormat="1" ht="12" customHeight="1" x14ac:dyDescent="0.25">
      <c r="A2632" s="352"/>
      <c r="B2632" s="1242"/>
      <c r="C2632" s="4025"/>
      <c r="D2632" s="666"/>
      <c r="E2632" s="939"/>
      <c r="F2632" s="939"/>
      <c r="G2632" s="1032"/>
      <c r="H2632" s="2303"/>
      <c r="I2632" s="1314"/>
      <c r="J2632" s="1311"/>
      <c r="K2632" s="1311"/>
      <c r="L2632" s="2411"/>
      <c r="M2632" s="1311"/>
      <c r="N2632" s="535"/>
      <c r="P2632" s="500"/>
    </row>
    <row r="2633" spans="1:16" s="544" customFormat="1" ht="16.5" customHeight="1" x14ac:dyDescent="0.25">
      <c r="A2633" s="352"/>
      <c r="B2633" s="1242"/>
      <c r="C2633" s="3941" t="s">
        <v>3851</v>
      </c>
      <c r="D2633" s="4267">
        <f>SUM(D2634)</f>
        <v>100000000</v>
      </c>
      <c r="E2633" s="1025">
        <f>D2633/D2528*100</f>
        <v>6.8269459721366943E-2</v>
      </c>
      <c r="F2633" s="1033"/>
      <c r="G2633" s="1035"/>
      <c r="H2633" s="1023"/>
      <c r="I2633" s="966"/>
      <c r="J2633" s="1912"/>
      <c r="K2633" s="1912"/>
      <c r="L2633" s="2410"/>
      <c r="M2633" s="1650"/>
      <c r="N2633" s="535"/>
      <c r="P2633" s="500"/>
    </row>
    <row r="2634" spans="1:16" s="544" customFormat="1" ht="15.75" customHeight="1" x14ac:dyDescent="0.25">
      <c r="A2634" s="352"/>
      <c r="B2634" s="1242"/>
      <c r="C2634" s="3940" t="s">
        <v>3852</v>
      </c>
      <c r="D2634" s="666">
        <v>100000000</v>
      </c>
      <c r="E2634" s="939">
        <f>D2634/D2528*100</f>
        <v>6.8269459721366943E-2</v>
      </c>
      <c r="F2634" s="939"/>
      <c r="G2634" s="1036"/>
      <c r="H2634" s="1070"/>
      <c r="I2634" s="967"/>
      <c r="J2634" s="1909"/>
      <c r="K2634" s="1312"/>
      <c r="L2634" s="1310"/>
      <c r="M2634" s="1312"/>
      <c r="N2634" s="535"/>
      <c r="P2634" s="500"/>
    </row>
    <row r="2635" spans="1:16" s="544" customFormat="1" ht="12" customHeight="1" x14ac:dyDescent="0.25">
      <c r="A2635" s="352"/>
      <c r="B2635" s="1242"/>
      <c r="C2635" s="4025"/>
      <c r="D2635" s="666"/>
      <c r="E2635" s="939"/>
      <c r="F2635" s="939"/>
      <c r="G2635" s="1034"/>
      <c r="H2635" s="1310"/>
      <c r="I2635" s="1314"/>
      <c r="J2635" s="1311"/>
      <c r="K2635" s="1311"/>
      <c r="L2635" s="2415"/>
      <c r="M2635" s="1311"/>
      <c r="N2635" s="535"/>
      <c r="P2635" s="500"/>
    </row>
    <row r="2636" spans="1:16" s="544" customFormat="1" ht="18" customHeight="1" x14ac:dyDescent="0.25">
      <c r="A2636" s="352"/>
      <c r="B2636" s="1242"/>
      <c r="C2636" s="3941" t="s">
        <v>3853</v>
      </c>
      <c r="D2636" s="4267">
        <f>SUM(D2637)</f>
        <v>100000000</v>
      </c>
      <c r="E2636" s="1025">
        <f>D2636/D2528*100</f>
        <v>6.8269459721366943E-2</v>
      </c>
      <c r="F2636" s="1033"/>
      <c r="G2636" s="1033"/>
      <c r="H2636" s="1023"/>
      <c r="I2636" s="1316"/>
      <c r="J2636" s="1912"/>
      <c r="K2636" s="1912"/>
      <c r="L2636" s="2410"/>
      <c r="M2636" s="1650"/>
      <c r="N2636" s="535"/>
      <c r="P2636" s="500"/>
    </row>
    <row r="2637" spans="1:16" s="544" customFormat="1" ht="15" customHeight="1" x14ac:dyDescent="0.25">
      <c r="A2637" s="352"/>
      <c r="B2637" s="1242"/>
      <c r="C2637" s="3940" t="s">
        <v>3854</v>
      </c>
      <c r="D2637" s="666">
        <v>100000000</v>
      </c>
      <c r="E2637" s="939">
        <f>D2637/D2528*100</f>
        <v>6.8269459721366943E-2</v>
      </c>
      <c r="F2637" s="939"/>
      <c r="G2637" s="963"/>
      <c r="H2637" s="1070"/>
      <c r="I2637" s="1111"/>
      <c r="J2637" s="1312"/>
      <c r="K2637" s="1312"/>
      <c r="L2637" s="1310"/>
      <c r="M2637" s="1312"/>
      <c r="N2637" s="535"/>
      <c r="P2637" s="500"/>
    </row>
    <row r="2638" spans="1:16" s="544" customFormat="1" ht="12" customHeight="1" x14ac:dyDescent="0.25">
      <c r="A2638" s="352"/>
      <c r="B2638" s="1242"/>
      <c r="C2638" s="4025"/>
      <c r="D2638" s="666"/>
      <c r="E2638" s="939"/>
      <c r="F2638" s="939"/>
      <c r="G2638" s="1034"/>
      <c r="H2638" s="1310"/>
      <c r="I2638" s="1314"/>
      <c r="J2638" s="1311"/>
      <c r="K2638" s="1311"/>
      <c r="L2638" s="2415"/>
      <c r="M2638" s="1311"/>
      <c r="N2638" s="535"/>
      <c r="P2638" s="500"/>
    </row>
    <row r="2639" spans="1:16" s="544" customFormat="1" ht="17.25" customHeight="1" x14ac:dyDescent="0.25">
      <c r="A2639" s="352"/>
      <c r="B2639" s="1242"/>
      <c r="C2639" s="3941" t="s">
        <v>273</v>
      </c>
      <c r="D2639" s="4267">
        <f>SUM(D2640:D2640)</f>
        <v>200000000</v>
      </c>
      <c r="E2639" s="1025">
        <f>D2639/D2528*100</f>
        <v>0.13653891944273389</v>
      </c>
      <c r="F2639" s="1033"/>
      <c r="G2639" s="966"/>
      <c r="H2639" s="966"/>
      <c r="I2639" s="966"/>
      <c r="J2639" s="1912"/>
      <c r="K2639" s="1912"/>
      <c r="L2639" s="2410"/>
      <c r="M2639" s="1650"/>
      <c r="N2639" s="535"/>
      <c r="P2639" s="500"/>
    </row>
    <row r="2640" spans="1:16" s="544" customFormat="1" ht="16.5" customHeight="1" x14ac:dyDescent="0.25">
      <c r="A2640" s="352"/>
      <c r="B2640" s="1242"/>
      <c r="C2640" s="3940" t="s">
        <v>345</v>
      </c>
      <c r="D2640" s="666">
        <v>200000000</v>
      </c>
      <c r="E2640" s="939">
        <f>D2640/D2528*100</f>
        <v>0.13653891944273389</v>
      </c>
      <c r="F2640" s="939"/>
      <c r="G2640" s="967"/>
      <c r="H2640" s="967"/>
      <c r="I2640" s="967"/>
      <c r="J2640" s="1909"/>
      <c r="K2640" s="1238"/>
      <c r="L2640" s="971"/>
      <c r="M2640" s="971"/>
      <c r="N2640" s="535"/>
      <c r="P2640" s="500"/>
    </row>
    <row r="2641" spans="1:16" s="544" customFormat="1" ht="12" customHeight="1" x14ac:dyDescent="0.25">
      <c r="A2641" s="352"/>
      <c r="B2641" s="1242"/>
      <c r="C2641" s="4025"/>
      <c r="D2641" s="666"/>
      <c r="E2641" s="939"/>
      <c r="F2641" s="939"/>
      <c r="G2641" s="967"/>
      <c r="H2641" s="967"/>
      <c r="I2641" s="967"/>
      <c r="J2641" s="1311"/>
      <c r="K2641" s="1311"/>
      <c r="L2641" s="2415"/>
      <c r="M2641" s="1311"/>
      <c r="N2641" s="535"/>
      <c r="P2641" s="500"/>
    </row>
    <row r="2642" spans="1:16" s="544" customFormat="1" ht="20.25" customHeight="1" x14ac:dyDescent="0.25">
      <c r="A2642" s="352"/>
      <c r="B2642" s="1242"/>
      <c r="C2642" s="3941" t="s">
        <v>3855</v>
      </c>
      <c r="D2642" s="4267">
        <f>SUM(D2643:D2644)</f>
        <v>200000000</v>
      </c>
      <c r="E2642" s="1025">
        <f>D2642/D2528*100</f>
        <v>0.13653891944273389</v>
      </c>
      <c r="F2642" s="1033"/>
      <c r="G2642" s="966"/>
      <c r="H2642" s="966"/>
      <c r="I2642" s="966"/>
      <c r="J2642" s="1912"/>
      <c r="K2642" s="1912"/>
      <c r="L2642" s="2410"/>
      <c r="M2642" s="1650"/>
      <c r="N2642" s="535"/>
      <c r="P2642" s="500"/>
    </row>
    <row r="2643" spans="1:16" s="544" customFormat="1" ht="14.25" customHeight="1" x14ac:dyDescent="0.25">
      <c r="A2643" s="352"/>
      <c r="B2643" s="1242"/>
      <c r="C2643" s="3940" t="s">
        <v>3856</v>
      </c>
      <c r="D2643" s="666">
        <v>100000000</v>
      </c>
      <c r="E2643" s="939">
        <f>D2643/D2528*100</f>
        <v>6.8269459721366943E-2</v>
      </c>
      <c r="F2643" s="939"/>
      <c r="G2643" s="971"/>
      <c r="H2643" s="971"/>
      <c r="I2643" s="971"/>
      <c r="J2643" s="1909"/>
      <c r="K2643" s="1312"/>
      <c r="L2643" s="1310"/>
      <c r="M2643" s="1312"/>
      <c r="N2643" s="535"/>
      <c r="P2643" s="500"/>
    </row>
    <row r="2644" spans="1:16" s="544" customFormat="1" ht="20.25" customHeight="1" x14ac:dyDescent="0.25">
      <c r="A2644" s="352"/>
      <c r="B2644" s="1242"/>
      <c r="C2644" s="4025" t="s">
        <v>3857</v>
      </c>
      <c r="D2644" s="666">
        <v>100000000</v>
      </c>
      <c r="E2644" s="939">
        <f>D2644/D2528*100</f>
        <v>6.8269459721366943E-2</v>
      </c>
      <c r="F2644" s="939"/>
      <c r="G2644" s="967"/>
      <c r="H2644" s="967"/>
      <c r="I2644" s="967"/>
      <c r="J2644" s="1909"/>
      <c r="K2644" s="963"/>
      <c r="L2644" s="967"/>
      <c r="M2644" s="967"/>
      <c r="N2644" s="535"/>
      <c r="P2644" s="500"/>
    </row>
    <row r="2645" spans="1:16" s="544" customFormat="1" ht="12" customHeight="1" x14ac:dyDescent="0.25">
      <c r="A2645" s="352"/>
      <c r="B2645" s="1242"/>
      <c r="C2645" s="4025"/>
      <c r="D2645" s="666"/>
      <c r="E2645" s="939"/>
      <c r="F2645" s="939"/>
      <c r="G2645" s="1037"/>
      <c r="H2645" s="1037"/>
      <c r="I2645" s="1037"/>
      <c r="J2645" s="1311"/>
      <c r="K2645" s="1311"/>
      <c r="L2645" s="2415"/>
      <c r="M2645" s="1311"/>
      <c r="N2645" s="535"/>
      <c r="P2645" s="500"/>
    </row>
    <row r="2646" spans="1:16" s="544" customFormat="1" ht="14.25" customHeight="1" x14ac:dyDescent="0.25">
      <c r="A2646" s="352"/>
      <c r="B2646" s="1242"/>
      <c r="C2646" s="3941" t="s">
        <v>1564</v>
      </c>
      <c r="D2646" s="4267">
        <f>SUM(D2647:D2653)</f>
        <v>700000000</v>
      </c>
      <c r="E2646" s="1025">
        <f>D2646/D2528*100</f>
        <v>0.47788621804956855</v>
      </c>
      <c r="F2646" s="1033"/>
      <c r="G2646" s="966"/>
      <c r="H2646" s="966"/>
      <c r="I2646" s="966"/>
      <c r="J2646" s="1912"/>
      <c r="K2646" s="965"/>
      <c r="L2646" s="966"/>
      <c r="M2646" s="966"/>
      <c r="N2646" s="535"/>
      <c r="P2646" s="500"/>
    </row>
    <row r="2647" spans="1:16" s="544" customFormat="1" ht="18" customHeight="1" x14ac:dyDescent="0.25">
      <c r="A2647" s="352"/>
      <c r="B2647" s="1242"/>
      <c r="C2647" s="3940" t="s">
        <v>3858</v>
      </c>
      <c r="D2647" s="666">
        <v>100000000</v>
      </c>
      <c r="E2647" s="939">
        <f>D2647/D2528*100</f>
        <v>6.8269459721366943E-2</v>
      </c>
      <c r="F2647" s="939"/>
      <c r="G2647" s="967"/>
      <c r="H2647" s="967"/>
      <c r="I2647" s="967"/>
      <c r="J2647" s="1909"/>
      <c r="K2647" s="963"/>
      <c r="L2647" s="967"/>
      <c r="M2647" s="967"/>
      <c r="N2647" s="535"/>
      <c r="P2647" s="500"/>
    </row>
    <row r="2648" spans="1:16" s="544" customFormat="1" ht="15.75" customHeight="1" x14ac:dyDescent="0.25">
      <c r="A2648" s="352"/>
      <c r="B2648" s="1242"/>
      <c r="C2648" s="4025" t="s">
        <v>3859</v>
      </c>
      <c r="D2648" s="666">
        <v>100000000</v>
      </c>
      <c r="E2648" s="939">
        <f>D2648/D2528*100</f>
        <v>6.8269459721366943E-2</v>
      </c>
      <c r="F2648" s="939"/>
      <c r="G2648" s="1037"/>
      <c r="H2648" s="1037"/>
      <c r="I2648" s="1037"/>
      <c r="J2648" s="1311"/>
      <c r="K2648" s="1311"/>
      <c r="L2648" s="2415"/>
      <c r="M2648" s="1311"/>
      <c r="N2648" s="535"/>
      <c r="P2648" s="500"/>
    </row>
    <row r="2649" spans="1:16" s="3504" customFormat="1" ht="18.75" customHeight="1" x14ac:dyDescent="0.25">
      <c r="A2649" s="352"/>
      <c r="B2649" s="1242"/>
      <c r="C2649" s="4025" t="s">
        <v>3860</v>
      </c>
      <c r="D2649" s="666">
        <v>100000000</v>
      </c>
      <c r="E2649" s="939">
        <f>D2649/D2528*100</f>
        <v>6.8269459721366943E-2</v>
      </c>
      <c r="F2649" s="939"/>
      <c r="G2649" s="1037"/>
      <c r="H2649" s="1037"/>
      <c r="I2649" s="1037"/>
      <c r="J2649" s="1311"/>
      <c r="K2649" s="1311"/>
      <c r="L2649" s="2411"/>
      <c r="M2649" s="1311"/>
      <c r="N2649" s="535"/>
      <c r="P2649" s="500"/>
    </row>
    <row r="2650" spans="1:16" s="3504" customFormat="1" ht="19.5" customHeight="1" x14ac:dyDescent="0.25">
      <c r="A2650" s="352"/>
      <c r="B2650" s="1242"/>
      <c r="C2650" s="4025" t="s">
        <v>3861</v>
      </c>
      <c r="D2650" s="666">
        <v>100000000</v>
      </c>
      <c r="E2650" s="939">
        <f>D2650/D2528*100</f>
        <v>6.8269459721366943E-2</v>
      </c>
      <c r="F2650" s="939"/>
      <c r="G2650" s="1037"/>
      <c r="H2650" s="1037"/>
      <c r="I2650" s="1037"/>
      <c r="J2650" s="1311"/>
      <c r="K2650" s="1311"/>
      <c r="L2650" s="2411"/>
      <c r="M2650" s="1311"/>
      <c r="N2650" s="535"/>
      <c r="P2650" s="500"/>
    </row>
    <row r="2651" spans="1:16" s="3504" customFormat="1" ht="29.25" customHeight="1" x14ac:dyDescent="0.25">
      <c r="A2651" s="352"/>
      <c r="B2651" s="1242"/>
      <c r="C2651" s="4025" t="s">
        <v>3862</v>
      </c>
      <c r="D2651" s="666">
        <v>100000000</v>
      </c>
      <c r="E2651" s="939">
        <f>D2651/D2528*100</f>
        <v>6.8269459721366943E-2</v>
      </c>
      <c r="F2651" s="939"/>
      <c r="G2651" s="1037"/>
      <c r="H2651" s="1037"/>
      <c r="I2651" s="1037"/>
      <c r="J2651" s="1311"/>
      <c r="K2651" s="1311"/>
      <c r="L2651" s="2411"/>
      <c r="M2651" s="1311"/>
      <c r="N2651" s="535"/>
      <c r="P2651" s="500"/>
    </row>
    <row r="2652" spans="1:16" s="3504" customFormat="1" ht="19.5" customHeight="1" x14ac:dyDescent="0.25">
      <c r="A2652" s="352"/>
      <c r="B2652" s="1242"/>
      <c r="C2652" s="4025" t="s">
        <v>3863</v>
      </c>
      <c r="D2652" s="666">
        <v>100000000</v>
      </c>
      <c r="E2652" s="939">
        <f>D2652/D2528*100</f>
        <v>6.8269459721366943E-2</v>
      </c>
      <c r="F2652" s="939"/>
      <c r="G2652" s="1037"/>
      <c r="H2652" s="1037"/>
      <c r="I2652" s="1037"/>
      <c r="J2652" s="1311"/>
      <c r="K2652" s="1311"/>
      <c r="L2652" s="2411"/>
      <c r="M2652" s="1311"/>
      <c r="N2652" s="535"/>
      <c r="P2652" s="500"/>
    </row>
    <row r="2653" spans="1:16" s="3504" customFormat="1" ht="20.25" customHeight="1" x14ac:dyDescent="0.25">
      <c r="A2653" s="352"/>
      <c r="B2653" s="1242"/>
      <c r="C2653" s="4025" t="s">
        <v>3864</v>
      </c>
      <c r="D2653" s="666">
        <v>100000000</v>
      </c>
      <c r="E2653" s="939">
        <f>D2653/D2528*100</f>
        <v>6.8269459721366943E-2</v>
      </c>
      <c r="F2653" s="939"/>
      <c r="G2653" s="1037"/>
      <c r="H2653" s="1037"/>
      <c r="I2653" s="1037"/>
      <c r="J2653" s="1311"/>
      <c r="K2653" s="1311"/>
      <c r="L2653" s="2411"/>
      <c r="M2653" s="1311"/>
      <c r="N2653" s="535"/>
      <c r="P2653" s="500"/>
    </row>
    <row r="2654" spans="1:16" s="3504" customFormat="1" ht="12" customHeight="1" x14ac:dyDescent="0.25">
      <c r="A2654" s="352"/>
      <c r="B2654" s="1242"/>
      <c r="C2654" s="4025"/>
      <c r="D2654" s="666"/>
      <c r="E2654" s="939"/>
      <c r="F2654" s="939"/>
      <c r="G2654" s="1037"/>
      <c r="H2654" s="1037"/>
      <c r="I2654" s="1037"/>
      <c r="J2654" s="1311"/>
      <c r="K2654" s="1311"/>
      <c r="L2654" s="2411"/>
      <c r="M2654" s="1311"/>
      <c r="N2654" s="535"/>
      <c r="P2654" s="500"/>
    </row>
    <row r="2655" spans="1:16" s="544" customFormat="1" ht="16.5" customHeight="1" x14ac:dyDescent="0.25">
      <c r="A2655" s="352"/>
      <c r="B2655" s="1242"/>
      <c r="C2655" s="3941" t="s">
        <v>1567</v>
      </c>
      <c r="D2655" s="4267">
        <f>SUM(D2656)</f>
        <v>100000000</v>
      </c>
      <c r="E2655" s="1025">
        <f>D2655/D2528*100</f>
        <v>6.8269459721366943E-2</v>
      </c>
      <c r="F2655" s="1033"/>
      <c r="G2655" s="966"/>
      <c r="H2655" s="966"/>
      <c r="I2655" s="966"/>
      <c r="J2655" s="1912"/>
      <c r="K2655" s="1912"/>
      <c r="L2655" s="2410"/>
      <c r="M2655" s="1650"/>
      <c r="N2655" s="535"/>
      <c r="P2655" s="500"/>
    </row>
    <row r="2656" spans="1:16" s="544" customFormat="1" ht="17.25" customHeight="1" x14ac:dyDescent="0.25">
      <c r="A2656" s="352"/>
      <c r="B2656" s="1242"/>
      <c r="C2656" s="3940" t="s">
        <v>3865</v>
      </c>
      <c r="D2656" s="666">
        <v>100000000</v>
      </c>
      <c r="E2656" s="939">
        <f>D2656/D2528*100</f>
        <v>6.8269459721366943E-2</v>
      </c>
      <c r="F2656" s="939"/>
      <c r="G2656" s="967"/>
      <c r="H2656" s="967"/>
      <c r="I2656" s="967"/>
      <c r="J2656" s="1909"/>
      <c r="K2656" s="1312"/>
      <c r="L2656" s="1310"/>
      <c r="M2656" s="1311"/>
      <c r="N2656" s="535"/>
      <c r="P2656" s="500"/>
    </row>
    <row r="2657" spans="1:16" s="544" customFormat="1" ht="12" customHeight="1" x14ac:dyDescent="0.25">
      <c r="A2657" s="352"/>
      <c r="B2657" s="1242"/>
      <c r="C2657" s="4025"/>
      <c r="D2657" s="666"/>
      <c r="E2657" s="939"/>
      <c r="F2657" s="939"/>
      <c r="G2657" s="1037"/>
      <c r="H2657" s="1310"/>
      <c r="I2657" s="1314"/>
      <c r="J2657" s="1311"/>
      <c r="K2657" s="1311"/>
      <c r="L2657" s="2415"/>
      <c r="M2657" s="1311"/>
      <c r="N2657" s="535"/>
      <c r="P2657" s="500"/>
    </row>
    <row r="2658" spans="1:16" s="544" customFormat="1" ht="30.75" customHeight="1" x14ac:dyDescent="0.25">
      <c r="A2658" s="352"/>
      <c r="B2658" s="1242"/>
      <c r="C2658" s="3941" t="s">
        <v>3866</v>
      </c>
      <c r="D2658" s="4267">
        <f>SUM(D2659:D2670)</f>
        <v>1978000000</v>
      </c>
      <c r="E2658" s="1025">
        <f>D2658/D2528*100</f>
        <v>1.350369913288638</v>
      </c>
      <c r="F2658" s="1033"/>
      <c r="G2658" s="1379"/>
      <c r="H2658" s="1379"/>
      <c r="I2658" s="1379"/>
      <c r="J2658" s="1912"/>
      <c r="K2658" s="1912"/>
      <c r="L2658" s="2410"/>
      <c r="M2658" s="1650"/>
      <c r="N2658" s="535"/>
      <c r="P2658" s="500"/>
    </row>
    <row r="2659" spans="1:16" s="544" customFormat="1" ht="17.25" customHeight="1" x14ac:dyDescent="0.25">
      <c r="A2659" s="352"/>
      <c r="B2659" s="1242"/>
      <c r="C2659" s="3940" t="s">
        <v>3867</v>
      </c>
      <c r="D2659" s="666">
        <v>200000000</v>
      </c>
      <c r="E2659" s="939">
        <f>D2659/D2528*100</f>
        <v>0.13653891944273389</v>
      </c>
      <c r="F2659" s="939"/>
      <c r="G2659" s="967"/>
      <c r="H2659" s="967"/>
      <c r="I2659" s="967"/>
      <c r="J2659" s="1312"/>
      <c r="K2659" s="1312"/>
      <c r="L2659" s="1310"/>
      <c r="M2659" s="1312"/>
      <c r="N2659" s="535"/>
      <c r="P2659" s="500"/>
    </row>
    <row r="2660" spans="1:16" s="544" customFormat="1" ht="17.25" customHeight="1" x14ac:dyDescent="0.25">
      <c r="A2660" s="352"/>
      <c r="B2660" s="1242"/>
      <c r="C2660" s="3940" t="s">
        <v>3868</v>
      </c>
      <c r="D2660" s="666">
        <v>350000000</v>
      </c>
      <c r="E2660" s="939">
        <f>D2660/D2528*100</f>
        <v>0.23894310902478427</v>
      </c>
      <c r="F2660" s="939"/>
      <c r="G2660" s="967"/>
      <c r="H2660" s="967"/>
      <c r="I2660" s="967"/>
      <c r="J2660" s="1312"/>
      <c r="K2660" s="1312"/>
      <c r="L2660" s="1310"/>
      <c r="M2660" s="1312"/>
      <c r="N2660" s="535"/>
      <c r="P2660" s="500"/>
    </row>
    <row r="2661" spans="1:16" s="544" customFormat="1" ht="14.25" customHeight="1" x14ac:dyDescent="0.25">
      <c r="A2661" s="352"/>
      <c r="B2661" s="1242"/>
      <c r="C2661" s="3940" t="s">
        <v>3869</v>
      </c>
      <c r="D2661" s="666">
        <v>550000000</v>
      </c>
      <c r="E2661" s="939">
        <f>D2661/D2528*100</f>
        <v>0.37548202846751816</v>
      </c>
      <c r="F2661" s="939"/>
      <c r="G2661" s="967"/>
      <c r="H2661" s="967"/>
      <c r="I2661" s="967"/>
      <c r="J2661" s="1312"/>
      <c r="K2661" s="1312"/>
      <c r="L2661" s="1310"/>
      <c r="M2661" s="1312"/>
      <c r="N2661" s="535"/>
      <c r="P2661" s="500"/>
    </row>
    <row r="2662" spans="1:16" s="544" customFormat="1" ht="18" customHeight="1" x14ac:dyDescent="0.25">
      <c r="A2662" s="352"/>
      <c r="B2662" s="1242"/>
      <c r="C2662" s="3940" t="s">
        <v>3870</v>
      </c>
      <c r="D2662" s="666">
        <v>150000000</v>
      </c>
      <c r="E2662" s="939">
        <f>D2662/D2528*100</f>
        <v>0.1024041895820504</v>
      </c>
      <c r="F2662" s="939"/>
      <c r="G2662" s="967"/>
      <c r="H2662" s="967"/>
      <c r="I2662" s="967"/>
      <c r="J2662" s="1312"/>
      <c r="K2662" s="1312"/>
      <c r="L2662" s="1310"/>
      <c r="M2662" s="1312"/>
      <c r="N2662" s="535"/>
      <c r="P2662" s="500"/>
    </row>
    <row r="2663" spans="1:16" s="3504" customFormat="1" ht="18" customHeight="1" x14ac:dyDescent="0.25">
      <c r="A2663" s="352"/>
      <c r="B2663" s="1242"/>
      <c r="C2663" s="4025" t="s">
        <v>3871</v>
      </c>
      <c r="D2663" s="666">
        <v>300000000</v>
      </c>
      <c r="E2663" s="939">
        <f>D2663/D2528*100</f>
        <v>0.2048083791641008</v>
      </c>
      <c r="F2663" s="939"/>
      <c r="G2663" s="967"/>
      <c r="H2663" s="967"/>
      <c r="I2663" s="967"/>
      <c r="J2663" s="1312"/>
      <c r="K2663" s="1312"/>
      <c r="L2663" s="1310"/>
      <c r="M2663" s="1312"/>
      <c r="N2663" s="535"/>
      <c r="P2663" s="500"/>
    </row>
    <row r="2664" spans="1:16" s="3504" customFormat="1" ht="18" customHeight="1" x14ac:dyDescent="0.25">
      <c r="A2664" s="352"/>
      <c r="B2664" s="1242"/>
      <c r="C2664" s="4025" t="s">
        <v>3872</v>
      </c>
      <c r="D2664" s="666">
        <v>100000000</v>
      </c>
      <c r="E2664" s="939">
        <f>D2664/D2528*100</f>
        <v>6.8269459721366943E-2</v>
      </c>
      <c r="F2664" s="939"/>
      <c r="G2664" s="967"/>
      <c r="H2664" s="967"/>
      <c r="I2664" s="967"/>
      <c r="J2664" s="1312"/>
      <c r="K2664" s="1312"/>
      <c r="L2664" s="1310"/>
      <c r="M2664" s="1312"/>
      <c r="N2664" s="535"/>
      <c r="P2664" s="500"/>
    </row>
    <row r="2665" spans="1:16" s="3504" customFormat="1" ht="18" customHeight="1" x14ac:dyDescent="0.25">
      <c r="A2665" s="352"/>
      <c r="B2665" s="1242"/>
      <c r="C2665" s="4025" t="s">
        <v>3873</v>
      </c>
      <c r="D2665" s="666">
        <v>150000000</v>
      </c>
      <c r="E2665" s="939">
        <f>D2665/D2528*100</f>
        <v>0.1024041895820504</v>
      </c>
      <c r="F2665" s="939"/>
      <c r="G2665" s="967"/>
      <c r="H2665" s="967"/>
      <c r="I2665" s="967"/>
      <c r="J2665" s="1312"/>
      <c r="K2665" s="1312"/>
      <c r="L2665" s="1310"/>
      <c r="M2665" s="1312"/>
      <c r="N2665" s="535"/>
      <c r="P2665" s="500"/>
    </row>
    <row r="2666" spans="1:16" s="3504" customFormat="1" ht="18" customHeight="1" x14ac:dyDescent="0.25">
      <c r="A2666" s="352"/>
      <c r="B2666" s="1242"/>
      <c r="C2666" s="4025" t="s">
        <v>3874</v>
      </c>
      <c r="D2666" s="666">
        <v>25422000</v>
      </c>
      <c r="E2666" s="939">
        <f>D2666/D2528*100</f>
        <v>1.7355462050365904E-2</v>
      </c>
      <c r="F2666" s="939"/>
      <c r="G2666" s="967"/>
      <c r="H2666" s="967"/>
      <c r="I2666" s="967"/>
      <c r="J2666" s="1312"/>
      <c r="K2666" s="1312"/>
      <c r="L2666" s="1310"/>
      <c r="M2666" s="1312"/>
      <c r="N2666" s="535"/>
      <c r="P2666" s="500"/>
    </row>
    <row r="2667" spans="1:16" s="3504" customFormat="1" ht="18" customHeight="1" x14ac:dyDescent="0.25">
      <c r="A2667" s="352"/>
      <c r="B2667" s="1242"/>
      <c r="C2667" s="4025" t="s">
        <v>3875</v>
      </c>
      <c r="D2667" s="666">
        <v>35655000</v>
      </c>
      <c r="E2667" s="939">
        <f>D2667/D2528*100</f>
        <v>2.4341475863653383E-2</v>
      </c>
      <c r="F2667" s="939"/>
      <c r="G2667" s="967"/>
      <c r="H2667" s="967"/>
      <c r="I2667" s="967"/>
      <c r="J2667" s="1312"/>
      <c r="K2667" s="1312"/>
      <c r="L2667" s="1310"/>
      <c r="M2667" s="1312"/>
      <c r="N2667" s="535"/>
      <c r="P2667" s="500"/>
    </row>
    <row r="2668" spans="1:16" s="544" customFormat="1" ht="18" customHeight="1" x14ac:dyDescent="0.25">
      <c r="A2668" s="352"/>
      <c r="B2668" s="1242"/>
      <c r="C2668" s="4025" t="s">
        <v>3876</v>
      </c>
      <c r="D2668" s="666">
        <v>56410000</v>
      </c>
      <c r="E2668" s="939">
        <f>D2668/D2528*100</f>
        <v>3.8510802228823089E-2</v>
      </c>
      <c r="F2668" s="939"/>
      <c r="G2668" s="1037"/>
      <c r="H2668" s="1037"/>
      <c r="I2668" s="1037"/>
      <c r="J2668" s="1311"/>
      <c r="K2668" s="1311"/>
      <c r="L2668" s="2415"/>
      <c r="M2668" s="1311"/>
      <c r="N2668" s="535"/>
      <c r="P2668" s="500"/>
    </row>
    <row r="2669" spans="1:16" s="544" customFormat="1" ht="20.25" customHeight="1" x14ac:dyDescent="0.25">
      <c r="A2669" s="352"/>
      <c r="B2669" s="1242"/>
      <c r="C2669" s="3514" t="s">
        <v>3877</v>
      </c>
      <c r="D2669" s="4217">
        <v>21325000</v>
      </c>
      <c r="E2669" s="939">
        <f>D2669/D2528*100</f>
        <v>1.4558462285581501E-2</v>
      </c>
      <c r="F2669" s="1033"/>
      <c r="G2669" s="966"/>
      <c r="H2669" s="966"/>
      <c r="I2669" s="966"/>
      <c r="J2669" s="1912"/>
      <c r="K2669" s="1912"/>
      <c r="L2669" s="2410"/>
      <c r="M2669" s="1650"/>
      <c r="N2669" s="535"/>
      <c r="P2669" s="500"/>
    </row>
    <row r="2670" spans="1:16" s="544" customFormat="1" ht="19.5" customHeight="1" x14ac:dyDescent="0.25">
      <c r="A2670" s="352"/>
      <c r="B2670" s="1242"/>
      <c r="C2670" s="3940" t="s">
        <v>3878</v>
      </c>
      <c r="D2670" s="666">
        <v>39188000</v>
      </c>
      <c r="E2670" s="939">
        <f>D2670/D2528*100</f>
        <v>2.6753435875609275E-2</v>
      </c>
      <c r="F2670" s="939"/>
      <c r="G2670" s="967"/>
      <c r="H2670" s="967"/>
      <c r="I2670" s="967"/>
      <c r="J2670" s="1909"/>
      <c r="K2670" s="1312"/>
      <c r="L2670" s="1310"/>
      <c r="M2670" s="1312"/>
      <c r="N2670" s="535"/>
      <c r="P2670" s="500"/>
    </row>
    <row r="2671" spans="1:16" s="544" customFormat="1" ht="12" customHeight="1" x14ac:dyDescent="0.25">
      <c r="A2671" s="352"/>
      <c r="B2671" s="1242"/>
      <c r="C2671" s="4025"/>
      <c r="D2671" s="666"/>
      <c r="E2671" s="939"/>
      <c r="F2671" s="939"/>
      <c r="G2671" s="1037"/>
      <c r="H2671" s="1037"/>
      <c r="I2671" s="1037"/>
      <c r="J2671" s="1311"/>
      <c r="K2671" s="1311"/>
      <c r="L2671" s="2415"/>
      <c r="M2671" s="1311"/>
      <c r="N2671" s="535"/>
      <c r="P2671" s="500"/>
    </row>
    <row r="2672" spans="1:16" s="544" customFormat="1" ht="17.25" customHeight="1" x14ac:dyDescent="0.25">
      <c r="A2672" s="352"/>
      <c r="B2672" s="1242"/>
      <c r="C2672" s="3941" t="s">
        <v>3879</v>
      </c>
      <c r="D2672" s="4267">
        <f>SUM(D2673:D2674)</f>
        <v>300000000</v>
      </c>
      <c r="E2672" s="1025">
        <f>D2672/D2528*100</f>
        <v>0.2048083791641008</v>
      </c>
      <c r="F2672" s="1033"/>
      <c r="G2672" s="966"/>
      <c r="H2672" s="966"/>
      <c r="I2672" s="966"/>
      <c r="J2672" s="1912"/>
      <c r="K2672" s="965"/>
      <c r="L2672" s="966"/>
      <c r="M2672" s="966"/>
      <c r="N2672" s="535"/>
      <c r="P2672" s="500"/>
    </row>
    <row r="2673" spans="1:16" s="544" customFormat="1" ht="16.5" customHeight="1" x14ac:dyDescent="0.25">
      <c r="A2673" s="352"/>
      <c r="B2673" s="1242"/>
      <c r="C2673" s="3940" t="s">
        <v>3880</v>
      </c>
      <c r="D2673" s="666">
        <v>100000000</v>
      </c>
      <c r="E2673" s="939">
        <f>D2673/D2528*100</f>
        <v>6.8269459721366943E-2</v>
      </c>
      <c r="F2673" s="939"/>
      <c r="G2673" s="967"/>
      <c r="H2673" s="967"/>
      <c r="I2673" s="967"/>
      <c r="J2673" s="1909"/>
      <c r="K2673" s="963"/>
      <c r="L2673" s="967"/>
      <c r="M2673" s="967"/>
      <c r="N2673" s="535"/>
      <c r="P2673" s="500"/>
    </row>
    <row r="2674" spans="1:16" s="544" customFormat="1" ht="17.25" customHeight="1" x14ac:dyDescent="0.25">
      <c r="A2674" s="352"/>
      <c r="B2674" s="1242"/>
      <c r="C2674" s="3940" t="s">
        <v>3881</v>
      </c>
      <c r="D2674" s="666">
        <v>200000000</v>
      </c>
      <c r="E2674" s="939">
        <f>D2674/D2528*100</f>
        <v>0.13653891944273389</v>
      </c>
      <c r="F2674" s="939"/>
      <c r="G2674" s="967"/>
      <c r="H2674" s="967"/>
      <c r="I2674" s="967"/>
      <c r="J2674" s="1909"/>
      <c r="K2674" s="963"/>
      <c r="L2674" s="967"/>
      <c r="M2674" s="967"/>
      <c r="N2674" s="535"/>
      <c r="P2674" s="500"/>
    </row>
    <row r="2675" spans="1:16" s="544" customFormat="1" ht="12" customHeight="1" x14ac:dyDescent="0.25">
      <c r="A2675" s="352"/>
      <c r="B2675" s="1242"/>
      <c r="C2675" s="4026"/>
      <c r="D2675" s="671"/>
      <c r="E2675" s="1038"/>
      <c r="F2675" s="1038"/>
      <c r="G2675" s="1032"/>
      <c r="H2675" s="2255"/>
      <c r="I2675" s="791"/>
      <c r="J2675" s="2182"/>
      <c r="K2675" s="2182"/>
      <c r="L2675" s="2416"/>
      <c r="M2675" s="2182"/>
      <c r="N2675" s="535"/>
      <c r="P2675" s="500"/>
    </row>
    <row r="2676" spans="1:16" s="3504" customFormat="1" ht="17.25" customHeight="1" x14ac:dyDescent="0.25">
      <c r="A2676" s="352"/>
      <c r="B2676" s="1242"/>
      <c r="C2676" s="3942" t="s">
        <v>3882</v>
      </c>
      <c r="D2676" s="673">
        <f>D2677</f>
        <v>990000000</v>
      </c>
      <c r="E2676" s="1025">
        <f>D2676/D2528*100</f>
        <v>0.6758676512415327</v>
      </c>
      <c r="F2676" s="939"/>
      <c r="G2676" s="1037"/>
      <c r="H2676" s="880"/>
      <c r="I2676" s="894"/>
      <c r="J2676" s="1315"/>
      <c r="K2676" s="1315"/>
      <c r="L2676" s="2415"/>
      <c r="M2676" s="1315"/>
      <c r="N2676" s="535"/>
      <c r="P2676" s="500"/>
    </row>
    <row r="2677" spans="1:16" s="3504" customFormat="1" ht="18.75" customHeight="1" x14ac:dyDescent="0.25">
      <c r="A2677" s="352"/>
      <c r="B2677" s="1242"/>
      <c r="C2677" s="3940" t="s">
        <v>3883</v>
      </c>
      <c r="D2677" s="666">
        <v>990000000</v>
      </c>
      <c r="E2677" s="939">
        <f>D2677/D2528*100</f>
        <v>0.6758676512415327</v>
      </c>
      <c r="F2677" s="939"/>
      <c r="G2677" s="1037"/>
      <c r="H2677" s="880"/>
      <c r="I2677" s="894"/>
      <c r="J2677" s="1315"/>
      <c r="K2677" s="1315"/>
      <c r="L2677" s="2415"/>
      <c r="M2677" s="1315"/>
      <c r="N2677" s="535"/>
      <c r="P2677" s="500"/>
    </row>
    <row r="2678" spans="1:16" s="3504" customFormat="1" ht="12" customHeight="1" x14ac:dyDescent="0.25">
      <c r="A2678" s="352"/>
      <c r="B2678" s="1242"/>
      <c r="C2678" s="3940"/>
      <c r="D2678" s="666"/>
      <c r="E2678" s="939"/>
      <c r="F2678" s="939"/>
      <c r="G2678" s="1037"/>
      <c r="H2678" s="880"/>
      <c r="I2678" s="894"/>
      <c r="J2678" s="1315"/>
      <c r="K2678" s="1315"/>
      <c r="L2678" s="2415"/>
      <c r="M2678" s="1315"/>
      <c r="N2678" s="535"/>
      <c r="P2678" s="500"/>
    </row>
    <row r="2679" spans="1:16" s="3504" customFormat="1" ht="16.5" customHeight="1" x14ac:dyDescent="0.25">
      <c r="A2679" s="352"/>
      <c r="B2679" s="1242"/>
      <c r="C2679" s="3942" t="s">
        <v>3884</v>
      </c>
      <c r="D2679" s="673">
        <f>SUM(D2680:D2683)</f>
        <v>455300000</v>
      </c>
      <c r="E2679" s="1025">
        <f>D2679/D2528*100</f>
        <v>0.31083085011138367</v>
      </c>
      <c r="F2679" s="939"/>
      <c r="G2679" s="1037"/>
      <c r="H2679" s="880"/>
      <c r="I2679" s="894"/>
      <c r="J2679" s="1315"/>
      <c r="K2679" s="1315"/>
      <c r="L2679" s="2415"/>
      <c r="M2679" s="1315"/>
      <c r="N2679" s="535"/>
      <c r="P2679" s="500"/>
    </row>
    <row r="2680" spans="1:16" s="3504" customFormat="1" ht="16.5" customHeight="1" x14ac:dyDescent="0.25">
      <c r="A2680" s="352"/>
      <c r="B2680" s="1242"/>
      <c r="C2680" s="3940" t="s">
        <v>3885</v>
      </c>
      <c r="D2680" s="666">
        <v>100000000</v>
      </c>
      <c r="E2680" s="939">
        <f>D2680/D2528*100</f>
        <v>6.8269459721366943E-2</v>
      </c>
      <c r="F2680" s="939"/>
      <c r="G2680" s="1037"/>
      <c r="H2680" s="880"/>
      <c r="I2680" s="894"/>
      <c r="J2680" s="1315"/>
      <c r="K2680" s="1315"/>
      <c r="L2680" s="2415"/>
      <c r="M2680" s="1315"/>
      <c r="N2680" s="535"/>
      <c r="P2680" s="500"/>
    </row>
    <row r="2681" spans="1:16" s="3504" customFormat="1" ht="16.5" customHeight="1" x14ac:dyDescent="0.25">
      <c r="A2681" s="352"/>
      <c r="B2681" s="1242"/>
      <c r="C2681" s="3940" t="s">
        <v>3886</v>
      </c>
      <c r="D2681" s="666">
        <v>100000000</v>
      </c>
      <c r="E2681" s="939">
        <f>D2681/D2528*100</f>
        <v>6.8269459721366943E-2</v>
      </c>
      <c r="F2681" s="939"/>
      <c r="G2681" s="1037"/>
      <c r="H2681" s="880"/>
      <c r="I2681" s="894"/>
      <c r="J2681" s="1315"/>
      <c r="K2681" s="1315"/>
      <c r="L2681" s="2415"/>
      <c r="M2681" s="1315"/>
      <c r="N2681" s="535"/>
      <c r="P2681" s="500"/>
    </row>
    <row r="2682" spans="1:16" s="3504" customFormat="1" ht="15.75" customHeight="1" x14ac:dyDescent="0.25">
      <c r="A2682" s="352"/>
      <c r="B2682" s="1242"/>
      <c r="C2682" s="3940" t="s">
        <v>3887</v>
      </c>
      <c r="D2682" s="666">
        <v>100000000</v>
      </c>
      <c r="E2682" s="939">
        <f>D2682/D2528*100</f>
        <v>6.8269459721366943E-2</v>
      </c>
      <c r="F2682" s="939"/>
      <c r="G2682" s="1037"/>
      <c r="H2682" s="880"/>
      <c r="I2682" s="894"/>
      <c r="J2682" s="1315"/>
      <c r="K2682" s="1315"/>
      <c r="L2682" s="2415"/>
      <c r="M2682" s="1315"/>
      <c r="N2682" s="535"/>
      <c r="P2682" s="500"/>
    </row>
    <row r="2683" spans="1:16" s="3504" customFormat="1" ht="15.75" customHeight="1" x14ac:dyDescent="0.25">
      <c r="A2683" s="352"/>
      <c r="B2683" s="1242"/>
      <c r="C2683" s="3940" t="s">
        <v>3888</v>
      </c>
      <c r="D2683" s="666">
        <v>155300000</v>
      </c>
      <c r="E2683" s="939">
        <f>D2683/D2528*100</f>
        <v>0.10602247094728286</v>
      </c>
      <c r="F2683" s="939"/>
      <c r="G2683" s="1037"/>
      <c r="H2683" s="880"/>
      <c r="I2683" s="894"/>
      <c r="J2683" s="1315"/>
      <c r="K2683" s="1315"/>
      <c r="L2683" s="2415"/>
      <c r="M2683" s="1315"/>
      <c r="N2683" s="535"/>
      <c r="P2683" s="500"/>
    </row>
    <row r="2684" spans="1:16" s="3504" customFormat="1" ht="12" customHeight="1" x14ac:dyDescent="0.25">
      <c r="A2684" s="352"/>
      <c r="B2684" s="1242"/>
      <c r="C2684" s="3940"/>
      <c r="D2684" s="666"/>
      <c r="E2684" s="939"/>
      <c r="F2684" s="939"/>
      <c r="G2684" s="1037"/>
      <c r="H2684" s="880"/>
      <c r="I2684" s="894"/>
      <c r="J2684" s="1315"/>
      <c r="K2684" s="1315"/>
      <c r="L2684" s="2415"/>
      <c r="M2684" s="1315"/>
      <c r="N2684" s="535"/>
      <c r="P2684" s="500"/>
    </row>
    <row r="2685" spans="1:16" s="3504" customFormat="1" ht="18.75" customHeight="1" x14ac:dyDescent="0.25">
      <c r="A2685" s="352"/>
      <c r="B2685" s="1242"/>
      <c r="C2685" s="3942" t="s">
        <v>3889</v>
      </c>
      <c r="D2685" s="673">
        <f>SUM(D2686:D2687)</f>
        <v>500000000</v>
      </c>
      <c r="E2685" s="1025">
        <f>D2685/D2528*100</f>
        <v>0.34134729860683471</v>
      </c>
      <c r="F2685" s="1025"/>
      <c r="G2685" s="1037"/>
      <c r="H2685" s="880"/>
      <c r="I2685" s="894"/>
      <c r="J2685" s="1315"/>
      <c r="K2685" s="1315"/>
      <c r="L2685" s="2415"/>
      <c r="M2685" s="1315"/>
      <c r="N2685" s="535"/>
      <c r="P2685" s="500"/>
    </row>
    <row r="2686" spans="1:16" s="3504" customFormat="1" ht="15.75" customHeight="1" x14ac:dyDescent="0.25">
      <c r="A2686" s="352"/>
      <c r="B2686" s="1242"/>
      <c r="C2686" s="3940" t="s">
        <v>3890</v>
      </c>
      <c r="D2686" s="666">
        <v>200000000</v>
      </c>
      <c r="E2686" s="939">
        <f>D2686/D2528*100</f>
        <v>0.13653891944273389</v>
      </c>
      <c r="F2686" s="939"/>
      <c r="G2686" s="1037"/>
      <c r="H2686" s="880"/>
      <c r="I2686" s="894"/>
      <c r="J2686" s="1315"/>
      <c r="K2686" s="1315"/>
      <c r="L2686" s="2415"/>
      <c r="M2686" s="1315"/>
      <c r="N2686" s="535"/>
      <c r="P2686" s="500"/>
    </row>
    <row r="2687" spans="1:16" s="3504" customFormat="1" ht="19.5" customHeight="1" x14ac:dyDescent="0.25">
      <c r="A2687" s="352"/>
      <c r="B2687" s="1242"/>
      <c r="C2687" s="3940" t="s">
        <v>3891</v>
      </c>
      <c r="D2687" s="666">
        <v>300000000</v>
      </c>
      <c r="E2687" s="939">
        <f>D2687/D2528*100</f>
        <v>0.2048083791641008</v>
      </c>
      <c r="F2687" s="939"/>
      <c r="G2687" s="1037"/>
      <c r="H2687" s="880"/>
      <c r="I2687" s="894"/>
      <c r="J2687" s="1315"/>
      <c r="K2687" s="1315"/>
      <c r="L2687" s="2415"/>
      <c r="M2687" s="1315"/>
      <c r="N2687" s="535"/>
      <c r="P2687" s="500"/>
    </row>
    <row r="2688" spans="1:16" s="3504" customFormat="1" ht="10.5" customHeight="1" x14ac:dyDescent="0.25">
      <c r="A2688" s="352"/>
      <c r="B2688" s="1242"/>
      <c r="C2688" s="3940"/>
      <c r="D2688" s="666"/>
      <c r="E2688" s="939"/>
      <c r="F2688" s="939"/>
      <c r="G2688" s="1037"/>
      <c r="H2688" s="880"/>
      <c r="I2688" s="894"/>
      <c r="J2688" s="1315"/>
      <c r="K2688" s="1315"/>
      <c r="L2688" s="2415"/>
      <c r="M2688" s="1315"/>
      <c r="N2688" s="535"/>
      <c r="P2688" s="500"/>
    </row>
    <row r="2689" spans="1:16" s="3504" customFormat="1" ht="18" customHeight="1" x14ac:dyDescent="0.25">
      <c r="A2689" s="352"/>
      <c r="B2689" s="1242"/>
      <c r="C2689" s="3942" t="s">
        <v>3892</v>
      </c>
      <c r="D2689" s="673">
        <f>D2690</f>
        <v>100000000</v>
      </c>
      <c r="E2689" s="1025">
        <f>D2689/D2528*100</f>
        <v>6.8269459721366943E-2</v>
      </c>
      <c r="F2689" s="1025"/>
      <c r="G2689" s="1037"/>
      <c r="H2689" s="880"/>
      <c r="I2689" s="894"/>
      <c r="J2689" s="1315"/>
      <c r="K2689" s="1315"/>
      <c r="L2689" s="2415"/>
      <c r="M2689" s="1315"/>
      <c r="N2689" s="535"/>
      <c r="P2689" s="500"/>
    </row>
    <row r="2690" spans="1:16" s="3504" customFormat="1" ht="19.5" customHeight="1" x14ac:dyDescent="0.25">
      <c r="A2690" s="352"/>
      <c r="B2690" s="1242"/>
      <c r="C2690" s="3940" t="s">
        <v>3893</v>
      </c>
      <c r="D2690" s="666">
        <v>100000000</v>
      </c>
      <c r="E2690" s="939">
        <f>D2690/D2528*100</f>
        <v>6.8269459721366943E-2</v>
      </c>
      <c r="F2690" s="939"/>
      <c r="G2690" s="1037"/>
      <c r="H2690" s="880"/>
      <c r="I2690" s="894"/>
      <c r="J2690" s="1315"/>
      <c r="K2690" s="1315"/>
      <c r="L2690" s="2415"/>
      <c r="M2690" s="1315"/>
      <c r="N2690" s="535"/>
      <c r="P2690" s="500"/>
    </row>
    <row r="2691" spans="1:16" s="3504" customFormat="1" ht="12" customHeight="1" x14ac:dyDescent="0.25">
      <c r="A2691" s="352"/>
      <c r="B2691" s="1242"/>
      <c r="C2691" s="3515"/>
      <c r="D2691" s="1094"/>
      <c r="E2691" s="1071"/>
      <c r="F2691" s="1071"/>
      <c r="G2691" s="3516"/>
      <c r="H2691" s="3517"/>
      <c r="I2691" s="973"/>
      <c r="J2691" s="2282"/>
      <c r="K2691" s="2282"/>
      <c r="L2691" s="3518"/>
      <c r="M2691" s="2282"/>
      <c r="N2691" s="535"/>
      <c r="P2691" s="500"/>
    </row>
    <row r="2692" spans="1:16" s="544" customFormat="1" ht="17.25" customHeight="1" x14ac:dyDescent="0.25">
      <c r="A2692" s="352"/>
      <c r="B2692" s="1305"/>
      <c r="C2692" s="4027" t="s">
        <v>358</v>
      </c>
      <c r="D2692" s="669">
        <f>SUM(D2693)</f>
        <v>5000000000</v>
      </c>
      <c r="E2692" s="1039">
        <f>D2692/D2528*100</f>
        <v>3.413472986068347</v>
      </c>
      <c r="F2692" s="669"/>
      <c r="G2692" s="669"/>
      <c r="H2692" s="1306"/>
      <c r="I2692" s="1645"/>
      <c r="J2692" s="669"/>
      <c r="K2692" s="669"/>
      <c r="L2692" s="2417"/>
      <c r="M2692" s="1307"/>
      <c r="N2692" s="535"/>
      <c r="P2692" s="500"/>
    </row>
    <row r="2693" spans="1:16" s="544" customFormat="1" ht="15.75" customHeight="1" x14ac:dyDescent="0.25">
      <c r="A2693" s="352"/>
      <c r="B2693" s="1242"/>
      <c r="C2693" s="3942" t="s">
        <v>3647</v>
      </c>
      <c r="D2693" s="673">
        <f>SUM(D2694)</f>
        <v>5000000000</v>
      </c>
      <c r="E2693" s="1025">
        <f>D2693/D2528*100</f>
        <v>3.413472986068347</v>
      </c>
      <c r="F2693" s="1025"/>
      <c r="G2693" s="1379"/>
      <c r="H2693" s="1379"/>
      <c r="I2693" s="1379"/>
      <c r="J2693" s="1910"/>
      <c r="K2693" s="1329"/>
      <c r="L2693" s="1379"/>
      <c r="M2693" s="1379"/>
      <c r="N2693" s="535"/>
      <c r="P2693" s="500"/>
    </row>
    <row r="2694" spans="1:16" s="544" customFormat="1" ht="18.75" customHeight="1" x14ac:dyDescent="0.25">
      <c r="A2694" s="352"/>
      <c r="B2694" s="1242"/>
      <c r="C2694" s="3940" t="s">
        <v>3894</v>
      </c>
      <c r="D2694" s="666">
        <v>5000000000</v>
      </c>
      <c r="E2694" s="939">
        <f>D2694/D2528*100</f>
        <v>3.413472986068347</v>
      </c>
      <c r="F2694" s="939"/>
      <c r="G2694" s="967"/>
      <c r="H2694" s="967"/>
      <c r="I2694" s="967"/>
      <c r="J2694" s="1909"/>
      <c r="K2694" s="963"/>
      <c r="L2694" s="967"/>
      <c r="M2694" s="967"/>
      <c r="N2694" s="535"/>
      <c r="P2694" s="500"/>
    </row>
    <row r="2695" spans="1:16" s="3504" customFormat="1" ht="12" customHeight="1" x14ac:dyDescent="0.25">
      <c r="A2695" s="352"/>
      <c r="B2695" s="1242"/>
      <c r="C2695" s="4028"/>
      <c r="D2695" s="667"/>
      <c r="E2695" s="1038"/>
      <c r="F2695" s="1029"/>
      <c r="G2695" s="1032"/>
      <c r="H2695" s="2255"/>
      <c r="I2695" s="791"/>
      <c r="J2695" s="2182"/>
      <c r="K2695" s="2182"/>
      <c r="L2695" s="2416"/>
      <c r="M2695" s="2182"/>
      <c r="N2695" s="535"/>
      <c r="P2695" s="500"/>
    </row>
    <row r="2696" spans="1:16" ht="18" customHeight="1" x14ac:dyDescent="0.25">
      <c r="B2696" s="1305"/>
      <c r="C2696" s="4027" t="s">
        <v>2395</v>
      </c>
      <c r="D2696" s="669">
        <f>SUM(D2697+D2700+D2711+D2723+D2730+D2734+D2742+D2747)</f>
        <v>42389400000</v>
      </c>
      <c r="E2696" s="1039">
        <f>D2696/D2528*100</f>
        <v>28.939014359129118</v>
      </c>
      <c r="F2696" s="1039"/>
      <c r="G2696" s="998"/>
      <c r="H2696" s="998"/>
      <c r="I2696" s="998"/>
      <c r="J2696" s="1913"/>
      <c r="K2696" s="1913"/>
      <c r="L2696" s="2417"/>
      <c r="M2696" s="1307"/>
      <c r="N2696" s="535"/>
    </row>
    <row r="2697" spans="1:16" s="3504" customFormat="1" ht="18.75" customHeight="1" x14ac:dyDescent="0.25">
      <c r="A2697" s="352"/>
      <c r="B2697" s="1242"/>
      <c r="C2697" s="3942" t="s">
        <v>4111</v>
      </c>
      <c r="D2697" s="673">
        <f>D2698</f>
        <v>30000000</v>
      </c>
      <c r="E2697" s="1025">
        <f>D2697/D2528*100</f>
        <v>2.0480837916410082E-2</v>
      </c>
      <c r="F2697" s="1025"/>
      <c r="G2697" s="967"/>
      <c r="H2697" s="978"/>
      <c r="I2697" s="978"/>
      <c r="J2697" s="2266"/>
      <c r="K2697" s="1659"/>
      <c r="L2697" s="2410"/>
      <c r="M2697" s="1659"/>
      <c r="N2697" s="535"/>
      <c r="P2697" s="500"/>
    </row>
    <row r="2698" spans="1:16" s="3504" customFormat="1" ht="17.25" customHeight="1" x14ac:dyDescent="0.25">
      <c r="A2698" s="352"/>
      <c r="B2698" s="1242"/>
      <c r="C2698" s="3940" t="s">
        <v>4112</v>
      </c>
      <c r="D2698" s="666">
        <v>30000000</v>
      </c>
      <c r="E2698" s="1070">
        <f>D2698/D2528*100</f>
        <v>2.0480837916410082E-2</v>
      </c>
      <c r="F2698" s="1025"/>
      <c r="G2698" s="967"/>
      <c r="H2698" s="978"/>
      <c r="I2698" s="978"/>
      <c r="J2698" s="2266"/>
      <c r="K2698" s="1659"/>
      <c r="L2698" s="2410"/>
      <c r="M2698" s="1659"/>
      <c r="N2698" s="535"/>
      <c r="P2698" s="500"/>
    </row>
    <row r="2699" spans="1:16" s="3504" customFormat="1" ht="11.25" customHeight="1" x14ac:dyDescent="0.25">
      <c r="A2699" s="352"/>
      <c r="B2699" s="1242"/>
      <c r="C2699" s="4028"/>
      <c r="D2699" s="667"/>
      <c r="E2699" s="1198"/>
      <c r="F2699" s="1029"/>
      <c r="G2699" s="972"/>
      <c r="H2699" s="978"/>
      <c r="I2699" s="978"/>
      <c r="J2699" s="2266"/>
      <c r="K2699" s="1659"/>
      <c r="L2699" s="2410"/>
      <c r="M2699" s="1659"/>
      <c r="N2699" s="535"/>
      <c r="P2699" s="500"/>
    </row>
    <row r="2700" spans="1:16" ht="14.25" customHeight="1" x14ac:dyDescent="0.25">
      <c r="B2700" s="1242"/>
      <c r="C2700" s="3942" t="s">
        <v>4113</v>
      </c>
      <c r="D2700" s="673">
        <f>SUM(D2701:D2709)</f>
        <v>11295000000</v>
      </c>
      <c r="E2700" s="1025">
        <f>D2700/D2528*100</f>
        <v>7.7110354755283952</v>
      </c>
      <c r="F2700" s="1025"/>
      <c r="G2700" s="966"/>
      <c r="H2700" s="966"/>
      <c r="I2700" s="966"/>
      <c r="J2700" s="1908"/>
      <c r="K2700" s="1908"/>
      <c r="L2700" s="2410"/>
      <c r="M2700" s="1650"/>
      <c r="N2700" s="535"/>
    </row>
    <row r="2701" spans="1:16" ht="16.5" customHeight="1" x14ac:dyDescent="0.25">
      <c r="B2701" s="1242"/>
      <c r="C2701" s="3940" t="s">
        <v>3895</v>
      </c>
      <c r="D2701" s="666">
        <v>2000000000</v>
      </c>
      <c r="E2701" s="1070">
        <f>D2701/D2528*100</f>
        <v>1.3653891944273389</v>
      </c>
      <c r="F2701" s="939"/>
      <c r="G2701" s="967"/>
      <c r="H2701" s="967"/>
      <c r="I2701" s="967"/>
      <c r="J2701" s="1717"/>
      <c r="K2701" s="1312"/>
      <c r="L2701" s="1310"/>
      <c r="M2701" s="1312"/>
      <c r="N2701" s="535"/>
    </row>
    <row r="2702" spans="1:16" ht="15" customHeight="1" x14ac:dyDescent="0.25">
      <c r="B2702" s="1242"/>
      <c r="C2702" s="3940" t="s">
        <v>3896</v>
      </c>
      <c r="D2702" s="666">
        <v>2000000000</v>
      </c>
      <c r="E2702" s="1070">
        <f>D2702/D2528*100</f>
        <v>1.3653891944273389</v>
      </c>
      <c r="F2702" s="939"/>
      <c r="G2702" s="967"/>
      <c r="H2702" s="967"/>
      <c r="I2702" s="967"/>
      <c r="J2702" s="1311"/>
      <c r="K2702" s="1312"/>
      <c r="L2702" s="1310"/>
      <c r="M2702" s="1311"/>
      <c r="N2702" s="535"/>
    </row>
    <row r="2703" spans="1:16" ht="14.25" customHeight="1" x14ac:dyDescent="0.25">
      <c r="B2703" s="1242"/>
      <c r="C2703" s="3940" t="s">
        <v>3897</v>
      </c>
      <c r="D2703" s="666">
        <v>500000000</v>
      </c>
      <c r="E2703" s="1070">
        <f>D2703/D2528*100</f>
        <v>0.34134729860683471</v>
      </c>
      <c r="F2703" s="939"/>
      <c r="G2703" s="967"/>
      <c r="H2703" s="967"/>
      <c r="I2703" s="967"/>
      <c r="J2703" s="1717"/>
      <c r="K2703" s="1312"/>
      <c r="L2703" s="1310"/>
      <c r="M2703" s="1312"/>
      <c r="N2703" s="535"/>
    </row>
    <row r="2704" spans="1:16" ht="14.25" customHeight="1" x14ac:dyDescent="0.25">
      <c r="B2704" s="1242"/>
      <c r="C2704" s="3940" t="s">
        <v>3898</v>
      </c>
      <c r="D2704" s="666">
        <v>500000000</v>
      </c>
      <c r="E2704" s="1070">
        <f>D2704/D2528*100</f>
        <v>0.34134729860683471</v>
      </c>
      <c r="F2704" s="939"/>
      <c r="G2704" s="967"/>
      <c r="H2704" s="967"/>
      <c r="I2704" s="967"/>
      <c r="J2704" s="1717"/>
      <c r="K2704" s="1312"/>
      <c r="L2704" s="1310"/>
      <c r="M2704" s="967"/>
      <c r="N2704" s="535"/>
    </row>
    <row r="2705" spans="1:16" ht="14.25" customHeight="1" x14ac:dyDescent="0.25">
      <c r="B2705" s="1242"/>
      <c r="C2705" s="3940" t="s">
        <v>3899</v>
      </c>
      <c r="D2705" s="666">
        <v>200000000</v>
      </c>
      <c r="E2705" s="1070">
        <f>D2705/D2528*100</f>
        <v>0.13653891944273389</v>
      </c>
      <c r="F2705" s="939"/>
      <c r="G2705" s="967"/>
      <c r="H2705" s="967"/>
      <c r="I2705" s="967"/>
      <c r="J2705" s="1312"/>
      <c r="K2705" s="1312"/>
      <c r="L2705" s="1310"/>
      <c r="M2705" s="1312"/>
      <c r="N2705" s="535"/>
    </row>
    <row r="2706" spans="1:16" ht="16.5" customHeight="1" x14ac:dyDescent="0.25">
      <c r="B2706" s="1242"/>
      <c r="C2706" s="3940" t="s">
        <v>3900</v>
      </c>
      <c r="D2706" s="666">
        <v>520000000</v>
      </c>
      <c r="E2706" s="1070">
        <f>D2706/D2528*100</f>
        <v>0.35500119055110807</v>
      </c>
      <c r="F2706" s="939"/>
      <c r="G2706" s="967"/>
      <c r="H2706" s="967"/>
      <c r="I2706" s="967"/>
      <c r="J2706" s="1717"/>
      <c r="K2706" s="1312"/>
      <c r="L2706" s="1310"/>
      <c r="M2706" s="1312"/>
      <c r="N2706" s="535"/>
    </row>
    <row r="2707" spans="1:16" ht="18" customHeight="1" x14ac:dyDescent="0.25">
      <c r="B2707" s="1242"/>
      <c r="C2707" s="3940" t="s">
        <v>3901</v>
      </c>
      <c r="D2707" s="666">
        <v>5000000000</v>
      </c>
      <c r="E2707" s="1070">
        <f>D2707/D2528*100</f>
        <v>3.413472986068347</v>
      </c>
      <c r="F2707" s="939"/>
      <c r="G2707" s="967"/>
      <c r="H2707" s="967"/>
      <c r="I2707" s="967"/>
      <c r="J2707" s="1717"/>
      <c r="K2707" s="1312"/>
      <c r="L2707" s="1310"/>
      <c r="M2707" s="1312"/>
      <c r="N2707" s="535"/>
    </row>
    <row r="2708" spans="1:16" ht="14.25" customHeight="1" x14ac:dyDescent="0.25">
      <c r="B2708" s="1242"/>
      <c r="C2708" s="3940" t="s">
        <v>3903</v>
      </c>
      <c r="D2708" s="666">
        <v>175000000</v>
      </c>
      <c r="E2708" s="1070">
        <f>D2708/D2528*100</f>
        <v>0.11947155451239214</v>
      </c>
      <c r="F2708" s="939"/>
      <c r="G2708" s="967"/>
      <c r="H2708" s="967"/>
      <c r="I2708" s="967"/>
      <c r="J2708" s="1312"/>
      <c r="K2708" s="1312"/>
      <c r="L2708" s="1310"/>
      <c r="M2708" s="1311"/>
      <c r="N2708" s="535"/>
    </row>
    <row r="2709" spans="1:16" ht="17.25" customHeight="1" x14ac:dyDescent="0.25">
      <c r="B2709" s="1242"/>
      <c r="C2709" s="3940" t="s">
        <v>3902</v>
      </c>
      <c r="D2709" s="666">
        <v>400000000</v>
      </c>
      <c r="E2709" s="1070">
        <f>D2709/D2528*100</f>
        <v>0.27307783888546777</v>
      </c>
      <c r="F2709" s="939"/>
      <c r="G2709" s="967"/>
      <c r="H2709" s="967"/>
      <c r="I2709" s="967"/>
      <c r="J2709" s="1717"/>
      <c r="K2709" s="1312"/>
      <c r="L2709" s="1310"/>
      <c r="M2709" s="1312"/>
      <c r="N2709" s="535"/>
    </row>
    <row r="2710" spans="1:16" ht="12" customHeight="1" x14ac:dyDescent="0.25">
      <c r="B2710" s="1242"/>
      <c r="C2710" s="3942"/>
      <c r="D2710" s="673"/>
      <c r="E2710" s="1070"/>
      <c r="F2710" s="1025"/>
      <c r="G2710" s="967"/>
      <c r="H2710" s="967"/>
      <c r="I2710" s="967"/>
      <c r="J2710" s="2175"/>
      <c r="K2710" s="2175"/>
      <c r="L2710" s="2416"/>
      <c r="M2710" s="2175"/>
      <c r="N2710" s="535"/>
    </row>
    <row r="2711" spans="1:16" s="544" customFormat="1" ht="19.5" customHeight="1" x14ac:dyDescent="0.25">
      <c r="A2711" s="352"/>
      <c r="B2711" s="1242"/>
      <c r="C2711" s="3942" t="s">
        <v>4114</v>
      </c>
      <c r="D2711" s="673">
        <f>SUM(D2712:D2721)</f>
        <v>8435000000</v>
      </c>
      <c r="E2711" s="1023">
        <f>D2711/D2528*100</f>
        <v>5.7585289274973013</v>
      </c>
      <c r="F2711" s="1025"/>
      <c r="G2711" s="966"/>
      <c r="H2711" s="966"/>
      <c r="I2711" s="966"/>
      <c r="J2711" s="1910"/>
      <c r="K2711" s="1910"/>
      <c r="L2711" s="2410"/>
      <c r="M2711" s="1650"/>
      <c r="N2711" s="535"/>
      <c r="P2711" s="500"/>
    </row>
    <row r="2712" spans="1:16" s="544" customFormat="1" ht="15.75" customHeight="1" x14ac:dyDescent="0.25">
      <c r="A2712" s="352"/>
      <c r="B2712" s="1242"/>
      <c r="C2712" s="3940" t="s">
        <v>3904</v>
      </c>
      <c r="D2712" s="666">
        <v>4400000000</v>
      </c>
      <c r="E2712" s="1070">
        <f>D2712/D2528*100</f>
        <v>3.0038562277401453</v>
      </c>
      <c r="F2712" s="939"/>
      <c r="G2712" s="967"/>
      <c r="H2712" s="967"/>
      <c r="I2712" s="967"/>
      <c r="J2712" s="1909"/>
      <c r="K2712" s="1312"/>
      <c r="L2712" s="1310"/>
      <c r="M2712" s="1312"/>
      <c r="N2712" s="535"/>
      <c r="P2712" s="500"/>
    </row>
    <row r="2713" spans="1:16" s="544" customFormat="1" ht="13.5" customHeight="1" x14ac:dyDescent="0.25">
      <c r="A2713" s="352"/>
      <c r="B2713" s="1242"/>
      <c r="C2713" s="3940" t="s">
        <v>3905</v>
      </c>
      <c r="D2713" s="666">
        <v>1500000000</v>
      </c>
      <c r="E2713" s="1070">
        <f>D2713/D2528*100</f>
        <v>1.024041895820504</v>
      </c>
      <c r="F2713" s="939"/>
      <c r="G2713" s="967"/>
      <c r="H2713" s="967"/>
      <c r="I2713" s="967"/>
      <c r="J2713" s="1909"/>
      <c r="K2713" s="1312"/>
      <c r="L2713" s="1310"/>
      <c r="M2713" s="1310"/>
      <c r="N2713" s="535"/>
      <c r="P2713" s="500"/>
    </row>
    <row r="2714" spans="1:16" s="544" customFormat="1" ht="15.75" customHeight="1" x14ac:dyDescent="0.25">
      <c r="A2714" s="352"/>
      <c r="B2714" s="1242"/>
      <c r="C2714" s="3940" t="s">
        <v>3906</v>
      </c>
      <c r="D2714" s="666">
        <v>385000000</v>
      </c>
      <c r="E2714" s="1070">
        <f>D2714/D2528*100</f>
        <v>0.26283741992726273</v>
      </c>
      <c r="F2714" s="939"/>
      <c r="G2714" s="967"/>
      <c r="H2714" s="967"/>
      <c r="I2714" s="967"/>
      <c r="J2714" s="1909"/>
      <c r="K2714" s="1312"/>
      <c r="L2714" s="1310"/>
      <c r="M2714" s="1312"/>
      <c r="N2714" s="535"/>
      <c r="P2714" s="500"/>
    </row>
    <row r="2715" spans="1:16" s="544" customFormat="1" ht="14.25" customHeight="1" x14ac:dyDescent="0.25">
      <c r="A2715" s="352"/>
      <c r="B2715" s="1242"/>
      <c r="C2715" s="3940" t="s">
        <v>3907</v>
      </c>
      <c r="D2715" s="666">
        <v>660000000</v>
      </c>
      <c r="E2715" s="1070">
        <f>D2715/D2528*100</f>
        <v>0.45057843416102183</v>
      </c>
      <c r="F2715" s="939"/>
      <c r="G2715" s="967"/>
      <c r="H2715" s="967"/>
      <c r="I2715" s="967"/>
      <c r="J2715" s="1909"/>
      <c r="K2715" s="1312"/>
      <c r="L2715" s="1310"/>
      <c r="M2715" s="1312"/>
      <c r="N2715" s="535"/>
      <c r="P2715" s="500"/>
    </row>
    <row r="2716" spans="1:16" s="544" customFormat="1" ht="15.75" customHeight="1" x14ac:dyDescent="0.25">
      <c r="A2716" s="352"/>
      <c r="B2716" s="1242"/>
      <c r="C2716" s="3940" t="s">
        <v>3908</v>
      </c>
      <c r="D2716" s="666">
        <v>220000000</v>
      </c>
      <c r="E2716" s="1070">
        <f>D2716/D2528*100</f>
        <v>0.15019281138700727</v>
      </c>
      <c r="F2716" s="939"/>
      <c r="G2716" s="967"/>
      <c r="H2716" s="967"/>
      <c r="I2716" s="967"/>
      <c r="J2716" s="1909"/>
      <c r="K2716" s="1312"/>
      <c r="L2716" s="1310"/>
      <c r="M2716" s="1312"/>
      <c r="N2716" s="535"/>
      <c r="P2716" s="500"/>
    </row>
    <row r="2717" spans="1:16" s="544" customFormat="1" ht="15.75" customHeight="1" x14ac:dyDescent="0.25">
      <c r="A2717" s="352"/>
      <c r="B2717" s="1242"/>
      <c r="C2717" s="3940" t="s">
        <v>3909</v>
      </c>
      <c r="D2717" s="666">
        <v>220000000</v>
      </c>
      <c r="E2717" s="1070">
        <f>D2717/D2528*100</f>
        <v>0.15019281138700727</v>
      </c>
      <c r="F2717" s="939"/>
      <c r="G2717" s="967"/>
      <c r="H2717" s="967"/>
      <c r="I2717" s="967"/>
      <c r="J2717" s="1909"/>
      <c r="K2717" s="1312"/>
      <c r="L2717" s="1310"/>
      <c r="M2717" s="1312"/>
      <c r="N2717" s="535"/>
      <c r="P2717" s="500"/>
    </row>
    <row r="2718" spans="1:16" s="544" customFormat="1" ht="15" customHeight="1" x14ac:dyDescent="0.25">
      <c r="A2718" s="352"/>
      <c r="B2718" s="1242"/>
      <c r="C2718" s="3940" t="s">
        <v>3910</v>
      </c>
      <c r="D2718" s="666">
        <v>200000000</v>
      </c>
      <c r="E2718" s="1070">
        <f>D2718/D2528*100</f>
        <v>0.13653891944273389</v>
      </c>
      <c r="F2718" s="939"/>
      <c r="G2718" s="967"/>
      <c r="H2718" s="967"/>
      <c r="I2718" s="967"/>
      <c r="J2718" s="1909"/>
      <c r="K2718" s="1312"/>
      <c r="L2718" s="1310"/>
      <c r="M2718" s="1312"/>
      <c r="N2718" s="535"/>
      <c r="P2718" s="500"/>
    </row>
    <row r="2719" spans="1:16" s="544" customFormat="1" ht="15" customHeight="1" x14ac:dyDescent="0.25">
      <c r="A2719" s="352"/>
      <c r="B2719" s="1242"/>
      <c r="C2719" s="3940" t="s">
        <v>3911</v>
      </c>
      <c r="D2719" s="666">
        <v>300000000</v>
      </c>
      <c r="E2719" s="1070">
        <f>D2719/D2528*100</f>
        <v>0.2048083791641008</v>
      </c>
      <c r="F2719" s="939"/>
      <c r="G2719" s="967"/>
      <c r="H2719" s="967"/>
      <c r="I2719" s="967"/>
      <c r="J2719" s="1909"/>
      <c r="K2719" s="1312"/>
      <c r="L2719" s="1310"/>
      <c r="M2719" s="1312"/>
      <c r="N2719" s="535"/>
      <c r="P2719" s="500"/>
    </row>
    <row r="2720" spans="1:16" s="544" customFormat="1" ht="16.5" customHeight="1" x14ac:dyDescent="0.25">
      <c r="A2720" s="352"/>
      <c r="B2720" s="1242"/>
      <c r="C2720" s="3940" t="s">
        <v>3912</v>
      </c>
      <c r="D2720" s="666">
        <v>150000000</v>
      </c>
      <c r="E2720" s="1070">
        <f>D2720/D2528*100</f>
        <v>0.1024041895820504</v>
      </c>
      <c r="F2720" s="939"/>
      <c r="G2720" s="967"/>
      <c r="H2720" s="967"/>
      <c r="I2720" s="967"/>
      <c r="J2720" s="1909"/>
      <c r="K2720" s="1312"/>
      <c r="L2720" s="1310"/>
      <c r="M2720" s="1312"/>
      <c r="N2720" s="535"/>
      <c r="P2720" s="500"/>
    </row>
    <row r="2721" spans="1:16" s="544" customFormat="1" ht="16.5" customHeight="1" x14ac:dyDescent="0.25">
      <c r="A2721" s="352"/>
      <c r="B2721" s="1242"/>
      <c r="C2721" s="3940" t="s">
        <v>3913</v>
      </c>
      <c r="D2721" s="666">
        <v>400000000</v>
      </c>
      <c r="E2721" s="1070">
        <f>D2721/D2528*100</f>
        <v>0.27307783888546777</v>
      </c>
      <c r="F2721" s="939"/>
      <c r="G2721" s="967"/>
      <c r="H2721" s="967"/>
      <c r="I2721" s="967"/>
      <c r="J2721" s="1909"/>
      <c r="K2721" s="1312"/>
      <c r="L2721" s="1310"/>
      <c r="M2721" s="1312"/>
      <c r="N2721" s="535"/>
      <c r="P2721" s="500"/>
    </row>
    <row r="2722" spans="1:16" ht="12" customHeight="1" x14ac:dyDescent="0.25">
      <c r="B2722" s="1242"/>
      <c r="C2722" s="4029"/>
      <c r="D2722" s="868"/>
      <c r="E2722" s="1038"/>
      <c r="F2722" s="868"/>
      <c r="G2722" s="1040"/>
      <c r="H2722" s="2255"/>
      <c r="I2722" s="791"/>
      <c r="J2722" s="2175"/>
      <c r="K2722" s="2175"/>
      <c r="L2722" s="1510"/>
      <c r="M2722" s="2175"/>
      <c r="N2722" s="535"/>
    </row>
    <row r="2723" spans="1:16" s="3504" customFormat="1" ht="21.75" customHeight="1" x14ac:dyDescent="0.25">
      <c r="A2723" s="352"/>
      <c r="B2723" s="1242"/>
      <c r="C2723" s="3942" t="s">
        <v>3914</v>
      </c>
      <c r="D2723" s="673">
        <f>SUM(D2724:D2728)</f>
        <v>3290000000</v>
      </c>
      <c r="E2723" s="1023">
        <f>D2723/D2530*100</f>
        <v>8.3722255869464544</v>
      </c>
      <c r="F2723" s="666"/>
      <c r="G2723" s="1024"/>
      <c r="H2723" s="880"/>
      <c r="I2723" s="894"/>
      <c r="J2723" s="1315"/>
      <c r="K2723" s="1315"/>
      <c r="L2723" s="2429"/>
      <c r="M2723" s="1315"/>
      <c r="N2723" s="535"/>
      <c r="P2723" s="500"/>
    </row>
    <row r="2724" spans="1:16" s="3504" customFormat="1" ht="15.75" customHeight="1" x14ac:dyDescent="0.25">
      <c r="A2724" s="352"/>
      <c r="B2724" s="1242"/>
      <c r="C2724" s="3940" t="s">
        <v>3915</v>
      </c>
      <c r="D2724" s="666">
        <v>500000000</v>
      </c>
      <c r="E2724" s="1070">
        <f>D2724/D2528*100</f>
        <v>0.34134729860683471</v>
      </c>
      <c r="F2724" s="666"/>
      <c r="G2724" s="1024"/>
      <c r="H2724" s="880"/>
      <c r="I2724" s="894"/>
      <c r="J2724" s="1315"/>
      <c r="K2724" s="1315"/>
      <c r="L2724" s="2429"/>
      <c r="M2724" s="1315"/>
      <c r="N2724" s="535"/>
      <c r="P2724" s="500"/>
    </row>
    <row r="2725" spans="1:16" s="3504" customFormat="1" ht="15.75" customHeight="1" x14ac:dyDescent="0.25">
      <c r="A2725" s="352"/>
      <c r="B2725" s="1242"/>
      <c r="C2725" s="3940" t="s">
        <v>3916</v>
      </c>
      <c r="D2725" s="666">
        <v>500000000</v>
      </c>
      <c r="E2725" s="1070">
        <f>D2725/D2528*100</f>
        <v>0.34134729860683471</v>
      </c>
      <c r="F2725" s="666"/>
      <c r="G2725" s="1024"/>
      <c r="H2725" s="880"/>
      <c r="I2725" s="894"/>
      <c r="J2725" s="1315"/>
      <c r="K2725" s="1315"/>
      <c r="L2725" s="2429"/>
      <c r="M2725" s="1315"/>
      <c r="N2725" s="535"/>
      <c r="P2725" s="500"/>
    </row>
    <row r="2726" spans="1:16" s="3504" customFormat="1" ht="16.5" customHeight="1" x14ac:dyDescent="0.25">
      <c r="A2726" s="352"/>
      <c r="B2726" s="1242"/>
      <c r="C2726" s="3940" t="s">
        <v>3917</v>
      </c>
      <c r="D2726" s="666">
        <v>2000000000</v>
      </c>
      <c r="E2726" s="1070">
        <f>D2726/D2528*100</f>
        <v>1.3653891944273389</v>
      </c>
      <c r="F2726" s="666"/>
      <c r="G2726" s="1024"/>
      <c r="H2726" s="880"/>
      <c r="I2726" s="894"/>
      <c r="J2726" s="1315"/>
      <c r="K2726" s="1315"/>
      <c r="L2726" s="2429"/>
      <c r="M2726" s="1315"/>
      <c r="N2726" s="535"/>
      <c r="P2726" s="500"/>
    </row>
    <row r="2727" spans="1:16" s="3504" customFormat="1" ht="16.5" customHeight="1" x14ac:dyDescent="0.25">
      <c r="A2727" s="352"/>
      <c r="B2727" s="1242"/>
      <c r="C2727" s="3940" t="s">
        <v>3918</v>
      </c>
      <c r="D2727" s="666">
        <v>150000000</v>
      </c>
      <c r="E2727" s="1070">
        <f>D2727/D2528*100</f>
        <v>0.1024041895820504</v>
      </c>
      <c r="F2727" s="666"/>
      <c r="G2727" s="1024"/>
      <c r="H2727" s="880"/>
      <c r="I2727" s="894"/>
      <c r="J2727" s="1315"/>
      <c r="K2727" s="1315"/>
      <c r="L2727" s="2429"/>
      <c r="M2727" s="1315"/>
      <c r="N2727" s="535"/>
      <c r="P2727" s="500"/>
    </row>
    <row r="2728" spans="1:16" s="3504" customFormat="1" ht="14.25" customHeight="1" x14ac:dyDescent="0.25">
      <c r="A2728" s="352"/>
      <c r="B2728" s="1242"/>
      <c r="C2728" s="3940" t="s">
        <v>3919</v>
      </c>
      <c r="D2728" s="666">
        <v>140000000</v>
      </c>
      <c r="E2728" s="1070">
        <f>D2728/D2528*100</f>
        <v>9.5577243609913723E-2</v>
      </c>
      <c r="F2728" s="666"/>
      <c r="G2728" s="1024"/>
      <c r="H2728" s="880"/>
      <c r="I2728" s="894"/>
      <c r="J2728" s="1315"/>
      <c r="K2728" s="1315"/>
      <c r="L2728" s="2429"/>
      <c r="M2728" s="1315"/>
      <c r="N2728" s="535"/>
      <c r="P2728" s="500"/>
    </row>
    <row r="2729" spans="1:16" s="3504" customFormat="1" ht="12" customHeight="1" x14ac:dyDescent="0.25">
      <c r="A2729" s="352"/>
      <c r="B2729" s="1242"/>
      <c r="C2729" s="3942"/>
      <c r="D2729" s="666"/>
      <c r="E2729" s="939"/>
      <c r="F2729" s="666"/>
      <c r="G2729" s="1024"/>
      <c r="H2729" s="880"/>
      <c r="I2729" s="894"/>
      <c r="J2729" s="1315"/>
      <c r="K2729" s="1315"/>
      <c r="L2729" s="2429"/>
      <c r="M2729" s="1315"/>
      <c r="N2729" s="535"/>
      <c r="P2729" s="500"/>
    </row>
    <row r="2730" spans="1:16" s="3504" customFormat="1" ht="16.5" customHeight="1" x14ac:dyDescent="0.25">
      <c r="A2730" s="352"/>
      <c r="B2730" s="1242"/>
      <c r="C2730" s="3942" t="s">
        <v>3920</v>
      </c>
      <c r="D2730" s="673">
        <f>SUM(D2731:D2732)</f>
        <v>900000000</v>
      </c>
      <c r="E2730" s="1023">
        <f>D2730/D2528*100</f>
        <v>0.61442513749230243</v>
      </c>
      <c r="F2730" s="666"/>
      <c r="G2730" s="1024"/>
      <c r="H2730" s="880"/>
      <c r="I2730" s="894"/>
      <c r="J2730" s="1315"/>
      <c r="K2730" s="1315"/>
      <c r="L2730" s="2429"/>
      <c r="M2730" s="1315"/>
      <c r="N2730" s="535"/>
      <c r="P2730" s="500"/>
    </row>
    <row r="2731" spans="1:16" s="3504" customFormat="1" ht="27.75" customHeight="1" x14ac:dyDescent="0.25">
      <c r="A2731" s="352"/>
      <c r="B2731" s="1242"/>
      <c r="C2731" s="3940" t="s">
        <v>3921</v>
      </c>
      <c r="D2731" s="666">
        <v>500000000</v>
      </c>
      <c r="E2731" s="1070">
        <f>D2731/D2528*100</f>
        <v>0.34134729860683471</v>
      </c>
      <c r="F2731" s="666"/>
      <c r="G2731" s="1024"/>
      <c r="H2731" s="880"/>
      <c r="I2731" s="894"/>
      <c r="J2731" s="1315"/>
      <c r="K2731" s="1315"/>
      <c r="L2731" s="2429"/>
      <c r="M2731" s="1315"/>
      <c r="N2731" s="535"/>
      <c r="P2731" s="500"/>
    </row>
    <row r="2732" spans="1:16" s="3504" customFormat="1" ht="19.5" customHeight="1" x14ac:dyDescent="0.25">
      <c r="A2732" s="352"/>
      <c r="B2732" s="1242"/>
      <c r="C2732" s="3940" t="s">
        <v>3922</v>
      </c>
      <c r="D2732" s="666">
        <v>400000000</v>
      </c>
      <c r="E2732" s="1070">
        <f>D2732/D2528*100</f>
        <v>0.27307783888546777</v>
      </c>
      <c r="F2732" s="666"/>
      <c r="G2732" s="1024"/>
      <c r="H2732" s="880"/>
      <c r="I2732" s="894"/>
      <c r="J2732" s="1315"/>
      <c r="K2732" s="1315"/>
      <c r="L2732" s="2429"/>
      <c r="M2732" s="1315"/>
      <c r="N2732" s="535"/>
      <c r="P2732" s="500"/>
    </row>
    <row r="2733" spans="1:16" s="3504" customFormat="1" ht="12" customHeight="1" x14ac:dyDescent="0.25">
      <c r="A2733" s="352"/>
      <c r="B2733" s="1242"/>
      <c r="C2733" s="3942"/>
      <c r="D2733" s="666"/>
      <c r="E2733" s="939"/>
      <c r="F2733" s="666"/>
      <c r="G2733" s="1024"/>
      <c r="H2733" s="880"/>
      <c r="I2733" s="894"/>
      <c r="J2733" s="1315"/>
      <c r="K2733" s="1315"/>
      <c r="L2733" s="2429"/>
      <c r="M2733" s="1315"/>
      <c r="N2733" s="535"/>
      <c r="P2733" s="500"/>
    </row>
    <row r="2734" spans="1:16" s="3504" customFormat="1" ht="29.25" customHeight="1" x14ac:dyDescent="0.25">
      <c r="A2734" s="352"/>
      <c r="B2734" s="1242"/>
      <c r="C2734" s="3942" t="s">
        <v>3923</v>
      </c>
      <c r="D2734" s="673">
        <f>SUM(D2735:D2740)</f>
        <v>7980000000</v>
      </c>
      <c r="E2734" s="1023">
        <f>D2734/D2528*100</f>
        <v>5.4479028857650817</v>
      </c>
      <c r="F2734" s="666"/>
      <c r="G2734" s="1024"/>
      <c r="H2734" s="880"/>
      <c r="I2734" s="894"/>
      <c r="J2734" s="1315"/>
      <c r="K2734" s="1315"/>
      <c r="L2734" s="2429"/>
      <c r="M2734" s="1315"/>
      <c r="N2734" s="535"/>
      <c r="P2734" s="500"/>
    </row>
    <row r="2735" spans="1:16" s="3504" customFormat="1" ht="14.25" customHeight="1" x14ac:dyDescent="0.25">
      <c r="A2735" s="352"/>
      <c r="B2735" s="1242"/>
      <c r="C2735" s="3940" t="s">
        <v>3924</v>
      </c>
      <c r="D2735" s="666">
        <v>500000000</v>
      </c>
      <c r="E2735" s="1070">
        <f>D2735/D2528*100</f>
        <v>0.34134729860683471</v>
      </c>
      <c r="F2735" s="666"/>
      <c r="G2735" s="1024"/>
      <c r="H2735" s="880"/>
      <c r="I2735" s="894"/>
      <c r="J2735" s="1315"/>
      <c r="K2735" s="1315"/>
      <c r="L2735" s="2429"/>
      <c r="M2735" s="1315"/>
      <c r="N2735" s="535"/>
      <c r="P2735" s="500"/>
    </row>
    <row r="2736" spans="1:16" s="3504" customFormat="1" ht="16.5" customHeight="1" x14ac:dyDescent="0.25">
      <c r="A2736" s="352"/>
      <c r="B2736" s="1242"/>
      <c r="C2736" s="3940" t="s">
        <v>3925</v>
      </c>
      <c r="D2736" s="666">
        <v>3300000000</v>
      </c>
      <c r="E2736" s="1070">
        <f>D2736/D2528*100</f>
        <v>2.2528921708051088</v>
      </c>
      <c r="F2736" s="666"/>
      <c r="G2736" s="1024"/>
      <c r="H2736" s="880"/>
      <c r="I2736" s="894"/>
      <c r="J2736" s="1315"/>
      <c r="K2736" s="1315"/>
      <c r="L2736" s="2429"/>
      <c r="M2736" s="1315"/>
      <c r="N2736" s="535"/>
      <c r="P2736" s="500"/>
    </row>
    <row r="2737" spans="1:16" s="3504" customFormat="1" ht="16.5" customHeight="1" x14ac:dyDescent="0.25">
      <c r="A2737" s="352"/>
      <c r="B2737" s="1242"/>
      <c r="C2737" s="3940" t="s">
        <v>3926</v>
      </c>
      <c r="D2737" s="666">
        <v>3300000000</v>
      </c>
      <c r="E2737" s="1070">
        <f>D2737/D2528*100</f>
        <v>2.2528921708051088</v>
      </c>
      <c r="F2737" s="666"/>
      <c r="G2737" s="1024"/>
      <c r="H2737" s="880"/>
      <c r="I2737" s="894"/>
      <c r="J2737" s="1315"/>
      <c r="K2737" s="1315"/>
      <c r="L2737" s="2429"/>
      <c r="M2737" s="1315"/>
      <c r="N2737" s="535"/>
      <c r="P2737" s="500"/>
    </row>
    <row r="2738" spans="1:16" s="3504" customFormat="1" ht="15.75" customHeight="1" x14ac:dyDescent="0.25">
      <c r="A2738" s="352"/>
      <c r="B2738" s="1242"/>
      <c r="C2738" s="3940" t="s">
        <v>3927</v>
      </c>
      <c r="D2738" s="666">
        <v>400000000</v>
      </c>
      <c r="E2738" s="1070">
        <f>D2738/D2528*100</f>
        <v>0.27307783888546777</v>
      </c>
      <c r="F2738" s="666"/>
      <c r="G2738" s="1024"/>
      <c r="H2738" s="880"/>
      <c r="I2738" s="894"/>
      <c r="J2738" s="1315"/>
      <c r="K2738" s="1315"/>
      <c r="L2738" s="2429"/>
      <c r="M2738" s="1315"/>
      <c r="N2738" s="535"/>
      <c r="P2738" s="500"/>
    </row>
    <row r="2739" spans="1:16" s="3504" customFormat="1" ht="14.25" customHeight="1" x14ac:dyDescent="0.25">
      <c r="A2739" s="352"/>
      <c r="B2739" s="1242"/>
      <c r="C2739" s="3940" t="s">
        <v>3928</v>
      </c>
      <c r="D2739" s="666">
        <v>300000000</v>
      </c>
      <c r="E2739" s="1070">
        <f>D2739/D2528*100</f>
        <v>0.2048083791641008</v>
      </c>
      <c r="F2739" s="666"/>
      <c r="G2739" s="1024"/>
      <c r="H2739" s="880"/>
      <c r="I2739" s="894"/>
      <c r="J2739" s="1315"/>
      <c r="K2739" s="1315"/>
      <c r="L2739" s="2429"/>
      <c r="M2739" s="1315"/>
      <c r="N2739" s="535"/>
      <c r="P2739" s="500"/>
    </row>
    <row r="2740" spans="1:16" s="3504" customFormat="1" ht="16.5" customHeight="1" x14ac:dyDescent="0.25">
      <c r="A2740" s="352"/>
      <c r="B2740" s="1242"/>
      <c r="C2740" s="3940" t="s">
        <v>3929</v>
      </c>
      <c r="D2740" s="666">
        <v>180000000</v>
      </c>
      <c r="E2740" s="1070">
        <f>D2740/D2528*100</f>
        <v>0.12288502749846049</v>
      </c>
      <c r="F2740" s="666"/>
      <c r="G2740" s="1024"/>
      <c r="H2740" s="880"/>
      <c r="I2740" s="894"/>
      <c r="J2740" s="1315"/>
      <c r="K2740" s="1315"/>
      <c r="L2740" s="2429"/>
      <c r="M2740" s="1315"/>
      <c r="N2740" s="535"/>
      <c r="P2740" s="500"/>
    </row>
    <row r="2741" spans="1:16" s="3504" customFormat="1" ht="12" customHeight="1" x14ac:dyDescent="0.25">
      <c r="A2741" s="352"/>
      <c r="B2741" s="1242"/>
      <c r="C2741" s="3942"/>
      <c r="D2741" s="666"/>
      <c r="E2741" s="939"/>
      <c r="F2741" s="666"/>
      <c r="G2741" s="1024"/>
      <c r="H2741" s="880"/>
      <c r="I2741" s="894"/>
      <c r="J2741" s="1315"/>
      <c r="K2741" s="1315"/>
      <c r="L2741" s="2429"/>
      <c r="M2741" s="1315"/>
      <c r="N2741" s="535"/>
      <c r="P2741" s="500"/>
    </row>
    <row r="2742" spans="1:16" s="3504" customFormat="1" ht="16.5" customHeight="1" x14ac:dyDescent="0.25">
      <c r="A2742" s="352"/>
      <c r="B2742" s="1242"/>
      <c r="C2742" s="3942" t="s">
        <v>3930</v>
      </c>
      <c r="D2742" s="673">
        <f>SUM(D2743:D2745)</f>
        <v>500000000</v>
      </c>
      <c r="E2742" s="1023">
        <f>D2742/D2528*100</f>
        <v>0.34134729860683471</v>
      </c>
      <c r="F2742" s="666"/>
      <c r="G2742" s="1024"/>
      <c r="H2742" s="880"/>
      <c r="I2742" s="894"/>
      <c r="J2742" s="1315"/>
      <c r="K2742" s="1315"/>
      <c r="L2742" s="2429"/>
      <c r="M2742" s="1315"/>
      <c r="N2742" s="535"/>
      <c r="P2742" s="500"/>
    </row>
    <row r="2743" spans="1:16" s="3504" customFormat="1" ht="16.5" customHeight="1" x14ac:dyDescent="0.25">
      <c r="A2743" s="352"/>
      <c r="B2743" s="1242"/>
      <c r="C2743" s="3940" t="s">
        <v>3931</v>
      </c>
      <c r="D2743" s="666">
        <v>150000000</v>
      </c>
      <c r="E2743" s="1070">
        <f>D2743/D2528*100</f>
        <v>0.1024041895820504</v>
      </c>
      <c r="F2743" s="666"/>
      <c r="G2743" s="1024"/>
      <c r="H2743" s="880"/>
      <c r="I2743" s="894"/>
      <c r="J2743" s="1315"/>
      <c r="K2743" s="1315"/>
      <c r="L2743" s="2429"/>
      <c r="M2743" s="1315"/>
      <c r="N2743" s="535"/>
      <c r="P2743" s="500"/>
    </row>
    <row r="2744" spans="1:16" s="3504" customFormat="1" ht="15.75" customHeight="1" x14ac:dyDescent="0.25">
      <c r="A2744" s="352"/>
      <c r="B2744" s="1242"/>
      <c r="C2744" s="3940" t="s">
        <v>3932</v>
      </c>
      <c r="D2744" s="666">
        <v>100000000</v>
      </c>
      <c r="E2744" s="1070">
        <f>D2744/D2528*100</f>
        <v>6.8269459721366943E-2</v>
      </c>
      <c r="F2744" s="666"/>
      <c r="G2744" s="1024"/>
      <c r="H2744" s="880"/>
      <c r="I2744" s="894"/>
      <c r="J2744" s="1315"/>
      <c r="K2744" s="1315"/>
      <c r="L2744" s="2429"/>
      <c r="M2744" s="1315"/>
      <c r="N2744" s="535"/>
      <c r="P2744" s="500"/>
    </row>
    <row r="2745" spans="1:16" s="3504" customFormat="1" ht="15" customHeight="1" x14ac:dyDescent="0.25">
      <c r="A2745" s="352"/>
      <c r="B2745" s="1242"/>
      <c r="C2745" s="3940" t="s">
        <v>3933</v>
      </c>
      <c r="D2745" s="666">
        <v>250000000</v>
      </c>
      <c r="E2745" s="1070">
        <f>D2745/D2528*100</f>
        <v>0.17067364930341736</v>
      </c>
      <c r="F2745" s="666"/>
      <c r="G2745" s="1024"/>
      <c r="H2745" s="880"/>
      <c r="I2745" s="894"/>
      <c r="J2745" s="1315"/>
      <c r="K2745" s="1315"/>
      <c r="L2745" s="2429"/>
      <c r="M2745" s="1315"/>
      <c r="N2745" s="535"/>
      <c r="P2745" s="500"/>
    </row>
    <row r="2746" spans="1:16" s="3504" customFormat="1" ht="12" customHeight="1" x14ac:dyDescent="0.25">
      <c r="A2746" s="352"/>
      <c r="B2746" s="1242"/>
      <c r="C2746" s="3940"/>
      <c r="D2746" s="666"/>
      <c r="E2746" s="939"/>
      <c r="F2746" s="666"/>
      <c r="G2746" s="1024"/>
      <c r="H2746" s="880"/>
      <c r="I2746" s="894"/>
      <c r="J2746" s="1315"/>
      <c r="K2746" s="1315"/>
      <c r="L2746" s="2429"/>
      <c r="M2746" s="1315"/>
      <c r="N2746" s="535"/>
      <c r="P2746" s="500"/>
    </row>
    <row r="2747" spans="1:16" s="3504" customFormat="1" ht="17.25" customHeight="1" x14ac:dyDescent="0.25">
      <c r="A2747" s="352"/>
      <c r="B2747" s="1242"/>
      <c r="C2747" s="3942" t="s">
        <v>3934</v>
      </c>
      <c r="D2747" s="673">
        <f>SUM(D2748:D2761)</f>
        <v>9959400000</v>
      </c>
      <c r="E2747" s="1023">
        <f>D2747/D2528*100</f>
        <v>6.7992285714898193</v>
      </c>
      <c r="F2747" s="666"/>
      <c r="G2747" s="1024"/>
      <c r="H2747" s="880"/>
      <c r="I2747" s="894"/>
      <c r="J2747" s="1315"/>
      <c r="K2747" s="1315"/>
      <c r="L2747" s="2429"/>
      <c r="M2747" s="1315"/>
      <c r="N2747" s="535"/>
      <c r="P2747" s="500"/>
    </row>
    <row r="2748" spans="1:16" s="3504" customFormat="1" ht="16.5" customHeight="1" x14ac:dyDescent="0.25">
      <c r="A2748" s="352"/>
      <c r="B2748" s="1242"/>
      <c r="C2748" s="3940" t="s">
        <v>3935</v>
      </c>
      <c r="D2748" s="666">
        <v>220000000</v>
      </c>
      <c r="E2748" s="1070">
        <f>D2748/D2528*100</f>
        <v>0.15019281138700727</v>
      </c>
      <c r="F2748" s="666"/>
      <c r="G2748" s="1024"/>
      <c r="H2748" s="880"/>
      <c r="I2748" s="894"/>
      <c r="J2748" s="1315"/>
      <c r="K2748" s="1315"/>
      <c r="L2748" s="2429"/>
      <c r="M2748" s="1315"/>
      <c r="N2748" s="535"/>
      <c r="P2748" s="500"/>
    </row>
    <row r="2749" spans="1:16" s="3504" customFormat="1" ht="15.75" customHeight="1" x14ac:dyDescent="0.25">
      <c r="A2749" s="352"/>
      <c r="B2749" s="1242"/>
      <c r="C2749" s="3940" t="s">
        <v>3937</v>
      </c>
      <c r="D2749" s="666">
        <v>275000000</v>
      </c>
      <c r="E2749" s="1070">
        <f>D2749/D2528*100</f>
        <v>0.18774101423375908</v>
      </c>
      <c r="F2749" s="666"/>
      <c r="G2749" s="1024"/>
      <c r="H2749" s="880"/>
      <c r="I2749" s="894"/>
      <c r="J2749" s="1315"/>
      <c r="K2749" s="1315"/>
      <c r="L2749" s="2429"/>
      <c r="M2749" s="1315"/>
      <c r="N2749" s="535"/>
      <c r="P2749" s="500"/>
    </row>
    <row r="2750" spans="1:16" s="3504" customFormat="1" ht="16.5" customHeight="1" x14ac:dyDescent="0.25">
      <c r="A2750" s="352"/>
      <c r="B2750" s="1242"/>
      <c r="C2750" s="3940" t="s">
        <v>3936</v>
      </c>
      <c r="D2750" s="666">
        <v>275000000</v>
      </c>
      <c r="E2750" s="1070">
        <f>D2750/D2528*100</f>
        <v>0.18774101423375908</v>
      </c>
      <c r="F2750" s="666"/>
      <c r="G2750" s="1024"/>
      <c r="H2750" s="880"/>
      <c r="I2750" s="894"/>
      <c r="J2750" s="1315"/>
      <c r="K2750" s="1315"/>
      <c r="L2750" s="2429"/>
      <c r="M2750" s="1315"/>
      <c r="N2750" s="535"/>
      <c r="P2750" s="500"/>
    </row>
    <row r="2751" spans="1:16" s="3504" customFormat="1" ht="16.5" customHeight="1" x14ac:dyDescent="0.25">
      <c r="A2751" s="352"/>
      <c r="B2751" s="1242"/>
      <c r="C2751" s="3940" t="s">
        <v>3938</v>
      </c>
      <c r="D2751" s="666">
        <v>275000000</v>
      </c>
      <c r="E2751" s="1070">
        <f>D2751/D2528*100</f>
        <v>0.18774101423375908</v>
      </c>
      <c r="F2751" s="666"/>
      <c r="G2751" s="1024"/>
      <c r="H2751" s="880"/>
      <c r="I2751" s="894"/>
      <c r="J2751" s="1315"/>
      <c r="K2751" s="1315"/>
      <c r="L2751" s="2429"/>
      <c r="M2751" s="1315"/>
      <c r="N2751" s="535"/>
      <c r="P2751" s="500"/>
    </row>
    <row r="2752" spans="1:16" s="3504" customFormat="1" ht="15.75" customHeight="1" x14ac:dyDescent="0.25">
      <c r="A2752" s="352"/>
      <c r="B2752" s="1242"/>
      <c r="C2752" s="3940" t="s">
        <v>3939</v>
      </c>
      <c r="D2752" s="666">
        <v>100000000</v>
      </c>
      <c r="E2752" s="1070">
        <f>D2752/D2528*100</f>
        <v>6.8269459721366943E-2</v>
      </c>
      <c r="F2752" s="666"/>
      <c r="G2752" s="1024"/>
      <c r="H2752" s="880"/>
      <c r="I2752" s="894"/>
      <c r="J2752" s="1315"/>
      <c r="K2752" s="1315"/>
      <c r="L2752" s="2429"/>
      <c r="M2752" s="1315"/>
      <c r="N2752" s="535"/>
      <c r="P2752" s="500"/>
    </row>
    <row r="2753" spans="1:16" s="3504" customFormat="1" ht="14.25" customHeight="1" x14ac:dyDescent="0.25">
      <c r="A2753" s="352"/>
      <c r="B2753" s="1242"/>
      <c r="C2753" s="3940" t="s">
        <v>3940</v>
      </c>
      <c r="D2753" s="666">
        <v>275000000</v>
      </c>
      <c r="E2753" s="1070">
        <f>D2753/D2528*100</f>
        <v>0.18774101423375908</v>
      </c>
      <c r="F2753" s="666"/>
      <c r="G2753" s="1024"/>
      <c r="H2753" s="880"/>
      <c r="I2753" s="894"/>
      <c r="J2753" s="1315"/>
      <c r="K2753" s="1315"/>
      <c r="L2753" s="2429"/>
      <c r="M2753" s="1315"/>
      <c r="N2753" s="535"/>
      <c r="P2753" s="500"/>
    </row>
    <row r="2754" spans="1:16" s="3504" customFormat="1" ht="15" customHeight="1" x14ac:dyDescent="0.25">
      <c r="A2754" s="352"/>
      <c r="B2754" s="1242"/>
      <c r="C2754" s="3940" t="s">
        <v>3941</v>
      </c>
      <c r="D2754" s="666">
        <v>550000000</v>
      </c>
      <c r="E2754" s="1070">
        <f>D2754/D2528*100</f>
        <v>0.37548202846751816</v>
      </c>
      <c r="F2754" s="666"/>
      <c r="G2754" s="1024"/>
      <c r="H2754" s="880"/>
      <c r="I2754" s="894"/>
      <c r="J2754" s="1315"/>
      <c r="K2754" s="1315"/>
      <c r="L2754" s="2429"/>
      <c r="M2754" s="1315"/>
      <c r="N2754" s="535"/>
      <c r="P2754" s="500"/>
    </row>
    <row r="2755" spans="1:16" s="3504" customFormat="1" ht="14.25" customHeight="1" x14ac:dyDescent="0.25">
      <c r="A2755" s="352"/>
      <c r="B2755" s="1242"/>
      <c r="C2755" s="3940" t="s">
        <v>3942</v>
      </c>
      <c r="D2755" s="666">
        <v>330000000</v>
      </c>
      <c r="E2755" s="1070">
        <f>D2755/D2528*100</f>
        <v>0.22528921708051092</v>
      </c>
      <c r="F2755" s="666"/>
      <c r="G2755" s="1024"/>
      <c r="H2755" s="880"/>
      <c r="I2755" s="894"/>
      <c r="J2755" s="1315"/>
      <c r="K2755" s="1315"/>
      <c r="L2755" s="2429"/>
      <c r="M2755" s="1315"/>
      <c r="N2755" s="535"/>
      <c r="P2755" s="500"/>
    </row>
    <row r="2756" spans="1:16" s="3504" customFormat="1" ht="15.75" customHeight="1" x14ac:dyDescent="0.25">
      <c r="A2756" s="352"/>
      <c r="B2756" s="1242"/>
      <c r="C2756" s="3940" t="s">
        <v>3943</v>
      </c>
      <c r="D2756" s="666">
        <v>495000000</v>
      </c>
      <c r="E2756" s="1070">
        <f>D2756/D2528*100</f>
        <v>0.33793382562076635</v>
      </c>
      <c r="F2756" s="666"/>
      <c r="G2756" s="1024"/>
      <c r="H2756" s="880"/>
      <c r="I2756" s="894"/>
      <c r="J2756" s="1315"/>
      <c r="K2756" s="1315"/>
      <c r="L2756" s="2429"/>
      <c r="M2756" s="1315"/>
      <c r="N2756" s="535"/>
      <c r="P2756" s="500"/>
    </row>
    <row r="2757" spans="1:16" s="3504" customFormat="1" ht="15.75" customHeight="1" x14ac:dyDescent="0.25">
      <c r="A2757" s="352"/>
      <c r="B2757" s="1242"/>
      <c r="C2757" s="3940" t="s">
        <v>3944</v>
      </c>
      <c r="D2757" s="666">
        <v>4914400000</v>
      </c>
      <c r="E2757" s="1070">
        <f>D2757/D2528*100</f>
        <v>3.3550343285468567</v>
      </c>
      <c r="F2757" s="666"/>
      <c r="G2757" s="1024"/>
      <c r="H2757" s="880"/>
      <c r="I2757" s="894"/>
      <c r="J2757" s="1315"/>
      <c r="K2757" s="1315"/>
      <c r="L2757" s="2429"/>
      <c r="M2757" s="1315"/>
      <c r="N2757" s="535"/>
      <c r="P2757" s="500"/>
    </row>
    <row r="2758" spans="1:16" s="3504" customFormat="1" ht="15.75" customHeight="1" x14ac:dyDescent="0.25">
      <c r="A2758" s="352"/>
      <c r="B2758" s="1242"/>
      <c r="C2758" s="3940" t="s">
        <v>3945</v>
      </c>
      <c r="D2758" s="666">
        <v>1000000000</v>
      </c>
      <c r="E2758" s="1070">
        <f>D2758/D2528*100</f>
        <v>0.68269459721366943</v>
      </c>
      <c r="F2758" s="666"/>
      <c r="G2758" s="1024"/>
      <c r="H2758" s="880"/>
      <c r="I2758" s="894"/>
      <c r="J2758" s="1315"/>
      <c r="K2758" s="1315"/>
      <c r="L2758" s="2429"/>
      <c r="M2758" s="1315"/>
      <c r="N2758" s="535"/>
      <c r="P2758" s="500"/>
    </row>
    <row r="2759" spans="1:16" s="3504" customFormat="1" ht="27.75" customHeight="1" x14ac:dyDescent="0.25">
      <c r="A2759" s="352"/>
      <c r="B2759" s="1242"/>
      <c r="C2759" s="3940" t="s">
        <v>3946</v>
      </c>
      <c r="D2759" s="666">
        <v>300000000</v>
      </c>
      <c r="E2759" s="1070">
        <f>D2759/D2528*100</f>
        <v>0.2048083791641008</v>
      </c>
      <c r="F2759" s="666"/>
      <c r="G2759" s="1024"/>
      <c r="H2759" s="880"/>
      <c r="I2759" s="894"/>
      <c r="J2759" s="1315"/>
      <c r="K2759" s="1315"/>
      <c r="L2759" s="2429"/>
      <c r="M2759" s="1315"/>
      <c r="N2759" s="535"/>
      <c r="P2759" s="500"/>
    </row>
    <row r="2760" spans="1:16" s="3504" customFormat="1" ht="18" customHeight="1" x14ac:dyDescent="0.25">
      <c r="A2760" s="352"/>
      <c r="B2760" s="1242"/>
      <c r="C2760" s="3940" t="s">
        <v>3947</v>
      </c>
      <c r="D2760" s="666">
        <v>450000000</v>
      </c>
      <c r="E2760" s="1070">
        <f>D2760/D2528*100</f>
        <v>0.30721256874615122</v>
      </c>
      <c r="F2760" s="666"/>
      <c r="G2760" s="1024"/>
      <c r="H2760" s="880"/>
      <c r="I2760" s="894"/>
      <c r="J2760" s="1315"/>
      <c r="K2760" s="1315"/>
      <c r="L2760" s="2429"/>
      <c r="M2760" s="1315"/>
      <c r="N2760" s="535"/>
      <c r="P2760" s="500"/>
    </row>
    <row r="2761" spans="1:16" s="3504" customFormat="1" ht="17.25" customHeight="1" x14ac:dyDescent="0.25">
      <c r="A2761" s="352"/>
      <c r="B2761" s="1242"/>
      <c r="C2761" s="3940" t="s">
        <v>3948</v>
      </c>
      <c r="D2761" s="666">
        <v>500000000</v>
      </c>
      <c r="E2761" s="1070">
        <f>D2761/D2528*100</f>
        <v>0.34134729860683471</v>
      </c>
      <c r="F2761" s="666"/>
      <c r="G2761" s="1024"/>
      <c r="H2761" s="880"/>
      <c r="I2761" s="894"/>
      <c r="J2761" s="1315"/>
      <c r="K2761" s="1315"/>
      <c r="L2761" s="2429"/>
      <c r="M2761" s="1315"/>
      <c r="N2761" s="535"/>
      <c r="P2761" s="500"/>
    </row>
    <row r="2762" spans="1:16" s="3504" customFormat="1" ht="12" customHeight="1" x14ac:dyDescent="0.25">
      <c r="A2762" s="352"/>
      <c r="B2762" s="1242"/>
      <c r="C2762" s="4033"/>
      <c r="D2762" s="671"/>
      <c r="E2762" s="1038"/>
      <c r="F2762" s="671"/>
      <c r="G2762" s="3519"/>
      <c r="H2762" s="2255"/>
      <c r="I2762" s="791"/>
      <c r="J2762" s="2182"/>
      <c r="K2762" s="2182"/>
      <c r="L2762" s="2424"/>
      <c r="M2762" s="2182"/>
      <c r="N2762" s="535"/>
      <c r="P2762" s="500"/>
    </row>
    <row r="2763" spans="1:16" ht="16.5" customHeight="1" x14ac:dyDescent="0.25">
      <c r="B2763" s="1305"/>
      <c r="C2763" s="4027" t="s">
        <v>360</v>
      </c>
      <c r="D2763" s="669">
        <f>SUM(D2764)</f>
        <v>6950000000</v>
      </c>
      <c r="E2763" s="1039">
        <f>D2763/D2528*100</f>
        <v>4.7447274506350023</v>
      </c>
      <c r="F2763" s="1039"/>
      <c r="G2763" s="1039"/>
      <c r="H2763" s="1306"/>
      <c r="I2763" s="1645"/>
      <c r="J2763" s="1913"/>
      <c r="K2763" s="1913"/>
      <c r="L2763" s="2417"/>
      <c r="M2763" s="1307"/>
      <c r="N2763" s="535"/>
    </row>
    <row r="2764" spans="1:16" ht="29.25" customHeight="1" x14ac:dyDescent="0.25">
      <c r="B2764" s="2907"/>
      <c r="C2764" s="3942" t="s">
        <v>3949</v>
      </c>
      <c r="D2764" s="673">
        <f>SUM(D2765:D2786)</f>
        <v>6950000000</v>
      </c>
      <c r="E2764" s="1025">
        <f>D2764/D2528*100</f>
        <v>4.7447274506350023</v>
      </c>
      <c r="F2764" s="1025"/>
      <c r="G2764" s="1025"/>
      <c r="H2764" s="1415"/>
      <c r="I2764" s="673"/>
      <c r="J2764" s="1908"/>
      <c r="K2764" s="1908"/>
      <c r="L2764" s="2410"/>
      <c r="M2764" s="1650"/>
      <c r="N2764" s="535"/>
    </row>
    <row r="2765" spans="1:16" ht="19.5" customHeight="1" x14ac:dyDescent="0.25">
      <c r="B2765" s="2907"/>
      <c r="C2765" s="3940" t="s">
        <v>3950</v>
      </c>
      <c r="D2765" s="666">
        <v>100000000</v>
      </c>
      <c r="E2765" s="1070">
        <f>D2765/D2528*100</f>
        <v>6.8269459721366943E-2</v>
      </c>
      <c r="F2765" s="939"/>
      <c r="G2765" s="1330"/>
      <c r="H2765" s="880"/>
      <c r="I2765" s="1111"/>
      <c r="J2765" s="1909"/>
      <c r="K2765" s="1312"/>
      <c r="L2765" s="1310"/>
      <c r="M2765" s="1312"/>
      <c r="N2765" s="535"/>
    </row>
    <row r="2766" spans="1:16" ht="17.25" customHeight="1" x14ac:dyDescent="0.25">
      <c r="B2766" s="2907"/>
      <c r="C2766" s="3940" t="s">
        <v>3951</v>
      </c>
      <c r="D2766" s="666">
        <v>350000000</v>
      </c>
      <c r="E2766" s="1070">
        <f>D2766/D2528*100</f>
        <v>0.23894310902478427</v>
      </c>
      <c r="F2766" s="939"/>
      <c r="G2766" s="1331"/>
      <c r="H2766" s="880"/>
      <c r="I2766" s="1111"/>
      <c r="J2766" s="2415"/>
      <c r="K2766" s="1312"/>
      <c r="L2766" s="1310"/>
      <c r="M2766" s="1312"/>
      <c r="N2766" s="535"/>
    </row>
    <row r="2767" spans="1:16" ht="15" customHeight="1" x14ac:dyDescent="0.25">
      <c r="B2767" s="2907"/>
      <c r="C2767" s="3940" t="s">
        <v>3971</v>
      </c>
      <c r="D2767" s="666">
        <v>350000000</v>
      </c>
      <c r="E2767" s="1070">
        <f>D2767/D2528*100</f>
        <v>0.23894310902478427</v>
      </c>
      <c r="F2767" s="939"/>
      <c r="G2767" s="1041"/>
      <c r="H2767" s="1415"/>
      <c r="I2767" s="1111"/>
      <c r="J2767" s="2415"/>
      <c r="K2767" s="1312"/>
      <c r="L2767" s="2202"/>
      <c r="M2767" s="1312"/>
      <c r="N2767" s="535"/>
    </row>
    <row r="2768" spans="1:16" s="3504" customFormat="1" ht="16.5" customHeight="1" x14ac:dyDescent="0.25">
      <c r="A2768" s="352"/>
      <c r="B2768" s="2907"/>
      <c r="C2768" s="3940" t="s">
        <v>3970</v>
      </c>
      <c r="D2768" s="666">
        <v>350000000</v>
      </c>
      <c r="E2768" s="1070">
        <f>D2768/D2528*100</f>
        <v>0.23894310902478427</v>
      </c>
      <c r="F2768" s="939"/>
      <c r="G2768" s="1041"/>
      <c r="H2768" s="1415"/>
      <c r="I2768" s="1111"/>
      <c r="J2768" s="2415"/>
      <c r="K2768" s="1312"/>
      <c r="L2768" s="3520"/>
      <c r="M2768" s="1312"/>
      <c r="N2768" s="535"/>
      <c r="P2768" s="500"/>
    </row>
    <row r="2769" spans="1:16" s="3504" customFormat="1" ht="17.25" customHeight="1" x14ac:dyDescent="0.25">
      <c r="A2769" s="352"/>
      <c r="B2769" s="2907"/>
      <c r="C2769" s="3940" t="s">
        <v>3969</v>
      </c>
      <c r="D2769" s="666">
        <v>350000000</v>
      </c>
      <c r="E2769" s="1070">
        <f>D2769/D2528*100</f>
        <v>0.23894310902478427</v>
      </c>
      <c r="F2769" s="939"/>
      <c r="G2769" s="1041"/>
      <c r="H2769" s="1415"/>
      <c r="I2769" s="1111"/>
      <c r="J2769" s="2415"/>
      <c r="K2769" s="1312"/>
      <c r="L2769" s="3520"/>
      <c r="M2769" s="1312"/>
      <c r="N2769" s="535"/>
      <c r="P2769" s="500"/>
    </row>
    <row r="2770" spans="1:16" s="3504" customFormat="1" ht="16.5" customHeight="1" x14ac:dyDescent="0.25">
      <c r="A2770" s="352"/>
      <c r="B2770" s="2907"/>
      <c r="C2770" s="3940" t="s">
        <v>3967</v>
      </c>
      <c r="D2770" s="666">
        <v>350000000</v>
      </c>
      <c r="E2770" s="1070">
        <f>D2770/D2528*100</f>
        <v>0.23894310902478427</v>
      </c>
      <c r="F2770" s="939"/>
      <c r="G2770" s="1041"/>
      <c r="H2770" s="1415"/>
      <c r="I2770" s="1111"/>
      <c r="J2770" s="2415"/>
      <c r="K2770" s="1312"/>
      <c r="L2770" s="3520"/>
      <c r="M2770" s="1312"/>
      <c r="N2770" s="535"/>
      <c r="P2770" s="500"/>
    </row>
    <row r="2771" spans="1:16" s="3504" customFormat="1" ht="14.25" customHeight="1" x14ac:dyDescent="0.25">
      <c r="A2771" s="352"/>
      <c r="B2771" s="2907"/>
      <c r="C2771" s="3940" t="s">
        <v>3968</v>
      </c>
      <c r="D2771" s="666">
        <v>150000000</v>
      </c>
      <c r="E2771" s="1070">
        <f>D2771/D2528*100</f>
        <v>0.1024041895820504</v>
      </c>
      <c r="F2771" s="939"/>
      <c r="G2771" s="1041"/>
      <c r="H2771" s="1415"/>
      <c r="I2771" s="1111"/>
      <c r="J2771" s="2415"/>
      <c r="K2771" s="1312"/>
      <c r="L2771" s="3520"/>
      <c r="M2771" s="1312"/>
      <c r="N2771" s="535"/>
      <c r="P2771" s="500"/>
    </row>
    <row r="2772" spans="1:16" s="3504" customFormat="1" ht="15.75" customHeight="1" x14ac:dyDescent="0.25">
      <c r="A2772" s="352"/>
      <c r="B2772" s="2907"/>
      <c r="C2772" s="3940" t="s">
        <v>3966</v>
      </c>
      <c r="D2772" s="666">
        <v>500000000</v>
      </c>
      <c r="E2772" s="1070">
        <f>D2772/D2528*100</f>
        <v>0.34134729860683471</v>
      </c>
      <c r="F2772" s="939"/>
      <c r="G2772" s="1041"/>
      <c r="H2772" s="1415"/>
      <c r="I2772" s="1111"/>
      <c r="J2772" s="2415"/>
      <c r="K2772" s="1312"/>
      <c r="L2772" s="3520"/>
      <c r="M2772" s="1312"/>
      <c r="N2772" s="535"/>
      <c r="P2772" s="500"/>
    </row>
    <row r="2773" spans="1:16" s="3504" customFormat="1" ht="14.25" customHeight="1" x14ac:dyDescent="0.25">
      <c r="A2773" s="352"/>
      <c r="B2773" s="2907"/>
      <c r="C2773" s="3940" t="s">
        <v>3965</v>
      </c>
      <c r="D2773" s="666">
        <v>800000000</v>
      </c>
      <c r="E2773" s="1070">
        <f>D2773/D2528*100</f>
        <v>0.54615567777093554</v>
      </c>
      <c r="F2773" s="939"/>
      <c r="G2773" s="1041"/>
      <c r="H2773" s="1415"/>
      <c r="I2773" s="1111"/>
      <c r="J2773" s="2415"/>
      <c r="K2773" s="1312"/>
      <c r="L2773" s="3520"/>
      <c r="M2773" s="1312"/>
      <c r="N2773" s="535"/>
      <c r="P2773" s="500"/>
    </row>
    <row r="2774" spans="1:16" s="3504" customFormat="1" ht="16.5" customHeight="1" x14ac:dyDescent="0.25">
      <c r="A2774" s="352"/>
      <c r="B2774" s="2907"/>
      <c r="C2774" s="3940" t="s">
        <v>3964</v>
      </c>
      <c r="D2774" s="666">
        <v>100000000</v>
      </c>
      <c r="E2774" s="1070">
        <f>D2774/D2528*100</f>
        <v>6.8269459721366943E-2</v>
      </c>
      <c r="F2774" s="939"/>
      <c r="G2774" s="1041"/>
      <c r="H2774" s="1415"/>
      <c r="I2774" s="1111"/>
      <c r="J2774" s="2415"/>
      <c r="K2774" s="1312"/>
      <c r="L2774" s="3520"/>
      <c r="M2774" s="1312"/>
      <c r="N2774" s="535"/>
      <c r="P2774" s="500"/>
    </row>
    <row r="2775" spans="1:16" s="3504" customFormat="1" ht="15.75" customHeight="1" x14ac:dyDescent="0.25">
      <c r="A2775" s="352"/>
      <c r="B2775" s="2907"/>
      <c r="C2775" s="3940" t="s">
        <v>3963</v>
      </c>
      <c r="D2775" s="666">
        <v>100000000</v>
      </c>
      <c r="E2775" s="1070">
        <f>D2775/D2528*100</f>
        <v>6.8269459721366943E-2</v>
      </c>
      <c r="F2775" s="939"/>
      <c r="G2775" s="1041"/>
      <c r="H2775" s="1415"/>
      <c r="I2775" s="1111"/>
      <c r="J2775" s="2415"/>
      <c r="K2775" s="1312"/>
      <c r="L2775" s="3520"/>
      <c r="M2775" s="1312"/>
      <c r="N2775" s="535"/>
      <c r="P2775" s="500"/>
    </row>
    <row r="2776" spans="1:16" s="3504" customFormat="1" ht="14.25" customHeight="1" x14ac:dyDescent="0.25">
      <c r="A2776" s="352"/>
      <c r="B2776" s="2907"/>
      <c r="C2776" s="3940" t="s">
        <v>3962</v>
      </c>
      <c r="D2776" s="666">
        <v>150000000</v>
      </c>
      <c r="E2776" s="1070">
        <f>D2776/D2528*100</f>
        <v>0.1024041895820504</v>
      </c>
      <c r="F2776" s="939"/>
      <c r="G2776" s="1041"/>
      <c r="H2776" s="1415"/>
      <c r="I2776" s="1111"/>
      <c r="J2776" s="2415"/>
      <c r="K2776" s="1312"/>
      <c r="L2776" s="3520"/>
      <c r="M2776" s="1312"/>
      <c r="N2776" s="535"/>
      <c r="P2776" s="500"/>
    </row>
    <row r="2777" spans="1:16" s="3504" customFormat="1" ht="15.75" customHeight="1" x14ac:dyDescent="0.25">
      <c r="A2777" s="352"/>
      <c r="B2777" s="2907"/>
      <c r="C2777" s="3940" t="s">
        <v>3961</v>
      </c>
      <c r="D2777" s="666">
        <v>400000000</v>
      </c>
      <c r="E2777" s="1070">
        <f>D2777/D2528*100</f>
        <v>0.27307783888546777</v>
      </c>
      <c r="F2777" s="939"/>
      <c r="G2777" s="1041"/>
      <c r="H2777" s="1415"/>
      <c r="I2777" s="1111"/>
      <c r="J2777" s="2415"/>
      <c r="K2777" s="1312"/>
      <c r="L2777" s="3520"/>
      <c r="M2777" s="1312"/>
      <c r="N2777" s="535"/>
      <c r="P2777" s="500"/>
    </row>
    <row r="2778" spans="1:16" s="3504" customFormat="1" ht="14.25" customHeight="1" x14ac:dyDescent="0.25">
      <c r="A2778" s="352"/>
      <c r="B2778" s="2907"/>
      <c r="C2778" s="3940" t="s">
        <v>3960</v>
      </c>
      <c r="D2778" s="666">
        <v>300000000</v>
      </c>
      <c r="E2778" s="1070">
        <f>D2778/D2528*100</f>
        <v>0.2048083791641008</v>
      </c>
      <c r="F2778" s="939"/>
      <c r="G2778" s="1041"/>
      <c r="H2778" s="1415"/>
      <c r="I2778" s="1111"/>
      <c r="J2778" s="2415"/>
      <c r="K2778" s="1312"/>
      <c r="L2778" s="3520"/>
      <c r="M2778" s="1312"/>
      <c r="N2778" s="535"/>
      <c r="P2778" s="500"/>
    </row>
    <row r="2779" spans="1:16" s="3504" customFormat="1" ht="14.25" customHeight="1" x14ac:dyDescent="0.25">
      <c r="A2779" s="352"/>
      <c r="B2779" s="2907"/>
      <c r="C2779" s="3940" t="s">
        <v>3959</v>
      </c>
      <c r="D2779" s="666">
        <v>500000000</v>
      </c>
      <c r="E2779" s="1070">
        <f>D2779/D2528*100</f>
        <v>0.34134729860683471</v>
      </c>
      <c r="F2779" s="939"/>
      <c r="G2779" s="1041"/>
      <c r="H2779" s="1415"/>
      <c r="I2779" s="1111"/>
      <c r="J2779" s="2415"/>
      <c r="K2779" s="1312"/>
      <c r="L2779" s="3520"/>
      <c r="M2779" s="1312"/>
      <c r="N2779" s="535"/>
      <c r="P2779" s="500"/>
    </row>
    <row r="2780" spans="1:16" s="3504" customFormat="1" ht="13.5" customHeight="1" x14ac:dyDescent="0.25">
      <c r="A2780" s="352"/>
      <c r="B2780" s="2907"/>
      <c r="C2780" s="3940" t="s">
        <v>3958</v>
      </c>
      <c r="D2780" s="666">
        <v>300000000</v>
      </c>
      <c r="E2780" s="1070">
        <f>D2780/D2528*100</f>
        <v>0.2048083791641008</v>
      </c>
      <c r="F2780" s="939"/>
      <c r="G2780" s="1041"/>
      <c r="H2780" s="1415"/>
      <c r="I2780" s="1111"/>
      <c r="J2780" s="2415"/>
      <c r="K2780" s="1312"/>
      <c r="L2780" s="3520"/>
      <c r="M2780" s="1312"/>
      <c r="N2780" s="535"/>
      <c r="P2780" s="500"/>
    </row>
    <row r="2781" spans="1:16" s="3504" customFormat="1" ht="15.75" customHeight="1" x14ac:dyDescent="0.25">
      <c r="A2781" s="352"/>
      <c r="B2781" s="2907"/>
      <c r="C2781" s="3940" t="s">
        <v>3956</v>
      </c>
      <c r="D2781" s="666">
        <v>150000000</v>
      </c>
      <c r="E2781" s="1070">
        <f>D2781/D2528*100</f>
        <v>0.1024041895820504</v>
      </c>
      <c r="F2781" s="939"/>
      <c r="G2781" s="1041"/>
      <c r="H2781" s="1415"/>
      <c r="I2781" s="1111"/>
      <c r="J2781" s="2415"/>
      <c r="K2781" s="1312"/>
      <c r="L2781" s="3520"/>
      <c r="M2781" s="1312"/>
      <c r="N2781" s="535"/>
      <c r="P2781" s="500"/>
    </row>
    <row r="2782" spans="1:16" s="3504" customFormat="1" ht="17.25" customHeight="1" x14ac:dyDescent="0.25">
      <c r="A2782" s="352"/>
      <c r="B2782" s="2907"/>
      <c r="C2782" s="3940" t="s">
        <v>3957</v>
      </c>
      <c r="D2782" s="666">
        <v>500000000</v>
      </c>
      <c r="E2782" s="1070">
        <f>D2782/D2528*100</f>
        <v>0.34134729860683471</v>
      </c>
      <c r="F2782" s="939"/>
      <c r="G2782" s="1041"/>
      <c r="H2782" s="1415"/>
      <c r="I2782" s="1111"/>
      <c r="J2782" s="2415"/>
      <c r="K2782" s="1312"/>
      <c r="L2782" s="3520"/>
      <c r="M2782" s="1312"/>
      <c r="N2782" s="535"/>
      <c r="P2782" s="500"/>
    </row>
    <row r="2783" spans="1:16" s="3504" customFormat="1" ht="14.25" customHeight="1" x14ac:dyDescent="0.25">
      <c r="A2783" s="352"/>
      <c r="B2783" s="2907"/>
      <c r="C2783" s="3940" t="s">
        <v>3954</v>
      </c>
      <c r="D2783" s="666">
        <v>400000000</v>
      </c>
      <c r="E2783" s="1070">
        <f>D2783/D2528*100</f>
        <v>0.27307783888546777</v>
      </c>
      <c r="F2783" s="939"/>
      <c r="G2783" s="1041"/>
      <c r="H2783" s="1415"/>
      <c r="I2783" s="1111"/>
      <c r="J2783" s="2415"/>
      <c r="K2783" s="1312"/>
      <c r="L2783" s="3520"/>
      <c r="M2783" s="1312"/>
      <c r="N2783" s="535"/>
      <c r="P2783" s="500"/>
    </row>
    <row r="2784" spans="1:16" s="3504" customFormat="1" ht="15.75" customHeight="1" x14ac:dyDescent="0.25">
      <c r="A2784" s="352"/>
      <c r="B2784" s="2907"/>
      <c r="C2784" s="3940" t="s">
        <v>3955</v>
      </c>
      <c r="D2784" s="666">
        <v>300000000</v>
      </c>
      <c r="E2784" s="1070">
        <f>D2784/D2528*100</f>
        <v>0.2048083791641008</v>
      </c>
      <c r="F2784" s="939"/>
      <c r="G2784" s="1041"/>
      <c r="H2784" s="1415"/>
      <c r="I2784" s="1111"/>
      <c r="J2784" s="2415"/>
      <c r="K2784" s="1312"/>
      <c r="L2784" s="3520"/>
      <c r="M2784" s="1312"/>
      <c r="N2784" s="535"/>
      <c r="P2784" s="500"/>
    </row>
    <row r="2785" spans="1:16" s="3504" customFormat="1" ht="18" customHeight="1" x14ac:dyDescent="0.25">
      <c r="A2785" s="352"/>
      <c r="B2785" s="2907"/>
      <c r="C2785" s="3940" t="s">
        <v>3953</v>
      </c>
      <c r="D2785" s="666">
        <v>350000000</v>
      </c>
      <c r="E2785" s="1070">
        <f>D2785/D2528*100</f>
        <v>0.23894310902478427</v>
      </c>
      <c r="F2785" s="939"/>
      <c r="G2785" s="1041"/>
      <c r="H2785" s="1415"/>
      <c r="I2785" s="1111"/>
      <c r="J2785" s="2415"/>
      <c r="K2785" s="1312"/>
      <c r="L2785" s="3520"/>
      <c r="M2785" s="1312"/>
      <c r="N2785" s="535"/>
      <c r="P2785" s="500"/>
    </row>
    <row r="2786" spans="1:16" s="3504" customFormat="1" ht="14.25" customHeight="1" x14ac:dyDescent="0.25">
      <c r="A2786" s="352"/>
      <c r="B2786" s="2907"/>
      <c r="C2786" s="3940" t="s">
        <v>3952</v>
      </c>
      <c r="D2786" s="666">
        <v>100000000</v>
      </c>
      <c r="E2786" s="1070">
        <f>D2786/D2528*100</f>
        <v>6.8269459721366943E-2</v>
      </c>
      <c r="F2786" s="939"/>
      <c r="G2786" s="1041"/>
      <c r="H2786" s="1415"/>
      <c r="I2786" s="1111"/>
      <c r="J2786" s="2415"/>
      <c r="K2786" s="1312"/>
      <c r="L2786" s="3520"/>
      <c r="M2786" s="1312"/>
      <c r="N2786" s="535"/>
      <c r="P2786" s="500"/>
    </row>
    <row r="2787" spans="1:16" ht="14.25" customHeight="1" x14ac:dyDescent="0.25">
      <c r="B2787" s="2904"/>
      <c r="C2787" s="4030"/>
      <c r="D2787" s="894"/>
      <c r="E2787" s="1070"/>
      <c r="F2787" s="311"/>
      <c r="G2787" s="1042"/>
      <c r="H2787" s="2174"/>
      <c r="I2787" s="1651"/>
      <c r="J2787" s="2421"/>
      <c r="K2787" s="2175"/>
      <c r="L2787" s="1510"/>
      <c r="M2787" s="2175"/>
      <c r="N2787" s="535"/>
    </row>
    <row r="2788" spans="1:16" s="547" customFormat="1" ht="19.5" customHeight="1" x14ac:dyDescent="0.25">
      <c r="A2788" s="352"/>
      <c r="B2788" s="1305"/>
      <c r="C2788" s="4027" t="s">
        <v>1929</v>
      </c>
      <c r="D2788" s="669">
        <f>SUM(D2789+D2800+D2807+D2813)</f>
        <v>5372880000</v>
      </c>
      <c r="E2788" s="1039">
        <f>D2788/D2528*100</f>
        <v>3.6680361474773799</v>
      </c>
      <c r="F2788" s="1039"/>
      <c r="G2788" s="1039"/>
      <c r="H2788" s="1306"/>
      <c r="I2788" s="1645"/>
      <c r="J2788" s="1913"/>
      <c r="K2788" s="1913"/>
      <c r="L2788" s="2417"/>
      <c r="M2788" s="1307"/>
      <c r="N2788" s="535"/>
      <c r="P2788" s="500"/>
    </row>
    <row r="2789" spans="1:16" s="547" customFormat="1" ht="18" customHeight="1" x14ac:dyDescent="0.25">
      <c r="A2789" s="352"/>
      <c r="B2789" s="2907"/>
      <c r="C2789" s="3942" t="s">
        <v>3972</v>
      </c>
      <c r="D2789" s="673">
        <f>SUM(D2790:D2798)</f>
        <v>1950000000</v>
      </c>
      <c r="E2789" s="1025">
        <f>D2789/D2528*100</f>
        <v>1.3312544645666553</v>
      </c>
      <c r="F2789" s="1025"/>
      <c r="G2789" s="1329"/>
      <c r="H2789" s="1415"/>
      <c r="I2789" s="1316"/>
      <c r="J2789" s="1329"/>
      <c r="K2789" s="1329"/>
      <c r="L2789" s="2410"/>
      <c r="M2789" s="1650"/>
      <c r="N2789" s="535"/>
      <c r="P2789" s="500"/>
    </row>
    <row r="2790" spans="1:16" s="547" customFormat="1" ht="18.75" customHeight="1" x14ac:dyDescent="0.25">
      <c r="A2790" s="352"/>
      <c r="B2790" s="2907"/>
      <c r="C2790" s="3940" t="s">
        <v>3973</v>
      </c>
      <c r="D2790" s="666">
        <v>200000000</v>
      </c>
      <c r="E2790" s="1070">
        <f>D2790/D2528*100</f>
        <v>0.13653891944273389</v>
      </c>
      <c r="F2790" s="939"/>
      <c r="G2790" s="963"/>
      <c r="H2790" s="880"/>
      <c r="I2790" s="1111"/>
      <c r="J2790" s="1909"/>
      <c r="K2790" s="1312"/>
      <c r="L2790" s="1310"/>
      <c r="M2790" s="1312"/>
      <c r="N2790" s="535"/>
      <c r="P2790" s="500"/>
    </row>
    <row r="2791" spans="1:16" s="547" customFormat="1" ht="18.75" customHeight="1" x14ac:dyDescent="0.25">
      <c r="A2791" s="352"/>
      <c r="B2791" s="2907"/>
      <c r="C2791" s="3940" t="s">
        <v>3974</v>
      </c>
      <c r="D2791" s="666">
        <v>300000000</v>
      </c>
      <c r="E2791" s="1070">
        <f>D2791/D2528*100</f>
        <v>0.2048083791641008</v>
      </c>
      <c r="F2791" s="939"/>
      <c r="G2791" s="963"/>
      <c r="H2791" s="880"/>
      <c r="I2791" s="1111"/>
      <c r="J2791" s="2415"/>
      <c r="K2791" s="1312"/>
      <c r="L2791" s="1310"/>
      <c r="M2791" s="1312"/>
      <c r="N2791" s="535"/>
      <c r="P2791" s="500"/>
    </row>
    <row r="2792" spans="1:16" s="547" customFormat="1" ht="17.25" customHeight="1" x14ac:dyDescent="0.25">
      <c r="A2792" s="352"/>
      <c r="B2792" s="2907"/>
      <c r="C2792" s="3940" t="s">
        <v>3975</v>
      </c>
      <c r="D2792" s="666">
        <v>150000000</v>
      </c>
      <c r="E2792" s="1070">
        <f>D2792/D2528*100</f>
        <v>0.1024041895820504</v>
      </c>
      <c r="F2792" s="939"/>
      <c r="G2792" s="963"/>
      <c r="H2792" s="963"/>
      <c r="I2792" s="963"/>
      <c r="J2792" s="1909"/>
      <c r="K2792" s="1312"/>
      <c r="L2792" s="1310"/>
      <c r="M2792" s="1312"/>
      <c r="N2792" s="535"/>
      <c r="P2792" s="500"/>
    </row>
    <row r="2793" spans="1:16" s="547" customFormat="1" ht="16.5" customHeight="1" x14ac:dyDescent="0.25">
      <c r="A2793" s="352"/>
      <c r="B2793" s="2907"/>
      <c r="C2793" s="4031" t="s">
        <v>3976</v>
      </c>
      <c r="D2793" s="4217">
        <v>350000000</v>
      </c>
      <c r="E2793" s="1070">
        <f>D2793/D2528*100</f>
        <v>0.23894310902478427</v>
      </c>
      <c r="F2793" s="1043"/>
      <c r="G2793" s="963"/>
      <c r="H2793" s="880"/>
      <c r="I2793" s="1111"/>
      <c r="J2793" s="1914"/>
      <c r="K2793" s="1312"/>
      <c r="L2793" s="1310"/>
      <c r="M2793" s="1312"/>
      <c r="N2793" s="535"/>
      <c r="P2793" s="500"/>
    </row>
    <row r="2794" spans="1:16" s="3504" customFormat="1" ht="15.75" customHeight="1" x14ac:dyDescent="0.25">
      <c r="A2794" s="352"/>
      <c r="B2794" s="2907"/>
      <c r="C2794" s="4031" t="s">
        <v>3977</v>
      </c>
      <c r="D2794" s="4217">
        <v>150000000</v>
      </c>
      <c r="E2794" s="1070">
        <f>D2794/D2528*100</f>
        <v>0.1024041895820504</v>
      </c>
      <c r="F2794" s="1043"/>
      <c r="G2794" s="963"/>
      <c r="H2794" s="1310"/>
      <c r="I2794" s="1111"/>
      <c r="J2794" s="1914"/>
      <c r="K2794" s="1312"/>
      <c r="L2794" s="1310"/>
      <c r="M2794" s="1312"/>
      <c r="N2794" s="535"/>
      <c r="P2794" s="500"/>
    </row>
    <row r="2795" spans="1:16" s="3504" customFormat="1" ht="18" customHeight="1" x14ac:dyDescent="0.25">
      <c r="A2795" s="352"/>
      <c r="B2795" s="2907"/>
      <c r="C2795" s="4031" t="s">
        <v>3978</v>
      </c>
      <c r="D2795" s="4217">
        <v>150000000</v>
      </c>
      <c r="E2795" s="1070">
        <f>D2795/D2528*100</f>
        <v>0.1024041895820504</v>
      </c>
      <c r="F2795" s="1043"/>
      <c r="G2795" s="963"/>
      <c r="H2795" s="1310"/>
      <c r="I2795" s="1111"/>
      <c r="J2795" s="1914"/>
      <c r="K2795" s="1312"/>
      <c r="L2795" s="1310"/>
      <c r="M2795" s="1312"/>
      <c r="N2795" s="535"/>
      <c r="P2795" s="500"/>
    </row>
    <row r="2796" spans="1:16" s="3504" customFormat="1" ht="18.75" customHeight="1" x14ac:dyDescent="0.25">
      <c r="A2796" s="352"/>
      <c r="B2796" s="2907"/>
      <c r="C2796" s="4031" t="s">
        <v>3979</v>
      </c>
      <c r="D2796" s="4217">
        <v>200000000</v>
      </c>
      <c r="E2796" s="1070">
        <f>D2796/D2528*100</f>
        <v>0.13653891944273389</v>
      </c>
      <c r="F2796" s="1043"/>
      <c r="G2796" s="963"/>
      <c r="H2796" s="1310"/>
      <c r="I2796" s="1111"/>
      <c r="J2796" s="1914"/>
      <c r="K2796" s="1312"/>
      <c r="L2796" s="1310"/>
      <c r="M2796" s="1312"/>
      <c r="N2796" s="535"/>
      <c r="P2796" s="500"/>
    </row>
    <row r="2797" spans="1:16" s="3504" customFormat="1" ht="18.75" customHeight="1" x14ac:dyDescent="0.25">
      <c r="A2797" s="352"/>
      <c r="B2797" s="2907"/>
      <c r="C2797" s="4031" t="s">
        <v>3980</v>
      </c>
      <c r="D2797" s="4217">
        <v>200000000</v>
      </c>
      <c r="E2797" s="1070">
        <f>D2797/D2528*100</f>
        <v>0.13653891944273389</v>
      </c>
      <c r="F2797" s="1043"/>
      <c r="G2797" s="963"/>
      <c r="H2797" s="1310"/>
      <c r="I2797" s="1111"/>
      <c r="J2797" s="1914"/>
      <c r="K2797" s="1312"/>
      <c r="L2797" s="1310"/>
      <c r="M2797" s="1312"/>
      <c r="N2797" s="535"/>
      <c r="P2797" s="500"/>
    </row>
    <row r="2798" spans="1:16" s="3504" customFormat="1" ht="18" customHeight="1" x14ac:dyDescent="0.25">
      <c r="A2798" s="352"/>
      <c r="B2798" s="2907"/>
      <c r="C2798" s="4031" t="s">
        <v>3981</v>
      </c>
      <c r="D2798" s="4217">
        <v>250000000</v>
      </c>
      <c r="E2798" s="1070">
        <f>D2798/D2528*100</f>
        <v>0.17067364930341736</v>
      </c>
      <c r="F2798" s="1043"/>
      <c r="G2798" s="963"/>
      <c r="H2798" s="1310"/>
      <c r="I2798" s="1111"/>
      <c r="J2798" s="1914"/>
      <c r="K2798" s="1312"/>
      <c r="L2798" s="1310"/>
      <c r="M2798" s="1312"/>
      <c r="N2798" s="535"/>
      <c r="P2798" s="500"/>
    </row>
    <row r="2799" spans="1:16" s="547" customFormat="1" ht="12.75" customHeight="1" x14ac:dyDescent="0.25">
      <c r="A2799" s="352"/>
      <c r="B2799" s="2907"/>
      <c r="C2799" s="4031"/>
      <c r="D2799" s="4268"/>
      <c r="E2799" s="1070"/>
      <c r="F2799" s="320"/>
      <c r="G2799" s="1044"/>
      <c r="H2799" s="1310"/>
      <c r="I2799" s="1314"/>
      <c r="J2799" s="2423"/>
      <c r="K2799" s="1311"/>
      <c r="L2799" s="2202"/>
      <c r="M2799" s="1311"/>
      <c r="N2799" s="535"/>
      <c r="P2799" s="500"/>
    </row>
    <row r="2800" spans="1:16" s="547" customFormat="1" ht="15.75" customHeight="1" x14ac:dyDescent="0.25">
      <c r="A2800" s="352"/>
      <c r="B2800" s="2907"/>
      <c r="C2800" s="3944" t="s">
        <v>1932</v>
      </c>
      <c r="D2800" s="4267">
        <f>SUM(D2801:D2805)</f>
        <v>1100000000</v>
      </c>
      <c r="E2800" s="1023">
        <f>D2800/D2528*100</f>
        <v>0.75096405693503632</v>
      </c>
      <c r="F2800" s="1033"/>
      <c r="G2800" s="1329"/>
      <c r="H2800" s="1415"/>
      <c r="I2800" s="1316"/>
      <c r="J2800" s="1329"/>
      <c r="K2800" s="1329"/>
      <c r="L2800" s="2410"/>
      <c r="M2800" s="1650"/>
      <c r="N2800" s="535"/>
      <c r="P2800" s="500"/>
    </row>
    <row r="2801" spans="1:16" s="547" customFormat="1" ht="18" customHeight="1" x14ac:dyDescent="0.25">
      <c r="A2801" s="352"/>
      <c r="B2801" s="2907"/>
      <c r="C2801" s="3940" t="s">
        <v>3982</v>
      </c>
      <c r="D2801" s="666">
        <v>150000000</v>
      </c>
      <c r="E2801" s="1070">
        <f>D2801/D2528*100</f>
        <v>0.1024041895820504</v>
      </c>
      <c r="F2801" s="939"/>
      <c r="G2801" s="963"/>
      <c r="H2801" s="880"/>
      <c r="I2801" s="1111"/>
      <c r="J2801" s="1909"/>
      <c r="K2801" s="1312"/>
      <c r="L2801" s="1310"/>
      <c r="M2801" s="1312"/>
      <c r="N2801" s="535"/>
      <c r="P2801" s="500"/>
    </row>
    <row r="2802" spans="1:16" s="547" customFormat="1" x14ac:dyDescent="0.25">
      <c r="A2802" s="352"/>
      <c r="B2802" s="2907"/>
      <c r="C2802" s="3940" t="s">
        <v>3983</v>
      </c>
      <c r="D2802" s="666">
        <v>250000000</v>
      </c>
      <c r="E2802" s="1070">
        <f>D2802/D2528*100</f>
        <v>0.17067364930341736</v>
      </c>
      <c r="F2802" s="939"/>
      <c r="G2802" s="963"/>
      <c r="H2802" s="880"/>
      <c r="I2802" s="1111"/>
      <c r="J2802" s="1909"/>
      <c r="K2802" s="1312"/>
      <c r="L2802" s="1310"/>
      <c r="M2802" s="1312"/>
      <c r="N2802" s="535"/>
      <c r="P2802" s="500"/>
    </row>
    <row r="2803" spans="1:16" s="547" customFormat="1" ht="15.75" customHeight="1" x14ac:dyDescent="0.25">
      <c r="A2803" s="352"/>
      <c r="B2803" s="2907"/>
      <c r="C2803" s="3940" t="s">
        <v>3984</v>
      </c>
      <c r="D2803" s="666">
        <v>200000000</v>
      </c>
      <c r="E2803" s="1070">
        <f>D2803/D2528*100</f>
        <v>0.13653891944273389</v>
      </c>
      <c r="F2803" s="939"/>
      <c r="G2803" s="963"/>
      <c r="H2803" s="880"/>
      <c r="I2803" s="1111"/>
      <c r="J2803" s="1909"/>
      <c r="K2803" s="1312"/>
      <c r="L2803" s="1310"/>
      <c r="M2803" s="1312"/>
      <c r="N2803" s="535"/>
      <c r="P2803" s="500"/>
    </row>
    <row r="2804" spans="1:16" s="547" customFormat="1" ht="15" customHeight="1" x14ac:dyDescent="0.25">
      <c r="A2804" s="352"/>
      <c r="B2804" s="2907"/>
      <c r="C2804" s="3940" t="s">
        <v>3985</v>
      </c>
      <c r="D2804" s="666">
        <v>200000000</v>
      </c>
      <c r="E2804" s="1070">
        <f>D2804/D2528*100</f>
        <v>0.13653891944273389</v>
      </c>
      <c r="F2804" s="939"/>
      <c r="G2804" s="963"/>
      <c r="H2804" s="880"/>
      <c r="I2804" s="1111"/>
      <c r="J2804" s="2423"/>
      <c r="K2804" s="1312"/>
      <c r="L2804" s="1310"/>
      <c r="M2804" s="1312"/>
      <c r="N2804" s="535"/>
      <c r="P2804" s="500"/>
    </row>
    <row r="2805" spans="1:16" s="547" customFormat="1" ht="14.25" customHeight="1" x14ac:dyDescent="0.25">
      <c r="A2805" s="352"/>
      <c r="B2805" s="2907"/>
      <c r="C2805" s="3940" t="s">
        <v>3986</v>
      </c>
      <c r="D2805" s="666">
        <v>300000000</v>
      </c>
      <c r="E2805" s="1070">
        <f>D2805/D2528*100</f>
        <v>0.2048083791641008</v>
      </c>
      <c r="F2805" s="939"/>
      <c r="G2805" s="1044"/>
      <c r="H2805" s="1310"/>
      <c r="I2805" s="1314"/>
      <c r="J2805" s="2423"/>
      <c r="K2805" s="1311"/>
      <c r="L2805" s="2202"/>
      <c r="M2805" s="1311"/>
      <c r="N2805" s="535"/>
      <c r="P2805" s="500"/>
    </row>
    <row r="2806" spans="1:16" s="3504" customFormat="1" ht="14.25" customHeight="1" x14ac:dyDescent="0.25">
      <c r="A2806" s="352"/>
      <c r="B2806" s="2907"/>
      <c r="C2806" s="3940"/>
      <c r="D2806" s="666"/>
      <c r="E2806" s="1070"/>
      <c r="F2806" s="939"/>
      <c r="G2806" s="1044"/>
      <c r="H2806" s="1310"/>
      <c r="I2806" s="1314"/>
      <c r="J2806" s="2423"/>
      <c r="K2806" s="1311"/>
      <c r="L2806" s="3520"/>
      <c r="M2806" s="1311"/>
      <c r="N2806" s="535"/>
      <c r="P2806" s="500"/>
    </row>
    <row r="2807" spans="1:16" s="547" customFormat="1" ht="19.5" customHeight="1" x14ac:dyDescent="0.25">
      <c r="A2807" s="352"/>
      <c r="B2807" s="2907"/>
      <c r="C2807" s="3942" t="s">
        <v>3991</v>
      </c>
      <c r="D2807" s="673">
        <f>SUM(D2808:D2811)</f>
        <v>1300000000</v>
      </c>
      <c r="E2807" s="1023">
        <f>D2807/D2528*100</f>
        <v>0.8875029763777702</v>
      </c>
      <c r="F2807" s="1025"/>
      <c r="G2807" s="1329"/>
      <c r="H2807" s="1415"/>
      <c r="I2807" s="1316"/>
      <c r="J2807" s="1910"/>
      <c r="K2807" s="1910"/>
      <c r="L2807" s="2410"/>
      <c r="M2807" s="1650"/>
      <c r="N2807" s="535"/>
      <c r="P2807" s="500"/>
    </row>
    <row r="2808" spans="1:16" s="547" customFormat="1" ht="16.5" customHeight="1" x14ac:dyDescent="0.25">
      <c r="A2808" s="352"/>
      <c r="B2808" s="2907"/>
      <c r="C2808" s="3940" t="s">
        <v>3987</v>
      </c>
      <c r="D2808" s="666">
        <v>350000000</v>
      </c>
      <c r="E2808" s="1070">
        <f>D2808/D2528*100</f>
        <v>0.23894310902478427</v>
      </c>
      <c r="F2808" s="939"/>
      <c r="G2808" s="963"/>
      <c r="H2808" s="963"/>
      <c r="I2808" s="963"/>
      <c r="J2808" s="1909"/>
      <c r="K2808" s="963"/>
      <c r="L2808" s="963"/>
      <c r="M2808" s="963"/>
      <c r="N2808" s="535"/>
      <c r="P2808" s="500"/>
    </row>
    <row r="2809" spans="1:16" s="547" customFormat="1" ht="18.75" customHeight="1" x14ac:dyDescent="0.25">
      <c r="A2809" s="352"/>
      <c r="B2809" s="2907"/>
      <c r="C2809" s="3940" t="s">
        <v>3988</v>
      </c>
      <c r="D2809" s="666">
        <v>500000000</v>
      </c>
      <c r="E2809" s="1070">
        <f>D2809/D2528*100</f>
        <v>0.34134729860683471</v>
      </c>
      <c r="F2809" s="939"/>
      <c r="G2809" s="1238"/>
      <c r="H2809" s="1238"/>
      <c r="I2809" s="1238"/>
      <c r="J2809" s="1909"/>
      <c r="K2809" s="1238"/>
      <c r="L2809" s="1238"/>
      <c r="M2809" s="1238"/>
      <c r="N2809" s="535"/>
      <c r="P2809" s="500"/>
    </row>
    <row r="2810" spans="1:16" s="547" customFormat="1" ht="17.25" customHeight="1" x14ac:dyDescent="0.25">
      <c r="A2810" s="352"/>
      <c r="B2810" s="2907"/>
      <c r="C2810" s="3940" t="s">
        <v>3989</v>
      </c>
      <c r="D2810" s="666">
        <v>300000000</v>
      </c>
      <c r="E2810" s="1070">
        <f>D2810/D2528*100</f>
        <v>0.2048083791641008</v>
      </c>
      <c r="F2810" s="939"/>
      <c r="G2810" s="963"/>
      <c r="H2810" s="880"/>
      <c r="I2810" s="1111"/>
      <c r="J2810" s="1909"/>
      <c r="K2810" s="1312"/>
      <c r="L2810" s="1310"/>
      <c r="M2810" s="1312"/>
      <c r="N2810" s="535"/>
      <c r="P2810" s="500"/>
    </row>
    <row r="2811" spans="1:16" s="547" customFormat="1" ht="15.75" customHeight="1" x14ac:dyDescent="0.25">
      <c r="A2811" s="352"/>
      <c r="B2811" s="2907"/>
      <c r="C2811" s="3940" t="s">
        <v>3990</v>
      </c>
      <c r="D2811" s="666">
        <v>150000000</v>
      </c>
      <c r="E2811" s="1070">
        <f>D2811/D2528*100</f>
        <v>0.1024041895820504</v>
      </c>
      <c r="F2811" s="939"/>
      <c r="G2811" s="963"/>
      <c r="H2811" s="963"/>
      <c r="I2811" s="963"/>
      <c r="J2811" s="1909"/>
      <c r="K2811" s="1312"/>
      <c r="L2811" s="1310"/>
      <c r="M2811" s="1312"/>
      <c r="N2811" s="535"/>
      <c r="P2811" s="500"/>
    </row>
    <row r="2812" spans="1:16" s="547" customFormat="1" ht="12.75" customHeight="1" x14ac:dyDescent="0.25">
      <c r="A2812" s="352"/>
      <c r="B2812" s="2907"/>
      <c r="C2812" s="3940"/>
      <c r="D2812" s="666"/>
      <c r="E2812" s="1070"/>
      <c r="F2812" s="939"/>
      <c r="G2812" s="1044"/>
      <c r="H2812" s="1310"/>
      <c r="I2812" s="1314"/>
      <c r="J2812" s="2423"/>
      <c r="K2812" s="1311"/>
      <c r="L2812" s="2202"/>
      <c r="M2812" s="1311"/>
      <c r="N2812" s="535"/>
      <c r="P2812" s="500"/>
    </row>
    <row r="2813" spans="1:16" s="547" customFormat="1" ht="22.5" customHeight="1" x14ac:dyDescent="0.25">
      <c r="A2813" s="352"/>
      <c r="B2813" s="2907"/>
      <c r="C2813" s="3942" t="s">
        <v>3992</v>
      </c>
      <c r="D2813" s="673">
        <f>SUM(D2814:D2819)</f>
        <v>1022880000</v>
      </c>
      <c r="E2813" s="1023">
        <f>D2813/D2528*100</f>
        <v>0.69831464959791811</v>
      </c>
      <c r="F2813" s="1025"/>
      <c r="G2813" s="1379"/>
      <c r="H2813" s="1415"/>
      <c r="I2813" s="1316"/>
      <c r="J2813" s="1910"/>
      <c r="K2813" s="1910"/>
      <c r="L2813" s="2410"/>
      <c r="M2813" s="1650"/>
      <c r="N2813" s="535"/>
      <c r="P2813" s="500"/>
    </row>
    <row r="2814" spans="1:16" s="547" customFormat="1" ht="18" customHeight="1" x14ac:dyDescent="0.25">
      <c r="A2814" s="352"/>
      <c r="B2814" s="2907"/>
      <c r="C2814" s="3940" t="s">
        <v>3993</v>
      </c>
      <c r="D2814" s="666">
        <v>150000000</v>
      </c>
      <c r="E2814" s="1070">
        <f>D2814/D2528*100</f>
        <v>0.1024041895820504</v>
      </c>
      <c r="F2814" s="939"/>
      <c r="G2814" s="963"/>
      <c r="H2814" s="880"/>
      <c r="I2814" s="1111"/>
      <c r="J2814" s="1909"/>
      <c r="K2814" s="1312"/>
      <c r="L2814" s="1310"/>
      <c r="M2814" s="1312"/>
      <c r="N2814" s="535"/>
      <c r="P2814" s="500"/>
    </row>
    <row r="2815" spans="1:16" s="547" customFormat="1" ht="18" customHeight="1" x14ac:dyDescent="0.25">
      <c r="A2815" s="352"/>
      <c r="B2815" s="2907"/>
      <c r="C2815" s="3940" t="s">
        <v>3994</v>
      </c>
      <c r="D2815" s="666">
        <v>150000000</v>
      </c>
      <c r="E2815" s="1070">
        <f>D2815/D2528*100</f>
        <v>0.1024041895820504</v>
      </c>
      <c r="F2815" s="939"/>
      <c r="G2815" s="963"/>
      <c r="H2815" s="880"/>
      <c r="I2815" s="1111"/>
      <c r="J2815" s="1909"/>
      <c r="K2815" s="1312"/>
      <c r="L2815" s="1310"/>
      <c r="M2815" s="1312"/>
      <c r="N2815" s="535"/>
      <c r="P2815" s="500"/>
    </row>
    <row r="2816" spans="1:16" s="547" customFormat="1" ht="15" customHeight="1" x14ac:dyDescent="0.25">
      <c r="A2816" s="352"/>
      <c r="B2816" s="2907"/>
      <c r="C2816" s="3940" t="s">
        <v>3995</v>
      </c>
      <c r="D2816" s="666">
        <v>300000000</v>
      </c>
      <c r="E2816" s="1070">
        <f>D2816/D2528*100</f>
        <v>0.2048083791641008</v>
      </c>
      <c r="F2816" s="939"/>
      <c r="G2816" s="963"/>
      <c r="H2816" s="963"/>
      <c r="I2816" s="963"/>
      <c r="J2816" s="1909"/>
      <c r="K2816" s="1312"/>
      <c r="L2816" s="1310"/>
      <c r="M2816" s="1312"/>
      <c r="N2816" s="535"/>
      <c r="P2816" s="500"/>
    </row>
    <row r="2817" spans="1:16" s="547" customFormat="1" ht="17.25" customHeight="1" x14ac:dyDescent="0.25">
      <c r="A2817" s="352"/>
      <c r="B2817" s="2907"/>
      <c r="C2817" s="3940" t="s">
        <v>3996</v>
      </c>
      <c r="D2817" s="666">
        <v>100000000</v>
      </c>
      <c r="E2817" s="1070">
        <f>D2817/D2528*100</f>
        <v>6.8269459721366943E-2</v>
      </c>
      <c r="F2817" s="939"/>
      <c r="G2817" s="963"/>
      <c r="H2817" s="963"/>
      <c r="I2817" s="963"/>
      <c r="J2817" s="1909"/>
      <c r="K2817" s="963"/>
      <c r="L2817" s="963"/>
      <c r="M2817" s="963"/>
      <c r="N2817" s="535"/>
      <c r="P2817" s="500"/>
    </row>
    <row r="2818" spans="1:16" s="547" customFormat="1" ht="18.75" customHeight="1" x14ac:dyDescent="0.25">
      <c r="A2818" s="352"/>
      <c r="B2818" s="2907"/>
      <c r="C2818" s="3940" t="s">
        <v>3997</v>
      </c>
      <c r="D2818" s="666">
        <v>150000000</v>
      </c>
      <c r="E2818" s="1070">
        <f>D2818/D2528*100</f>
        <v>0.1024041895820504</v>
      </c>
      <c r="F2818" s="939"/>
      <c r="G2818" s="963"/>
      <c r="H2818" s="963"/>
      <c r="I2818" s="963"/>
      <c r="J2818" s="1909"/>
      <c r="K2818" s="1312"/>
      <c r="L2818" s="1310"/>
      <c r="M2818" s="1312"/>
      <c r="N2818" s="535"/>
      <c r="P2818" s="500"/>
    </row>
    <row r="2819" spans="1:16" s="3504" customFormat="1" ht="18" customHeight="1" x14ac:dyDescent="0.25">
      <c r="A2819" s="352"/>
      <c r="B2819" s="2904"/>
      <c r="C2819" s="3940" t="s">
        <v>3998</v>
      </c>
      <c r="D2819" s="666">
        <v>172880000</v>
      </c>
      <c r="E2819" s="1070">
        <f>D2819/D2528*100</f>
        <v>0.11802424196629915</v>
      </c>
      <c r="F2819" s="939"/>
      <c r="G2819" s="963"/>
      <c r="H2819" s="963"/>
      <c r="I2819" s="963"/>
      <c r="J2819" s="1909"/>
      <c r="K2819" s="1717"/>
      <c r="L2819" s="880"/>
      <c r="M2819" s="1717"/>
      <c r="N2819" s="535"/>
      <c r="P2819" s="500"/>
    </row>
    <row r="2820" spans="1:16" s="547" customFormat="1" ht="18" customHeight="1" x14ac:dyDescent="0.25">
      <c r="A2820" s="352"/>
      <c r="B2820" s="2904"/>
      <c r="C2820" s="4032"/>
      <c r="D2820" s="969"/>
      <c r="E2820" s="1038"/>
      <c r="F2820" s="969"/>
      <c r="G2820" s="1042"/>
      <c r="H2820" s="2255"/>
      <c r="I2820" s="791"/>
      <c r="J2820" s="2422"/>
      <c r="K2820" s="2182"/>
      <c r="L2820" s="2424"/>
      <c r="M2820" s="2182"/>
      <c r="N2820" s="535"/>
      <c r="P2820" s="500"/>
    </row>
    <row r="2821" spans="1:16" x14ac:dyDescent="0.25">
      <c r="B2821" s="1305"/>
      <c r="C2821" s="4027" t="s">
        <v>1945</v>
      </c>
      <c r="D2821" s="669">
        <f>SUM(D2822+D2826+D2833+D2840)</f>
        <v>4009320000</v>
      </c>
      <c r="E2821" s="1039">
        <f>D2821/D2528*100</f>
        <v>2.7371411025007086</v>
      </c>
      <c r="F2821" s="1039"/>
      <c r="G2821" s="1039"/>
      <c r="H2821" s="1306"/>
      <c r="I2821" s="1645"/>
      <c r="J2821" s="1913"/>
      <c r="K2821" s="1913"/>
      <c r="L2821" s="2417"/>
      <c r="M2821" s="1307"/>
      <c r="N2821" s="535"/>
    </row>
    <row r="2822" spans="1:16" ht="14.25" customHeight="1" x14ac:dyDescent="0.25">
      <c r="B2822" s="1242"/>
      <c r="C2822" s="3942" t="s">
        <v>1946</v>
      </c>
      <c r="D2822" s="673">
        <f>SUM(D2823:D2824)</f>
        <v>450000000</v>
      </c>
      <c r="E2822" s="1025">
        <f>D2822/D2528*100</f>
        <v>0.30721256874615122</v>
      </c>
      <c r="F2822" s="1025"/>
      <c r="G2822" s="966"/>
      <c r="H2822" s="1308"/>
      <c r="I2822" s="1316"/>
      <c r="J2822" s="1910"/>
      <c r="K2822" s="1910"/>
      <c r="L2822" s="2410"/>
      <c r="M2822" s="1650"/>
      <c r="N2822" s="535"/>
    </row>
    <row r="2823" spans="1:16" ht="21" customHeight="1" x14ac:dyDescent="0.25">
      <c r="B2823" s="1242"/>
      <c r="C2823" s="3940" t="s">
        <v>3999</v>
      </c>
      <c r="D2823" s="666">
        <v>250000000</v>
      </c>
      <c r="E2823" s="1070">
        <f>D2823/D2528*100</f>
        <v>0.17067364930341736</v>
      </c>
      <c r="F2823" s="939"/>
      <c r="G2823" s="963"/>
      <c r="H2823" s="880"/>
      <c r="I2823" s="755"/>
      <c r="J2823" s="1909"/>
      <c r="K2823" s="1312"/>
      <c r="L2823" s="1310"/>
      <c r="M2823" s="1312"/>
      <c r="N2823" s="535"/>
    </row>
    <row r="2824" spans="1:16" ht="17.25" customHeight="1" x14ac:dyDescent="0.25">
      <c r="B2824" s="1242"/>
      <c r="C2824" s="3940" t="s">
        <v>4000</v>
      </c>
      <c r="D2824" s="666">
        <v>200000000</v>
      </c>
      <c r="E2824" s="1070">
        <f>D2824/D2528*100</f>
        <v>0.13653891944273389</v>
      </c>
      <c r="F2824" s="939"/>
      <c r="G2824" s="963"/>
      <c r="H2824" s="963"/>
      <c r="I2824" s="963"/>
      <c r="J2824" s="1909"/>
      <c r="K2824" s="1312"/>
      <c r="L2824" s="1310"/>
      <c r="M2824" s="1312"/>
      <c r="N2824" s="535"/>
    </row>
    <row r="2825" spans="1:16" ht="12" customHeight="1" x14ac:dyDescent="0.25">
      <c r="B2825" s="1242"/>
      <c r="C2825" s="3940"/>
      <c r="D2825" s="666"/>
      <c r="E2825" s="1070"/>
      <c r="F2825" s="939"/>
      <c r="G2825" s="1044"/>
      <c r="H2825" s="1310"/>
      <c r="I2825" s="1111"/>
      <c r="J2825" s="1717"/>
      <c r="K2825" s="1312"/>
      <c r="L2825" s="2202"/>
      <c r="M2825" s="1312"/>
      <c r="N2825" s="535"/>
    </row>
    <row r="2826" spans="1:16" ht="18" customHeight="1" x14ac:dyDescent="0.25">
      <c r="B2826" s="1242"/>
      <c r="C2826" s="3942" t="s">
        <v>4002</v>
      </c>
      <c r="D2826" s="673">
        <f>SUM(D2827:D2831)</f>
        <v>1000000000</v>
      </c>
      <c r="E2826" s="1023">
        <f>D2826/D2528*100</f>
        <v>0.68269459721366943</v>
      </c>
      <c r="F2826" s="1025"/>
      <c r="G2826" s="966"/>
      <c r="H2826" s="1308"/>
      <c r="I2826" s="1316"/>
      <c r="J2826" s="1910"/>
      <c r="K2826" s="1910"/>
      <c r="L2826" s="2410"/>
      <c r="M2826" s="1650"/>
      <c r="N2826" s="535"/>
    </row>
    <row r="2827" spans="1:16" ht="15.75" customHeight="1" x14ac:dyDescent="0.25">
      <c r="B2827" s="1242"/>
      <c r="C2827" s="3940" t="s">
        <v>4001</v>
      </c>
      <c r="D2827" s="666">
        <v>200000000</v>
      </c>
      <c r="E2827" s="1070">
        <f>D2827/D2528*100</f>
        <v>0.13653891944273389</v>
      </c>
      <c r="F2827" s="939"/>
      <c r="G2827" s="963"/>
      <c r="H2827" s="880"/>
      <c r="I2827" s="755"/>
      <c r="J2827" s="1909"/>
      <c r="K2827" s="1312"/>
      <c r="L2827" s="1310"/>
      <c r="M2827" s="1312"/>
      <c r="N2827" s="535"/>
    </row>
    <row r="2828" spans="1:16" ht="15" customHeight="1" x14ac:dyDescent="0.25">
      <c r="B2828" s="1242"/>
      <c r="C2828" s="3940" t="s">
        <v>4003</v>
      </c>
      <c r="D2828" s="666">
        <v>200000000</v>
      </c>
      <c r="E2828" s="1070">
        <f>D2828/D2528*100</f>
        <v>0.13653891944273389</v>
      </c>
      <c r="F2828" s="939"/>
      <c r="G2828" s="963"/>
      <c r="H2828" s="963"/>
      <c r="I2828" s="963"/>
      <c r="J2828" s="1909"/>
      <c r="K2828" s="1311"/>
      <c r="L2828" s="1310"/>
      <c r="M2828" s="1312"/>
      <c r="N2828" s="535"/>
    </row>
    <row r="2829" spans="1:16" ht="16.5" customHeight="1" x14ac:dyDescent="0.25">
      <c r="B2829" s="1242"/>
      <c r="C2829" s="3940" t="s">
        <v>4004</v>
      </c>
      <c r="D2829" s="666">
        <v>200000000</v>
      </c>
      <c r="E2829" s="1070">
        <f>D2829/D2528*100</f>
        <v>0.13653891944273389</v>
      </c>
      <c r="F2829" s="939"/>
      <c r="G2829" s="963"/>
      <c r="H2829" s="963"/>
      <c r="I2829" s="963"/>
      <c r="J2829" s="1909"/>
      <c r="K2829" s="963"/>
      <c r="L2829" s="963"/>
      <c r="M2829" s="963"/>
      <c r="N2829" s="535"/>
    </row>
    <row r="2830" spans="1:16" ht="28.5" customHeight="1" x14ac:dyDescent="0.25">
      <c r="B2830" s="1242"/>
      <c r="C2830" s="3940" t="s">
        <v>4005</v>
      </c>
      <c r="D2830" s="666">
        <v>200000000</v>
      </c>
      <c r="E2830" s="1070">
        <f>D2830/D2528*100</f>
        <v>0.13653891944273389</v>
      </c>
      <c r="F2830" s="939"/>
      <c r="G2830" s="963"/>
      <c r="H2830" s="963"/>
      <c r="I2830" s="963"/>
      <c r="J2830" s="1909"/>
      <c r="K2830" s="1312"/>
      <c r="L2830" s="1310"/>
      <c r="M2830" s="1312"/>
      <c r="N2830" s="535"/>
    </row>
    <row r="2831" spans="1:16" ht="19.5" customHeight="1" x14ac:dyDescent="0.25">
      <c r="B2831" s="1242"/>
      <c r="C2831" s="3940" t="s">
        <v>4006</v>
      </c>
      <c r="D2831" s="666">
        <v>200000000</v>
      </c>
      <c r="E2831" s="1070">
        <f>D2831/D2528*100</f>
        <v>0.13653891944273389</v>
      </c>
      <c r="F2831" s="311"/>
      <c r="G2831" s="1044"/>
      <c r="H2831" s="1310"/>
      <c r="I2831" s="1111"/>
      <c r="J2831" s="1717"/>
      <c r="K2831" s="1312"/>
      <c r="L2831" s="2202"/>
      <c r="M2831" s="1312"/>
      <c r="N2831" s="535"/>
    </row>
    <row r="2832" spans="1:16" s="3504" customFormat="1" ht="12" customHeight="1" x14ac:dyDescent="0.25">
      <c r="A2832" s="352"/>
      <c r="B2832" s="1242"/>
      <c r="C2832" s="4030"/>
      <c r="D2832" s="894"/>
      <c r="E2832" s="1070"/>
      <c r="F2832" s="311"/>
      <c r="G2832" s="1044"/>
      <c r="H2832" s="1310"/>
      <c r="I2832" s="2181"/>
      <c r="J2832" s="1717"/>
      <c r="K2832" s="1312"/>
      <c r="L2832" s="3520"/>
      <c r="M2832" s="1323"/>
      <c r="N2832" s="535"/>
      <c r="P2832" s="500"/>
    </row>
    <row r="2833" spans="1:16" ht="21" customHeight="1" x14ac:dyDescent="0.25">
      <c r="B2833" s="1242"/>
      <c r="C2833" s="3944" t="s">
        <v>1957</v>
      </c>
      <c r="D2833" s="4267">
        <f>SUM(D2834:D2838)</f>
        <v>1109320000</v>
      </c>
      <c r="E2833" s="1023">
        <f>D2833/D2528*100</f>
        <v>0.75732677058106768</v>
      </c>
      <c r="F2833" s="1033"/>
      <c r="G2833" s="966"/>
      <c r="H2833" s="1308"/>
      <c r="I2833" s="2409"/>
      <c r="J2833" s="1912"/>
      <c r="K2833" s="1912"/>
      <c r="L2833" s="2410"/>
      <c r="M2833" s="775"/>
      <c r="N2833" s="535"/>
    </row>
    <row r="2834" spans="1:16" s="547" customFormat="1" ht="18" customHeight="1" x14ac:dyDescent="0.25">
      <c r="A2834" s="352"/>
      <c r="B2834" s="1242"/>
      <c r="C2834" s="4031" t="s">
        <v>4011</v>
      </c>
      <c r="D2834" s="4217">
        <v>200000000</v>
      </c>
      <c r="E2834" s="1070">
        <f>D2834/D2528*100</f>
        <v>0.13653891944273389</v>
      </c>
      <c r="F2834" s="1043"/>
      <c r="G2834" s="971"/>
      <c r="H2834" s="971"/>
      <c r="I2834" s="971"/>
      <c r="J2834" s="1914"/>
      <c r="K2834" s="1238"/>
      <c r="L2834" s="971"/>
      <c r="M2834" s="971"/>
      <c r="N2834" s="535"/>
      <c r="P2834" s="500"/>
    </row>
    <row r="2835" spans="1:16" s="547" customFormat="1" ht="16.5" customHeight="1" x14ac:dyDescent="0.25">
      <c r="A2835" s="352"/>
      <c r="B2835" s="1242"/>
      <c r="C2835" s="4031" t="s">
        <v>4007</v>
      </c>
      <c r="D2835" s="4217">
        <v>200000000</v>
      </c>
      <c r="E2835" s="1070">
        <f>D2835/D2528*100</f>
        <v>0.13653891944273389</v>
      </c>
      <c r="F2835" s="1043"/>
      <c r="G2835" s="963"/>
      <c r="H2835" s="963"/>
      <c r="I2835" s="963"/>
      <c r="J2835" s="1914"/>
      <c r="K2835" s="963"/>
      <c r="L2835" s="963"/>
      <c r="M2835" s="963"/>
      <c r="N2835" s="535"/>
      <c r="P2835" s="500"/>
    </row>
    <row r="2836" spans="1:16" s="547" customFormat="1" ht="17.25" customHeight="1" x14ac:dyDescent="0.25">
      <c r="A2836" s="352"/>
      <c r="B2836" s="1242"/>
      <c r="C2836" s="4031" t="s">
        <v>4008</v>
      </c>
      <c r="D2836" s="4217">
        <v>200000000</v>
      </c>
      <c r="E2836" s="1070">
        <f>D2836/D2528*100</f>
        <v>0.13653891944273389</v>
      </c>
      <c r="F2836" s="1043"/>
      <c r="G2836" s="963"/>
      <c r="H2836" s="1310"/>
      <c r="I2836" s="1314"/>
      <c r="J2836" s="1914"/>
      <c r="K2836" s="1312"/>
      <c r="L2836" s="1310"/>
      <c r="M2836" s="1312"/>
      <c r="N2836" s="535"/>
      <c r="P2836" s="500"/>
    </row>
    <row r="2837" spans="1:16" s="547" customFormat="1" ht="16.5" customHeight="1" x14ac:dyDescent="0.25">
      <c r="A2837" s="352"/>
      <c r="B2837" s="1242"/>
      <c r="C2837" s="4031" t="s">
        <v>4009</v>
      </c>
      <c r="D2837" s="4217">
        <v>309320000</v>
      </c>
      <c r="E2837" s="1070">
        <f>D2837/D2528*100</f>
        <v>0.21117109281013222</v>
      </c>
      <c r="F2837" s="1043"/>
      <c r="G2837" s="963"/>
      <c r="H2837" s="963"/>
      <c r="I2837" s="963"/>
      <c r="J2837" s="1914"/>
      <c r="K2837" s="1312"/>
      <c r="L2837" s="1310"/>
      <c r="M2837" s="1312"/>
      <c r="N2837" s="535"/>
      <c r="P2837" s="500"/>
    </row>
    <row r="2838" spans="1:16" s="547" customFormat="1" ht="14.25" customHeight="1" x14ac:dyDescent="0.25">
      <c r="A2838" s="352"/>
      <c r="B2838" s="1242"/>
      <c r="C2838" s="4031" t="s">
        <v>4010</v>
      </c>
      <c r="D2838" s="4217">
        <v>200000000</v>
      </c>
      <c r="E2838" s="1070">
        <f>D2838/D2528*100</f>
        <v>0.13653891944273389</v>
      </c>
      <c r="F2838" s="1043"/>
      <c r="G2838" s="963"/>
      <c r="H2838" s="963"/>
      <c r="I2838" s="963"/>
      <c r="J2838" s="1914"/>
      <c r="K2838" s="1312"/>
      <c r="L2838" s="1310"/>
      <c r="M2838" s="1312"/>
      <c r="N2838" s="535"/>
      <c r="P2838" s="500"/>
    </row>
    <row r="2839" spans="1:16" s="547" customFormat="1" ht="12" customHeight="1" x14ac:dyDescent="0.25">
      <c r="A2839" s="352"/>
      <c r="B2839" s="1242"/>
      <c r="C2839" s="4031"/>
      <c r="D2839" s="4217"/>
      <c r="E2839" s="1070"/>
      <c r="F2839" s="1043"/>
      <c r="G2839" s="1044"/>
      <c r="H2839" s="1310"/>
      <c r="I2839" s="1314"/>
      <c r="J2839" s="1311"/>
      <c r="K2839" s="1311"/>
      <c r="L2839" s="2202"/>
      <c r="M2839" s="1311"/>
      <c r="N2839" s="535"/>
      <c r="P2839" s="500"/>
    </row>
    <row r="2840" spans="1:16" s="547" customFormat="1" ht="16.5" customHeight="1" x14ac:dyDescent="0.25">
      <c r="A2840" s="352"/>
      <c r="B2840" s="1242"/>
      <c r="C2840" s="3944" t="s">
        <v>4012</v>
      </c>
      <c r="D2840" s="4267">
        <f>SUM(D2841:D2845)</f>
        <v>1450000000</v>
      </c>
      <c r="E2840" s="1023">
        <f>D2840/D2528*100</f>
        <v>0.98990716595982065</v>
      </c>
      <c r="F2840" s="1033"/>
      <c r="G2840" s="965"/>
      <c r="H2840" s="1308"/>
      <c r="I2840" s="1316"/>
      <c r="J2840" s="1912"/>
      <c r="K2840" s="1912"/>
      <c r="L2840" s="2410"/>
      <c r="M2840" s="1650"/>
      <c r="N2840" s="535"/>
      <c r="P2840" s="500"/>
    </row>
    <row r="2841" spans="1:16" s="547" customFormat="1" ht="18.75" customHeight="1" x14ac:dyDescent="0.25">
      <c r="A2841" s="352"/>
      <c r="B2841" s="1242"/>
      <c r="C2841" s="4031" t="s">
        <v>4013</v>
      </c>
      <c r="D2841" s="4217">
        <v>350000000</v>
      </c>
      <c r="E2841" s="1070">
        <f>D2841/D2528*100</f>
        <v>0.23894310902478427</v>
      </c>
      <c r="F2841" s="1043"/>
      <c r="G2841" s="963"/>
      <c r="H2841" s="1310"/>
      <c r="I2841" s="1111"/>
      <c r="J2841" s="1914"/>
      <c r="K2841" s="1312"/>
      <c r="L2841" s="1310"/>
      <c r="M2841" s="1312"/>
      <c r="N2841" s="535"/>
      <c r="P2841" s="500"/>
    </row>
    <row r="2842" spans="1:16" s="547" customFormat="1" ht="14.25" customHeight="1" x14ac:dyDescent="0.25">
      <c r="A2842" s="352"/>
      <c r="B2842" s="1242"/>
      <c r="C2842" s="4031" t="s">
        <v>4014</v>
      </c>
      <c r="D2842" s="4217">
        <v>200000000</v>
      </c>
      <c r="E2842" s="1070">
        <f>D2842/D2528*100</f>
        <v>0.13653891944273389</v>
      </c>
      <c r="F2842" s="1043"/>
      <c r="G2842" s="1043"/>
      <c r="H2842" s="1310"/>
      <c r="I2842" s="1111"/>
      <c r="J2842" s="1914"/>
      <c r="K2842" s="1312"/>
      <c r="L2842" s="1310"/>
      <c r="M2842" s="1312"/>
      <c r="N2842" s="535"/>
      <c r="P2842" s="500"/>
    </row>
    <row r="2843" spans="1:16" s="547" customFormat="1" ht="15.75" customHeight="1" x14ac:dyDescent="0.25">
      <c r="A2843" s="352"/>
      <c r="B2843" s="1242"/>
      <c r="C2843" s="4031" t="s">
        <v>4015</v>
      </c>
      <c r="D2843" s="4217">
        <v>100000000</v>
      </c>
      <c r="E2843" s="1070">
        <f>D2843/D2528*100</f>
        <v>6.8269459721366943E-2</v>
      </c>
      <c r="F2843" s="1043"/>
      <c r="G2843" s="963"/>
      <c r="H2843" s="1310"/>
      <c r="I2843" s="1111"/>
      <c r="J2843" s="1914"/>
      <c r="K2843" s="1312"/>
      <c r="L2843" s="1310"/>
      <c r="M2843" s="1312"/>
      <c r="N2843" s="535"/>
      <c r="P2843" s="500"/>
    </row>
    <row r="2844" spans="1:16" s="547" customFormat="1" ht="14.25" customHeight="1" x14ac:dyDescent="0.25">
      <c r="A2844" s="352"/>
      <c r="B2844" s="1242"/>
      <c r="C2844" s="4031" t="s">
        <v>4016</v>
      </c>
      <c r="D2844" s="4217">
        <v>200000000</v>
      </c>
      <c r="E2844" s="1070">
        <f>D2844/D2528*100</f>
        <v>0.13653891944273389</v>
      </c>
      <c r="F2844" s="1043"/>
      <c r="G2844" s="963"/>
      <c r="H2844" s="963"/>
      <c r="I2844" s="963"/>
      <c r="J2844" s="1914"/>
      <c r="K2844" s="1312"/>
      <c r="L2844" s="1310"/>
      <c r="M2844" s="1312"/>
      <c r="N2844" s="535"/>
      <c r="P2844" s="500"/>
    </row>
    <row r="2845" spans="1:16" s="547" customFormat="1" ht="15.75" customHeight="1" x14ac:dyDescent="0.25">
      <c r="A2845" s="352"/>
      <c r="B2845" s="1242"/>
      <c r="C2845" s="3940" t="s">
        <v>4017</v>
      </c>
      <c r="D2845" s="666">
        <v>600000000</v>
      </c>
      <c r="E2845" s="1070">
        <f>D2845/D2528*100</f>
        <v>0.4096167583282016</v>
      </c>
      <c r="F2845" s="939"/>
      <c r="G2845" s="3497"/>
      <c r="H2845" s="880"/>
      <c r="I2845" s="894"/>
      <c r="J2845" s="1315"/>
      <c r="K2845" s="1315"/>
      <c r="L2845" s="2429"/>
      <c r="M2845" s="1315"/>
      <c r="N2845" s="535"/>
      <c r="P2845" s="500"/>
    </row>
    <row r="2846" spans="1:16" s="3504" customFormat="1" ht="12" customHeight="1" x14ac:dyDescent="0.25">
      <c r="A2846" s="352"/>
      <c r="B2846" s="1242"/>
      <c r="C2846" s="4033"/>
      <c r="D2846" s="671"/>
      <c r="E2846" s="1038"/>
      <c r="F2846" s="1038"/>
      <c r="G2846" s="1042"/>
      <c r="H2846" s="2255"/>
      <c r="I2846" s="791"/>
      <c r="J2846" s="2182"/>
      <c r="K2846" s="2182"/>
      <c r="L2846" s="2424"/>
      <c r="M2846" s="2182"/>
      <c r="N2846" s="535"/>
      <c r="P2846" s="500"/>
    </row>
    <row r="2847" spans="1:16" ht="16.5" customHeight="1" x14ac:dyDescent="0.25">
      <c r="B2847" s="1305"/>
      <c r="C2847" s="4024" t="s">
        <v>4018</v>
      </c>
      <c r="D2847" s="4266">
        <f>SUM(D2848)</f>
        <v>2650000000</v>
      </c>
      <c r="E2847" s="1039">
        <f>D2847/D2528*100</f>
        <v>1.809140682616224</v>
      </c>
      <c r="F2847" s="1030"/>
      <c r="G2847" s="765"/>
      <c r="H2847" s="765"/>
      <c r="I2847" s="765"/>
      <c r="J2847" s="1911"/>
      <c r="K2847" s="1911"/>
      <c r="L2847" s="2417"/>
      <c r="M2847" s="1307"/>
      <c r="N2847" s="535"/>
    </row>
    <row r="2848" spans="1:16" ht="18" customHeight="1" x14ac:dyDescent="0.25">
      <c r="B2848" s="2907"/>
      <c r="C2848" s="3944" t="s">
        <v>4098</v>
      </c>
      <c r="D2848" s="4267">
        <f>SUM(D2849:D2854)</f>
        <v>2650000000</v>
      </c>
      <c r="E2848" s="1025">
        <f>D2848/D2528*100</f>
        <v>1.809140682616224</v>
      </c>
      <c r="F2848" s="1033"/>
      <c r="G2848" s="963"/>
      <c r="H2848" s="963"/>
      <c r="I2848" s="963"/>
      <c r="J2848" s="1912"/>
      <c r="K2848" s="1912"/>
      <c r="L2848" s="3507"/>
      <c r="M2848" s="2261"/>
      <c r="N2848" s="535"/>
    </row>
    <row r="2849" spans="1:16" ht="15.75" customHeight="1" x14ac:dyDescent="0.25">
      <c r="B2849" s="2907"/>
      <c r="C2849" s="4031" t="s">
        <v>4100</v>
      </c>
      <c r="D2849" s="4217">
        <v>850000000</v>
      </c>
      <c r="E2849" s="939">
        <f>D2849/D2528*100</f>
        <v>0.58029040763161899</v>
      </c>
      <c r="F2849" s="1043"/>
      <c r="G2849" s="963"/>
      <c r="H2849" s="963"/>
      <c r="I2849" s="963"/>
      <c r="J2849" s="1914"/>
      <c r="K2849" s="1717"/>
      <c r="L2849" s="880"/>
      <c r="M2849" s="1717"/>
      <c r="N2849" s="535"/>
    </row>
    <row r="2850" spans="1:16" s="547" customFormat="1" ht="15.75" customHeight="1" x14ac:dyDescent="0.25">
      <c r="A2850" s="352"/>
      <c r="B2850" s="2904"/>
      <c r="C2850" s="4031" t="s">
        <v>4099</v>
      </c>
      <c r="D2850" s="4217">
        <v>200000000</v>
      </c>
      <c r="E2850" s="939">
        <f>D2850/D2528*100</f>
        <v>0.13653891944273389</v>
      </c>
      <c r="F2850" s="1043"/>
      <c r="G2850" s="1037"/>
      <c r="H2850" s="3528"/>
      <c r="I2850" s="1037"/>
      <c r="J2850" s="1315"/>
      <c r="K2850" s="1315"/>
      <c r="L2850" s="1315"/>
      <c r="M2850" s="1315"/>
      <c r="N2850" s="535"/>
      <c r="P2850" s="500"/>
    </row>
    <row r="2851" spans="1:16" s="3504" customFormat="1" ht="12.75" customHeight="1" x14ac:dyDescent="0.25">
      <c r="A2851" s="352"/>
      <c r="B2851" s="1242"/>
      <c r="C2851" s="4031" t="s">
        <v>4101</v>
      </c>
      <c r="D2851" s="4217">
        <v>700000000</v>
      </c>
      <c r="E2851" s="939">
        <f>D2851/D2528*100</f>
        <v>0.47788621804956855</v>
      </c>
      <c r="F2851" s="1043"/>
      <c r="G2851" s="1037"/>
      <c r="H2851" s="3528"/>
      <c r="I2851" s="1037"/>
      <c r="J2851" s="1315"/>
      <c r="K2851" s="1315"/>
      <c r="L2851" s="1315"/>
      <c r="M2851" s="1315"/>
      <c r="N2851" s="535"/>
      <c r="P2851" s="500"/>
    </row>
    <row r="2852" spans="1:16" s="3504" customFormat="1" ht="17.25" customHeight="1" x14ac:dyDescent="0.25">
      <c r="A2852" s="352"/>
      <c r="B2852" s="1242"/>
      <c r="C2852" s="4031" t="s">
        <v>4102</v>
      </c>
      <c r="D2852" s="4217">
        <v>350000000</v>
      </c>
      <c r="E2852" s="939">
        <f>D2852/D2528*100</f>
        <v>0.23894310902478427</v>
      </c>
      <c r="F2852" s="1043"/>
      <c r="G2852" s="1037"/>
      <c r="H2852" s="3528"/>
      <c r="I2852" s="1037"/>
      <c r="J2852" s="1315"/>
      <c r="K2852" s="1315"/>
      <c r="L2852" s="1315"/>
      <c r="M2852" s="1315"/>
      <c r="N2852" s="535"/>
      <c r="P2852" s="500"/>
    </row>
    <row r="2853" spans="1:16" s="3504" customFormat="1" ht="14.25" customHeight="1" x14ac:dyDescent="0.25">
      <c r="A2853" s="352"/>
      <c r="B2853" s="1242"/>
      <c r="C2853" s="4031" t="s">
        <v>4103</v>
      </c>
      <c r="D2853" s="4217">
        <v>350000000</v>
      </c>
      <c r="E2853" s="939">
        <f>D2853/D2528*100</f>
        <v>0.23894310902478427</v>
      </c>
      <c r="F2853" s="1043"/>
      <c r="G2853" s="1037"/>
      <c r="H2853" s="3528"/>
      <c r="I2853" s="1037"/>
      <c r="J2853" s="1315"/>
      <c r="K2853" s="1315"/>
      <c r="L2853" s="1315"/>
      <c r="M2853" s="1315"/>
      <c r="N2853" s="535"/>
      <c r="P2853" s="500"/>
    </row>
    <row r="2854" spans="1:16" s="3504" customFormat="1" ht="14.25" customHeight="1" x14ac:dyDescent="0.25">
      <c r="A2854" s="352"/>
      <c r="B2854" s="1242"/>
      <c r="C2854" s="4031" t="s">
        <v>4104</v>
      </c>
      <c r="D2854" s="4217">
        <v>200000000</v>
      </c>
      <c r="E2854" s="939">
        <f>D2854/D2528*100</f>
        <v>0.13653891944273389</v>
      </c>
      <c r="F2854" s="1043"/>
      <c r="G2854" s="1037"/>
      <c r="H2854" s="3528"/>
      <c r="I2854" s="1037"/>
      <c r="J2854" s="1315"/>
      <c r="K2854" s="1315"/>
      <c r="L2854" s="1315"/>
      <c r="M2854" s="1315"/>
      <c r="N2854" s="535"/>
      <c r="P2854" s="500"/>
    </row>
    <row r="2855" spans="1:16" s="3504" customFormat="1" ht="14.25" customHeight="1" x14ac:dyDescent="0.25">
      <c r="A2855" s="352"/>
      <c r="B2855" s="1242"/>
      <c r="C2855" s="4034"/>
      <c r="D2855" s="4269"/>
      <c r="E2855" s="1038"/>
      <c r="F2855" s="1045"/>
      <c r="G2855" s="1032"/>
      <c r="H2855" s="2425"/>
      <c r="I2855" s="1032"/>
      <c r="J2855" s="2182"/>
      <c r="K2855" s="2182"/>
      <c r="L2855" s="2182"/>
      <c r="M2855" s="2182"/>
      <c r="N2855" s="535"/>
      <c r="P2855" s="500"/>
    </row>
    <row r="2856" spans="1:16" ht="16.5" customHeight="1" x14ac:dyDescent="0.25">
      <c r="B2856" s="1305"/>
      <c r="C2856" s="4024" t="s">
        <v>4019</v>
      </c>
      <c r="D2856" s="4266">
        <f>SUM(D2857+D2862+D2865)</f>
        <v>2375000000</v>
      </c>
      <c r="E2856" s="1039">
        <f>D2856/D2528*100</f>
        <v>1.6213996683824647</v>
      </c>
      <c r="F2856" s="1030"/>
      <c r="G2856" s="1030"/>
      <c r="H2856" s="765"/>
      <c r="I2856" s="765"/>
      <c r="J2856" s="1911"/>
      <c r="K2856" s="1911"/>
      <c r="L2856" s="2417"/>
      <c r="M2856" s="1726"/>
      <c r="N2856" s="535"/>
    </row>
    <row r="2857" spans="1:16" ht="16.5" customHeight="1" x14ac:dyDescent="0.25">
      <c r="B2857" s="1242"/>
      <c r="C2857" s="3941" t="s">
        <v>4020</v>
      </c>
      <c r="D2857" s="3496">
        <f>SUM(D2858:D2860)</f>
        <v>1375000000</v>
      </c>
      <c r="E2857" s="1023">
        <f>D2857/D2528*100</f>
        <v>0.93870507116879542</v>
      </c>
      <c r="F2857" s="1046"/>
      <c r="G2857" s="965"/>
      <c r="H2857" s="965"/>
      <c r="I2857" s="965"/>
      <c r="J2857" s="1915"/>
      <c r="K2857" s="1915"/>
      <c r="L2857" s="2410"/>
      <c r="M2857" s="1728"/>
      <c r="N2857" s="535"/>
    </row>
    <row r="2858" spans="1:16" ht="18" customHeight="1" x14ac:dyDescent="0.25">
      <c r="B2858" s="1242"/>
      <c r="C2858" s="3940" t="s">
        <v>4021</v>
      </c>
      <c r="D2858" s="666">
        <v>500000000</v>
      </c>
      <c r="E2858" s="1070">
        <f>D2858/D2528*100</f>
        <v>0.34134729860683471</v>
      </c>
      <c r="F2858" s="939"/>
      <c r="G2858" s="963"/>
      <c r="H2858" s="963"/>
      <c r="I2858" s="963"/>
      <c r="J2858" s="1909"/>
      <c r="K2858" s="1753"/>
      <c r="L2858" s="2411"/>
      <c r="M2858" s="1716"/>
      <c r="N2858" s="535"/>
    </row>
    <row r="2859" spans="1:16" ht="17.25" customHeight="1" x14ac:dyDescent="0.25">
      <c r="B2859" s="1242"/>
      <c r="C2859" s="3940" t="s">
        <v>4022</v>
      </c>
      <c r="D2859" s="666">
        <v>500000000</v>
      </c>
      <c r="E2859" s="1070">
        <f>D2859/D2528*100</f>
        <v>0.34134729860683471</v>
      </c>
      <c r="F2859" s="939"/>
      <c r="G2859" s="963"/>
      <c r="H2859" s="963"/>
      <c r="I2859" s="963"/>
      <c r="J2859" s="1909"/>
      <c r="K2859" s="1753"/>
      <c r="L2859" s="1310"/>
      <c r="M2859" s="1716"/>
      <c r="N2859" s="535"/>
    </row>
    <row r="2860" spans="1:16" s="547" customFormat="1" ht="17.25" customHeight="1" x14ac:dyDescent="0.25">
      <c r="A2860" s="352"/>
      <c r="B2860" s="1242"/>
      <c r="C2860" s="3940" t="s">
        <v>4023</v>
      </c>
      <c r="D2860" s="666">
        <v>375000000</v>
      </c>
      <c r="E2860" s="1070">
        <f>D2860/D2528*100</f>
        <v>0.25601047395512599</v>
      </c>
      <c r="F2860" s="939"/>
      <c r="G2860" s="963"/>
      <c r="H2860" s="963"/>
      <c r="I2860" s="963"/>
      <c r="J2860" s="1909"/>
      <c r="K2860" s="2225"/>
      <c r="L2860" s="1310"/>
      <c r="M2860" s="2271"/>
      <c r="N2860" s="535"/>
      <c r="P2860" s="500"/>
    </row>
    <row r="2861" spans="1:16" s="547" customFormat="1" ht="12" customHeight="1" x14ac:dyDescent="0.25">
      <c r="A2861" s="352"/>
      <c r="B2861" s="1242"/>
      <c r="C2861" s="3941"/>
      <c r="D2861" s="3496"/>
      <c r="E2861" s="1023"/>
      <c r="F2861" s="1046"/>
      <c r="G2861" s="798"/>
      <c r="H2861" s="755"/>
      <c r="I2861" s="802"/>
      <c r="J2861" s="1323"/>
      <c r="K2861" s="2225"/>
      <c r="L2861" s="2271"/>
      <c r="M2861" s="2271"/>
      <c r="N2861" s="535"/>
      <c r="P2861" s="500"/>
    </row>
    <row r="2862" spans="1:16" s="547" customFormat="1" ht="18.75" customHeight="1" x14ac:dyDescent="0.25">
      <c r="A2862" s="352"/>
      <c r="B2862" s="1242"/>
      <c r="C2862" s="3941" t="s">
        <v>4024</v>
      </c>
      <c r="D2862" s="3496">
        <f>SUM(D2863:D2863)</f>
        <v>300000000</v>
      </c>
      <c r="E2862" s="1023">
        <f>D2862/D2528*100</f>
        <v>0.2048083791641008</v>
      </c>
      <c r="F2862" s="1046"/>
      <c r="G2862" s="1379"/>
      <c r="H2862" s="753"/>
      <c r="I2862" s="803"/>
      <c r="J2862" s="1329"/>
      <c r="K2862" s="1329"/>
      <c r="L2862" s="2410"/>
      <c r="M2862" s="2426"/>
      <c r="N2862" s="535"/>
      <c r="P2862" s="500"/>
    </row>
    <row r="2863" spans="1:16" s="547" customFormat="1" ht="16.5" customHeight="1" x14ac:dyDescent="0.25">
      <c r="A2863" s="352"/>
      <c r="B2863" s="1242"/>
      <c r="C2863" s="3940" t="s">
        <v>4025</v>
      </c>
      <c r="D2863" s="666">
        <v>300000000</v>
      </c>
      <c r="E2863" s="1070">
        <f>D2863/D2528*100</f>
        <v>0.2048083791641008</v>
      </c>
      <c r="F2863" s="939"/>
      <c r="G2863" s="963"/>
      <c r="H2863" s="755"/>
      <c r="I2863" s="802"/>
      <c r="J2863" s="1909"/>
      <c r="K2863" s="2225"/>
      <c r="L2863" s="1310"/>
      <c r="M2863" s="2271"/>
      <c r="N2863" s="535"/>
      <c r="P2863" s="500"/>
    </row>
    <row r="2864" spans="1:16" s="3504" customFormat="1" ht="9.75" customHeight="1" x14ac:dyDescent="0.25">
      <c r="A2864" s="352"/>
      <c r="B2864" s="1242"/>
      <c r="C2864" s="4026"/>
      <c r="D2864" s="868"/>
      <c r="E2864" s="1038"/>
      <c r="F2864" s="1201"/>
      <c r="G2864" s="979"/>
      <c r="H2864" s="804"/>
      <c r="I2864" s="804"/>
      <c r="J2864" s="3521"/>
      <c r="K2864" s="2225"/>
      <c r="L2864" s="2174"/>
      <c r="M2864" s="2271"/>
      <c r="N2864" s="535"/>
      <c r="P2864" s="500"/>
    </row>
    <row r="2865" spans="1:16" s="3504" customFormat="1" ht="21" customHeight="1" x14ac:dyDescent="0.25">
      <c r="A2865" s="352"/>
      <c r="B2865" s="1242"/>
      <c r="C2865" s="4029" t="s">
        <v>4026</v>
      </c>
      <c r="D2865" s="3701">
        <f>SUM(D2866:D2867)</f>
        <v>700000000</v>
      </c>
      <c r="E2865" s="4114">
        <f>D2865/D2528*100</f>
        <v>0.47788621804956855</v>
      </c>
      <c r="F2865" s="939"/>
      <c r="G2865" s="963"/>
      <c r="H2865" s="755"/>
      <c r="I2865" s="755"/>
      <c r="J2865" s="3521"/>
      <c r="K2865" s="2225"/>
      <c r="L2865" s="2174"/>
      <c r="M2865" s="2271"/>
      <c r="N2865" s="535"/>
      <c r="P2865" s="500"/>
    </row>
    <row r="2866" spans="1:16" s="3504" customFormat="1" ht="16.5" customHeight="1" x14ac:dyDescent="0.25">
      <c r="A2866" s="352"/>
      <c r="B2866" s="1242"/>
      <c r="C2866" s="4026" t="s">
        <v>4027</v>
      </c>
      <c r="D2866" s="868">
        <v>450000000</v>
      </c>
      <c r="E2866" s="1070">
        <f>D2866/D2528*100</f>
        <v>0.30721256874615122</v>
      </c>
      <c r="F2866" s="939"/>
      <c r="G2866" s="963"/>
      <c r="H2866" s="755"/>
      <c r="I2866" s="755"/>
      <c r="J2866" s="3521"/>
      <c r="K2866" s="2225"/>
      <c r="L2866" s="2174"/>
      <c r="M2866" s="2271"/>
      <c r="N2866" s="535"/>
      <c r="P2866" s="500"/>
    </row>
    <row r="2867" spans="1:16" s="3504" customFormat="1" ht="16.5" customHeight="1" x14ac:dyDescent="0.25">
      <c r="A2867" s="352"/>
      <c r="B2867" s="1242"/>
      <c r="C2867" s="4026" t="s">
        <v>4028</v>
      </c>
      <c r="D2867" s="868">
        <v>250000000</v>
      </c>
      <c r="E2867" s="1070">
        <f>D2867/D2528*100</f>
        <v>0.17067364930341736</v>
      </c>
      <c r="F2867" s="939"/>
      <c r="G2867" s="963"/>
      <c r="H2867" s="755"/>
      <c r="I2867" s="755"/>
      <c r="J2867" s="3521"/>
      <c r="K2867" s="2225"/>
      <c r="L2867" s="2174"/>
      <c r="M2867" s="2271"/>
      <c r="N2867" s="535"/>
      <c r="P2867" s="500"/>
    </row>
    <row r="2868" spans="1:16" ht="12" customHeight="1" x14ac:dyDescent="0.25">
      <c r="B2868" s="1242"/>
      <c r="C2868" s="4029"/>
      <c r="D2868" s="3701"/>
      <c r="E2868" s="1038"/>
      <c r="F2868" s="1051"/>
      <c r="G2868" s="1032"/>
      <c r="H2868" s="2255"/>
      <c r="I2868" s="791"/>
      <c r="J2868" s="2175"/>
      <c r="K2868" s="2175"/>
      <c r="L2868" s="2175"/>
      <c r="M2868" s="2175"/>
      <c r="N2868" s="535"/>
    </row>
    <row r="2869" spans="1:16" ht="18" customHeight="1" x14ac:dyDescent="0.25">
      <c r="B2869" s="1305"/>
      <c r="C2869" s="4027" t="s">
        <v>4029</v>
      </c>
      <c r="D2869" s="669">
        <f>SUM(D2870+D2875+D2883)</f>
        <v>10372880000</v>
      </c>
      <c r="E2869" s="1039">
        <f>D2869/D2528*100</f>
        <v>7.081509133545727</v>
      </c>
      <c r="F2869" s="1039"/>
      <c r="G2869" s="765"/>
      <c r="H2869" s="765"/>
      <c r="I2869" s="765"/>
      <c r="J2869" s="1913"/>
      <c r="K2869" s="1913"/>
      <c r="L2869" s="2417"/>
      <c r="M2869" s="1307"/>
      <c r="N2869" s="535"/>
    </row>
    <row r="2870" spans="1:16" ht="18" customHeight="1" x14ac:dyDescent="0.25">
      <c r="B2870" s="1242"/>
      <c r="C2870" s="3943" t="s">
        <v>4030</v>
      </c>
      <c r="D2870" s="889">
        <f>SUM(D2871:D2873)</f>
        <v>2272880000</v>
      </c>
      <c r="E2870" s="1023">
        <f>D2870/D2528*100</f>
        <v>1.5516828961150049</v>
      </c>
      <c r="F2870" s="1023"/>
      <c r="G2870" s="965"/>
      <c r="H2870" s="965"/>
      <c r="I2870" s="965"/>
      <c r="J2870" s="1908"/>
      <c r="K2870" s="1908"/>
      <c r="L2870" s="2410"/>
      <c r="M2870" s="1659"/>
      <c r="N2870" s="535"/>
    </row>
    <row r="2871" spans="1:16" ht="14.25" customHeight="1" x14ac:dyDescent="0.25">
      <c r="B2871" s="1242"/>
      <c r="C2871" s="3940" t="s">
        <v>4031</v>
      </c>
      <c r="D2871" s="666">
        <v>1500000000</v>
      </c>
      <c r="E2871" s="1070">
        <f>D2871/D2528*100</f>
        <v>1.024041895820504</v>
      </c>
      <c r="F2871" s="939"/>
      <c r="G2871" s="963"/>
      <c r="H2871" s="963"/>
      <c r="I2871" s="963"/>
      <c r="J2871" s="1909"/>
      <c r="K2871" s="963"/>
      <c r="L2871" s="963"/>
      <c r="M2871" s="963"/>
      <c r="N2871" s="535"/>
    </row>
    <row r="2872" spans="1:16" ht="16.5" customHeight="1" x14ac:dyDescent="0.25">
      <c r="B2872" s="1242"/>
      <c r="C2872" s="3940" t="s">
        <v>4032</v>
      </c>
      <c r="D2872" s="666">
        <v>500000000</v>
      </c>
      <c r="E2872" s="1070">
        <f>D2872/D2528*100</f>
        <v>0.34134729860683471</v>
      </c>
      <c r="F2872" s="939"/>
      <c r="G2872" s="963"/>
      <c r="H2872" s="963"/>
      <c r="I2872" s="963"/>
      <c r="J2872" s="1909"/>
      <c r="K2872" s="2420"/>
      <c r="L2872" s="1310"/>
      <c r="M2872" s="1312"/>
      <c r="N2872" s="535"/>
    </row>
    <row r="2873" spans="1:16" ht="18" customHeight="1" x14ac:dyDescent="0.25">
      <c r="B2873" s="1242"/>
      <c r="C2873" s="3940" t="s">
        <v>4033</v>
      </c>
      <c r="D2873" s="666">
        <v>272880000</v>
      </c>
      <c r="E2873" s="1070">
        <f>D2873/D2528*100</f>
        <v>0.1862937016876661</v>
      </c>
      <c r="F2873" s="939"/>
      <c r="G2873" s="963"/>
      <c r="H2873" s="963"/>
      <c r="I2873" s="963"/>
      <c r="J2873" s="1909"/>
      <c r="K2873" s="963"/>
      <c r="L2873" s="963"/>
      <c r="M2873" s="963"/>
      <c r="N2873" s="535"/>
    </row>
    <row r="2874" spans="1:16" ht="12" customHeight="1" x14ac:dyDescent="0.25">
      <c r="B2874" s="1242"/>
      <c r="C2874" s="4035"/>
      <c r="D2874" s="4270"/>
      <c r="E2874" s="1038"/>
      <c r="F2874" s="1048"/>
      <c r="G2874" s="1049"/>
      <c r="H2874" s="2255"/>
      <c r="I2874" s="791"/>
      <c r="J2874" s="2427"/>
      <c r="K2874" s="2175"/>
      <c r="L2874" s="1510"/>
      <c r="M2874" s="2175"/>
      <c r="N2874" s="535"/>
    </row>
    <row r="2875" spans="1:16" s="3504" customFormat="1" ht="16.5" customHeight="1" x14ac:dyDescent="0.25">
      <c r="A2875" s="352"/>
      <c r="B2875" s="1242"/>
      <c r="C2875" s="3944" t="s">
        <v>4034</v>
      </c>
      <c r="D2875" s="4267">
        <f>SUM(D2876:D2881)</f>
        <v>1600000000</v>
      </c>
      <c r="E2875" s="1023">
        <f>D2875/D2528*100</f>
        <v>1.0923113555418711</v>
      </c>
      <c r="F2875" s="1058"/>
      <c r="G2875" s="3522"/>
      <c r="H2875" s="880"/>
      <c r="I2875" s="894"/>
      <c r="J2875" s="2428"/>
      <c r="K2875" s="2182"/>
      <c r="L2875" s="2424"/>
      <c r="M2875" s="2182"/>
      <c r="N2875" s="535"/>
      <c r="P2875" s="500"/>
    </row>
    <row r="2876" spans="1:16" s="3504" customFormat="1" ht="14.25" customHeight="1" x14ac:dyDescent="0.25">
      <c r="A2876" s="352"/>
      <c r="B2876" s="1242"/>
      <c r="C2876" s="4031" t="s">
        <v>4035</v>
      </c>
      <c r="D2876" s="4217">
        <v>300000000</v>
      </c>
      <c r="E2876" s="1070">
        <f>D2876/D2528*100</f>
        <v>0.2048083791641008</v>
      </c>
      <c r="F2876" s="1058"/>
      <c r="G2876" s="3522"/>
      <c r="H2876" s="880"/>
      <c r="I2876" s="894"/>
      <c r="J2876" s="2428"/>
      <c r="K2876" s="2182"/>
      <c r="L2876" s="2424"/>
      <c r="M2876" s="2182"/>
      <c r="N2876" s="535"/>
      <c r="P2876" s="500"/>
    </row>
    <row r="2877" spans="1:16" s="3504" customFormat="1" ht="16.5" customHeight="1" x14ac:dyDescent="0.25">
      <c r="A2877" s="352"/>
      <c r="B2877" s="1242"/>
      <c r="C2877" s="4031" t="s">
        <v>4036</v>
      </c>
      <c r="D2877" s="4217">
        <v>250000000</v>
      </c>
      <c r="E2877" s="1070">
        <f>D2877/D2528*100</f>
        <v>0.17067364930341736</v>
      </c>
      <c r="F2877" s="1058"/>
      <c r="G2877" s="3522"/>
      <c r="H2877" s="880"/>
      <c r="I2877" s="894"/>
      <c r="J2877" s="2428"/>
      <c r="K2877" s="2182"/>
      <c r="L2877" s="2424"/>
      <c r="M2877" s="2182"/>
      <c r="N2877" s="535"/>
      <c r="P2877" s="500"/>
    </row>
    <row r="2878" spans="1:16" s="3504" customFormat="1" ht="15.75" customHeight="1" x14ac:dyDescent="0.25">
      <c r="A2878" s="352"/>
      <c r="B2878" s="1242"/>
      <c r="C2878" s="4031" t="s">
        <v>4037</v>
      </c>
      <c r="D2878" s="4217">
        <v>250000000</v>
      </c>
      <c r="E2878" s="1070">
        <f>D2878/D2528*100</f>
        <v>0.17067364930341736</v>
      </c>
      <c r="F2878" s="1058"/>
      <c r="G2878" s="3522"/>
      <c r="H2878" s="880"/>
      <c r="I2878" s="894"/>
      <c r="J2878" s="2428"/>
      <c r="K2878" s="2182"/>
      <c r="L2878" s="2424"/>
      <c r="M2878" s="2182"/>
      <c r="N2878" s="535"/>
      <c r="P2878" s="500"/>
    </row>
    <row r="2879" spans="1:16" s="3504" customFormat="1" ht="15.75" customHeight="1" x14ac:dyDescent="0.25">
      <c r="A2879" s="352"/>
      <c r="B2879" s="1242"/>
      <c r="C2879" s="4031" t="s">
        <v>4038</v>
      </c>
      <c r="D2879" s="4217">
        <v>250000000</v>
      </c>
      <c r="E2879" s="1070">
        <f>D2879/D2528*100</f>
        <v>0.17067364930341736</v>
      </c>
      <c r="F2879" s="1058"/>
      <c r="G2879" s="3522"/>
      <c r="H2879" s="880"/>
      <c r="I2879" s="894"/>
      <c r="J2879" s="2428"/>
      <c r="K2879" s="2182"/>
      <c r="L2879" s="2424"/>
      <c r="M2879" s="2182"/>
      <c r="N2879" s="535"/>
      <c r="P2879" s="500"/>
    </row>
    <row r="2880" spans="1:16" s="3504" customFormat="1" ht="15.75" customHeight="1" x14ac:dyDescent="0.25">
      <c r="A2880" s="352"/>
      <c r="B2880" s="1242"/>
      <c r="C2880" s="4031" t="s">
        <v>4039</v>
      </c>
      <c r="D2880" s="4217">
        <v>150000000</v>
      </c>
      <c r="E2880" s="1070">
        <f>D2880/D2528*100</f>
        <v>0.1024041895820504</v>
      </c>
      <c r="F2880" s="1058"/>
      <c r="G2880" s="3522"/>
      <c r="H2880" s="880"/>
      <c r="I2880" s="894"/>
      <c r="J2880" s="2428"/>
      <c r="K2880" s="2182"/>
      <c r="L2880" s="2424"/>
      <c r="M2880" s="2182"/>
      <c r="N2880" s="535"/>
      <c r="P2880" s="500"/>
    </row>
    <row r="2881" spans="1:16" s="3504" customFormat="1" ht="18.75" customHeight="1" x14ac:dyDescent="0.25">
      <c r="A2881" s="352"/>
      <c r="B2881" s="1242"/>
      <c r="C2881" s="4031" t="s">
        <v>4040</v>
      </c>
      <c r="D2881" s="4217">
        <v>400000000</v>
      </c>
      <c r="E2881" s="1070">
        <f>D2881/D2528*100</f>
        <v>0.27307783888546777</v>
      </c>
      <c r="F2881" s="1058"/>
      <c r="G2881" s="3522"/>
      <c r="H2881" s="880"/>
      <c r="I2881" s="894"/>
      <c r="J2881" s="2428"/>
      <c r="K2881" s="2182"/>
      <c r="L2881" s="2424"/>
      <c r="M2881" s="2182"/>
      <c r="N2881" s="535"/>
      <c r="P2881" s="500"/>
    </row>
    <row r="2882" spans="1:16" s="3504" customFormat="1" ht="12" customHeight="1" x14ac:dyDescent="0.25">
      <c r="A2882" s="352"/>
      <c r="B2882" s="1242"/>
      <c r="C2882" s="3944"/>
      <c r="D2882" s="4267"/>
      <c r="E2882" s="939"/>
      <c r="F2882" s="1058"/>
      <c r="G2882" s="3522"/>
      <c r="H2882" s="880"/>
      <c r="I2882" s="894"/>
      <c r="J2882" s="2428"/>
      <c r="K2882" s="2182"/>
      <c r="L2882" s="2424"/>
      <c r="M2882" s="2182"/>
      <c r="N2882" s="535"/>
      <c r="P2882" s="500"/>
    </row>
    <row r="2883" spans="1:16" s="3504" customFormat="1" ht="18" customHeight="1" x14ac:dyDescent="0.25">
      <c r="A2883" s="352"/>
      <c r="B2883" s="1242"/>
      <c r="C2883" s="3944" t="s">
        <v>4041</v>
      </c>
      <c r="D2883" s="4267">
        <f>SUM(D2884:D2901)</f>
        <v>6500000000</v>
      </c>
      <c r="E2883" s="1023">
        <f>D2883/D2528*100</f>
        <v>4.437514881888851</v>
      </c>
      <c r="F2883" s="1058"/>
      <c r="G2883" s="3522"/>
      <c r="H2883" s="880"/>
      <c r="I2883" s="894"/>
      <c r="J2883" s="2428"/>
      <c r="K2883" s="2182"/>
      <c r="L2883" s="2424"/>
      <c r="M2883" s="2182"/>
      <c r="N2883" s="535"/>
      <c r="P2883" s="500"/>
    </row>
    <row r="2884" spans="1:16" s="3504" customFormat="1" ht="20.25" customHeight="1" x14ac:dyDescent="0.25">
      <c r="A2884" s="352"/>
      <c r="B2884" s="1242"/>
      <c r="C2884" s="4031" t="s">
        <v>4042</v>
      </c>
      <c r="D2884" s="4217">
        <v>400000000</v>
      </c>
      <c r="E2884" s="1070">
        <f>D2884/D2528*100</f>
        <v>0.27307783888546777</v>
      </c>
      <c r="F2884" s="1058"/>
      <c r="G2884" s="3522"/>
      <c r="H2884" s="880"/>
      <c r="I2884" s="894"/>
      <c r="J2884" s="2428"/>
      <c r="K2884" s="2182"/>
      <c r="L2884" s="2424"/>
      <c r="M2884" s="2182"/>
      <c r="N2884" s="535"/>
      <c r="P2884" s="500"/>
    </row>
    <row r="2885" spans="1:16" s="3504" customFormat="1" ht="18.75" customHeight="1" x14ac:dyDescent="0.25">
      <c r="A2885" s="352"/>
      <c r="B2885" s="1242"/>
      <c r="C2885" s="4031" t="s">
        <v>4043</v>
      </c>
      <c r="D2885" s="4217">
        <v>400000000</v>
      </c>
      <c r="E2885" s="1070">
        <f>D2885/D2528*100</f>
        <v>0.27307783888546777</v>
      </c>
      <c r="F2885" s="1058"/>
      <c r="G2885" s="3522"/>
      <c r="H2885" s="880"/>
      <c r="I2885" s="894"/>
      <c r="J2885" s="2428"/>
      <c r="K2885" s="2182"/>
      <c r="L2885" s="2424"/>
      <c r="M2885" s="2182"/>
      <c r="N2885" s="535"/>
      <c r="P2885" s="500"/>
    </row>
    <row r="2886" spans="1:16" s="3504" customFormat="1" ht="18" customHeight="1" x14ac:dyDescent="0.25">
      <c r="A2886" s="352"/>
      <c r="B2886" s="1242"/>
      <c r="C2886" s="4031" t="s">
        <v>4044</v>
      </c>
      <c r="D2886" s="4217">
        <v>500000000</v>
      </c>
      <c r="E2886" s="1070">
        <f>D2886/D2528*100</f>
        <v>0.34134729860683471</v>
      </c>
      <c r="F2886" s="1058"/>
      <c r="G2886" s="3522"/>
      <c r="H2886" s="880"/>
      <c r="I2886" s="894"/>
      <c r="J2886" s="2428"/>
      <c r="K2886" s="2182"/>
      <c r="L2886" s="2424"/>
      <c r="M2886" s="2182"/>
      <c r="N2886" s="535"/>
      <c r="P2886" s="500"/>
    </row>
    <row r="2887" spans="1:16" s="3504" customFormat="1" ht="18.75" customHeight="1" x14ac:dyDescent="0.25">
      <c r="A2887" s="352"/>
      <c r="B2887" s="1242"/>
      <c r="C2887" s="4031" t="s">
        <v>4045</v>
      </c>
      <c r="D2887" s="4217">
        <v>200000000</v>
      </c>
      <c r="E2887" s="1070">
        <f>D2887/D2528*100</f>
        <v>0.13653891944273389</v>
      </c>
      <c r="F2887" s="1058"/>
      <c r="G2887" s="3522"/>
      <c r="H2887" s="880"/>
      <c r="I2887" s="894"/>
      <c r="J2887" s="2428"/>
      <c r="K2887" s="2182"/>
      <c r="L2887" s="2424"/>
      <c r="M2887" s="2182"/>
      <c r="N2887" s="535"/>
      <c r="P2887" s="500"/>
    </row>
    <row r="2888" spans="1:16" s="3504" customFormat="1" ht="17.25" customHeight="1" x14ac:dyDescent="0.25">
      <c r="A2888" s="352"/>
      <c r="B2888" s="1242"/>
      <c r="C2888" s="4031" t="s">
        <v>4046</v>
      </c>
      <c r="D2888" s="4217">
        <v>500000000</v>
      </c>
      <c r="E2888" s="1070">
        <f>D2888/D2528*100</f>
        <v>0.34134729860683471</v>
      </c>
      <c r="F2888" s="1058"/>
      <c r="G2888" s="3522"/>
      <c r="H2888" s="880"/>
      <c r="I2888" s="894"/>
      <c r="J2888" s="2428"/>
      <c r="K2888" s="2182"/>
      <c r="L2888" s="2424"/>
      <c r="M2888" s="2182"/>
      <c r="N2888" s="535"/>
      <c r="P2888" s="500"/>
    </row>
    <row r="2889" spans="1:16" s="3504" customFormat="1" ht="18.75" customHeight="1" x14ac:dyDescent="0.25">
      <c r="A2889" s="352"/>
      <c r="B2889" s="1242"/>
      <c r="C2889" s="4031" t="s">
        <v>4047</v>
      </c>
      <c r="D2889" s="4217">
        <v>500000000</v>
      </c>
      <c r="E2889" s="1070">
        <f>D2889/D2528*100</f>
        <v>0.34134729860683471</v>
      </c>
      <c r="F2889" s="1058"/>
      <c r="G2889" s="3522"/>
      <c r="H2889" s="880"/>
      <c r="I2889" s="894"/>
      <c r="J2889" s="2428"/>
      <c r="K2889" s="2182"/>
      <c r="L2889" s="2424"/>
      <c r="M2889" s="2182"/>
      <c r="N2889" s="535"/>
      <c r="P2889" s="500"/>
    </row>
    <row r="2890" spans="1:16" s="3504" customFormat="1" ht="18.75" customHeight="1" x14ac:dyDescent="0.25">
      <c r="A2890" s="352"/>
      <c r="B2890" s="1242"/>
      <c r="C2890" s="4031" t="s">
        <v>4048</v>
      </c>
      <c r="D2890" s="4217">
        <v>500000000</v>
      </c>
      <c r="E2890" s="1070">
        <f>D2890/D2528*100</f>
        <v>0.34134729860683471</v>
      </c>
      <c r="F2890" s="1058"/>
      <c r="G2890" s="3522"/>
      <c r="H2890" s="880"/>
      <c r="I2890" s="894"/>
      <c r="J2890" s="2428"/>
      <c r="K2890" s="2182"/>
      <c r="L2890" s="2424"/>
      <c r="M2890" s="2182"/>
      <c r="N2890" s="535"/>
      <c r="P2890" s="500"/>
    </row>
    <row r="2891" spans="1:16" s="3504" customFormat="1" ht="18.75" customHeight="1" x14ac:dyDescent="0.25">
      <c r="A2891" s="352"/>
      <c r="B2891" s="1242"/>
      <c r="C2891" s="4031" t="s">
        <v>4049</v>
      </c>
      <c r="D2891" s="4217">
        <v>500000000</v>
      </c>
      <c r="E2891" s="1070">
        <f>D2891/D2528*100</f>
        <v>0.34134729860683471</v>
      </c>
      <c r="F2891" s="1058"/>
      <c r="G2891" s="3522"/>
      <c r="H2891" s="880"/>
      <c r="I2891" s="894"/>
      <c r="J2891" s="2428"/>
      <c r="K2891" s="2182"/>
      <c r="L2891" s="2424"/>
      <c r="M2891" s="2182"/>
      <c r="N2891" s="535"/>
      <c r="P2891" s="500"/>
    </row>
    <row r="2892" spans="1:16" s="3504" customFormat="1" ht="17.25" customHeight="1" x14ac:dyDescent="0.25">
      <c r="A2892" s="352"/>
      <c r="B2892" s="1242"/>
      <c r="C2892" s="4031" t="s">
        <v>4050</v>
      </c>
      <c r="D2892" s="4217">
        <v>500000000</v>
      </c>
      <c r="E2892" s="1070">
        <f>D2892/D2528*100</f>
        <v>0.34134729860683471</v>
      </c>
      <c r="F2892" s="1058"/>
      <c r="G2892" s="3522"/>
      <c r="H2892" s="880"/>
      <c r="I2892" s="894"/>
      <c r="J2892" s="2428"/>
      <c r="K2892" s="2182"/>
      <c r="L2892" s="2424"/>
      <c r="M2892" s="2182"/>
      <c r="N2892" s="535"/>
      <c r="P2892" s="500"/>
    </row>
    <row r="2893" spans="1:16" s="3504" customFormat="1" ht="21" customHeight="1" x14ac:dyDescent="0.25">
      <c r="A2893" s="352"/>
      <c r="B2893" s="1242"/>
      <c r="C2893" s="4031" t="s">
        <v>4051</v>
      </c>
      <c r="D2893" s="4217">
        <v>200000000</v>
      </c>
      <c r="E2893" s="1070">
        <f>D2893/D2528*100</f>
        <v>0.13653891944273389</v>
      </c>
      <c r="F2893" s="1058"/>
      <c r="G2893" s="3522"/>
      <c r="H2893" s="880"/>
      <c r="I2893" s="894"/>
      <c r="J2893" s="2428"/>
      <c r="K2893" s="2182"/>
      <c r="L2893" s="2424"/>
      <c r="M2893" s="2182"/>
      <c r="N2893" s="535"/>
      <c r="P2893" s="500"/>
    </row>
    <row r="2894" spans="1:16" s="3504" customFormat="1" ht="18.75" customHeight="1" x14ac:dyDescent="0.25">
      <c r="A2894" s="352"/>
      <c r="B2894" s="1242"/>
      <c r="C2894" s="4031" t="s">
        <v>4052</v>
      </c>
      <c r="D2894" s="4217">
        <v>250000000</v>
      </c>
      <c r="E2894" s="1070">
        <f>D2894/D2528*100</f>
        <v>0.17067364930341736</v>
      </c>
      <c r="F2894" s="1058"/>
      <c r="G2894" s="3522"/>
      <c r="H2894" s="880"/>
      <c r="I2894" s="894"/>
      <c r="J2894" s="2428"/>
      <c r="K2894" s="2182"/>
      <c r="L2894" s="2424"/>
      <c r="M2894" s="2182"/>
      <c r="N2894" s="535"/>
      <c r="P2894" s="500"/>
    </row>
    <row r="2895" spans="1:16" s="3504" customFormat="1" ht="18.75" customHeight="1" x14ac:dyDescent="0.25">
      <c r="A2895" s="352"/>
      <c r="B2895" s="1242"/>
      <c r="C2895" s="4031" t="s">
        <v>4053</v>
      </c>
      <c r="D2895" s="4217">
        <v>150000000</v>
      </c>
      <c r="E2895" s="1070">
        <f>D2895/D2528*100</f>
        <v>0.1024041895820504</v>
      </c>
      <c r="F2895" s="1058"/>
      <c r="G2895" s="3522"/>
      <c r="H2895" s="880"/>
      <c r="I2895" s="894"/>
      <c r="J2895" s="2428"/>
      <c r="K2895" s="2182"/>
      <c r="L2895" s="2424"/>
      <c r="M2895" s="2182"/>
      <c r="N2895" s="535"/>
      <c r="P2895" s="500"/>
    </row>
    <row r="2896" spans="1:16" s="3504" customFormat="1" ht="16.5" customHeight="1" x14ac:dyDescent="0.25">
      <c r="A2896" s="352"/>
      <c r="B2896" s="1242"/>
      <c r="C2896" s="4031" t="s">
        <v>4054</v>
      </c>
      <c r="D2896" s="4217">
        <v>300000000</v>
      </c>
      <c r="E2896" s="1070">
        <f>D2896/D2528*100</f>
        <v>0.2048083791641008</v>
      </c>
      <c r="F2896" s="1058"/>
      <c r="G2896" s="3522"/>
      <c r="H2896" s="880"/>
      <c r="I2896" s="894"/>
      <c r="J2896" s="2428"/>
      <c r="K2896" s="2182"/>
      <c r="L2896" s="2424"/>
      <c r="M2896" s="2182"/>
      <c r="N2896" s="535"/>
      <c r="P2896" s="500"/>
    </row>
    <row r="2897" spans="1:16" s="3504" customFormat="1" ht="14.25" customHeight="1" x14ac:dyDescent="0.25">
      <c r="A2897" s="352"/>
      <c r="B2897" s="1242"/>
      <c r="C2897" s="4031" t="s">
        <v>4055</v>
      </c>
      <c r="D2897" s="4217">
        <v>400000000</v>
      </c>
      <c r="E2897" s="1070">
        <f>D2897/D2528*100</f>
        <v>0.27307783888546777</v>
      </c>
      <c r="F2897" s="1058"/>
      <c r="G2897" s="3522"/>
      <c r="H2897" s="880"/>
      <c r="I2897" s="894"/>
      <c r="J2897" s="2428"/>
      <c r="K2897" s="2182"/>
      <c r="L2897" s="2424"/>
      <c r="M2897" s="2182"/>
      <c r="N2897" s="535"/>
      <c r="P2897" s="500"/>
    </row>
    <row r="2898" spans="1:16" s="3504" customFormat="1" ht="16.5" customHeight="1" x14ac:dyDescent="0.25">
      <c r="A2898" s="352"/>
      <c r="B2898" s="1242"/>
      <c r="C2898" s="4031" t="s">
        <v>4057</v>
      </c>
      <c r="D2898" s="4217">
        <v>300000000</v>
      </c>
      <c r="E2898" s="1070">
        <f>D2898/D2528*100</f>
        <v>0.2048083791641008</v>
      </c>
      <c r="F2898" s="1058"/>
      <c r="G2898" s="3522"/>
      <c r="H2898" s="880"/>
      <c r="I2898" s="894"/>
      <c r="J2898" s="2428"/>
      <c r="K2898" s="2182"/>
      <c r="L2898" s="2424"/>
      <c r="M2898" s="2182"/>
      <c r="N2898" s="535"/>
      <c r="P2898" s="500"/>
    </row>
    <row r="2899" spans="1:16" s="3504" customFormat="1" ht="18" customHeight="1" x14ac:dyDescent="0.25">
      <c r="A2899" s="352"/>
      <c r="B2899" s="1242"/>
      <c r="C2899" s="4031" t="s">
        <v>4056</v>
      </c>
      <c r="D2899" s="4217">
        <v>300000000</v>
      </c>
      <c r="E2899" s="1070">
        <f>D2899/D2528*100</f>
        <v>0.2048083791641008</v>
      </c>
      <c r="F2899" s="1058"/>
      <c r="G2899" s="3522"/>
      <c r="H2899" s="880"/>
      <c r="I2899" s="894"/>
      <c r="J2899" s="2428"/>
      <c r="K2899" s="2182"/>
      <c r="L2899" s="2424"/>
      <c r="M2899" s="2182"/>
      <c r="N2899" s="535"/>
      <c r="P2899" s="500"/>
    </row>
    <row r="2900" spans="1:16" s="3504" customFormat="1" ht="15.75" customHeight="1" x14ac:dyDescent="0.25">
      <c r="A2900" s="352"/>
      <c r="B2900" s="1242"/>
      <c r="C2900" s="4031" t="s">
        <v>4058</v>
      </c>
      <c r="D2900" s="4217">
        <v>100000000</v>
      </c>
      <c r="E2900" s="1070">
        <f>D2900/D2528*100</f>
        <v>6.8269459721366943E-2</v>
      </c>
      <c r="F2900" s="1058"/>
      <c r="G2900" s="3522"/>
      <c r="H2900" s="880"/>
      <c r="I2900" s="894"/>
      <c r="J2900" s="2428"/>
      <c r="K2900" s="2182"/>
      <c r="L2900" s="2424"/>
      <c r="M2900" s="2182"/>
      <c r="N2900" s="535"/>
      <c r="P2900" s="500"/>
    </row>
    <row r="2901" spans="1:16" s="3504" customFormat="1" ht="15.75" customHeight="1" x14ac:dyDescent="0.25">
      <c r="A2901" s="352"/>
      <c r="B2901" s="1242"/>
      <c r="C2901" s="4031" t="s">
        <v>4059</v>
      </c>
      <c r="D2901" s="4217">
        <v>500000000</v>
      </c>
      <c r="E2901" s="1070">
        <f>D2901/D2528*100</f>
        <v>0.34134729860683471</v>
      </c>
      <c r="F2901" s="1058"/>
      <c r="G2901" s="3522"/>
      <c r="H2901" s="880"/>
      <c r="I2901" s="894"/>
      <c r="J2901" s="2428"/>
      <c r="K2901" s="2182"/>
      <c r="L2901" s="2424"/>
      <c r="M2901" s="2182"/>
      <c r="N2901" s="535"/>
      <c r="P2901" s="500"/>
    </row>
    <row r="2902" spans="1:16" s="3504" customFormat="1" ht="12" customHeight="1" x14ac:dyDescent="0.25">
      <c r="A2902" s="352"/>
      <c r="B2902" s="1242"/>
      <c r="C2902" s="3523"/>
      <c r="D2902" s="4271"/>
      <c r="E2902" s="1071"/>
      <c r="F2902" s="3524"/>
      <c r="G2902" s="3525"/>
      <c r="H2902" s="3517"/>
      <c r="I2902" s="973"/>
      <c r="J2902" s="3526"/>
      <c r="K2902" s="2182"/>
      <c r="L2902" s="2424"/>
      <c r="M2902" s="2182"/>
      <c r="N2902" s="535"/>
      <c r="P2902" s="500"/>
    </row>
    <row r="2903" spans="1:16" s="547" customFormat="1" ht="18" customHeight="1" x14ac:dyDescent="0.25">
      <c r="A2903" s="352"/>
      <c r="B2903" s="1305"/>
      <c r="C2903" s="4027" t="s">
        <v>4060</v>
      </c>
      <c r="D2903" s="669">
        <f>SUM(D2904+D2913+D2919+D2928+D2936+D2945)</f>
        <v>9182200000</v>
      </c>
      <c r="E2903" s="1039">
        <f>D2903/D2528*100</f>
        <v>6.2686383305353548</v>
      </c>
      <c r="F2903" s="1050"/>
      <c r="G2903" s="1050"/>
      <c r="H2903" s="1306"/>
      <c r="I2903" s="1645"/>
      <c r="J2903" s="1107"/>
      <c r="K2903" s="1107"/>
      <c r="L2903" s="2417"/>
      <c r="M2903" s="1307"/>
      <c r="N2903" s="535"/>
      <c r="P2903" s="500"/>
    </row>
    <row r="2904" spans="1:16" s="547" customFormat="1" ht="17.25" customHeight="1" x14ac:dyDescent="0.25">
      <c r="A2904" s="352"/>
      <c r="B2904" s="1242"/>
      <c r="C2904" s="3942" t="s">
        <v>4061</v>
      </c>
      <c r="D2904" s="673">
        <f>SUM(D2905:D2911)</f>
        <v>1600000000</v>
      </c>
      <c r="E2904" s="1025">
        <f>D2904/D2528*100</f>
        <v>1.0923113555418711</v>
      </c>
      <c r="F2904" s="1052"/>
      <c r="G2904" s="965"/>
      <c r="H2904" s="1415"/>
      <c r="I2904" s="673"/>
      <c r="J2904" s="1118"/>
      <c r="K2904" s="1118"/>
      <c r="L2904" s="2410"/>
      <c r="M2904" s="2261"/>
      <c r="N2904" s="535"/>
      <c r="P2904" s="500"/>
    </row>
    <row r="2905" spans="1:16" s="547" customFormat="1" ht="21.75" customHeight="1" x14ac:dyDescent="0.25">
      <c r="A2905" s="352"/>
      <c r="B2905" s="1242"/>
      <c r="C2905" s="4026" t="s">
        <v>4062</v>
      </c>
      <c r="D2905" s="868">
        <v>250000000</v>
      </c>
      <c r="E2905" s="1070">
        <f>D2905/D2528*100</f>
        <v>0.17067364930341736</v>
      </c>
      <c r="F2905" s="1053"/>
      <c r="G2905" s="963"/>
      <c r="H2905" s="963"/>
      <c r="I2905" s="963"/>
      <c r="J2905" s="1916"/>
      <c r="K2905" s="963"/>
      <c r="L2905" s="963"/>
      <c r="M2905" s="963"/>
      <c r="N2905" s="535"/>
      <c r="P2905" s="1415"/>
    </row>
    <row r="2906" spans="1:16" s="547" customFormat="1" ht="29.25" customHeight="1" x14ac:dyDescent="0.25">
      <c r="A2906" s="352"/>
      <c r="B2906" s="1242"/>
      <c r="C2906" s="4026" t="s">
        <v>4063</v>
      </c>
      <c r="D2906" s="868">
        <v>150000000</v>
      </c>
      <c r="E2906" s="1070">
        <f>D2906/D2528*100</f>
        <v>0.1024041895820504</v>
      </c>
      <c r="F2906" s="1053"/>
      <c r="G2906" s="963"/>
      <c r="H2906" s="963"/>
      <c r="I2906" s="963"/>
      <c r="J2906" s="1916"/>
      <c r="K2906" s="1717"/>
      <c r="L2906" s="1310"/>
      <c r="M2906" s="1717"/>
      <c r="N2906" s="535"/>
      <c r="P2906" s="500"/>
    </row>
    <row r="2907" spans="1:16" s="547" customFormat="1" ht="28.5" customHeight="1" x14ac:dyDescent="0.25">
      <c r="A2907" s="352"/>
      <c r="B2907" s="1242"/>
      <c r="C2907" s="4026" t="s">
        <v>4064</v>
      </c>
      <c r="D2907" s="868">
        <v>250000000</v>
      </c>
      <c r="E2907" s="1070">
        <f>D2907/D2528*100</f>
        <v>0.17067364930341736</v>
      </c>
      <c r="F2907" s="1053"/>
      <c r="G2907" s="963"/>
      <c r="H2907" s="963"/>
      <c r="I2907" s="963"/>
      <c r="J2907" s="1916"/>
      <c r="K2907" s="963"/>
      <c r="L2907" s="963"/>
      <c r="M2907" s="963"/>
      <c r="N2907" s="535"/>
      <c r="P2907" s="500"/>
    </row>
    <row r="2908" spans="1:16" s="547" customFormat="1" ht="16.5" customHeight="1" x14ac:dyDescent="0.25">
      <c r="A2908" s="352"/>
      <c r="B2908" s="1242"/>
      <c r="C2908" s="4036" t="s">
        <v>4065</v>
      </c>
      <c r="D2908" s="4272">
        <v>500000000</v>
      </c>
      <c r="E2908" s="1070">
        <f>D2908/D2528*100</f>
        <v>0.34134729860683471</v>
      </c>
      <c r="F2908" s="1054"/>
      <c r="G2908" s="963"/>
      <c r="H2908" s="880"/>
      <c r="I2908" s="666"/>
      <c r="J2908" s="1917"/>
      <c r="K2908" s="1717"/>
      <c r="L2908" s="1310"/>
      <c r="M2908" s="1717"/>
      <c r="N2908" s="535"/>
      <c r="P2908" s="500"/>
    </row>
    <row r="2909" spans="1:16" s="547" customFormat="1" ht="18.75" customHeight="1" x14ac:dyDescent="0.25">
      <c r="A2909" s="352"/>
      <c r="B2909" s="1242"/>
      <c r="C2909" s="4036" t="s">
        <v>4066</v>
      </c>
      <c r="D2909" s="4272">
        <v>200000000</v>
      </c>
      <c r="E2909" s="1070">
        <f>D2909/D2528*100</f>
        <v>0.13653891944273389</v>
      </c>
      <c r="F2909" s="1054"/>
      <c r="G2909" s="963"/>
      <c r="H2909" s="963"/>
      <c r="I2909" s="963"/>
      <c r="J2909" s="1917"/>
      <c r="K2909" s="1717"/>
      <c r="L2909" s="1310"/>
      <c r="M2909" s="1717"/>
      <c r="N2909" s="535"/>
      <c r="P2909" s="500"/>
    </row>
    <row r="2910" spans="1:16" s="547" customFormat="1" ht="18" customHeight="1" x14ac:dyDescent="0.25">
      <c r="A2910" s="352"/>
      <c r="B2910" s="1242"/>
      <c r="C2910" s="4036" t="s">
        <v>4067</v>
      </c>
      <c r="D2910" s="4272">
        <v>150000000</v>
      </c>
      <c r="E2910" s="1070">
        <f>D2910/D2528*100</f>
        <v>0.1024041895820504</v>
      </c>
      <c r="F2910" s="1054"/>
      <c r="G2910" s="963"/>
      <c r="H2910" s="880"/>
      <c r="I2910" s="666"/>
      <c r="J2910" s="1917"/>
      <c r="K2910" s="1717"/>
      <c r="L2910" s="1310"/>
      <c r="M2910" s="1717"/>
      <c r="N2910" s="535"/>
      <c r="P2910" s="500"/>
    </row>
    <row r="2911" spans="1:16" s="547" customFormat="1" ht="18.75" customHeight="1" x14ac:dyDescent="0.25">
      <c r="A2911" s="352"/>
      <c r="B2911" s="1242"/>
      <c r="C2911" s="4036" t="s">
        <v>4068</v>
      </c>
      <c r="D2911" s="4272">
        <v>100000000</v>
      </c>
      <c r="E2911" s="1070">
        <f>D2911/D2528*100</f>
        <v>6.8269459721366943E-2</v>
      </c>
      <c r="F2911" s="1054"/>
      <c r="G2911" s="963"/>
      <c r="H2911" s="963"/>
      <c r="I2911" s="963"/>
      <c r="J2911" s="1917"/>
      <c r="K2911" s="1717"/>
      <c r="L2911" s="1310"/>
      <c r="M2911" s="1717"/>
      <c r="N2911" s="535"/>
      <c r="P2911" s="500"/>
    </row>
    <row r="2912" spans="1:16" s="547" customFormat="1" ht="11.25" customHeight="1" x14ac:dyDescent="0.25">
      <c r="A2912" s="352"/>
      <c r="B2912" s="1242"/>
      <c r="C2912" s="4036"/>
      <c r="D2912" s="4272"/>
      <c r="E2912" s="1070"/>
      <c r="F2912" s="1054"/>
      <c r="G2912" s="1044"/>
      <c r="H2912" s="880"/>
      <c r="I2912" s="894"/>
      <c r="J2912" s="2428"/>
      <c r="K2912" s="1315"/>
      <c r="L2912" s="2429"/>
      <c r="M2912" s="1315"/>
      <c r="N2912" s="535"/>
      <c r="P2912" s="500"/>
    </row>
    <row r="2913" spans="1:16" s="547" customFormat="1" ht="17.25" customHeight="1" x14ac:dyDescent="0.25">
      <c r="A2913" s="352"/>
      <c r="B2913" s="1242"/>
      <c r="C2913" s="4035" t="s">
        <v>4069</v>
      </c>
      <c r="D2913" s="4270">
        <f>SUM(D2914:D2917)</f>
        <v>450000000</v>
      </c>
      <c r="E2913" s="1023">
        <f>D2913/D2528*100</f>
        <v>0.30721256874615122</v>
      </c>
      <c r="F2913" s="1048"/>
      <c r="G2913" s="1379"/>
      <c r="H2913" s="1379"/>
      <c r="I2913" s="1379"/>
      <c r="J2913" s="1918"/>
      <c r="K2913" s="1918"/>
      <c r="L2913" s="2410"/>
      <c r="M2913" s="2261"/>
      <c r="N2913" s="535"/>
      <c r="P2913" s="500"/>
    </row>
    <row r="2914" spans="1:16" s="547" customFormat="1" ht="15.75" customHeight="1" x14ac:dyDescent="0.25">
      <c r="A2914" s="352"/>
      <c r="B2914" s="1242"/>
      <c r="C2914" s="4036" t="s">
        <v>4070</v>
      </c>
      <c r="D2914" s="4272">
        <v>150000000</v>
      </c>
      <c r="E2914" s="1070">
        <f>D2914/D2528*100</f>
        <v>0.1024041895820504</v>
      </c>
      <c r="F2914" s="1054"/>
      <c r="G2914" s="1044"/>
      <c r="H2914" s="1044"/>
      <c r="I2914" s="1044"/>
      <c r="J2914" s="1917"/>
      <c r="K2914" s="1717"/>
      <c r="L2914" s="2411"/>
      <c r="M2914" s="1717"/>
      <c r="N2914" s="535"/>
      <c r="P2914" s="500"/>
    </row>
    <row r="2915" spans="1:16" s="547" customFormat="1" ht="18" customHeight="1" x14ac:dyDescent="0.25">
      <c r="A2915" s="352"/>
      <c r="B2915" s="1242"/>
      <c r="C2915" s="4036" t="s">
        <v>4071</v>
      </c>
      <c r="D2915" s="4272">
        <v>100000000</v>
      </c>
      <c r="E2915" s="1070">
        <f>D2915/D2528*100</f>
        <v>6.8269459721366943E-2</v>
      </c>
      <c r="F2915" s="1048"/>
      <c r="G2915" s="1044"/>
      <c r="H2915" s="1044"/>
      <c r="I2915" s="1044"/>
      <c r="J2915" s="2428"/>
      <c r="K2915" s="1315"/>
      <c r="L2915" s="2429"/>
      <c r="M2915" s="1315"/>
      <c r="N2915" s="535"/>
      <c r="P2915" s="500"/>
    </row>
    <row r="2916" spans="1:16" s="547" customFormat="1" ht="18" customHeight="1" x14ac:dyDescent="0.25">
      <c r="A2916" s="352"/>
      <c r="B2916" s="1242"/>
      <c r="C2916" s="4036" t="s">
        <v>4072</v>
      </c>
      <c r="D2916" s="4272">
        <v>100000000</v>
      </c>
      <c r="E2916" s="1070">
        <f>D2916/D2528*100</f>
        <v>6.8269459721366943E-2</v>
      </c>
      <c r="F2916" s="1048"/>
      <c r="G2916" s="965"/>
      <c r="H2916" s="965"/>
      <c r="I2916" s="965"/>
      <c r="J2916" s="1918"/>
      <c r="K2916" s="965"/>
      <c r="L2916" s="965"/>
      <c r="M2916" s="965"/>
      <c r="N2916" s="535"/>
      <c r="P2916" s="500"/>
    </row>
    <row r="2917" spans="1:16" s="547" customFormat="1" ht="21.75" customHeight="1" x14ac:dyDescent="0.25">
      <c r="A2917" s="352"/>
      <c r="B2917" s="1242"/>
      <c r="C2917" s="4036" t="s">
        <v>4073</v>
      </c>
      <c r="D2917" s="4272">
        <v>100000000</v>
      </c>
      <c r="E2917" s="1070">
        <f>D2917/D2528*100</f>
        <v>6.8269459721366943E-2</v>
      </c>
      <c r="F2917" s="1054"/>
      <c r="G2917" s="1380"/>
      <c r="H2917" s="1380"/>
      <c r="I2917" s="1380"/>
      <c r="J2917" s="1917"/>
      <c r="K2917" s="1965"/>
      <c r="L2917" s="1380"/>
      <c r="M2917" s="1380"/>
      <c r="N2917" s="535"/>
      <c r="P2917" s="500"/>
    </row>
    <row r="2918" spans="1:16" s="547" customFormat="1" ht="12" customHeight="1" x14ac:dyDescent="0.25">
      <c r="A2918" s="352"/>
      <c r="B2918" s="1242"/>
      <c r="C2918" s="4035"/>
      <c r="D2918" s="4270"/>
      <c r="E2918" s="1023"/>
      <c r="F2918" s="1048"/>
      <c r="G2918" s="1044"/>
      <c r="H2918" s="880"/>
      <c r="I2918" s="894"/>
      <c r="J2918" s="2428"/>
      <c r="K2918" s="1315"/>
      <c r="L2918" s="2429"/>
      <c r="M2918" s="1315"/>
      <c r="N2918" s="535"/>
      <c r="P2918" s="500"/>
    </row>
    <row r="2919" spans="1:16" ht="17.25" customHeight="1" x14ac:dyDescent="0.25">
      <c r="B2919" s="1242"/>
      <c r="C2919" s="4035" t="s">
        <v>4075</v>
      </c>
      <c r="D2919" s="4270">
        <f>SUM(D2920:D2926)</f>
        <v>1475000000</v>
      </c>
      <c r="E2919" s="1023">
        <f>D2919/D2528*100</f>
        <v>1.0069745308901623</v>
      </c>
      <c r="F2919" s="1048"/>
      <c r="G2919" s="965"/>
      <c r="H2919" s="1415"/>
      <c r="I2919" s="673"/>
      <c r="J2919" s="1918"/>
      <c r="K2919" s="1918"/>
      <c r="L2919" s="2410"/>
      <c r="M2919" s="2261"/>
      <c r="N2919" s="535"/>
    </row>
    <row r="2920" spans="1:16" ht="18.75" customHeight="1" x14ac:dyDescent="0.25">
      <c r="B2920" s="1242"/>
      <c r="C2920" s="4036" t="s">
        <v>4074</v>
      </c>
      <c r="D2920" s="4272">
        <v>100000000</v>
      </c>
      <c r="E2920" s="1070">
        <f>D2920/D2528*100</f>
        <v>6.8269459721366943E-2</v>
      </c>
      <c r="F2920" s="1054"/>
      <c r="G2920" s="963"/>
      <c r="H2920" s="880"/>
      <c r="I2920" s="755"/>
      <c r="J2920" s="1917"/>
      <c r="K2920" s="2412"/>
      <c r="L2920" s="2411"/>
      <c r="M2920" s="2429"/>
      <c r="N2920" s="535"/>
    </row>
    <row r="2921" spans="1:16" ht="18" customHeight="1" x14ac:dyDescent="0.25">
      <c r="B2921" s="1242"/>
      <c r="C2921" s="4036" t="s">
        <v>4076</v>
      </c>
      <c r="D2921" s="4272">
        <v>150000000</v>
      </c>
      <c r="E2921" s="1070">
        <f>D2921/D2528*100</f>
        <v>0.1024041895820504</v>
      </c>
      <c r="F2921" s="1054"/>
      <c r="G2921" s="963"/>
      <c r="H2921" s="880"/>
      <c r="I2921" s="755"/>
      <c r="J2921" s="1917"/>
      <c r="K2921" s="1753"/>
      <c r="L2921" s="2411"/>
      <c r="M2921" s="1716"/>
      <c r="N2921" s="535"/>
    </row>
    <row r="2922" spans="1:16" s="3504" customFormat="1" ht="15" customHeight="1" x14ac:dyDescent="0.25">
      <c r="A2922" s="352"/>
      <c r="B2922" s="1242"/>
      <c r="C2922" s="4036" t="s">
        <v>4077</v>
      </c>
      <c r="D2922" s="4272">
        <v>125000000</v>
      </c>
      <c r="E2922" s="1070">
        <f>D2922/D2528*100</f>
        <v>8.5336824651708679E-2</v>
      </c>
      <c r="F2922" s="1054"/>
      <c r="G2922" s="979"/>
      <c r="H2922" s="886"/>
      <c r="I2922" s="804"/>
      <c r="J2922" s="3527"/>
      <c r="K2922" s="2270"/>
      <c r="L2922" s="2414"/>
      <c r="M2922" s="1670"/>
      <c r="N2922" s="535"/>
      <c r="P2922" s="500"/>
    </row>
    <row r="2923" spans="1:16" s="3504" customFormat="1" ht="18" customHeight="1" x14ac:dyDescent="0.25">
      <c r="A2923" s="352"/>
      <c r="B2923" s="1242"/>
      <c r="C2923" s="4036" t="s">
        <v>4078</v>
      </c>
      <c r="D2923" s="4272">
        <v>150000000</v>
      </c>
      <c r="E2923" s="1070">
        <f>D2923/D2528*100</f>
        <v>0.1024041895820504</v>
      </c>
      <c r="F2923" s="1057"/>
      <c r="G2923" s="963"/>
      <c r="H2923" s="880"/>
      <c r="I2923" s="755"/>
      <c r="J2923" s="1920"/>
      <c r="K2923" s="1753"/>
      <c r="L2923" s="2414"/>
      <c r="M2923" s="1670"/>
      <c r="N2923" s="535"/>
      <c r="P2923" s="500"/>
    </row>
    <row r="2924" spans="1:16" s="3504" customFormat="1" ht="23.25" customHeight="1" x14ac:dyDescent="0.25">
      <c r="A2924" s="352"/>
      <c r="B2924" s="1242"/>
      <c r="C2924" s="4036" t="s">
        <v>4079</v>
      </c>
      <c r="D2924" s="4272">
        <v>150000000</v>
      </c>
      <c r="E2924" s="1070">
        <f>D2924/D2528*100</f>
        <v>0.1024041895820504</v>
      </c>
      <c r="F2924" s="1057"/>
      <c r="G2924" s="963"/>
      <c r="H2924" s="880"/>
      <c r="I2924" s="755"/>
      <c r="J2924" s="1920"/>
      <c r="K2924" s="1753"/>
      <c r="L2924" s="2414"/>
      <c r="M2924" s="1670"/>
      <c r="N2924" s="535"/>
      <c r="P2924" s="500"/>
    </row>
    <row r="2925" spans="1:16" s="3504" customFormat="1" ht="18" customHeight="1" x14ac:dyDescent="0.25">
      <c r="A2925" s="352"/>
      <c r="B2925" s="1242"/>
      <c r="C2925" s="4036" t="s">
        <v>4080</v>
      </c>
      <c r="D2925" s="4272">
        <v>100000000</v>
      </c>
      <c r="E2925" s="1070">
        <f>D2925/D2528*100</f>
        <v>6.8269459721366943E-2</v>
      </c>
      <c r="F2925" s="1057"/>
      <c r="G2925" s="963"/>
      <c r="H2925" s="880"/>
      <c r="I2925" s="755"/>
      <c r="J2925" s="1920"/>
      <c r="K2925" s="1753"/>
      <c r="L2925" s="2414"/>
      <c r="M2925" s="1670"/>
      <c r="N2925" s="535"/>
      <c r="P2925" s="500"/>
    </row>
    <row r="2926" spans="1:16" s="3504" customFormat="1" ht="18" customHeight="1" x14ac:dyDescent="0.25">
      <c r="A2926" s="352"/>
      <c r="B2926" s="1242"/>
      <c r="C2926" s="4036" t="s">
        <v>4081</v>
      </c>
      <c r="D2926" s="4272">
        <v>700000000</v>
      </c>
      <c r="E2926" s="1070">
        <f>D2926/D2528*100</f>
        <v>0.47788621804956855</v>
      </c>
      <c r="F2926" s="1057"/>
      <c r="G2926" s="963"/>
      <c r="H2926" s="880"/>
      <c r="I2926" s="755"/>
      <c r="J2926" s="1920"/>
      <c r="K2926" s="1753"/>
      <c r="L2926" s="2414"/>
      <c r="M2926" s="1670"/>
      <c r="N2926" s="535"/>
      <c r="P2926" s="500"/>
    </row>
    <row r="2927" spans="1:16" s="3504" customFormat="1" ht="13.5" customHeight="1" x14ac:dyDescent="0.25">
      <c r="A2927" s="352"/>
      <c r="B2927" s="1242"/>
      <c r="C2927" s="4036"/>
      <c r="D2927" s="4272"/>
      <c r="E2927" s="939"/>
      <c r="F2927" s="1057"/>
      <c r="G2927" s="963"/>
      <c r="H2927" s="880"/>
      <c r="I2927" s="755"/>
      <c r="J2927" s="1920"/>
      <c r="K2927" s="1753"/>
      <c r="L2927" s="2414"/>
      <c r="M2927" s="1670"/>
      <c r="N2927" s="535"/>
      <c r="P2927" s="500"/>
    </row>
    <row r="2928" spans="1:16" s="3504" customFormat="1" ht="27" customHeight="1" x14ac:dyDescent="0.25">
      <c r="A2928" s="352"/>
      <c r="B2928" s="1242"/>
      <c r="C2928" s="4035" t="s">
        <v>4082</v>
      </c>
      <c r="D2928" s="4270">
        <f>SUM(D2929:D2934)</f>
        <v>4210000000</v>
      </c>
      <c r="E2928" s="1023">
        <f>D2928/D2528*100</f>
        <v>2.8741442542695483</v>
      </c>
      <c r="F2928" s="1058"/>
      <c r="G2928" s="963"/>
      <c r="H2928" s="880"/>
      <c r="I2928" s="755"/>
      <c r="J2928" s="1920"/>
      <c r="K2928" s="1753"/>
      <c r="L2928" s="2414"/>
      <c r="M2928" s="1670"/>
      <c r="N2928" s="535"/>
      <c r="P2928" s="500"/>
    </row>
    <row r="2929" spans="1:16" s="3504" customFormat="1" ht="18" customHeight="1" x14ac:dyDescent="0.25">
      <c r="A2929" s="352"/>
      <c r="B2929" s="1242"/>
      <c r="C2929" s="4036" t="s">
        <v>4083</v>
      </c>
      <c r="D2929" s="4272">
        <v>330000000</v>
      </c>
      <c r="E2929" s="1070">
        <f>D2929/D2528*100</f>
        <v>0.22528921708051092</v>
      </c>
      <c r="F2929" s="1057"/>
      <c r="G2929" s="963"/>
      <c r="H2929" s="880"/>
      <c r="I2929" s="755"/>
      <c r="J2929" s="1920"/>
      <c r="K2929" s="1753"/>
      <c r="L2929" s="2414"/>
      <c r="M2929" s="1670"/>
      <c r="N2929" s="535"/>
      <c r="P2929" s="500"/>
    </row>
    <row r="2930" spans="1:16" s="3504" customFormat="1" ht="15.75" customHeight="1" x14ac:dyDescent="0.25">
      <c r="A2930" s="352"/>
      <c r="B2930" s="1242"/>
      <c r="C2930" s="4036" t="s">
        <v>4084</v>
      </c>
      <c r="D2930" s="4272">
        <v>280000000</v>
      </c>
      <c r="E2930" s="1070">
        <f>D2930/D2528*100</f>
        <v>0.19115448721982745</v>
      </c>
      <c r="F2930" s="1057"/>
      <c r="G2930" s="963"/>
      <c r="H2930" s="880"/>
      <c r="I2930" s="755"/>
      <c r="J2930" s="1920"/>
      <c r="K2930" s="1753"/>
      <c r="L2930" s="2414"/>
      <c r="M2930" s="1670"/>
      <c r="N2930" s="535"/>
      <c r="P2930" s="500"/>
    </row>
    <row r="2931" spans="1:16" s="3504" customFormat="1" ht="15.75" customHeight="1" x14ac:dyDescent="0.25">
      <c r="A2931" s="352"/>
      <c r="B2931" s="1242"/>
      <c r="C2931" s="4036" t="s">
        <v>4085</v>
      </c>
      <c r="D2931" s="4272">
        <v>150000000</v>
      </c>
      <c r="E2931" s="1070">
        <f>D2931/D2528*100</f>
        <v>0.1024041895820504</v>
      </c>
      <c r="F2931" s="1057"/>
      <c r="G2931" s="963"/>
      <c r="H2931" s="880"/>
      <c r="I2931" s="755"/>
      <c r="J2931" s="1920"/>
      <c r="K2931" s="1753"/>
      <c r="L2931" s="2414"/>
      <c r="M2931" s="1670"/>
      <c r="N2931" s="535"/>
      <c r="P2931" s="500"/>
    </row>
    <row r="2932" spans="1:16" s="3504" customFormat="1" ht="28.5" customHeight="1" x14ac:dyDescent="0.25">
      <c r="A2932" s="352"/>
      <c r="B2932" s="1242"/>
      <c r="C2932" s="4036" t="s">
        <v>4087</v>
      </c>
      <c r="D2932" s="4272">
        <v>200000000</v>
      </c>
      <c r="E2932" s="1070">
        <f>D2932/D2528*100</f>
        <v>0.13653891944273389</v>
      </c>
      <c r="F2932" s="1057"/>
      <c r="G2932" s="963"/>
      <c r="H2932" s="880"/>
      <c r="I2932" s="755"/>
      <c r="J2932" s="1920"/>
      <c r="K2932" s="1753"/>
      <c r="L2932" s="2414"/>
      <c r="M2932" s="1670"/>
      <c r="N2932" s="535"/>
      <c r="P2932" s="500"/>
    </row>
    <row r="2933" spans="1:16" s="3504" customFormat="1" ht="18" customHeight="1" x14ac:dyDescent="0.25">
      <c r="A2933" s="352"/>
      <c r="B2933" s="1242"/>
      <c r="C2933" s="4036" t="s">
        <v>4086</v>
      </c>
      <c r="D2933" s="4272">
        <v>250000000</v>
      </c>
      <c r="E2933" s="1070">
        <f>D2933/D2528*100</f>
        <v>0.17067364930341736</v>
      </c>
      <c r="F2933" s="1057"/>
      <c r="G2933" s="963"/>
      <c r="H2933" s="880"/>
      <c r="I2933" s="755"/>
      <c r="J2933" s="1920"/>
      <c r="K2933" s="1753"/>
      <c r="L2933" s="2414"/>
      <c r="M2933" s="1670"/>
      <c r="N2933" s="535"/>
      <c r="P2933" s="500"/>
    </row>
    <row r="2934" spans="1:16" s="3504" customFormat="1" ht="18" customHeight="1" x14ac:dyDescent="0.25">
      <c r="A2934" s="352"/>
      <c r="B2934" s="1242"/>
      <c r="C2934" s="4036" t="s">
        <v>4088</v>
      </c>
      <c r="D2934" s="4272">
        <v>3000000000</v>
      </c>
      <c r="E2934" s="1070">
        <f>D2934/D2528*100</f>
        <v>2.048083791641008</v>
      </c>
      <c r="F2934" s="1057"/>
      <c r="G2934" s="963"/>
      <c r="H2934" s="880"/>
      <c r="I2934" s="755"/>
      <c r="J2934" s="1920"/>
      <c r="K2934" s="1753"/>
      <c r="L2934" s="2414"/>
      <c r="M2934" s="1670"/>
      <c r="N2934" s="535"/>
      <c r="P2934" s="500"/>
    </row>
    <row r="2935" spans="1:16" s="3504" customFormat="1" ht="11.25" customHeight="1" x14ac:dyDescent="0.25">
      <c r="A2935" s="352"/>
      <c r="B2935" s="1242"/>
      <c r="C2935" s="4036"/>
      <c r="D2935" s="4272"/>
      <c r="E2935" s="939"/>
      <c r="F2935" s="1057"/>
      <c r="G2935" s="963"/>
      <c r="H2935" s="880"/>
      <c r="I2935" s="755"/>
      <c r="J2935" s="1920"/>
      <c r="K2935" s="1753"/>
      <c r="L2935" s="2414"/>
      <c r="M2935" s="1670"/>
      <c r="N2935" s="535"/>
      <c r="P2935" s="500"/>
    </row>
    <row r="2936" spans="1:16" s="3504" customFormat="1" ht="18" customHeight="1" x14ac:dyDescent="0.25">
      <c r="A2936" s="352"/>
      <c r="B2936" s="1242"/>
      <c r="C2936" s="4035" t="s">
        <v>4089</v>
      </c>
      <c r="D2936" s="4270">
        <f>SUM(D2937:D2943)</f>
        <v>1120000000</v>
      </c>
      <c r="E2936" s="1023">
        <f>D2936/D2528*100</f>
        <v>0.76461794887930978</v>
      </c>
      <c r="F2936" s="1058"/>
      <c r="G2936" s="965"/>
      <c r="H2936" s="1415"/>
      <c r="I2936" s="753"/>
      <c r="J2936" s="1921"/>
      <c r="K2936" s="1753"/>
      <c r="L2936" s="2414"/>
      <c r="M2936" s="1670"/>
      <c r="N2936" s="535"/>
      <c r="P2936" s="500"/>
    </row>
    <row r="2937" spans="1:16" s="3504" customFormat="1" ht="18" customHeight="1" x14ac:dyDescent="0.25">
      <c r="A2937" s="352"/>
      <c r="B2937" s="1242"/>
      <c r="C2937" s="4036" t="s">
        <v>4090</v>
      </c>
      <c r="D2937" s="4272">
        <v>200000000</v>
      </c>
      <c r="E2937" s="1070">
        <f>D2937/D2528*100</f>
        <v>0.13653891944273389</v>
      </c>
      <c r="F2937" s="1057"/>
      <c r="G2937" s="963"/>
      <c r="H2937" s="880"/>
      <c r="I2937" s="755"/>
      <c r="J2937" s="1920"/>
      <c r="K2937" s="1753"/>
      <c r="L2937" s="2414"/>
      <c r="M2937" s="1670"/>
      <c r="N2937" s="535"/>
      <c r="P2937" s="500"/>
    </row>
    <row r="2938" spans="1:16" s="3504" customFormat="1" ht="18" customHeight="1" x14ac:dyDescent="0.25">
      <c r="A2938" s="352"/>
      <c r="B2938" s="1242"/>
      <c r="C2938" s="4036" t="s">
        <v>4091</v>
      </c>
      <c r="D2938" s="4272">
        <v>150000000</v>
      </c>
      <c r="E2938" s="1070">
        <f>D2938/D2528*100</f>
        <v>0.1024041895820504</v>
      </c>
      <c r="F2938" s="1057"/>
      <c r="G2938" s="963"/>
      <c r="H2938" s="880"/>
      <c r="I2938" s="755"/>
      <c r="J2938" s="1920"/>
      <c r="K2938" s="1753"/>
      <c r="L2938" s="2414"/>
      <c r="M2938" s="1670"/>
      <c r="N2938" s="535"/>
      <c r="P2938" s="500"/>
    </row>
    <row r="2939" spans="1:16" s="3504" customFormat="1" ht="18" customHeight="1" x14ac:dyDescent="0.25">
      <c r="A2939" s="352"/>
      <c r="B2939" s="1242"/>
      <c r="C2939" s="4036" t="s">
        <v>4092</v>
      </c>
      <c r="D2939" s="4272">
        <v>150000000</v>
      </c>
      <c r="E2939" s="1070">
        <f>D2939/D2528*100</f>
        <v>0.1024041895820504</v>
      </c>
      <c r="F2939" s="1057"/>
      <c r="G2939" s="963"/>
      <c r="H2939" s="880"/>
      <c r="I2939" s="755"/>
      <c r="J2939" s="1920"/>
      <c r="K2939" s="1753"/>
      <c r="L2939" s="2414"/>
      <c r="M2939" s="1670"/>
      <c r="N2939" s="535"/>
      <c r="P2939" s="500"/>
    </row>
    <row r="2940" spans="1:16" s="3504" customFormat="1" ht="18" customHeight="1" x14ac:dyDescent="0.25">
      <c r="A2940" s="352"/>
      <c r="B2940" s="1242"/>
      <c r="C2940" s="4036" t="s">
        <v>4093</v>
      </c>
      <c r="D2940" s="4272">
        <v>50000000</v>
      </c>
      <c r="E2940" s="1070">
        <f>D2940/D2528*100</f>
        <v>3.4134729860683471E-2</v>
      </c>
      <c r="F2940" s="1057"/>
      <c r="G2940" s="963"/>
      <c r="H2940" s="880"/>
      <c r="I2940" s="755"/>
      <c r="J2940" s="1920"/>
      <c r="K2940" s="1753"/>
      <c r="L2940" s="2414"/>
      <c r="M2940" s="1670"/>
      <c r="N2940" s="535"/>
      <c r="P2940" s="500"/>
    </row>
    <row r="2941" spans="1:16" s="3504" customFormat="1" ht="17.25" customHeight="1" x14ac:dyDescent="0.25">
      <c r="A2941" s="352"/>
      <c r="B2941" s="1242"/>
      <c r="C2941" s="4036" t="s">
        <v>4094</v>
      </c>
      <c r="D2941" s="4272">
        <v>150000000</v>
      </c>
      <c r="E2941" s="1070">
        <f>D2941/D2528*100</f>
        <v>0.1024041895820504</v>
      </c>
      <c r="F2941" s="1057"/>
      <c r="G2941" s="963"/>
      <c r="H2941" s="880"/>
      <c r="I2941" s="755"/>
      <c r="J2941" s="1920"/>
      <c r="K2941" s="1753"/>
      <c r="L2941" s="2414"/>
      <c r="M2941" s="1670"/>
      <c r="N2941" s="535"/>
      <c r="P2941" s="500"/>
    </row>
    <row r="2942" spans="1:16" s="3504" customFormat="1" ht="18" customHeight="1" x14ac:dyDescent="0.25">
      <c r="A2942" s="352"/>
      <c r="B2942" s="1242"/>
      <c r="C2942" s="4036" t="s">
        <v>4095</v>
      </c>
      <c r="D2942" s="4272">
        <v>200000000</v>
      </c>
      <c r="E2942" s="1070">
        <f>D2942/D2528*100</f>
        <v>0.13653891944273389</v>
      </c>
      <c r="F2942" s="1057"/>
      <c r="G2942" s="963"/>
      <c r="H2942" s="880"/>
      <c r="I2942" s="755"/>
      <c r="J2942" s="1920"/>
      <c r="K2942" s="1753"/>
      <c r="L2942" s="2414"/>
      <c r="M2942" s="1670"/>
      <c r="N2942" s="535"/>
      <c r="P2942" s="500"/>
    </row>
    <row r="2943" spans="1:16" s="3504" customFormat="1" ht="18" customHeight="1" x14ac:dyDescent="0.25">
      <c r="A2943" s="352"/>
      <c r="B2943" s="1242"/>
      <c r="C2943" s="4036" t="s">
        <v>4096</v>
      </c>
      <c r="D2943" s="4272">
        <v>220000000</v>
      </c>
      <c r="E2943" s="1070">
        <f>D2943/D2528*100</f>
        <v>0.15019281138700727</v>
      </c>
      <c r="F2943" s="1057"/>
      <c r="G2943" s="963"/>
      <c r="H2943" s="880"/>
      <c r="I2943" s="755"/>
      <c r="J2943" s="1920"/>
      <c r="K2943" s="1753"/>
      <c r="L2943" s="2414"/>
      <c r="M2943" s="1670"/>
      <c r="N2943" s="535"/>
      <c r="P2943" s="500"/>
    </row>
    <row r="2944" spans="1:16" s="3504" customFormat="1" ht="10.5" customHeight="1" x14ac:dyDescent="0.25">
      <c r="A2944" s="352"/>
      <c r="B2944" s="1242"/>
      <c r="C2944" s="4036"/>
      <c r="D2944" s="4272"/>
      <c r="E2944" s="1070"/>
      <c r="F2944" s="1057"/>
      <c r="G2944" s="963"/>
      <c r="H2944" s="880"/>
      <c r="I2944" s="755"/>
      <c r="J2944" s="1920"/>
      <c r="K2944" s="1753"/>
      <c r="L2944" s="2414"/>
      <c r="M2944" s="1670"/>
      <c r="N2944" s="535"/>
      <c r="P2944" s="500"/>
    </row>
    <row r="2945" spans="1:16" s="3504" customFormat="1" ht="18" customHeight="1" x14ac:dyDescent="0.25">
      <c r="A2945" s="352"/>
      <c r="B2945" s="1242"/>
      <c r="C2945" s="4035" t="s">
        <v>4097</v>
      </c>
      <c r="D2945" s="4270">
        <f>D2946</f>
        <v>327200000</v>
      </c>
      <c r="E2945" s="1023">
        <f>D2945/D2528*100</f>
        <v>0.22337767220831262</v>
      </c>
      <c r="F2945" s="1058"/>
      <c r="G2945" s="963"/>
      <c r="H2945" s="880"/>
      <c r="I2945" s="755"/>
      <c r="J2945" s="1920"/>
      <c r="K2945" s="1753"/>
      <c r="L2945" s="2414"/>
      <c r="M2945" s="1670"/>
      <c r="N2945" s="535"/>
      <c r="P2945" s="500"/>
    </row>
    <row r="2946" spans="1:16" s="3504" customFormat="1" ht="18.75" customHeight="1" x14ac:dyDescent="0.25">
      <c r="A2946" s="352"/>
      <c r="B2946" s="1242"/>
      <c r="C2946" s="4036" t="s">
        <v>4107</v>
      </c>
      <c r="D2946" s="4272">
        <v>327200000</v>
      </c>
      <c r="E2946" s="1070">
        <f>D2946/D2528*100</f>
        <v>0.22337767220831262</v>
      </c>
      <c r="F2946" s="1057"/>
      <c r="G2946" s="963"/>
      <c r="H2946" s="880"/>
      <c r="I2946" s="755"/>
      <c r="J2946" s="1920"/>
      <c r="K2946" s="1753"/>
      <c r="L2946" s="2414"/>
      <c r="M2946" s="1670"/>
      <c r="N2946" s="535"/>
      <c r="P2946" s="500"/>
    </row>
    <row r="2947" spans="1:16" ht="12" customHeight="1" x14ac:dyDescent="0.25">
      <c r="B2947" s="1242"/>
      <c r="C2947" s="3861"/>
      <c r="D2947" s="4270"/>
      <c r="E2947" s="1038"/>
      <c r="F2947" s="1048"/>
      <c r="G2947" s="734"/>
      <c r="H2947" s="2430"/>
      <c r="I2947" s="2431"/>
      <c r="J2947" s="2432"/>
      <c r="K2947" s="1311"/>
      <c r="L2947" s="2175"/>
      <c r="M2947" s="2175"/>
      <c r="N2947" s="535"/>
    </row>
    <row r="2948" spans="1:16" ht="17.25" customHeight="1" x14ac:dyDescent="0.25">
      <c r="B2948" s="1305"/>
      <c r="C2948" s="4024" t="s">
        <v>4105</v>
      </c>
      <c r="D2948" s="4266">
        <f>SUM(D2949+D2954+D2957)</f>
        <v>6306802000</v>
      </c>
      <c r="E2948" s="1039">
        <f>D2948/D2528*100</f>
        <v>4.3056196510963645</v>
      </c>
      <c r="F2948" s="1055"/>
      <c r="G2948" s="1055"/>
      <c r="H2948" s="1030"/>
      <c r="I2948" s="2433"/>
      <c r="J2948" s="1919"/>
      <c r="K2948" s="1919"/>
      <c r="L2948" s="2417"/>
      <c r="M2948" s="1307"/>
      <c r="N2948" s="535"/>
    </row>
    <row r="2949" spans="1:16" ht="18" customHeight="1" x14ac:dyDescent="0.25">
      <c r="B2949" s="1242"/>
      <c r="C2949" s="4035" t="s">
        <v>4118</v>
      </c>
      <c r="D2949" s="4270">
        <f>SUM(D2950:D2952)</f>
        <v>2634909267</v>
      </c>
      <c r="E2949" s="1025">
        <f>D2949/D2528*100</f>
        <v>1.7988383207291299</v>
      </c>
      <c r="F2949" s="1061"/>
      <c r="G2949" s="1062"/>
      <c r="H2949" s="1033"/>
      <c r="I2949" s="1912"/>
      <c r="J2949" s="1925"/>
      <c r="K2949" s="1925"/>
      <c r="L2949" s="2410"/>
      <c r="M2949" s="1650"/>
      <c r="N2949" s="535"/>
    </row>
    <row r="2950" spans="1:16" ht="18.75" customHeight="1" x14ac:dyDescent="0.25">
      <c r="B2950" s="1242"/>
      <c r="C2950" s="4036" t="s">
        <v>4115</v>
      </c>
      <c r="D2950" s="4272">
        <f>11500000000-541909267-10443181466</f>
        <v>514909267</v>
      </c>
      <c r="E2950" s="1070">
        <f>D2950/D2528*100</f>
        <v>0.3515257746361507</v>
      </c>
      <c r="F2950" s="1060"/>
      <c r="G2950" s="971"/>
      <c r="H2950" s="971"/>
      <c r="I2950" s="971"/>
      <c r="J2950" s="1924"/>
      <c r="K2950" s="1924"/>
      <c r="L2950" s="2411"/>
      <c r="M2950" s="1312"/>
      <c r="N2950" s="535"/>
    </row>
    <row r="2951" spans="1:16" ht="15.75" customHeight="1" x14ac:dyDescent="0.25">
      <c r="B2951" s="1242"/>
      <c r="C2951" s="4036" t="s">
        <v>4116</v>
      </c>
      <c r="D2951" s="4272">
        <v>1170000000</v>
      </c>
      <c r="E2951" s="1038">
        <f>D2951/D2528*100</f>
        <v>0.79875267873999323</v>
      </c>
      <c r="F2951" s="1060"/>
      <c r="G2951" s="985"/>
      <c r="H2951" s="985"/>
      <c r="I2951" s="985"/>
      <c r="J2951" s="1924"/>
      <c r="K2951" s="2372"/>
      <c r="L2951" s="2411"/>
      <c r="M2951" s="2435"/>
      <c r="N2951" s="535"/>
    </row>
    <row r="2952" spans="1:16" s="3504" customFormat="1" ht="15.75" customHeight="1" x14ac:dyDescent="0.25">
      <c r="A2952" s="352"/>
      <c r="B2952" s="1242"/>
      <c r="C2952" s="4031" t="s">
        <v>4117</v>
      </c>
      <c r="D2952" s="4217">
        <v>950000000</v>
      </c>
      <c r="E2952" s="1038">
        <f>D2952/D2528*100</f>
        <v>0.64855986735298587</v>
      </c>
      <c r="F2952" s="1057"/>
      <c r="G2952" s="967"/>
      <c r="H2952" s="967"/>
      <c r="I2952" s="967"/>
      <c r="J2952" s="1924"/>
      <c r="K2952" s="2369"/>
      <c r="L2952" s="3130"/>
      <c r="M2952" s="3536"/>
      <c r="N2952" s="535"/>
      <c r="P2952" s="500"/>
    </row>
    <row r="2953" spans="1:16" s="3504" customFormat="1" ht="10.5" customHeight="1" x14ac:dyDescent="0.25">
      <c r="A2953" s="352"/>
      <c r="B2953" s="1242"/>
      <c r="C2953" s="4031"/>
      <c r="D2953" s="4217"/>
      <c r="E2953" s="4113"/>
      <c r="F2953" s="1057"/>
      <c r="G2953" s="967"/>
      <c r="H2953" s="967"/>
      <c r="I2953" s="967"/>
      <c r="J2953" s="1924"/>
      <c r="K2953" s="2369"/>
      <c r="L2953" s="3130"/>
      <c r="M2953" s="3536"/>
      <c r="N2953" s="535"/>
      <c r="P2953" s="500"/>
    </row>
    <row r="2954" spans="1:16" s="3504" customFormat="1" ht="15.75" customHeight="1" x14ac:dyDescent="0.25">
      <c r="A2954" s="352"/>
      <c r="B2954" s="1242"/>
      <c r="C2954" s="3944" t="s">
        <v>4119</v>
      </c>
      <c r="D2954" s="4267">
        <f>D2955</f>
        <v>313472733</v>
      </c>
      <c r="E2954" s="4114">
        <f>D2954/D2528*100</f>
        <v>0.21400614119290312</v>
      </c>
      <c r="F2954" s="1057"/>
      <c r="G2954" s="967"/>
      <c r="H2954" s="967"/>
      <c r="I2954" s="967"/>
      <c r="J2954" s="1924"/>
      <c r="K2954" s="2369"/>
      <c r="L2954" s="3130"/>
      <c r="M2954" s="3536"/>
      <c r="N2954" s="535"/>
      <c r="P2954" s="500"/>
    </row>
    <row r="2955" spans="1:16" s="3504" customFormat="1" ht="15.75" customHeight="1" x14ac:dyDescent="0.25">
      <c r="A2955" s="352"/>
      <c r="B2955" s="1242"/>
      <c r="C2955" s="4031" t="s">
        <v>4120</v>
      </c>
      <c r="D2955" s="4217">
        <v>313472733</v>
      </c>
      <c r="E2955" s="4113">
        <f>D2955/D2528*100</f>
        <v>0.21400614119290312</v>
      </c>
      <c r="F2955" s="1057"/>
      <c r="G2955" s="967"/>
      <c r="H2955" s="967"/>
      <c r="I2955" s="967"/>
      <c r="J2955" s="1924"/>
      <c r="K2955" s="2369"/>
      <c r="L2955" s="3130"/>
      <c r="M2955" s="3536"/>
      <c r="N2955" s="535"/>
      <c r="P2955" s="500"/>
    </row>
    <row r="2956" spans="1:16" s="3504" customFormat="1" ht="8.25" customHeight="1" x14ac:dyDescent="0.25">
      <c r="A2956" s="352"/>
      <c r="B2956" s="1242"/>
      <c r="C2956" s="4031"/>
      <c r="D2956" s="4217"/>
      <c r="E2956" s="4113"/>
      <c r="F2956" s="1057"/>
      <c r="G2956" s="967"/>
      <c r="H2956" s="967"/>
      <c r="I2956" s="967"/>
      <c r="J2956" s="1924"/>
      <c r="K2956" s="2369"/>
      <c r="L2956" s="3130"/>
      <c r="M2956" s="3536"/>
      <c r="N2956" s="535"/>
      <c r="P2956" s="500"/>
    </row>
    <row r="2957" spans="1:16" s="3504" customFormat="1" ht="15.75" customHeight="1" x14ac:dyDescent="0.25">
      <c r="A2957" s="352"/>
      <c r="B2957" s="1242"/>
      <c r="C2957" s="3944" t="s">
        <v>4121</v>
      </c>
      <c r="D2957" s="4267">
        <f>SUM(D2958:D2959)</f>
        <v>3358420000</v>
      </c>
      <c r="E2957" s="4114">
        <f>D2957/D2528*100</f>
        <v>2.2927751891743315</v>
      </c>
      <c r="F2957" s="1057"/>
      <c r="G2957" s="967"/>
      <c r="H2957" s="967"/>
      <c r="I2957" s="967"/>
      <c r="J2957" s="1924"/>
      <c r="K2957" s="2369"/>
      <c r="L2957" s="3130"/>
      <c r="M2957" s="3536"/>
      <c r="N2957" s="535"/>
      <c r="P2957" s="500"/>
    </row>
    <row r="2958" spans="1:16" s="3504" customFormat="1" ht="15.75" customHeight="1" x14ac:dyDescent="0.25">
      <c r="A2958" s="352"/>
      <c r="B2958" s="1242"/>
      <c r="C2958" s="4031" t="s">
        <v>4122</v>
      </c>
      <c r="D2958" s="4217">
        <v>1600000000</v>
      </c>
      <c r="E2958" s="4113">
        <f>D2958/D2528*100</f>
        <v>1.0923113555418711</v>
      </c>
      <c r="F2958" s="1057"/>
      <c r="G2958" s="967"/>
      <c r="H2958" s="967"/>
      <c r="I2958" s="967"/>
      <c r="J2958" s="1924"/>
      <c r="K2958" s="2369"/>
      <c r="L2958" s="3130"/>
      <c r="M2958" s="3536"/>
      <c r="N2958" s="535"/>
      <c r="P2958" s="500"/>
    </row>
    <row r="2959" spans="1:16" s="3504" customFormat="1" ht="15.75" customHeight="1" x14ac:dyDescent="0.25">
      <c r="A2959" s="352"/>
      <c r="B2959" s="1242"/>
      <c r="C2959" s="4031" t="s">
        <v>4123</v>
      </c>
      <c r="D2959" s="4217">
        <v>1758420000</v>
      </c>
      <c r="E2959" s="1038">
        <f>D2959/D2528*100</f>
        <v>1.2004638336324605</v>
      </c>
      <c r="F2959" s="1057"/>
      <c r="G2959" s="967"/>
      <c r="H2959" s="967"/>
      <c r="I2959" s="967"/>
      <c r="J2959" s="1924"/>
      <c r="K2959" s="2369"/>
      <c r="L2959" s="3130"/>
      <c r="M2959" s="3536"/>
      <c r="N2959" s="535"/>
      <c r="P2959" s="500"/>
    </row>
    <row r="2960" spans="1:16" ht="12" customHeight="1" thickBot="1" x14ac:dyDescent="0.3">
      <c r="B2960" s="1242"/>
      <c r="C2960" s="3982"/>
      <c r="D2960" s="897"/>
      <c r="E2960" s="1326"/>
      <c r="F2960" s="853"/>
      <c r="G2960" s="853"/>
      <c r="H2960" s="853"/>
      <c r="I2960" s="853"/>
      <c r="J2960" s="2436"/>
      <c r="K2960" s="2282"/>
      <c r="L2960" s="2182"/>
      <c r="M2960" s="2182"/>
      <c r="N2960" s="535"/>
    </row>
    <row r="2961" spans="1:16" ht="17.25" customHeight="1" thickBot="1" x14ac:dyDescent="0.3">
      <c r="B2961" s="2914"/>
      <c r="C2961" s="4042" t="s">
        <v>7103</v>
      </c>
      <c r="D2961" s="1932">
        <f>SUM(D2962+D2989+D3030+D3046+D3059+D3091+D3110+D3121+D3125+D3132+D3152+3342+D3156)</f>
        <v>144432461000</v>
      </c>
      <c r="E2961" s="1476">
        <f>D2961/2507241496000*100</f>
        <v>5.7606122597454013</v>
      </c>
      <c r="F2961" s="4128"/>
      <c r="G2961" s="680"/>
      <c r="H2961" s="727"/>
      <c r="I2961" s="681"/>
      <c r="J2961" s="1932"/>
      <c r="K2961" s="1932"/>
      <c r="L2961" s="727"/>
      <c r="M2961" s="1387"/>
    </row>
    <row r="2962" spans="1:16" ht="18" customHeight="1" x14ac:dyDescent="0.25">
      <c r="B2962" s="2915"/>
      <c r="C2962" s="3948" t="s">
        <v>378</v>
      </c>
      <c r="D2962" s="4147">
        <f>SUM(D2963+D2966+D2969+D2977+D2980+D2984)</f>
        <v>13981970160</v>
      </c>
      <c r="E2962" s="1477">
        <f>D2962/D2961*100</f>
        <v>9.6806286226750657</v>
      </c>
      <c r="F2962" s="1077"/>
      <c r="G2962" s="1077"/>
      <c r="H2962" s="2289"/>
      <c r="I2962" s="1077"/>
      <c r="J2962" s="1933"/>
      <c r="K2962" s="1933"/>
      <c r="L2962" s="2289"/>
      <c r="M2962" s="2451"/>
      <c r="N2962" s="535"/>
    </row>
    <row r="2963" spans="1:16" ht="15.75" customHeight="1" x14ac:dyDescent="0.25">
      <c r="B2963" s="1242"/>
      <c r="C2963" s="3949" t="s">
        <v>5702</v>
      </c>
      <c r="D2963" s="673">
        <f>SUM(D2964:D2964)</f>
        <v>500000000</v>
      </c>
      <c r="E2963" s="1025">
        <f>D2963/D2961*100</f>
        <v>0.34618256625842581</v>
      </c>
      <c r="F2963" s="541"/>
      <c r="G2963" s="541"/>
      <c r="H2963" s="1308"/>
      <c r="I2963" s="1110"/>
      <c r="J2963" s="1112"/>
      <c r="K2963" s="1112"/>
      <c r="L2963" s="1415"/>
      <c r="M2963" s="2006"/>
      <c r="N2963" s="535"/>
    </row>
    <row r="2964" spans="1:16" ht="18.75" customHeight="1" x14ac:dyDescent="0.25">
      <c r="B2964" s="1242"/>
      <c r="C2964" s="3950" t="s">
        <v>5703</v>
      </c>
      <c r="D2964" s="1078">
        <v>500000000</v>
      </c>
      <c r="E2964" s="939">
        <f>D2964/D2961*100</f>
        <v>0.34618256625842581</v>
      </c>
      <c r="F2964" s="1078"/>
      <c r="G2964" s="646"/>
      <c r="H2964" s="1310"/>
      <c r="I2964" s="1109"/>
      <c r="J2964" s="2453"/>
      <c r="K2964" s="2454"/>
      <c r="L2964" s="880"/>
      <c r="M2964" s="2230"/>
      <c r="N2964" s="535"/>
    </row>
    <row r="2965" spans="1:16" s="523" customFormat="1" ht="9" customHeight="1" x14ac:dyDescent="0.25">
      <c r="A2965" s="352"/>
      <c r="B2965" s="1242"/>
      <c r="C2965" s="3950"/>
      <c r="D2965" s="1078"/>
      <c r="E2965" s="1478"/>
      <c r="F2965" s="1079"/>
      <c r="G2965" s="666"/>
      <c r="H2965" s="2455"/>
      <c r="I2965" s="2360"/>
      <c r="J2965" s="2452"/>
      <c r="K2965" s="1717"/>
      <c r="L2965" s="2456"/>
      <c r="M2965" s="2003"/>
      <c r="N2965" s="535"/>
      <c r="P2965" s="500"/>
    </row>
    <row r="2966" spans="1:16" s="523" customFormat="1" ht="15.75" customHeight="1" x14ac:dyDescent="0.25">
      <c r="A2966" s="352"/>
      <c r="B2966" s="1242"/>
      <c r="C2966" s="3949" t="s">
        <v>5704</v>
      </c>
      <c r="D2966" s="673">
        <f>D2967</f>
        <v>184666886</v>
      </c>
      <c r="E2966" s="1025">
        <f>D2966/D2961*100</f>
        <v>0.12785691299686433</v>
      </c>
      <c r="F2966" s="541"/>
      <c r="G2966" s="541"/>
      <c r="H2966" s="1308"/>
      <c r="I2966" s="1110"/>
      <c r="J2966" s="1112"/>
      <c r="K2966" s="1112"/>
      <c r="L2966" s="1415"/>
      <c r="M2966" s="2006"/>
      <c r="N2966" s="535"/>
      <c r="P2966" s="500"/>
    </row>
    <row r="2967" spans="1:16" s="523" customFormat="1" ht="27" customHeight="1" x14ac:dyDescent="0.25">
      <c r="A2967" s="352"/>
      <c r="B2967" s="1242"/>
      <c r="C2967" s="3950" t="s">
        <v>5716</v>
      </c>
      <c r="D2967" s="1078">
        <v>184666886</v>
      </c>
      <c r="E2967" s="939">
        <f>D2967/D2961*100</f>
        <v>0.12785691299686433</v>
      </c>
      <c r="F2967" s="1081"/>
      <c r="G2967" s="1080"/>
      <c r="H2967" s="1310"/>
      <c r="I2967" s="1109"/>
      <c r="J2967" s="2457"/>
      <c r="K2967" s="2457"/>
      <c r="L2967" s="880"/>
      <c r="M2967" s="2230"/>
      <c r="N2967" s="535"/>
      <c r="P2967" s="500"/>
    </row>
    <row r="2968" spans="1:16" s="523" customFormat="1" ht="8.25" customHeight="1" x14ac:dyDescent="0.25">
      <c r="A2968" s="352"/>
      <c r="B2968" s="1242"/>
      <c r="C2968" s="3951"/>
      <c r="D2968" s="666"/>
      <c r="E2968" s="1478"/>
      <c r="F2968" s="542"/>
      <c r="G2968" s="666"/>
      <c r="H2968" s="2455"/>
      <c r="I2968" s="2360"/>
      <c r="J2968" s="2452"/>
      <c r="K2968" s="1717"/>
      <c r="L2968" s="2456"/>
      <c r="M2968" s="2003"/>
      <c r="N2968" s="535"/>
      <c r="P2968" s="500"/>
    </row>
    <row r="2969" spans="1:16" s="523" customFormat="1" ht="17.25" customHeight="1" x14ac:dyDescent="0.25">
      <c r="A2969" s="352"/>
      <c r="B2969" s="1242"/>
      <c r="C2969" s="3949" t="s">
        <v>366</v>
      </c>
      <c r="D2969" s="673">
        <f>SUM(D2970:D2975)</f>
        <v>12020713563</v>
      </c>
      <c r="E2969" s="1025">
        <f>D2969/D2961*100</f>
        <v>8.3227229389936106</v>
      </c>
      <c r="F2969" s="541"/>
      <c r="G2969" s="541"/>
      <c r="H2969" s="1308"/>
      <c r="I2969" s="1110"/>
      <c r="J2969" s="1112"/>
      <c r="K2969" s="1112"/>
      <c r="L2969" s="1415"/>
      <c r="M2969" s="2006"/>
      <c r="N2969" s="535"/>
      <c r="P2969" s="500"/>
    </row>
    <row r="2970" spans="1:16" s="523" customFormat="1" ht="15.75" customHeight="1" x14ac:dyDescent="0.25">
      <c r="A2970" s="352"/>
      <c r="B2970" s="1242"/>
      <c r="C2970" s="3950" t="s">
        <v>5706</v>
      </c>
      <c r="D2970" s="666">
        <v>1800000000</v>
      </c>
      <c r="E2970" s="939">
        <f>D2970/D2961*100</f>
        <v>1.246257238530333</v>
      </c>
      <c r="F2970" s="542"/>
      <c r="G2970" s="646"/>
      <c r="H2970" s="1310"/>
      <c r="I2970" s="1109"/>
      <c r="J2970" s="2457"/>
      <c r="K2970" s="2457"/>
      <c r="L2970" s="880"/>
      <c r="M2970" s="2230"/>
      <c r="N2970" s="535"/>
      <c r="P2970" s="500"/>
    </row>
    <row r="2971" spans="1:16" s="523" customFormat="1" ht="16.5" customHeight="1" x14ac:dyDescent="0.25">
      <c r="A2971" s="352"/>
      <c r="B2971" s="1242"/>
      <c r="C2971" s="4310" t="s">
        <v>5707</v>
      </c>
      <c r="D2971" s="666">
        <v>1698690503</v>
      </c>
      <c r="E2971" s="4113">
        <f>D2971/D2961*100</f>
        <v>1.1761140752147121</v>
      </c>
      <c r="F2971" s="542"/>
      <c r="G2971" s="666"/>
      <c r="H2971" s="2455"/>
      <c r="I2971" s="2360"/>
      <c r="J2971" s="2452"/>
      <c r="K2971" s="1717"/>
      <c r="L2971" s="2456"/>
      <c r="M2971" s="2003"/>
      <c r="N2971" s="535"/>
      <c r="P2971" s="500"/>
    </row>
    <row r="2972" spans="1:16" s="4099" customFormat="1" ht="16.5" customHeight="1" x14ac:dyDescent="0.25">
      <c r="A2972" s="4101"/>
      <c r="B2972" s="4119"/>
      <c r="C2972" s="4310" t="s">
        <v>5717</v>
      </c>
      <c r="D2972" s="666">
        <v>308835000</v>
      </c>
      <c r="E2972" s="4113">
        <f>D2972/D2961*100</f>
        <v>0.21382658570084184</v>
      </c>
      <c r="F2972" s="542"/>
      <c r="G2972" s="666"/>
      <c r="H2972" s="2455"/>
      <c r="I2972" s="2360"/>
      <c r="J2972" s="2452"/>
      <c r="K2972" s="1717"/>
      <c r="L2972" s="2456"/>
      <c r="M2972" s="2003"/>
      <c r="N2972" s="4109"/>
      <c r="P2972" s="500"/>
    </row>
    <row r="2973" spans="1:16" s="4099" customFormat="1" ht="15.75" customHeight="1" x14ac:dyDescent="0.25">
      <c r="A2973" s="4101"/>
      <c r="B2973" s="4119"/>
      <c r="C2973" s="4310" t="s">
        <v>5718</v>
      </c>
      <c r="D2973" s="666">
        <v>93188060</v>
      </c>
      <c r="E2973" s="4113">
        <f>D2973/D2961*100</f>
        <v>6.4520163510888323E-2</v>
      </c>
      <c r="F2973" s="542"/>
      <c r="G2973" s="666"/>
      <c r="H2973" s="2455"/>
      <c r="I2973" s="2360"/>
      <c r="J2973" s="2452"/>
      <c r="K2973" s="1717"/>
      <c r="L2973" s="2456"/>
      <c r="M2973" s="2003"/>
      <c r="N2973" s="4109"/>
      <c r="P2973" s="500"/>
    </row>
    <row r="2974" spans="1:16" s="4099" customFormat="1" ht="15" customHeight="1" x14ac:dyDescent="0.25">
      <c r="A2974" s="4101"/>
      <c r="B2974" s="4119"/>
      <c r="C2974" s="4310" t="s">
        <v>5719</v>
      </c>
      <c r="D2974" s="666">
        <v>6120000000</v>
      </c>
      <c r="E2974" s="4113">
        <f>D2974/D2961*100</f>
        <v>4.2372746110031319</v>
      </c>
      <c r="F2974" s="542"/>
      <c r="G2974" s="666"/>
      <c r="H2974" s="2455"/>
      <c r="I2974" s="2360"/>
      <c r="J2974" s="2452"/>
      <c r="K2974" s="1717"/>
      <c r="L2974" s="2456"/>
      <c r="M2974" s="2003"/>
      <c r="N2974" s="4109"/>
      <c r="P2974" s="500"/>
    </row>
    <row r="2975" spans="1:16" s="4099" customFormat="1" ht="18" customHeight="1" x14ac:dyDescent="0.25">
      <c r="A2975" s="4101"/>
      <c r="B2975" s="4119"/>
      <c r="C2975" s="4310" t="s">
        <v>5720</v>
      </c>
      <c r="D2975" s="666">
        <v>2000000000</v>
      </c>
      <c r="E2975" s="4113">
        <f>D2975/D2961*100</f>
        <v>1.3847302650337032</v>
      </c>
      <c r="F2975" s="542"/>
      <c r="G2975" s="666"/>
      <c r="H2975" s="2455"/>
      <c r="I2975" s="2360"/>
      <c r="J2975" s="2452"/>
      <c r="K2975" s="1717"/>
      <c r="L2975" s="2456"/>
      <c r="M2975" s="2003"/>
      <c r="N2975" s="4109"/>
      <c r="P2975" s="500"/>
    </row>
    <row r="2976" spans="1:16" s="4099" customFormat="1" ht="12" customHeight="1" x14ac:dyDescent="0.25">
      <c r="A2976" s="4101"/>
      <c r="B2976" s="4119"/>
      <c r="C2976" s="3951"/>
      <c r="D2976" s="666"/>
      <c r="E2976" s="4113"/>
      <c r="F2976" s="542"/>
      <c r="G2976" s="666"/>
      <c r="H2976" s="2455"/>
      <c r="I2976" s="2360"/>
      <c r="J2976" s="2452"/>
      <c r="K2976" s="1717"/>
      <c r="L2976" s="2456"/>
      <c r="M2976" s="2003"/>
      <c r="N2976" s="4109"/>
      <c r="P2976" s="500"/>
    </row>
    <row r="2977" spans="1:16" s="3598" customFormat="1" ht="15.75" customHeight="1" x14ac:dyDescent="0.25">
      <c r="A2977" s="3588"/>
      <c r="B2977" s="4119"/>
      <c r="C2977" s="4311" t="s">
        <v>280</v>
      </c>
      <c r="D2977" s="673">
        <f>D2978</f>
        <v>271181000</v>
      </c>
      <c r="E2977" s="4114">
        <f>D2977/D2961*100</f>
        <v>0.18775626900105233</v>
      </c>
      <c r="F2977" s="1104"/>
      <c r="G2977" s="4230"/>
      <c r="H2977" s="2455"/>
      <c r="I2977" s="1110"/>
      <c r="J2977" s="4312"/>
      <c r="K2977" s="2456"/>
      <c r="L2977" s="2456"/>
      <c r="M2977" s="2006"/>
      <c r="N2977" s="3592"/>
      <c r="P2977" s="4592"/>
    </row>
    <row r="2978" spans="1:16" s="3387" customFormat="1" ht="17.25" customHeight="1" x14ac:dyDescent="0.25">
      <c r="A2978" s="3587"/>
      <c r="B2978" s="2910"/>
      <c r="C2978" s="4310" t="s">
        <v>5721</v>
      </c>
      <c r="D2978" s="666">
        <v>271181000</v>
      </c>
      <c r="E2978" s="4113">
        <f>D2978/D2961*100</f>
        <v>0.18775626900105233</v>
      </c>
      <c r="F2978" s="542"/>
      <c r="G2978" s="666"/>
      <c r="H2978" s="2455"/>
      <c r="I2978" s="1109"/>
      <c r="J2978" s="2452"/>
      <c r="K2978" s="1717"/>
      <c r="L2978" s="2456"/>
      <c r="M2978" s="2230"/>
      <c r="N2978" s="3590"/>
      <c r="P2978" s="612"/>
    </row>
    <row r="2979" spans="1:16" s="4099" customFormat="1" ht="9.75" customHeight="1" x14ac:dyDescent="0.25">
      <c r="A2979" s="4101"/>
      <c r="B2979" s="4119"/>
      <c r="C2979" s="3951"/>
      <c r="D2979" s="666"/>
      <c r="E2979" s="4113"/>
      <c r="F2979" s="542"/>
      <c r="G2979" s="666"/>
      <c r="H2979" s="2455"/>
      <c r="I2979" s="2360"/>
      <c r="J2979" s="2452"/>
      <c r="K2979" s="1717"/>
      <c r="L2979" s="2456"/>
      <c r="M2979" s="2003"/>
      <c r="N2979" s="4109"/>
      <c r="P2979" s="500"/>
    </row>
    <row r="2980" spans="1:16" s="3598" customFormat="1" ht="17.25" customHeight="1" x14ac:dyDescent="0.25">
      <c r="A2980" s="3588"/>
      <c r="B2980" s="4119"/>
      <c r="C2980" s="4311" t="s">
        <v>392</v>
      </c>
      <c r="D2980" s="673">
        <f>SUM(D2981:D2982)</f>
        <v>670069051</v>
      </c>
      <c r="E2980" s="4114">
        <f>D2980/D2961*100</f>
        <v>0.46393244729105598</v>
      </c>
      <c r="F2980" s="1104"/>
      <c r="G2980" s="4230"/>
      <c r="H2980" s="2455"/>
      <c r="I2980" s="1110"/>
      <c r="J2980" s="4312"/>
      <c r="K2980" s="2456"/>
      <c r="L2980" s="2456"/>
      <c r="M2980" s="2006"/>
      <c r="N2980" s="3592"/>
      <c r="P2980" s="4592"/>
    </row>
    <row r="2981" spans="1:16" s="3387" customFormat="1" ht="17.25" customHeight="1" x14ac:dyDescent="0.25">
      <c r="A2981" s="3587"/>
      <c r="B2981" s="2910"/>
      <c r="C2981" s="4310" t="s">
        <v>5722</v>
      </c>
      <c r="D2981" s="666">
        <v>278771000</v>
      </c>
      <c r="E2981" s="4113">
        <f>D2981/D2961*100</f>
        <v>0.19301132035685525</v>
      </c>
      <c r="F2981" s="542"/>
      <c r="G2981" s="666"/>
      <c r="H2981" s="2455"/>
      <c r="I2981" s="1109"/>
      <c r="J2981" s="2452"/>
      <c r="K2981" s="1717"/>
      <c r="L2981" s="2456"/>
      <c r="M2981" s="2230"/>
      <c r="N2981" s="3590"/>
      <c r="P2981" s="612"/>
    </row>
    <row r="2982" spans="1:16" s="3387" customFormat="1" ht="17.25" customHeight="1" x14ac:dyDescent="0.25">
      <c r="A2982" s="3587"/>
      <c r="B2982" s="2910"/>
      <c r="C2982" s="4310" t="s">
        <v>5723</v>
      </c>
      <c r="D2982" s="666">
        <v>391298051</v>
      </c>
      <c r="E2982" s="4113">
        <f>D2982/D2961*100</f>
        <v>0.27092112693420073</v>
      </c>
      <c r="F2982" s="542"/>
      <c r="G2982" s="666"/>
      <c r="H2982" s="2455"/>
      <c r="I2982" s="1109"/>
      <c r="J2982" s="2452"/>
      <c r="K2982" s="1717"/>
      <c r="L2982" s="2456"/>
      <c r="M2982" s="2230"/>
      <c r="N2982" s="3590"/>
      <c r="P2982" s="612"/>
    </row>
    <row r="2983" spans="1:16" s="4099" customFormat="1" ht="12" customHeight="1" x14ac:dyDescent="0.25">
      <c r="A2983" s="4101"/>
      <c r="B2983" s="4119"/>
      <c r="C2983" s="3951"/>
      <c r="D2983" s="666"/>
      <c r="E2983" s="4113"/>
      <c r="F2983" s="542"/>
      <c r="G2983" s="666"/>
      <c r="H2983" s="2455"/>
      <c r="I2983" s="2360"/>
      <c r="J2983" s="2452"/>
      <c r="K2983" s="1717"/>
      <c r="L2983" s="2456"/>
      <c r="M2983" s="2003"/>
      <c r="N2983" s="4109"/>
      <c r="P2983" s="500"/>
    </row>
    <row r="2984" spans="1:16" s="3598" customFormat="1" ht="18" customHeight="1" x14ac:dyDescent="0.25">
      <c r="A2984" s="3588"/>
      <c r="B2984" s="4119"/>
      <c r="C2984" s="4311" t="s">
        <v>2290</v>
      </c>
      <c r="D2984" s="673">
        <f>SUM(D2985:D2987)</f>
        <v>335339660</v>
      </c>
      <c r="E2984" s="4114">
        <f>D2984/D2961*100</f>
        <v>0.23217748813405595</v>
      </c>
      <c r="F2984" s="1104"/>
      <c r="G2984" s="4230"/>
      <c r="H2984" s="2455"/>
      <c r="I2984" s="1110"/>
      <c r="J2984" s="4312"/>
      <c r="K2984" s="2456"/>
      <c r="L2984" s="2456"/>
      <c r="M2984" s="2006"/>
      <c r="N2984" s="3592"/>
      <c r="P2984" s="4592"/>
    </row>
    <row r="2985" spans="1:16" s="3387" customFormat="1" ht="15.75" customHeight="1" x14ac:dyDescent="0.25">
      <c r="A2985" s="3587"/>
      <c r="B2985" s="2910"/>
      <c r="C2985" s="4310" t="s">
        <v>5724</v>
      </c>
      <c r="D2985" s="666">
        <v>101488000</v>
      </c>
      <c r="E2985" s="4113">
        <f>D2985/D2961*100</f>
        <v>7.026675256887023E-2</v>
      </c>
      <c r="F2985" s="542"/>
      <c r="G2985" s="666"/>
      <c r="H2985" s="2455"/>
      <c r="I2985" s="1109"/>
      <c r="J2985" s="2452"/>
      <c r="K2985" s="1717"/>
      <c r="L2985" s="2456"/>
      <c r="M2985" s="2230"/>
      <c r="N2985" s="3590"/>
      <c r="P2985" s="612"/>
    </row>
    <row r="2986" spans="1:16" s="3387" customFormat="1" ht="15.75" customHeight="1" x14ac:dyDescent="0.25">
      <c r="A2986" s="3587"/>
      <c r="B2986" s="2910"/>
      <c r="C2986" s="4310" t="s">
        <v>5725</v>
      </c>
      <c r="D2986" s="666">
        <v>109635660</v>
      </c>
      <c r="E2986" s="4113">
        <f>D2986/D2961*100</f>
        <v>7.5907908264472496E-2</v>
      </c>
      <c r="F2986" s="542"/>
      <c r="G2986" s="666"/>
      <c r="H2986" s="2455"/>
      <c r="I2986" s="1109"/>
      <c r="J2986" s="2452"/>
      <c r="K2986" s="1717"/>
      <c r="L2986" s="2456"/>
      <c r="M2986" s="2230"/>
      <c r="N2986" s="3590"/>
      <c r="P2986" s="612"/>
    </row>
    <row r="2987" spans="1:16" s="3387" customFormat="1" ht="15.75" customHeight="1" x14ac:dyDescent="0.25">
      <c r="A2987" s="3587"/>
      <c r="B2987" s="2910"/>
      <c r="C2987" s="4310" t="s">
        <v>5726</v>
      </c>
      <c r="D2987" s="666">
        <v>124216000</v>
      </c>
      <c r="E2987" s="4113">
        <f>D2987/D2961*100</f>
        <v>8.6002827300713236E-2</v>
      </c>
      <c r="F2987" s="542"/>
      <c r="G2987" s="666"/>
      <c r="H2987" s="2455"/>
      <c r="I2987" s="1109"/>
      <c r="J2987" s="2452"/>
      <c r="K2987" s="1717"/>
      <c r="L2987" s="2456"/>
      <c r="M2987" s="2230"/>
      <c r="N2987" s="3590"/>
      <c r="P2987" s="612"/>
    </row>
    <row r="2988" spans="1:16" s="523" customFormat="1" ht="12" customHeight="1" x14ac:dyDescent="0.25">
      <c r="A2988" s="352"/>
      <c r="B2988" s="1242"/>
      <c r="C2988" s="3897"/>
      <c r="D2988" s="671"/>
      <c r="E2988" s="724"/>
      <c r="F2988" s="543"/>
      <c r="G2988" s="671"/>
      <c r="H2988" s="2458"/>
      <c r="I2988" s="2459"/>
      <c r="J2988" s="2460"/>
      <c r="K2988" s="2265"/>
      <c r="L2988" s="2461"/>
      <c r="M2988" s="2004"/>
      <c r="N2988" s="535"/>
      <c r="P2988" s="500"/>
    </row>
    <row r="2989" spans="1:16" ht="16.5" customHeight="1" x14ac:dyDescent="0.25">
      <c r="B2989" s="1305"/>
      <c r="C2989" s="3906" t="s">
        <v>379</v>
      </c>
      <c r="D2989" s="669">
        <f>D2990+D2993+D2998+D3002+D3005+D3008+D3015+D3027+D3011+D3020+D3024</f>
        <v>4798320093</v>
      </c>
      <c r="E2989" s="1479">
        <f>D2989/D2961*100</f>
        <v>3.3221895270482165</v>
      </c>
      <c r="F2989" s="847"/>
      <c r="G2989" s="1325"/>
      <c r="H2989" s="1587"/>
      <c r="I2989" s="1325"/>
      <c r="J2989" s="1824"/>
      <c r="K2989" s="1824"/>
      <c r="L2989" s="2356"/>
      <c r="M2989" s="2462"/>
      <c r="N2989" s="535"/>
    </row>
    <row r="2990" spans="1:16" ht="18.75" customHeight="1" x14ac:dyDescent="0.25">
      <c r="B2990" s="1242"/>
      <c r="C2990" s="3949" t="s">
        <v>262</v>
      </c>
      <c r="D2990" s="4274">
        <f>SUM(D2991:D2991)</f>
        <v>1545600000</v>
      </c>
      <c r="E2990" s="1023">
        <f>D2990/D2961*100</f>
        <v>1.0701195488180457</v>
      </c>
      <c r="F2990" s="682"/>
      <c r="G2990" s="965"/>
      <c r="H2990" s="966"/>
      <c r="I2990" s="965"/>
      <c r="J2990" s="1934"/>
      <c r="K2990" s="1981"/>
      <c r="L2990" s="1415"/>
      <c r="M2990" s="2464"/>
      <c r="N2990" s="535"/>
    </row>
    <row r="2991" spans="1:16" ht="15.75" customHeight="1" x14ac:dyDescent="0.25">
      <c r="B2991" s="1242"/>
      <c r="C2991" s="3950" t="s">
        <v>5727</v>
      </c>
      <c r="D2991" s="1078">
        <v>1545600000</v>
      </c>
      <c r="E2991" s="939">
        <f>D2991/D2961*100</f>
        <v>1.0701195488180457</v>
      </c>
      <c r="F2991" s="1081"/>
      <c r="G2991" s="963"/>
      <c r="H2991" s="967"/>
      <c r="I2991" s="963"/>
      <c r="J2991" s="2457"/>
      <c r="K2991" s="2457"/>
      <c r="L2991" s="880"/>
      <c r="M2991" s="2230"/>
      <c r="N2991" s="535"/>
    </row>
    <row r="2992" spans="1:16" ht="12" customHeight="1" x14ac:dyDescent="0.25">
      <c r="B2992" s="1242"/>
      <c r="C2992" s="3863"/>
      <c r="D2992" s="666"/>
      <c r="E2992" s="724"/>
      <c r="F2992" s="542"/>
      <c r="G2992" s="868"/>
      <c r="H2992" s="995"/>
      <c r="I2992" s="868"/>
      <c r="J2992" s="2465"/>
      <c r="K2992" s="1717"/>
      <c r="L2992" s="2456"/>
      <c r="M2992" s="2466"/>
      <c r="N2992" s="535"/>
    </row>
    <row r="2993" spans="1:16" s="523" customFormat="1" ht="17.25" customHeight="1" x14ac:dyDescent="0.25">
      <c r="A2993" s="352"/>
      <c r="B2993" s="1242"/>
      <c r="C2993" s="3949" t="s">
        <v>5728</v>
      </c>
      <c r="D2993" s="1935">
        <f>SUM(D2994:D2996)</f>
        <v>481762773</v>
      </c>
      <c r="E2993" s="5084">
        <f>D2993/D2961*100</f>
        <v>0.33355574616983086</v>
      </c>
      <c r="F2993" s="1082"/>
      <c r="G2993" s="1329"/>
      <c r="H2993" s="1379"/>
      <c r="I2993" s="1329"/>
      <c r="J2993" s="1935"/>
      <c r="K2993" s="1935"/>
      <c r="L2993" s="1415"/>
      <c r="M2993" s="2006"/>
      <c r="N2993" s="535"/>
      <c r="P2993" s="500"/>
    </row>
    <row r="2994" spans="1:16" s="523" customFormat="1" ht="15.75" customHeight="1" x14ac:dyDescent="0.25">
      <c r="A2994" s="352"/>
      <c r="B2994" s="1242"/>
      <c r="C2994" s="3950" t="s">
        <v>5729</v>
      </c>
      <c r="D2994" s="4085">
        <v>106762773</v>
      </c>
      <c r="E2994" s="939">
        <f>D2994/D2961*100</f>
        <v>7.3918821476011545E-2</v>
      </c>
      <c r="F2994" s="1083"/>
      <c r="G2994" s="963"/>
      <c r="H2994" s="967"/>
      <c r="I2994" s="963"/>
      <c r="J2994" s="2457"/>
      <c r="K2994" s="963"/>
      <c r="L2994" s="967"/>
      <c r="M2994" s="963"/>
      <c r="N2994" s="535"/>
      <c r="P2994" s="500"/>
    </row>
    <row r="2995" spans="1:16" s="523" customFormat="1" ht="15.75" customHeight="1" x14ac:dyDescent="0.25">
      <c r="A2995" s="352"/>
      <c r="B2995" s="1242"/>
      <c r="C2995" s="3950" t="s">
        <v>5730</v>
      </c>
      <c r="D2995" s="4085">
        <v>187500000</v>
      </c>
      <c r="E2995" s="939">
        <f>D2995/D2961*100</f>
        <v>0.12981846234690969</v>
      </c>
      <c r="F2995" s="1083"/>
      <c r="G2995" s="963"/>
      <c r="H2995" s="967"/>
      <c r="I2995" s="963"/>
      <c r="J2995" s="2457"/>
      <c r="K2995" s="2457"/>
      <c r="L2995" s="880"/>
      <c r="M2995" s="2003"/>
      <c r="N2995" s="535"/>
      <c r="P2995" s="500"/>
    </row>
    <row r="2996" spans="1:16" s="523" customFormat="1" ht="17.25" customHeight="1" x14ac:dyDescent="0.25">
      <c r="A2996" s="352"/>
      <c r="B2996" s="1242"/>
      <c r="C2996" s="3950" t="s">
        <v>5731</v>
      </c>
      <c r="D2996" s="4085">
        <v>187500000</v>
      </c>
      <c r="E2996" s="4113">
        <f>D2996/D2961*100</f>
        <v>0.12981846234690969</v>
      </c>
      <c r="F2996" s="1083"/>
      <c r="G2996" s="666"/>
      <c r="H2996" s="880"/>
      <c r="I2996" s="666"/>
      <c r="J2996" s="2452"/>
      <c r="K2996" s="1717"/>
      <c r="L2996" s="2467"/>
      <c r="M2996" s="2003"/>
      <c r="N2996" s="535"/>
      <c r="P2996" s="500"/>
    </row>
    <row r="2997" spans="1:16" s="4099" customFormat="1" ht="12" customHeight="1" x14ac:dyDescent="0.25">
      <c r="A2997" s="4101"/>
      <c r="B2997" s="4119"/>
      <c r="C2997" s="3950"/>
      <c r="D2997" s="4085"/>
      <c r="E2997" s="732"/>
      <c r="F2997" s="1083"/>
      <c r="G2997" s="666"/>
      <c r="H2997" s="880"/>
      <c r="I2997" s="666"/>
      <c r="J2997" s="4313"/>
      <c r="K2997" s="4314"/>
      <c r="L2997" s="2467"/>
      <c r="M2997" s="2003"/>
      <c r="N2997" s="4109"/>
      <c r="P2997" s="500"/>
    </row>
    <row r="2998" spans="1:16" s="523" customFormat="1" ht="15.75" customHeight="1" x14ac:dyDescent="0.25">
      <c r="A2998" s="352"/>
      <c r="B2998" s="1242"/>
      <c r="C2998" s="3949" t="s">
        <v>5732</v>
      </c>
      <c r="D2998" s="1935">
        <f>SUM(D2999:D3000)</f>
        <v>450000000</v>
      </c>
      <c r="E2998" s="1023">
        <f>D2998/D2961*100</f>
        <v>0.31156430963258325</v>
      </c>
      <c r="F2998" s="1082"/>
      <c r="G2998" s="965"/>
      <c r="H2998" s="966"/>
      <c r="I2998" s="965"/>
      <c r="J2998" s="1935"/>
      <c r="K2998" s="1935"/>
      <c r="L2998" s="1415"/>
      <c r="M2998" s="2006"/>
      <c r="N2998" s="535"/>
      <c r="P2998" s="500"/>
    </row>
    <row r="2999" spans="1:16" s="523" customFormat="1" ht="15.75" customHeight="1" x14ac:dyDescent="0.25">
      <c r="A2999" s="352"/>
      <c r="B2999" s="1242"/>
      <c r="C2999" s="3950" t="s">
        <v>5733</v>
      </c>
      <c r="D2999" s="4085">
        <v>222137500</v>
      </c>
      <c r="E2999" s="939">
        <f>D2999/D2961*100</f>
        <v>0.15380025962446212</v>
      </c>
      <c r="F2999" s="1083"/>
      <c r="G2999" s="963"/>
      <c r="H2999" s="967"/>
      <c r="I2999" s="963"/>
      <c r="J2999" s="2457"/>
      <c r="K2999" s="2457"/>
      <c r="L2999" s="880"/>
      <c r="M2999" s="2230"/>
      <c r="N2999" s="535"/>
      <c r="P2999" s="500"/>
    </row>
    <row r="3000" spans="1:16" s="3387" customFormat="1" ht="17.25" customHeight="1" x14ac:dyDescent="0.25">
      <c r="A3000" s="3587"/>
      <c r="B3000" s="2910"/>
      <c r="C3000" s="3950" t="s">
        <v>5734</v>
      </c>
      <c r="D3000" s="4085">
        <v>227862500</v>
      </c>
      <c r="E3000" s="4113">
        <f>D3000/D2961*100</f>
        <v>0.1577640500081211</v>
      </c>
      <c r="F3000" s="1083"/>
      <c r="G3000" s="666"/>
      <c r="H3000" s="880"/>
      <c r="I3000" s="666"/>
      <c r="J3000" s="2452"/>
      <c r="K3000" s="1717"/>
      <c r="L3000" s="2467"/>
      <c r="M3000" s="2230"/>
      <c r="N3000" s="3590"/>
      <c r="P3000" s="612"/>
    </row>
    <row r="3001" spans="1:16" s="4099" customFormat="1" ht="10.5" customHeight="1" x14ac:dyDescent="0.25">
      <c r="A3001" s="4101"/>
      <c r="B3001" s="4119"/>
      <c r="C3001" s="3952"/>
      <c r="D3001" s="4086"/>
      <c r="E3001" s="732"/>
      <c r="F3001" s="1084"/>
      <c r="G3001" s="666"/>
      <c r="H3001" s="880"/>
      <c r="I3001" s="666"/>
      <c r="J3001" s="4313"/>
      <c r="K3001" s="4314"/>
      <c r="L3001" s="2467"/>
      <c r="M3001" s="2003"/>
      <c r="N3001" s="4109"/>
      <c r="P3001" s="500"/>
    </row>
    <row r="3002" spans="1:16" s="523" customFormat="1" ht="16.5" customHeight="1" x14ac:dyDescent="0.25">
      <c r="A3002" s="352"/>
      <c r="B3002" s="1242"/>
      <c r="C3002" s="3949" t="s">
        <v>5735</v>
      </c>
      <c r="D3002" s="1935">
        <f>D3003</f>
        <v>187500000</v>
      </c>
      <c r="E3002" s="1023">
        <f>D3002/D2961*100</f>
        <v>0.12981846234690969</v>
      </c>
      <c r="F3002" s="1082"/>
      <c r="G3002" s="965"/>
      <c r="H3002" s="966"/>
      <c r="I3002" s="965"/>
      <c r="J3002" s="1935"/>
      <c r="K3002" s="1935"/>
      <c r="L3002" s="1415"/>
      <c r="M3002" s="2006"/>
      <c r="N3002" s="535"/>
      <c r="P3002" s="500"/>
    </row>
    <row r="3003" spans="1:16" s="523" customFormat="1" ht="17.25" customHeight="1" x14ac:dyDescent="0.25">
      <c r="A3003" s="352"/>
      <c r="B3003" s="1242"/>
      <c r="C3003" s="3950" t="s">
        <v>5736</v>
      </c>
      <c r="D3003" s="4085">
        <v>187500000</v>
      </c>
      <c r="E3003" s="939">
        <f>D3003/D2961*100</f>
        <v>0.12981846234690969</v>
      </c>
      <c r="F3003" s="1083"/>
      <c r="G3003" s="1238"/>
      <c r="H3003" s="971"/>
      <c r="I3003" s="1238"/>
      <c r="J3003" s="2457"/>
      <c r="K3003" s="2457"/>
      <c r="L3003" s="880"/>
      <c r="M3003" s="2230"/>
      <c r="N3003" s="535"/>
      <c r="P3003" s="500"/>
    </row>
    <row r="3004" spans="1:16" s="523" customFormat="1" ht="12" customHeight="1" x14ac:dyDescent="0.25">
      <c r="A3004" s="352"/>
      <c r="B3004" s="1242"/>
      <c r="C3004" s="3863"/>
      <c r="D3004" s="4086"/>
      <c r="E3004" s="729"/>
      <c r="F3004" s="1085"/>
      <c r="G3004" s="666"/>
      <c r="H3004" s="880"/>
      <c r="I3004" s="666"/>
      <c r="J3004" s="2452"/>
      <c r="K3004" s="1717"/>
      <c r="L3004" s="2467"/>
      <c r="M3004" s="2003"/>
      <c r="N3004" s="535"/>
      <c r="P3004" s="500"/>
    </row>
    <row r="3005" spans="1:16" s="523" customFormat="1" ht="16.5" customHeight="1" x14ac:dyDescent="0.25">
      <c r="A3005" s="352"/>
      <c r="B3005" s="1242"/>
      <c r="C3005" s="3949" t="s">
        <v>5737</v>
      </c>
      <c r="D3005" s="1902">
        <f>SUM(D3006:D3006)</f>
        <v>187500000</v>
      </c>
      <c r="E3005" s="1023">
        <f>D3005/D2961*100</f>
        <v>0.12981846234690969</v>
      </c>
      <c r="F3005" s="1086"/>
      <c r="G3005" s="965"/>
      <c r="H3005" s="966"/>
      <c r="I3005" s="965"/>
      <c r="J3005" s="1936"/>
      <c r="K3005" s="1936"/>
      <c r="L3005" s="1415"/>
      <c r="M3005" s="2006"/>
      <c r="N3005" s="535"/>
      <c r="P3005" s="500"/>
    </row>
    <row r="3006" spans="1:16" s="523" customFormat="1" ht="18" customHeight="1" x14ac:dyDescent="0.25">
      <c r="A3006" s="352"/>
      <c r="B3006" s="1242"/>
      <c r="C3006" s="3950" t="s">
        <v>5738</v>
      </c>
      <c r="D3006" s="4085">
        <v>187500000</v>
      </c>
      <c r="E3006" s="939">
        <f>D3006/D2961*100</f>
        <v>0.12981846234690969</v>
      </c>
      <c r="F3006" s="1087"/>
      <c r="G3006" s="1238"/>
      <c r="H3006" s="971"/>
      <c r="I3006" s="1238"/>
      <c r="J3006" s="2453"/>
      <c r="K3006" s="2454"/>
      <c r="L3006" s="880"/>
      <c r="M3006" s="2230"/>
      <c r="N3006" s="535"/>
      <c r="P3006" s="500"/>
    </row>
    <row r="3007" spans="1:16" s="523" customFormat="1" ht="12" customHeight="1" x14ac:dyDescent="0.25">
      <c r="A3007" s="352"/>
      <c r="B3007" s="1242"/>
      <c r="C3007" s="3863"/>
      <c r="D3007" s="1674"/>
      <c r="E3007" s="729"/>
      <c r="F3007" s="1089"/>
      <c r="G3007" s="666"/>
      <c r="H3007" s="880"/>
      <c r="I3007" s="666"/>
      <c r="J3007" s="2452"/>
      <c r="K3007" s="1717"/>
      <c r="L3007" s="2467"/>
      <c r="M3007" s="2003"/>
      <c r="N3007" s="535"/>
      <c r="P3007" s="500"/>
    </row>
    <row r="3008" spans="1:16" s="523" customFormat="1" ht="19.5" customHeight="1" x14ac:dyDescent="0.25">
      <c r="A3008" s="352"/>
      <c r="B3008" s="1242"/>
      <c r="C3008" s="3949" t="s">
        <v>5739</v>
      </c>
      <c r="D3008" s="4275">
        <f>D3009</f>
        <v>187500000</v>
      </c>
      <c r="E3008" s="1023">
        <f>D3008/D2961*100</f>
        <v>0.12981846234690969</v>
      </c>
      <c r="F3008" s="1090"/>
      <c r="G3008" s="965"/>
      <c r="H3008" s="966"/>
      <c r="I3008" s="965"/>
      <c r="J3008" s="1937"/>
      <c r="K3008" s="1937"/>
      <c r="L3008" s="1415"/>
      <c r="M3008" s="2006"/>
      <c r="N3008" s="535"/>
      <c r="P3008" s="500"/>
    </row>
    <row r="3009" spans="1:16" s="523" customFormat="1" ht="15.75" customHeight="1" x14ac:dyDescent="0.25">
      <c r="A3009" s="352"/>
      <c r="B3009" s="1242"/>
      <c r="C3009" s="3950" t="s">
        <v>5740</v>
      </c>
      <c r="D3009" s="4085">
        <v>187500000</v>
      </c>
      <c r="E3009" s="939">
        <f>D3009/D2961*100</f>
        <v>0.12981846234690969</v>
      </c>
      <c r="F3009" s="1088"/>
      <c r="G3009" s="1238"/>
      <c r="H3009" s="971"/>
      <c r="I3009" s="1238"/>
      <c r="J3009" s="2453"/>
      <c r="K3009" s="2454"/>
      <c r="L3009" s="880"/>
      <c r="M3009" s="2230"/>
      <c r="N3009" s="535"/>
      <c r="P3009" s="500"/>
    </row>
    <row r="3010" spans="1:16" s="523" customFormat="1" ht="12" customHeight="1" x14ac:dyDescent="0.25">
      <c r="A3010" s="352"/>
      <c r="B3010" s="1242"/>
      <c r="C3010" s="3863"/>
      <c r="D3010" s="1674"/>
      <c r="E3010" s="729"/>
      <c r="F3010" s="1089"/>
      <c r="G3010" s="666"/>
      <c r="H3010" s="880"/>
      <c r="I3010" s="666"/>
      <c r="J3010" s="2452"/>
      <c r="K3010" s="1717"/>
      <c r="L3010" s="2467"/>
      <c r="M3010" s="2003"/>
      <c r="N3010" s="535"/>
      <c r="P3010" s="500"/>
    </row>
    <row r="3011" spans="1:16" s="523" customFormat="1" ht="18" customHeight="1" x14ac:dyDescent="0.25">
      <c r="A3011" s="352"/>
      <c r="B3011" s="1242"/>
      <c r="C3011" s="3954" t="s">
        <v>1101</v>
      </c>
      <c r="D3011" s="1902">
        <f>SUM(D3012:D3013)</f>
        <v>440567320</v>
      </c>
      <c r="E3011" s="1023">
        <f>D3011/D2961*100</f>
        <v>0.30503345089439415</v>
      </c>
      <c r="F3011" s="1086"/>
      <c r="G3011" s="965"/>
      <c r="H3011" s="966"/>
      <c r="I3011" s="965"/>
      <c r="J3011" s="1936"/>
      <c r="K3011" s="1936"/>
      <c r="L3011" s="1415"/>
      <c r="M3011" s="2006"/>
      <c r="N3011" s="535"/>
      <c r="P3011" s="500"/>
    </row>
    <row r="3012" spans="1:16" s="523" customFormat="1" ht="15.75" customHeight="1" x14ac:dyDescent="0.25">
      <c r="A3012" s="352"/>
      <c r="B3012" s="1242"/>
      <c r="C3012" s="3955" t="s">
        <v>5741</v>
      </c>
      <c r="D3012" s="4085">
        <v>253067320</v>
      </c>
      <c r="E3012" s="939">
        <f>D3012/D2961*100</f>
        <v>0.17521498854748449</v>
      </c>
      <c r="F3012" s="1088"/>
      <c r="G3012" s="963"/>
      <c r="H3012" s="967"/>
      <c r="I3012" s="963"/>
      <c r="J3012" s="2453"/>
      <c r="K3012" s="2454"/>
      <c r="L3012" s="880"/>
      <c r="M3012" s="2230"/>
      <c r="N3012" s="535"/>
      <c r="P3012" s="500"/>
    </row>
    <row r="3013" spans="1:16" s="523" customFormat="1" ht="16.5" customHeight="1" x14ac:dyDescent="0.25">
      <c r="A3013" s="352"/>
      <c r="B3013" s="1242"/>
      <c r="C3013" s="3955" t="s">
        <v>5742</v>
      </c>
      <c r="D3013" s="4085">
        <v>187500000</v>
      </c>
      <c r="E3013" s="939">
        <f>D3013/D2961*100</f>
        <v>0.12981846234690969</v>
      </c>
      <c r="F3013" s="1088"/>
      <c r="G3013" s="963"/>
      <c r="H3013" s="967"/>
      <c r="I3013" s="963"/>
      <c r="J3013" s="2453"/>
      <c r="K3013" s="2454"/>
      <c r="L3013" s="880"/>
      <c r="M3013" s="2230"/>
      <c r="N3013" s="535"/>
      <c r="P3013" s="500"/>
    </row>
    <row r="3014" spans="1:16" s="523" customFormat="1" ht="12" customHeight="1" x14ac:dyDescent="0.25">
      <c r="A3014" s="352"/>
      <c r="B3014" s="1242"/>
      <c r="C3014" s="3863"/>
      <c r="D3014" s="1674"/>
      <c r="E3014" s="729"/>
      <c r="F3014" s="1089"/>
      <c r="G3014" s="666"/>
      <c r="H3014" s="880"/>
      <c r="I3014" s="666"/>
      <c r="J3014" s="2452"/>
      <c r="K3014" s="1717"/>
      <c r="L3014" s="2467"/>
      <c r="M3014" s="2003"/>
      <c r="N3014" s="535"/>
      <c r="P3014" s="500"/>
    </row>
    <row r="3015" spans="1:16" s="523" customFormat="1" ht="17.25" customHeight="1" x14ac:dyDescent="0.25">
      <c r="A3015" s="352"/>
      <c r="B3015" s="1242"/>
      <c r="C3015" s="3954" t="s">
        <v>1015</v>
      </c>
      <c r="D3015" s="1902">
        <f>SUM(D3016:D3018)</f>
        <v>705400000</v>
      </c>
      <c r="E3015" s="1023">
        <f>D3015/D2961*100</f>
        <v>0.48839436447738716</v>
      </c>
      <c r="F3015" s="1086"/>
      <c r="G3015" s="965"/>
      <c r="H3015" s="966"/>
      <c r="I3015" s="965"/>
      <c r="J3015" s="1936"/>
      <c r="K3015" s="1936"/>
      <c r="L3015" s="1415"/>
      <c r="M3015" s="1415"/>
      <c r="N3015" s="535"/>
      <c r="P3015" s="500"/>
    </row>
    <row r="3016" spans="1:16" s="523" customFormat="1" ht="15" customHeight="1" x14ac:dyDescent="0.25">
      <c r="A3016" s="352"/>
      <c r="B3016" s="1242"/>
      <c r="C3016" s="3955" t="s">
        <v>5743</v>
      </c>
      <c r="D3016" s="4085">
        <v>205400000</v>
      </c>
      <c r="E3016" s="939">
        <f>D3016/D2961*100</f>
        <v>0.14221179821896132</v>
      </c>
      <c r="F3016" s="1088"/>
      <c r="G3016" s="1238"/>
      <c r="H3016" s="971"/>
      <c r="I3016" s="1238"/>
      <c r="J3016" s="2453"/>
      <c r="K3016" s="2454"/>
      <c r="L3016" s="880"/>
      <c r="M3016" s="880"/>
      <c r="N3016" s="535"/>
      <c r="P3016" s="500"/>
    </row>
    <row r="3017" spans="1:16" s="4099" customFormat="1" ht="15.75" customHeight="1" x14ac:dyDescent="0.25">
      <c r="A3017" s="4101"/>
      <c r="B3017" s="4119"/>
      <c r="C3017" s="3959" t="s">
        <v>5744</v>
      </c>
      <c r="D3017" s="4276">
        <v>250000000</v>
      </c>
      <c r="E3017" s="4113">
        <f>D3017/D2961*100</f>
        <v>0.1730912831292129</v>
      </c>
      <c r="F3017" s="4317"/>
      <c r="G3017" s="1238"/>
      <c r="H3017" s="971"/>
      <c r="I3017" s="1238"/>
      <c r="J3017" s="2453"/>
      <c r="K3017" s="2454"/>
      <c r="L3017" s="1310"/>
      <c r="M3017" s="1310"/>
      <c r="N3017" s="4109"/>
      <c r="P3017" s="500"/>
    </row>
    <row r="3018" spans="1:16" s="4099" customFormat="1" ht="14.25" customHeight="1" x14ac:dyDescent="0.25">
      <c r="A3018" s="4101"/>
      <c r="B3018" s="4119"/>
      <c r="C3018" s="3959" t="s">
        <v>5745</v>
      </c>
      <c r="D3018" s="4276">
        <v>250000000</v>
      </c>
      <c r="E3018" s="4113">
        <f>D3018/D2961*100</f>
        <v>0.1730912831292129</v>
      </c>
      <c r="F3018" s="4317"/>
      <c r="G3018" s="1238"/>
      <c r="H3018" s="971"/>
      <c r="I3018" s="1238"/>
      <c r="J3018" s="2453"/>
      <c r="K3018" s="2454"/>
      <c r="L3018" s="1310"/>
      <c r="M3018" s="1310"/>
      <c r="N3018" s="4109"/>
      <c r="P3018" s="500"/>
    </row>
    <row r="3019" spans="1:16" s="4099" customFormat="1" ht="9.75" customHeight="1" x14ac:dyDescent="0.25">
      <c r="A3019" s="4101"/>
      <c r="B3019" s="4119"/>
      <c r="C3019" s="3959"/>
      <c r="D3019" s="4276"/>
      <c r="E3019" s="4113"/>
      <c r="F3019" s="4317"/>
      <c r="G3019" s="1238"/>
      <c r="H3019" s="971"/>
      <c r="I3019" s="1238"/>
      <c r="J3019" s="2453"/>
      <c r="K3019" s="2454"/>
      <c r="L3019" s="1310"/>
      <c r="M3019" s="1310"/>
      <c r="N3019" s="4109"/>
      <c r="P3019" s="500"/>
    </row>
    <row r="3020" spans="1:16" s="3598" customFormat="1" ht="18" customHeight="1" x14ac:dyDescent="0.25">
      <c r="A3020" s="3588"/>
      <c r="B3020" s="4119"/>
      <c r="C3020" s="4105" t="s">
        <v>5746</v>
      </c>
      <c r="D3020" s="1902">
        <f>SUM(D3021:D3022)</f>
        <v>487500000</v>
      </c>
      <c r="E3020" s="1023">
        <f>D3020/D2961*100</f>
        <v>0.33752800210196515</v>
      </c>
      <c r="F3020" s="1086"/>
      <c r="G3020" s="673"/>
      <c r="H3020" s="1415"/>
      <c r="I3020" s="673"/>
      <c r="J3020" s="4318"/>
      <c r="K3020" s="2261"/>
      <c r="L3020" s="1650"/>
      <c r="M3020" s="2006"/>
      <c r="N3020" s="3592"/>
      <c r="P3020" s="4592"/>
    </row>
    <row r="3021" spans="1:16" s="4099" customFormat="1" ht="16.5" customHeight="1" x14ac:dyDescent="0.25">
      <c r="A3021" s="4101"/>
      <c r="B3021" s="4119"/>
      <c r="C3021" s="4106" t="s">
        <v>5747</v>
      </c>
      <c r="D3021" s="1674">
        <v>300000000</v>
      </c>
      <c r="E3021" s="4113">
        <f>D3021/D2961*100</f>
        <v>0.20770953975505546</v>
      </c>
      <c r="F3021" s="1089"/>
      <c r="G3021" s="666"/>
      <c r="H3021" s="880"/>
      <c r="I3021" s="666"/>
      <c r="J3021" s="4315"/>
      <c r="K3021" s="4316"/>
      <c r="L3021" s="2467"/>
      <c r="M3021" s="2003"/>
      <c r="N3021" s="4109"/>
      <c r="P3021" s="500"/>
    </row>
    <row r="3022" spans="1:16" s="4099" customFormat="1" ht="27.75" customHeight="1" x14ac:dyDescent="0.25">
      <c r="A3022" s="4101"/>
      <c r="B3022" s="4119"/>
      <c r="C3022" s="4106" t="s">
        <v>5748</v>
      </c>
      <c r="D3022" s="1674">
        <v>187500000</v>
      </c>
      <c r="E3022" s="4113">
        <f>D3022/D2961*100</f>
        <v>0.12981846234690969</v>
      </c>
      <c r="F3022" s="1089"/>
      <c r="G3022" s="666"/>
      <c r="H3022" s="880"/>
      <c r="I3022" s="666"/>
      <c r="J3022" s="4315"/>
      <c r="K3022" s="4316"/>
      <c r="L3022" s="2467"/>
      <c r="M3022" s="2003"/>
      <c r="N3022" s="4109"/>
      <c r="P3022" s="500"/>
    </row>
    <row r="3023" spans="1:16" s="4099" customFormat="1" ht="12" customHeight="1" x14ac:dyDescent="0.25">
      <c r="A3023" s="4101"/>
      <c r="B3023" s="4119"/>
      <c r="C3023" s="4106"/>
      <c r="D3023" s="1674"/>
      <c r="E3023" s="4113"/>
      <c r="F3023" s="1089"/>
      <c r="G3023" s="666"/>
      <c r="H3023" s="880"/>
      <c r="I3023" s="666"/>
      <c r="J3023" s="4315"/>
      <c r="K3023" s="4316"/>
      <c r="L3023" s="2467"/>
      <c r="M3023" s="2003"/>
      <c r="N3023" s="4109"/>
      <c r="P3023" s="500"/>
    </row>
    <row r="3024" spans="1:16" s="3598" customFormat="1" ht="15.75" customHeight="1" x14ac:dyDescent="0.25">
      <c r="A3024" s="3588"/>
      <c r="B3024" s="4119"/>
      <c r="C3024" s="4105" t="s">
        <v>5750</v>
      </c>
      <c r="D3024" s="1902">
        <f>D3025</f>
        <v>62490000</v>
      </c>
      <c r="E3024" s="4113">
        <f>D3024/D2961*100</f>
        <v>4.3265897130978059E-2</v>
      </c>
      <c r="F3024" s="1086"/>
      <c r="G3024" s="673"/>
      <c r="H3024" s="1415"/>
      <c r="I3024" s="673"/>
      <c r="J3024" s="4319"/>
      <c r="K3024" s="4320"/>
      <c r="L3024" s="1650"/>
      <c r="M3024" s="2006"/>
      <c r="N3024" s="3592"/>
      <c r="P3024" s="4592"/>
    </row>
    <row r="3025" spans="1:16" s="4099" customFormat="1" ht="17.25" customHeight="1" x14ac:dyDescent="0.25">
      <c r="A3025" s="4101"/>
      <c r="B3025" s="4119"/>
      <c r="C3025" s="4106" t="s">
        <v>5749</v>
      </c>
      <c r="D3025" s="1674">
        <v>62490000</v>
      </c>
      <c r="E3025" s="4113">
        <f>D3025/D2961*100</f>
        <v>4.3265897130978059E-2</v>
      </c>
      <c r="F3025" s="1089"/>
      <c r="G3025" s="666"/>
      <c r="H3025" s="880"/>
      <c r="I3025" s="666"/>
      <c r="J3025" s="4315"/>
      <c r="K3025" s="4316"/>
      <c r="L3025" s="2467"/>
      <c r="M3025" s="2003"/>
      <c r="N3025" s="4109"/>
      <c r="P3025" s="500"/>
    </row>
    <row r="3026" spans="1:16" s="4099" customFormat="1" ht="12" customHeight="1" x14ac:dyDescent="0.25">
      <c r="A3026" s="4101"/>
      <c r="B3026" s="4119"/>
      <c r="C3026" s="4106"/>
      <c r="D3026" s="1674"/>
      <c r="E3026" s="732"/>
      <c r="F3026" s="1089"/>
      <c r="G3026" s="666"/>
      <c r="H3026" s="880"/>
      <c r="I3026" s="666"/>
      <c r="J3026" s="4315"/>
      <c r="K3026" s="4316"/>
      <c r="L3026" s="2467"/>
      <c r="M3026" s="2003"/>
      <c r="N3026" s="4109"/>
      <c r="P3026" s="500"/>
    </row>
    <row r="3027" spans="1:16" s="523" customFormat="1" ht="18.75" customHeight="1" x14ac:dyDescent="0.25">
      <c r="A3027" s="352"/>
      <c r="B3027" s="1242"/>
      <c r="C3027" s="3954" t="s">
        <v>5751</v>
      </c>
      <c r="D3027" s="1902">
        <f>D3028</f>
        <v>62500000</v>
      </c>
      <c r="E3027" s="1023">
        <f>D3027/D2961*100</f>
        <v>4.3272820782303226E-2</v>
      </c>
      <c r="F3027" s="1086"/>
      <c r="G3027" s="1329"/>
      <c r="H3027" s="1379"/>
      <c r="I3027" s="1329"/>
      <c r="J3027" s="1936"/>
      <c r="K3027" s="1936"/>
      <c r="L3027" s="1415"/>
      <c r="M3027" s="2006"/>
      <c r="N3027" s="535"/>
      <c r="P3027" s="500"/>
    </row>
    <row r="3028" spans="1:16" s="523" customFormat="1" ht="17.25" customHeight="1" x14ac:dyDescent="0.25">
      <c r="A3028" s="352"/>
      <c r="B3028" s="1242"/>
      <c r="C3028" s="3955" t="s">
        <v>5752</v>
      </c>
      <c r="D3028" s="4085">
        <v>62500000</v>
      </c>
      <c r="E3028" s="939">
        <f>D3028/D2961*100</f>
        <v>4.3272820782303226E-2</v>
      </c>
      <c r="F3028" s="1083"/>
      <c r="G3028" s="1238"/>
      <c r="H3028" s="971"/>
      <c r="I3028" s="1238"/>
      <c r="J3028" s="2457"/>
      <c r="K3028" s="2468"/>
      <c r="L3028" s="880"/>
      <c r="M3028" s="2230"/>
      <c r="N3028" s="535"/>
      <c r="P3028" s="500"/>
    </row>
    <row r="3029" spans="1:16" s="523" customFormat="1" ht="12" customHeight="1" x14ac:dyDescent="0.25">
      <c r="A3029" s="352"/>
      <c r="B3029" s="1242"/>
      <c r="C3029" s="3897"/>
      <c r="D3029" s="1103"/>
      <c r="E3029" s="1480"/>
      <c r="F3029" s="1091"/>
      <c r="G3029" s="868"/>
      <c r="H3029" s="2469"/>
      <c r="I3029" s="2459"/>
      <c r="J3029" s="2460"/>
      <c r="K3029" s="2265"/>
      <c r="L3029" s="2470"/>
      <c r="M3029" s="2004"/>
      <c r="N3029" s="535"/>
      <c r="P3029" s="500"/>
    </row>
    <row r="3030" spans="1:16" ht="17.25" customHeight="1" x14ac:dyDescent="0.25">
      <c r="B3030" s="1305"/>
      <c r="C3030" s="3906" t="s">
        <v>380</v>
      </c>
      <c r="D3030" s="669">
        <f>SUM(D3031+D3034+D3037+D3040+D3043)</f>
        <v>42215458328.020004</v>
      </c>
      <c r="E3030" s="1039">
        <f>D3030/D2961*100</f>
        <v>29.228511399539197</v>
      </c>
      <c r="F3030" s="847"/>
      <c r="G3030" s="847"/>
      <c r="H3030" s="1462"/>
      <c r="I3030" s="847"/>
      <c r="J3030" s="1824"/>
      <c r="K3030" s="1824"/>
      <c r="L3030" s="1462"/>
      <c r="M3030" s="2462"/>
      <c r="N3030" s="535"/>
    </row>
    <row r="3031" spans="1:16" ht="13.5" customHeight="1" x14ac:dyDescent="0.25">
      <c r="B3031" s="1242"/>
      <c r="C3031" s="3938" t="s">
        <v>1834</v>
      </c>
      <c r="D3031" s="1851">
        <f>SUM(D3032)</f>
        <v>14613191648</v>
      </c>
      <c r="E3031" s="1025">
        <f>D3031/D2961*100</f>
        <v>10.11766437186167</v>
      </c>
      <c r="F3031" s="683"/>
      <c r="G3031" s="965"/>
      <c r="H3031" s="966"/>
      <c r="I3031" s="965"/>
      <c r="J3031" s="1938"/>
      <c r="K3031" s="1938"/>
      <c r="L3031" s="1415"/>
      <c r="M3031" s="965"/>
      <c r="N3031" s="535"/>
    </row>
    <row r="3032" spans="1:16" ht="18.75" customHeight="1" x14ac:dyDescent="0.25">
      <c r="B3032" s="1242"/>
      <c r="C3032" s="3917" t="s">
        <v>5753</v>
      </c>
      <c r="D3032" s="4276">
        <v>14613191648</v>
      </c>
      <c r="E3032" s="1481">
        <f>D3032/D2961*100</f>
        <v>10.11766437186167</v>
      </c>
      <c r="F3032" s="1092"/>
      <c r="G3032" s="963"/>
      <c r="H3032" s="967"/>
      <c r="I3032" s="963"/>
      <c r="J3032" s="2453"/>
      <c r="K3032" s="2473"/>
      <c r="L3032" s="880"/>
      <c r="M3032" s="963"/>
      <c r="N3032" s="535"/>
    </row>
    <row r="3033" spans="1:16" s="523" customFormat="1" ht="10.5" customHeight="1" x14ac:dyDescent="0.25">
      <c r="A3033" s="352"/>
      <c r="B3033" s="1242"/>
      <c r="C3033" s="3860"/>
      <c r="D3033" s="666"/>
      <c r="E3033" s="729"/>
      <c r="F3033" s="542"/>
      <c r="G3033" s="666"/>
      <c r="H3033" s="880"/>
      <c r="I3033" s="666"/>
      <c r="J3033" s="2452"/>
      <c r="K3033" s="1717"/>
      <c r="L3033" s="1717"/>
      <c r="M3033" s="1717"/>
      <c r="N3033" s="535"/>
      <c r="P3033" s="500"/>
    </row>
    <row r="3034" spans="1:16" s="523" customFormat="1" ht="16.5" customHeight="1" x14ac:dyDescent="0.25">
      <c r="A3034" s="352"/>
      <c r="B3034" s="1242"/>
      <c r="C3034" s="3938" t="s">
        <v>584</v>
      </c>
      <c r="D3034" s="673">
        <f>SUM(D3035:D3035)</f>
        <v>23045987195.02</v>
      </c>
      <c r="E3034" s="1025">
        <f>D3034/D2961*100</f>
        <v>15.956237978261687</v>
      </c>
      <c r="F3034" s="541"/>
      <c r="G3034" s="541"/>
      <c r="H3034" s="1308"/>
      <c r="I3034" s="673"/>
      <c r="J3034" s="1112"/>
      <c r="K3034" s="1112"/>
      <c r="L3034" s="1415"/>
      <c r="M3034" s="2261"/>
      <c r="N3034" s="535"/>
      <c r="P3034" s="500"/>
    </row>
    <row r="3035" spans="1:16" s="524" customFormat="1" ht="16.5" customHeight="1" x14ac:dyDescent="0.25">
      <c r="A3035" s="352"/>
      <c r="B3035" s="1242"/>
      <c r="C3035" s="3917" t="s">
        <v>5754</v>
      </c>
      <c r="D3035" s="666">
        <v>23045987195.02</v>
      </c>
      <c r="E3035" s="1481">
        <f>D3035/D2961*100</f>
        <v>15.956237978261687</v>
      </c>
      <c r="F3035" s="542"/>
      <c r="G3035" s="646"/>
      <c r="H3035" s="1310"/>
      <c r="I3035" s="963"/>
      <c r="J3035" s="2453"/>
      <c r="K3035" s="2473"/>
      <c r="L3035" s="880"/>
      <c r="M3035" s="1717"/>
      <c r="N3035" s="535"/>
      <c r="P3035" s="500"/>
    </row>
    <row r="3036" spans="1:16" s="524" customFormat="1" ht="8.25" customHeight="1" x14ac:dyDescent="0.25">
      <c r="A3036" s="352"/>
      <c r="B3036" s="1242"/>
      <c r="C3036" s="3957"/>
      <c r="D3036" s="4276"/>
      <c r="E3036" s="1482"/>
      <c r="F3036" s="1092"/>
      <c r="G3036" s="666"/>
      <c r="H3036" s="1310"/>
      <c r="I3036" s="1111"/>
      <c r="J3036" s="2452"/>
      <c r="K3036" s="1717"/>
      <c r="L3036" s="1312"/>
      <c r="M3036" s="1312"/>
      <c r="N3036" s="535"/>
      <c r="P3036" s="500"/>
    </row>
    <row r="3037" spans="1:16" s="524" customFormat="1" ht="13.5" customHeight="1" x14ac:dyDescent="0.25">
      <c r="A3037" s="352"/>
      <c r="B3037" s="1242"/>
      <c r="C3037" s="3958" t="s">
        <v>5755</v>
      </c>
      <c r="D3037" s="4277">
        <f>D3038</f>
        <v>3109200000</v>
      </c>
      <c r="E3037" s="1025">
        <f>D3037/D2961*100</f>
        <v>2.1527016700213948</v>
      </c>
      <c r="F3037" s="1093"/>
      <c r="G3037" s="1093"/>
      <c r="H3037" s="1308"/>
      <c r="I3037" s="1316"/>
      <c r="J3037" s="1093"/>
      <c r="K3037" s="1093"/>
      <c r="L3037" s="1415"/>
      <c r="M3037" s="1650"/>
      <c r="N3037" s="535"/>
      <c r="P3037" s="500"/>
    </row>
    <row r="3038" spans="1:16" s="524" customFormat="1" ht="18.75" customHeight="1" x14ac:dyDescent="0.25">
      <c r="A3038" s="352"/>
      <c r="B3038" s="1242"/>
      <c r="C3038" s="3959" t="s">
        <v>5756</v>
      </c>
      <c r="D3038" s="4276">
        <v>3109200000</v>
      </c>
      <c r="E3038" s="1481">
        <f>D3038/D2961*100</f>
        <v>2.1527016700213948</v>
      </c>
      <c r="F3038" s="1092"/>
      <c r="G3038" s="646"/>
      <c r="H3038" s="1310"/>
      <c r="I3038" s="1111"/>
      <c r="J3038" s="2453"/>
      <c r="K3038" s="2473"/>
      <c r="L3038" s="880"/>
      <c r="M3038" s="1312"/>
      <c r="N3038" s="535"/>
      <c r="P3038" s="500"/>
    </row>
    <row r="3039" spans="1:16" ht="10.5" customHeight="1" x14ac:dyDescent="0.25">
      <c r="B3039" s="1242"/>
      <c r="C3039" s="3904"/>
      <c r="D3039" s="868"/>
      <c r="E3039" s="4329"/>
      <c r="F3039" s="1114"/>
      <c r="G3039" s="868"/>
      <c r="H3039" s="2477"/>
      <c r="I3039" s="2478"/>
      <c r="J3039" s="2465"/>
      <c r="K3039" s="2281"/>
      <c r="L3039" s="2479"/>
      <c r="M3039" s="2466"/>
      <c r="N3039" s="535"/>
    </row>
    <row r="3040" spans="1:16" s="3598" customFormat="1" ht="16.5" customHeight="1" x14ac:dyDescent="0.25">
      <c r="A3040" s="3588"/>
      <c r="B3040" s="4119"/>
      <c r="C3040" s="4116" t="s">
        <v>5757</v>
      </c>
      <c r="D3040" s="673">
        <f>D3041</f>
        <v>499150000</v>
      </c>
      <c r="E3040" s="4114">
        <f>D3040/D2961*100</f>
        <v>0.34559405589578646</v>
      </c>
      <c r="F3040" s="541"/>
      <c r="G3040" s="673"/>
      <c r="H3040" s="1415"/>
      <c r="I3040" s="1118"/>
      <c r="J3040" s="4318"/>
      <c r="K3040" s="2261"/>
      <c r="L3040" s="2261"/>
      <c r="M3040" s="2484"/>
      <c r="N3040" s="3592"/>
      <c r="P3040" s="4592"/>
    </row>
    <row r="3041" spans="1:16" s="4099" customFormat="1" ht="15.75" customHeight="1" x14ac:dyDescent="0.25">
      <c r="A3041" s="4101"/>
      <c r="B3041" s="4119"/>
      <c r="C3041" s="4104" t="s">
        <v>5758</v>
      </c>
      <c r="D3041" s="666">
        <v>499150000</v>
      </c>
      <c r="E3041" s="1481">
        <f>D3041/D2961*100</f>
        <v>0.34559405589578646</v>
      </c>
      <c r="F3041" s="542"/>
      <c r="G3041" s="666"/>
      <c r="H3041" s="1467"/>
      <c r="I3041" s="2482"/>
      <c r="J3041" s="2452"/>
      <c r="K3041" s="1717"/>
      <c r="L3041" s="2456"/>
      <c r="M3041" s="2483"/>
      <c r="N3041" s="4109"/>
      <c r="P3041" s="500"/>
    </row>
    <row r="3042" spans="1:16" s="4099" customFormat="1" ht="9.75" customHeight="1" x14ac:dyDescent="0.25">
      <c r="A3042" s="4101"/>
      <c r="B3042" s="4119"/>
      <c r="C3042" s="4104"/>
      <c r="D3042" s="666"/>
      <c r="E3042" s="1481"/>
      <c r="F3042" s="542"/>
      <c r="G3042" s="666"/>
      <c r="H3042" s="1467"/>
      <c r="I3042" s="2482"/>
      <c r="J3042" s="2452"/>
      <c r="K3042" s="1717"/>
      <c r="L3042" s="2456"/>
      <c r="M3042" s="2483"/>
      <c r="N3042" s="4109"/>
      <c r="P3042" s="500"/>
    </row>
    <row r="3043" spans="1:16" s="3598" customFormat="1" ht="15.75" customHeight="1" x14ac:dyDescent="0.25">
      <c r="A3043" s="3588"/>
      <c r="B3043" s="4119"/>
      <c r="C3043" s="4116" t="s">
        <v>5759</v>
      </c>
      <c r="D3043" s="673">
        <f>D3044</f>
        <v>947929485</v>
      </c>
      <c r="E3043" s="1485">
        <f>D3043/D2961*100</f>
        <v>0.6563133234986559</v>
      </c>
      <c r="F3043" s="541"/>
      <c r="G3043" s="673"/>
      <c r="H3043" s="1415"/>
      <c r="I3043" s="1118"/>
      <c r="J3043" s="4318"/>
      <c r="K3043" s="2261"/>
      <c r="L3043" s="2261"/>
      <c r="M3043" s="2484"/>
      <c r="N3043" s="3592"/>
      <c r="P3043" s="4592"/>
    </row>
    <row r="3044" spans="1:16" s="4099" customFormat="1" ht="15.75" customHeight="1" x14ac:dyDescent="0.25">
      <c r="A3044" s="4101"/>
      <c r="B3044" s="4119"/>
      <c r="C3044" s="4104" t="s">
        <v>5760</v>
      </c>
      <c r="D3044" s="666">
        <v>947929485</v>
      </c>
      <c r="E3044" s="1481">
        <f>D3044/D2961*100</f>
        <v>0.6563133234986559</v>
      </c>
      <c r="F3044" s="542"/>
      <c r="G3044" s="666"/>
      <c r="H3044" s="1467"/>
      <c r="I3044" s="2482"/>
      <c r="J3044" s="2452"/>
      <c r="K3044" s="1717"/>
      <c r="L3044" s="2456"/>
      <c r="M3044" s="2483"/>
      <c r="N3044" s="4109"/>
      <c r="P3044" s="500"/>
    </row>
    <row r="3045" spans="1:16" s="4099" customFormat="1" ht="7.5" customHeight="1" x14ac:dyDescent="0.25">
      <c r="A3045" s="4101"/>
      <c r="B3045" s="4119"/>
      <c r="C3045" s="4321"/>
      <c r="D3045" s="3409"/>
      <c r="E3045" s="4322"/>
      <c r="F3045" s="4323"/>
      <c r="G3045" s="3409"/>
      <c r="H3045" s="4324"/>
      <c r="I3045" s="4325"/>
      <c r="J3045" s="4326"/>
      <c r="K3045" s="4327"/>
      <c r="L3045" s="4328"/>
      <c r="M3045" s="2581"/>
      <c r="N3045" s="4109"/>
      <c r="P3045" s="500"/>
    </row>
    <row r="3046" spans="1:16" ht="16.5" customHeight="1" x14ac:dyDescent="0.25">
      <c r="B3046" s="1305"/>
      <c r="C3046" s="3858" t="s">
        <v>381</v>
      </c>
      <c r="D3046" s="669">
        <f>SUM(D3047+D3056)</f>
        <v>39085554410</v>
      </c>
      <c r="E3046" s="1039">
        <f>D3046/D2961*100</f>
        <v>27.061475058574263</v>
      </c>
      <c r="F3046" s="669"/>
      <c r="G3046" s="669"/>
      <c r="H3046" s="1462"/>
      <c r="I3046" s="847"/>
      <c r="J3046" s="669"/>
      <c r="K3046" s="669"/>
      <c r="L3046" s="1462"/>
      <c r="M3046" s="2462"/>
      <c r="N3046" s="535"/>
    </row>
    <row r="3047" spans="1:16" ht="18" customHeight="1" x14ac:dyDescent="0.25">
      <c r="B3047" s="1242"/>
      <c r="C3047" s="3878" t="s">
        <v>275</v>
      </c>
      <c r="D3047" s="1851">
        <f>SUM(D3048:D3054)</f>
        <v>38684351910</v>
      </c>
      <c r="E3047" s="1025">
        <f>D3047/D2961*100</f>
        <v>26.783696436495667</v>
      </c>
      <c r="F3047" s="390"/>
      <c r="G3047" s="390"/>
      <c r="H3047" s="1308"/>
      <c r="I3047" s="874"/>
      <c r="J3047" s="1851"/>
      <c r="K3047" s="1851"/>
      <c r="L3047" s="1415"/>
      <c r="M3047" s="2464"/>
      <c r="N3047" s="535"/>
    </row>
    <row r="3048" spans="1:16" ht="16.5" customHeight="1" x14ac:dyDescent="0.25">
      <c r="B3048" s="1242"/>
      <c r="C3048" s="3863" t="s">
        <v>5761</v>
      </c>
      <c r="D3048" s="4276">
        <v>432595000</v>
      </c>
      <c r="E3048" s="1481">
        <f>D3048/D2961*100</f>
        <v>0.29951369450112741</v>
      </c>
      <c r="F3048" s="1092"/>
      <c r="G3048" s="646"/>
      <c r="H3048" s="1310"/>
      <c r="I3048" s="963"/>
      <c r="J3048" s="2453"/>
      <c r="K3048" s="1386"/>
      <c r="L3048" s="880"/>
      <c r="M3048" s="2475"/>
      <c r="N3048" s="535"/>
    </row>
    <row r="3049" spans="1:16" s="524" customFormat="1" ht="15" customHeight="1" x14ac:dyDescent="0.25">
      <c r="A3049" s="352"/>
      <c r="B3049" s="1242"/>
      <c r="C3049" s="3863" t="s">
        <v>5762</v>
      </c>
      <c r="D3049" s="4276">
        <v>3600000000</v>
      </c>
      <c r="E3049" s="1481">
        <f>D3049/D2961*100</f>
        <v>2.492514477060666</v>
      </c>
      <c r="F3049" s="1092"/>
      <c r="G3049" s="1095"/>
      <c r="H3049" s="1310"/>
      <c r="I3049" s="662"/>
      <c r="J3049" s="1092"/>
      <c r="K3049" s="1982"/>
      <c r="L3049" s="1310"/>
      <c r="M3049" s="662"/>
      <c r="N3049" s="535"/>
      <c r="P3049" s="500"/>
    </row>
    <row r="3050" spans="1:16" s="524" customFormat="1" ht="17.25" customHeight="1" x14ac:dyDescent="0.25">
      <c r="A3050" s="352"/>
      <c r="B3050" s="1242"/>
      <c r="C3050" s="3960" t="s">
        <v>5763</v>
      </c>
      <c r="D3050" s="4276">
        <v>500000000</v>
      </c>
      <c r="E3050" s="1481">
        <f>D3050/D2961*100</f>
        <v>0.34618256625842581</v>
      </c>
      <c r="F3050" s="1092"/>
      <c r="G3050" s="868"/>
      <c r="H3050" s="2174"/>
      <c r="I3050" s="662"/>
      <c r="J3050" s="2465"/>
      <c r="K3050" s="2281"/>
      <c r="L3050" s="1323"/>
      <c r="M3050" s="2476"/>
      <c r="N3050" s="535"/>
      <c r="P3050" s="500"/>
    </row>
    <row r="3051" spans="1:16" s="4099" customFormat="1" ht="18" customHeight="1" x14ac:dyDescent="0.25">
      <c r="A3051" s="4101"/>
      <c r="B3051" s="4119"/>
      <c r="C3051" s="3960" t="s">
        <v>5764</v>
      </c>
      <c r="D3051" s="4276">
        <v>500000000</v>
      </c>
      <c r="E3051" s="1481">
        <f>D3051/D2961*100</f>
        <v>0.34618256625842581</v>
      </c>
      <c r="F3051" s="1092"/>
      <c r="G3051" s="868"/>
      <c r="H3051" s="2174"/>
      <c r="I3051" s="662"/>
      <c r="J3051" s="2465"/>
      <c r="K3051" s="2281"/>
      <c r="L3051" s="1323"/>
      <c r="M3051" s="2476"/>
      <c r="N3051" s="4109"/>
      <c r="P3051" s="500"/>
    </row>
    <row r="3052" spans="1:16" s="4099" customFormat="1" ht="17.25" customHeight="1" x14ac:dyDescent="0.25">
      <c r="A3052" s="4101"/>
      <c r="B3052" s="4119"/>
      <c r="C3052" s="3960" t="s">
        <v>5765</v>
      </c>
      <c r="D3052" s="4276">
        <v>155554410</v>
      </c>
      <c r="E3052" s="1481">
        <f>D3052/D2961*100</f>
        <v>0.10770044969323066</v>
      </c>
      <c r="F3052" s="1092"/>
      <c r="G3052" s="868"/>
      <c r="H3052" s="2174"/>
      <c r="I3052" s="662"/>
      <c r="J3052" s="2465"/>
      <c r="K3052" s="2281"/>
      <c r="L3052" s="1323"/>
      <c r="M3052" s="2476"/>
      <c r="N3052" s="4109"/>
      <c r="P3052" s="500"/>
    </row>
    <row r="3053" spans="1:16" s="4099" customFormat="1" ht="16.5" customHeight="1" x14ac:dyDescent="0.25">
      <c r="A3053" s="4101"/>
      <c r="B3053" s="4119"/>
      <c r="C3053" s="3960" t="s">
        <v>5766</v>
      </c>
      <c r="D3053" s="4276">
        <v>441202500</v>
      </c>
      <c r="E3053" s="1481">
        <f>D3053/D2961*100</f>
        <v>0.30547322737926624</v>
      </c>
      <c r="F3053" s="1092"/>
      <c r="G3053" s="868"/>
      <c r="H3053" s="2174"/>
      <c r="I3053" s="662"/>
      <c r="J3053" s="2465"/>
      <c r="K3053" s="2281"/>
      <c r="L3053" s="1323"/>
      <c r="M3053" s="2476"/>
      <c r="N3053" s="4109"/>
      <c r="P3053" s="500"/>
    </row>
    <row r="3054" spans="1:16" s="4099" customFormat="1" ht="29.25" customHeight="1" x14ac:dyDescent="0.25">
      <c r="A3054" s="4101"/>
      <c r="B3054" s="4119"/>
      <c r="C3054" s="3960" t="s">
        <v>7328</v>
      </c>
      <c r="D3054" s="4276">
        <v>33055000000</v>
      </c>
      <c r="E3054" s="4051">
        <f>D3054/D2961*100</f>
        <v>22.886129455344527</v>
      </c>
      <c r="F3054" s="1092"/>
      <c r="G3054" s="868"/>
      <c r="H3054" s="2174"/>
      <c r="I3054" s="662"/>
      <c r="J3054" s="2465"/>
      <c r="K3054" s="2281"/>
      <c r="L3054" s="1323"/>
      <c r="M3054" s="2476"/>
      <c r="N3054" s="4109"/>
      <c r="P3054" s="500"/>
    </row>
    <row r="3055" spans="1:16" s="4099" customFormat="1" ht="12" customHeight="1" x14ac:dyDescent="0.25">
      <c r="A3055" s="4101"/>
      <c r="B3055" s="4119"/>
      <c r="C3055" s="3960"/>
      <c r="D3055" s="4276"/>
      <c r="E3055" s="1483"/>
      <c r="F3055" s="1092"/>
      <c r="G3055" s="868"/>
      <c r="H3055" s="2174"/>
      <c r="I3055" s="662"/>
      <c r="J3055" s="2465"/>
      <c r="K3055" s="2281"/>
      <c r="L3055" s="1323"/>
      <c r="M3055" s="2476"/>
      <c r="N3055" s="4109"/>
      <c r="P3055" s="500"/>
    </row>
    <row r="3056" spans="1:16" s="524" customFormat="1" ht="15.75" customHeight="1" x14ac:dyDescent="0.25">
      <c r="A3056" s="352"/>
      <c r="B3056" s="1242"/>
      <c r="C3056" s="3878" t="s">
        <v>5767</v>
      </c>
      <c r="D3056" s="4277">
        <f>D3057</f>
        <v>401202500</v>
      </c>
      <c r="E3056" s="1025">
        <f>D3056/D2961*100</f>
        <v>0.27777862207859216</v>
      </c>
      <c r="F3056" s="1096"/>
      <c r="G3056" s="1096"/>
      <c r="H3056" s="1308"/>
      <c r="I3056" s="661"/>
      <c r="J3056" s="1096"/>
      <c r="K3056" s="1096"/>
      <c r="L3056" s="1308"/>
      <c r="M3056" s="661"/>
      <c r="N3056" s="535"/>
      <c r="P3056" s="500"/>
    </row>
    <row r="3057" spans="1:16" s="524" customFormat="1" ht="16.5" customHeight="1" x14ac:dyDescent="0.25">
      <c r="A3057" s="352"/>
      <c r="B3057" s="1242"/>
      <c r="C3057" s="3876" t="s">
        <v>5768</v>
      </c>
      <c r="D3057" s="4276">
        <v>401202500</v>
      </c>
      <c r="E3057" s="1481">
        <f>D3057/D2961*100</f>
        <v>0.27777862207859216</v>
      </c>
      <c r="F3057" s="1092"/>
      <c r="G3057" s="1095"/>
      <c r="H3057" s="1310"/>
      <c r="I3057" s="662"/>
      <c r="J3057" s="1092"/>
      <c r="K3057" s="1982"/>
      <c r="L3057" s="1310"/>
      <c r="M3057" s="662"/>
      <c r="N3057" s="535"/>
      <c r="P3057" s="500"/>
    </row>
    <row r="3058" spans="1:16" ht="12" customHeight="1" x14ac:dyDescent="0.25">
      <c r="B3058" s="1242"/>
      <c r="C3058" s="3897"/>
      <c r="D3058" s="671"/>
      <c r="E3058" s="724"/>
      <c r="F3058" s="543"/>
      <c r="G3058" s="868"/>
      <c r="H3058" s="2477"/>
      <c r="I3058" s="2478"/>
      <c r="J3058" s="2465"/>
      <c r="K3058" s="2281"/>
      <c r="L3058" s="2479"/>
      <c r="M3058" s="2466"/>
      <c r="N3058" s="535"/>
    </row>
    <row r="3059" spans="1:16" s="523" customFormat="1" ht="17.25" customHeight="1" x14ac:dyDescent="0.25">
      <c r="A3059" s="352"/>
      <c r="B3059" s="1305"/>
      <c r="C3059" s="3913" t="s">
        <v>1836</v>
      </c>
      <c r="D3059" s="669">
        <f>SUM(D3060+D3063+D3068+D3072+D3076+D3079+D3082+D3086)</f>
        <v>10960418000</v>
      </c>
      <c r="E3059" s="1039">
        <f>D3059/D2961*100</f>
        <v>7.5886112610100849</v>
      </c>
      <c r="F3059" s="847"/>
      <c r="G3059" s="847"/>
      <c r="H3059" s="1462"/>
      <c r="I3059" s="1107"/>
      <c r="J3059" s="1824"/>
      <c r="K3059" s="1824"/>
      <c r="L3059" s="1462"/>
      <c r="M3059" s="2315"/>
      <c r="N3059" s="535"/>
      <c r="P3059" s="500"/>
    </row>
    <row r="3060" spans="1:16" s="523" customFormat="1" ht="18.75" customHeight="1" x14ac:dyDescent="0.25">
      <c r="A3060" s="352"/>
      <c r="B3060" s="1242"/>
      <c r="C3060" s="3961" t="s">
        <v>5769</v>
      </c>
      <c r="D3060" s="1702">
        <f>D3061</f>
        <v>100000000</v>
      </c>
      <c r="E3060" s="1023">
        <f>D3060/D2961*100</f>
        <v>6.9236513251685158E-2</v>
      </c>
      <c r="F3060" s="1097"/>
      <c r="G3060" s="1097"/>
      <c r="H3060" s="1308"/>
      <c r="I3060" s="2480"/>
      <c r="J3060" s="1939"/>
      <c r="K3060" s="1939"/>
      <c r="L3060" s="1308"/>
      <c r="M3060" s="2481"/>
      <c r="N3060" s="535"/>
      <c r="P3060" s="500"/>
    </row>
    <row r="3061" spans="1:16" s="523" customFormat="1" ht="16.5" customHeight="1" x14ac:dyDescent="0.25">
      <c r="A3061" s="352"/>
      <c r="B3061" s="1242"/>
      <c r="C3061" s="3917" t="s">
        <v>7096</v>
      </c>
      <c r="D3061" s="4276">
        <v>100000000</v>
      </c>
      <c r="E3061" s="1484">
        <f>D3061/D2961*100</f>
        <v>6.9236513251685158E-2</v>
      </c>
      <c r="F3061" s="1092"/>
      <c r="G3061" s="646"/>
      <c r="H3061" s="1310"/>
      <c r="I3061" s="1121"/>
      <c r="J3061" s="2453"/>
      <c r="K3061" s="2473"/>
      <c r="L3061" s="1310"/>
      <c r="M3061" s="2338"/>
      <c r="N3061" s="535"/>
      <c r="P3061" s="500"/>
    </row>
    <row r="3062" spans="1:16" s="523" customFormat="1" ht="12" customHeight="1" x14ac:dyDescent="0.25">
      <c r="A3062" s="352"/>
      <c r="B3062" s="1242"/>
      <c r="C3062" s="3962"/>
      <c r="D3062" s="666"/>
      <c r="E3062" s="729"/>
      <c r="F3062" s="1098"/>
      <c r="G3062" s="666"/>
      <c r="H3062" s="1310"/>
      <c r="I3062" s="2482"/>
      <c r="J3062" s="2452"/>
      <c r="K3062" s="1717"/>
      <c r="L3062" s="2456"/>
      <c r="M3062" s="2483"/>
      <c r="N3062" s="535"/>
      <c r="P3062" s="500"/>
    </row>
    <row r="3063" spans="1:16" s="523" customFormat="1" ht="28.5" customHeight="1" x14ac:dyDescent="0.25">
      <c r="A3063" s="352"/>
      <c r="B3063" s="1242"/>
      <c r="C3063" s="3938" t="s">
        <v>5770</v>
      </c>
      <c r="D3063" s="673">
        <f>SUM(D3064:D3066)</f>
        <v>5318000000</v>
      </c>
      <c r="E3063" s="1023">
        <f>D3063/D2961*100</f>
        <v>3.6819977747246164</v>
      </c>
      <c r="F3063" s="1099"/>
      <c r="G3063" s="1099"/>
      <c r="H3063" s="1308"/>
      <c r="I3063" s="1118"/>
      <c r="J3063" s="1100"/>
      <c r="K3063" s="1100"/>
      <c r="L3063" s="1308"/>
      <c r="M3063" s="2484"/>
      <c r="N3063" s="535"/>
      <c r="P3063" s="500"/>
    </row>
    <row r="3064" spans="1:16" s="523" customFormat="1" ht="17.25" customHeight="1" x14ac:dyDescent="0.25">
      <c r="A3064" s="352"/>
      <c r="B3064" s="1242"/>
      <c r="C3064" s="3917" t="s">
        <v>5771</v>
      </c>
      <c r="D3064" s="4276">
        <v>800000000</v>
      </c>
      <c r="E3064" s="1481">
        <f>D3064/D2961*100</f>
        <v>0.55389210601348127</v>
      </c>
      <c r="F3064" s="1092"/>
      <c r="G3064" s="646"/>
      <c r="H3064" s="1310"/>
      <c r="I3064" s="1121"/>
      <c r="J3064" s="2453"/>
      <c r="K3064" s="2473"/>
      <c r="L3064" s="1310"/>
      <c r="M3064" s="2338"/>
      <c r="N3064" s="535"/>
      <c r="P3064" s="500"/>
    </row>
    <row r="3065" spans="1:16" s="4099" customFormat="1" ht="15" customHeight="1" x14ac:dyDescent="0.25">
      <c r="A3065" s="4101"/>
      <c r="B3065" s="4119"/>
      <c r="C3065" s="4118" t="s">
        <v>5772</v>
      </c>
      <c r="D3065" s="4276">
        <v>3818000000</v>
      </c>
      <c r="E3065" s="1481">
        <f>D3065/D2961*100</f>
        <v>2.6434500759493393</v>
      </c>
      <c r="F3065" s="1092"/>
      <c r="G3065" s="646"/>
      <c r="H3065" s="1310"/>
      <c r="I3065" s="1121"/>
      <c r="J3065" s="2453"/>
      <c r="K3065" s="2473"/>
      <c r="L3065" s="1310"/>
      <c r="M3065" s="2314"/>
      <c r="N3065" s="4109"/>
      <c r="P3065" s="500"/>
    </row>
    <row r="3066" spans="1:16" s="4099" customFormat="1" ht="18.75" customHeight="1" x14ac:dyDescent="0.25">
      <c r="A3066" s="4101"/>
      <c r="B3066" s="4119"/>
      <c r="C3066" s="4118" t="s">
        <v>5773</v>
      </c>
      <c r="D3066" s="4276">
        <v>700000000</v>
      </c>
      <c r="E3066" s="1481">
        <f>D3066/D2961*100</f>
        <v>0.48465559276179615</v>
      </c>
      <c r="F3066" s="1092"/>
      <c r="G3066" s="646"/>
      <c r="H3066" s="1310"/>
      <c r="I3066" s="1121"/>
      <c r="J3066" s="2453"/>
      <c r="K3066" s="2473"/>
      <c r="L3066" s="1310"/>
      <c r="M3066" s="2314"/>
      <c r="N3066" s="4109"/>
      <c r="P3066" s="500"/>
    </row>
    <row r="3067" spans="1:16" s="523" customFormat="1" ht="9.75" customHeight="1" x14ac:dyDescent="0.25">
      <c r="A3067" s="352"/>
      <c r="B3067" s="1242"/>
      <c r="C3067" s="3962"/>
      <c r="D3067" s="666"/>
      <c r="E3067" s="729"/>
      <c r="F3067" s="1098"/>
      <c r="G3067" s="666"/>
      <c r="H3067" s="1310"/>
      <c r="I3067" s="2482"/>
      <c r="J3067" s="2452"/>
      <c r="K3067" s="1717"/>
      <c r="L3067" s="2456"/>
      <c r="M3067" s="2485"/>
      <c r="N3067" s="535"/>
      <c r="P3067" s="500"/>
    </row>
    <row r="3068" spans="1:16" s="523" customFormat="1" ht="15.75" customHeight="1" x14ac:dyDescent="0.25">
      <c r="A3068" s="352"/>
      <c r="B3068" s="1242"/>
      <c r="C3068" s="3938" t="s">
        <v>5774</v>
      </c>
      <c r="D3068" s="673">
        <f>SUM(D3069:D3070)</f>
        <v>1575740000</v>
      </c>
      <c r="E3068" s="1023">
        <f>D3068/D2961*100</f>
        <v>1.0909874339121037</v>
      </c>
      <c r="F3068" s="1100"/>
      <c r="G3068" s="1100"/>
      <c r="H3068" s="1308"/>
      <c r="I3068" s="1118"/>
      <c r="J3068" s="1100"/>
      <c r="K3068" s="1100"/>
      <c r="L3068" s="1308"/>
      <c r="M3068" s="2484"/>
      <c r="N3068" s="535"/>
      <c r="P3068" s="500"/>
    </row>
    <row r="3069" spans="1:16" s="523" customFormat="1" ht="30" customHeight="1" x14ac:dyDescent="0.25">
      <c r="A3069" s="352"/>
      <c r="B3069" s="1242"/>
      <c r="C3069" s="3917" t="s">
        <v>5775</v>
      </c>
      <c r="D3069" s="4276">
        <v>1400000000</v>
      </c>
      <c r="E3069" s="4361">
        <f>D3069/D2961*100</f>
        <v>0.9693111855235923</v>
      </c>
      <c r="F3069" s="1092"/>
      <c r="G3069" s="646"/>
      <c r="H3069" s="1310"/>
      <c r="I3069" s="1121"/>
      <c r="J3069" s="2453"/>
      <c r="K3069" s="2473"/>
      <c r="L3069" s="1310"/>
      <c r="M3069" s="2338"/>
      <c r="N3069" s="535"/>
      <c r="P3069" s="500"/>
    </row>
    <row r="3070" spans="1:16" s="523" customFormat="1" ht="15.75" customHeight="1" x14ac:dyDescent="0.25">
      <c r="A3070" s="352"/>
      <c r="B3070" s="1242"/>
      <c r="C3070" s="3897" t="s">
        <v>5776</v>
      </c>
      <c r="D3070" s="671">
        <v>175740000</v>
      </c>
      <c r="E3070" s="4051">
        <f>D3070/D2961*100</f>
        <v>0.1216762483885115</v>
      </c>
      <c r="F3070" s="543"/>
      <c r="G3070" s="868"/>
      <c r="H3070" s="2458"/>
      <c r="I3070" s="2459"/>
      <c r="J3070" s="2460"/>
      <c r="K3070" s="2265"/>
      <c r="L3070" s="2470"/>
      <c r="M3070" s="2004"/>
      <c r="N3070" s="535"/>
      <c r="P3070" s="500"/>
    </row>
    <row r="3071" spans="1:16" s="4099" customFormat="1" ht="9.75" customHeight="1" x14ac:dyDescent="0.25">
      <c r="A3071" s="4101"/>
      <c r="B3071" s="4119"/>
      <c r="C3071" s="4104"/>
      <c r="D3071" s="666"/>
      <c r="E3071" s="729"/>
      <c r="F3071" s="542"/>
      <c r="G3071" s="666"/>
      <c r="H3071" s="1467"/>
      <c r="I3071" s="2482"/>
      <c r="J3071" s="2452"/>
      <c r="K3071" s="1717"/>
      <c r="L3071" s="2456"/>
      <c r="M3071" s="2483"/>
      <c r="N3071" s="4109"/>
      <c r="P3071" s="500"/>
    </row>
    <row r="3072" spans="1:16" s="3598" customFormat="1" ht="16.5" customHeight="1" x14ac:dyDescent="0.25">
      <c r="A3072" s="3588"/>
      <c r="B3072" s="4119"/>
      <c r="C3072" s="4116" t="s">
        <v>5777</v>
      </c>
      <c r="D3072" s="673">
        <f>SUM(D3073:D3074)</f>
        <v>500000000</v>
      </c>
      <c r="E3072" s="1023">
        <f>D3072/D2961*100</f>
        <v>0.34618256625842581</v>
      </c>
      <c r="F3072" s="541"/>
      <c r="G3072" s="673"/>
      <c r="H3072" s="1415"/>
      <c r="I3072" s="1118"/>
      <c r="J3072" s="4318"/>
      <c r="K3072" s="2261"/>
      <c r="L3072" s="2261"/>
      <c r="M3072" s="2484"/>
      <c r="N3072" s="3592"/>
      <c r="P3072" s="4592"/>
    </row>
    <row r="3073" spans="1:16" s="4099" customFormat="1" ht="15" customHeight="1" x14ac:dyDescent="0.25">
      <c r="A3073" s="4101"/>
      <c r="B3073" s="4119"/>
      <c r="C3073" s="4104" t="s">
        <v>5778</v>
      </c>
      <c r="D3073" s="666">
        <v>300000000</v>
      </c>
      <c r="E3073" s="4361">
        <f>D3073/D2961*100</f>
        <v>0.20770953975505546</v>
      </c>
      <c r="F3073" s="542"/>
      <c r="G3073" s="666"/>
      <c r="H3073" s="1467"/>
      <c r="I3073" s="2482"/>
      <c r="J3073" s="2452"/>
      <c r="K3073" s="1717"/>
      <c r="L3073" s="2456"/>
      <c r="M3073" s="2483"/>
      <c r="N3073" s="4109"/>
      <c r="P3073" s="500"/>
    </row>
    <row r="3074" spans="1:16" s="4099" customFormat="1" ht="17.25" customHeight="1" x14ac:dyDescent="0.25">
      <c r="A3074" s="4101"/>
      <c r="B3074" s="4119"/>
      <c r="C3074" s="4104" t="s">
        <v>5779</v>
      </c>
      <c r="D3074" s="666">
        <v>200000000</v>
      </c>
      <c r="E3074" s="4051">
        <f>D3074/D2961*100</f>
        <v>0.13847302650337032</v>
      </c>
      <c r="F3074" s="542"/>
      <c r="G3074" s="666"/>
      <c r="H3074" s="1467"/>
      <c r="I3074" s="2482"/>
      <c r="J3074" s="2452"/>
      <c r="K3074" s="1717"/>
      <c r="L3074" s="2456"/>
      <c r="M3074" s="2483"/>
      <c r="N3074" s="4109"/>
      <c r="P3074" s="500"/>
    </row>
    <row r="3075" spans="1:16" s="4099" customFormat="1" ht="11.25" customHeight="1" x14ac:dyDescent="0.25">
      <c r="A3075" s="4101"/>
      <c r="B3075" s="4119"/>
      <c r="C3075" s="4104"/>
      <c r="D3075" s="666"/>
      <c r="E3075" s="4051"/>
      <c r="F3075" s="542"/>
      <c r="G3075" s="666"/>
      <c r="H3075" s="1467"/>
      <c r="I3075" s="2482"/>
      <c r="J3075" s="2452"/>
      <c r="K3075" s="1717"/>
      <c r="L3075" s="2456"/>
      <c r="M3075" s="2483"/>
      <c r="N3075" s="4109"/>
      <c r="P3075" s="500"/>
    </row>
    <row r="3076" spans="1:16" s="3598" customFormat="1" ht="17.25" customHeight="1" x14ac:dyDescent="0.25">
      <c r="A3076" s="3588"/>
      <c r="B3076" s="4119"/>
      <c r="C3076" s="4116" t="s">
        <v>5780</v>
      </c>
      <c r="D3076" s="673">
        <f>D3077</f>
        <v>200000000</v>
      </c>
      <c r="E3076" s="4053">
        <f>D3076/D2961*100</f>
        <v>0.13847302650337032</v>
      </c>
      <c r="F3076" s="541"/>
      <c r="G3076" s="673"/>
      <c r="H3076" s="1415"/>
      <c r="I3076" s="1118"/>
      <c r="J3076" s="4318"/>
      <c r="K3076" s="2261"/>
      <c r="L3076" s="2261"/>
      <c r="M3076" s="2484"/>
      <c r="N3076" s="3592"/>
      <c r="P3076" s="4592"/>
    </row>
    <row r="3077" spans="1:16" s="4099" customFormat="1" ht="15.75" customHeight="1" x14ac:dyDescent="0.25">
      <c r="A3077" s="4101"/>
      <c r="B3077" s="4119"/>
      <c r="C3077" s="4104" t="s">
        <v>5781</v>
      </c>
      <c r="D3077" s="666">
        <v>200000000</v>
      </c>
      <c r="E3077" s="4051">
        <f>D3077/D2961*100</f>
        <v>0.13847302650337032</v>
      </c>
      <c r="F3077" s="542"/>
      <c r="G3077" s="666"/>
      <c r="H3077" s="1467"/>
      <c r="I3077" s="2482"/>
      <c r="J3077" s="2452"/>
      <c r="K3077" s="1717"/>
      <c r="L3077" s="2456"/>
      <c r="M3077" s="2483"/>
      <c r="N3077" s="4109"/>
      <c r="P3077" s="500"/>
    </row>
    <row r="3078" spans="1:16" s="4099" customFormat="1" ht="11.25" customHeight="1" x14ac:dyDescent="0.25">
      <c r="A3078" s="4101"/>
      <c r="B3078" s="4119"/>
      <c r="C3078" s="4104"/>
      <c r="D3078" s="666"/>
      <c r="E3078" s="4051"/>
      <c r="F3078" s="542"/>
      <c r="G3078" s="666"/>
      <c r="H3078" s="1467"/>
      <c r="I3078" s="2482"/>
      <c r="J3078" s="2452"/>
      <c r="K3078" s="1717"/>
      <c r="L3078" s="2456"/>
      <c r="M3078" s="2483"/>
      <c r="N3078" s="4109"/>
      <c r="P3078" s="500"/>
    </row>
    <row r="3079" spans="1:16" s="3598" customFormat="1" ht="16.5" customHeight="1" x14ac:dyDescent="0.25">
      <c r="A3079" s="3588"/>
      <c r="B3079" s="4119"/>
      <c r="C3079" s="4116" t="s">
        <v>5782</v>
      </c>
      <c r="D3079" s="673">
        <f>D3080</f>
        <v>200000000</v>
      </c>
      <c r="E3079" s="4053">
        <f>D3079/D2961*100</f>
        <v>0.13847302650337032</v>
      </c>
      <c r="F3079" s="541"/>
      <c r="G3079" s="673"/>
      <c r="H3079" s="1415"/>
      <c r="I3079" s="1118"/>
      <c r="J3079" s="4318"/>
      <c r="K3079" s="2261"/>
      <c r="L3079" s="2261"/>
      <c r="M3079" s="2484"/>
      <c r="N3079" s="3592"/>
      <c r="P3079" s="4592"/>
    </row>
    <row r="3080" spans="1:16" s="4099" customFormat="1" ht="16.5" customHeight="1" x14ac:dyDescent="0.25">
      <c r="A3080" s="4101"/>
      <c r="B3080" s="4119"/>
      <c r="C3080" s="4104" t="s">
        <v>5783</v>
      </c>
      <c r="D3080" s="666">
        <v>200000000</v>
      </c>
      <c r="E3080" s="4051">
        <f>D3080/D2961*100</f>
        <v>0.13847302650337032</v>
      </c>
      <c r="F3080" s="542"/>
      <c r="G3080" s="666"/>
      <c r="H3080" s="1467"/>
      <c r="I3080" s="2482"/>
      <c r="J3080" s="2452"/>
      <c r="K3080" s="1717"/>
      <c r="L3080" s="2456"/>
      <c r="M3080" s="2483"/>
      <c r="N3080" s="4109"/>
      <c r="P3080" s="500"/>
    </row>
    <row r="3081" spans="1:16" s="4099" customFormat="1" ht="11.25" customHeight="1" x14ac:dyDescent="0.25">
      <c r="A3081" s="4101"/>
      <c r="B3081" s="4119"/>
      <c r="C3081" s="4104"/>
      <c r="D3081" s="666"/>
      <c r="E3081" s="4051"/>
      <c r="F3081" s="542"/>
      <c r="G3081" s="666"/>
      <c r="H3081" s="1467"/>
      <c r="I3081" s="2482"/>
      <c r="J3081" s="2452"/>
      <c r="K3081" s="1717"/>
      <c r="L3081" s="2456"/>
      <c r="M3081" s="2483"/>
      <c r="N3081" s="4109"/>
      <c r="P3081" s="500"/>
    </row>
    <row r="3082" spans="1:16" s="3598" customFormat="1" ht="17.25" customHeight="1" x14ac:dyDescent="0.25">
      <c r="A3082" s="3588"/>
      <c r="B3082" s="4119"/>
      <c r="C3082" s="4116" t="s">
        <v>5784</v>
      </c>
      <c r="D3082" s="673">
        <f>SUM(D3083:D3084)</f>
        <v>916678000</v>
      </c>
      <c r="E3082" s="4053">
        <f>D3082/D2961*100</f>
        <v>0.63467588494528249</v>
      </c>
      <c r="F3082" s="541"/>
      <c r="G3082" s="673"/>
      <c r="H3082" s="1415"/>
      <c r="I3082" s="1118"/>
      <c r="J3082" s="4318"/>
      <c r="K3082" s="2261"/>
      <c r="L3082" s="2261"/>
      <c r="M3082" s="2484"/>
      <c r="N3082" s="3592"/>
      <c r="P3082" s="4592"/>
    </row>
    <row r="3083" spans="1:16" s="4099" customFormat="1" ht="18" customHeight="1" x14ac:dyDescent="0.25">
      <c r="A3083" s="4101"/>
      <c r="B3083" s="4119"/>
      <c r="C3083" s="4104" t="s">
        <v>5785</v>
      </c>
      <c r="D3083" s="666">
        <v>400000000</v>
      </c>
      <c r="E3083" s="4051">
        <f>D3083/D2961*100</f>
        <v>0.27694605300674063</v>
      </c>
      <c r="F3083" s="542"/>
      <c r="G3083" s="666"/>
      <c r="H3083" s="1467"/>
      <c r="I3083" s="2482"/>
      <c r="J3083" s="2452"/>
      <c r="K3083" s="1717"/>
      <c r="L3083" s="2456"/>
      <c r="M3083" s="2483"/>
      <c r="N3083" s="4109"/>
      <c r="P3083" s="500"/>
    </row>
    <row r="3084" spans="1:16" s="4099" customFormat="1" ht="20.25" customHeight="1" x14ac:dyDescent="0.25">
      <c r="A3084" s="4101"/>
      <c r="B3084" s="4119"/>
      <c r="C3084" s="4104" t="s">
        <v>5786</v>
      </c>
      <c r="D3084" s="666">
        <v>516678000</v>
      </c>
      <c r="E3084" s="4051">
        <f>D3084/D2961*100</f>
        <v>0.35772983193854185</v>
      </c>
      <c r="F3084" s="542"/>
      <c r="G3084" s="666"/>
      <c r="H3084" s="1467"/>
      <c r="I3084" s="2482"/>
      <c r="J3084" s="2452"/>
      <c r="K3084" s="1717"/>
      <c r="L3084" s="2456"/>
      <c r="M3084" s="2483"/>
      <c r="N3084" s="4109"/>
      <c r="P3084" s="500"/>
    </row>
    <row r="3085" spans="1:16" s="4099" customFormat="1" ht="11.25" customHeight="1" x14ac:dyDescent="0.25">
      <c r="A3085" s="4101"/>
      <c r="B3085" s="4119"/>
      <c r="C3085" s="4104"/>
      <c r="D3085" s="666"/>
      <c r="E3085" s="4051"/>
      <c r="F3085" s="542"/>
      <c r="G3085" s="666"/>
      <c r="H3085" s="1467"/>
      <c r="I3085" s="2482"/>
      <c r="J3085" s="2452"/>
      <c r="K3085" s="1717"/>
      <c r="L3085" s="2456"/>
      <c r="M3085" s="2483"/>
      <c r="N3085" s="4109"/>
      <c r="P3085" s="500"/>
    </row>
    <row r="3086" spans="1:16" s="3598" customFormat="1" ht="20.25" customHeight="1" x14ac:dyDescent="0.25">
      <c r="A3086" s="3588"/>
      <c r="B3086" s="4119"/>
      <c r="C3086" s="4116" t="s">
        <v>5787</v>
      </c>
      <c r="D3086" s="673">
        <f>SUM(D3087:D3089)</f>
        <v>2150000000</v>
      </c>
      <c r="E3086" s="4053">
        <f>D3086/D2961*100</f>
        <v>1.4885850349112308</v>
      </c>
      <c r="F3086" s="541"/>
      <c r="G3086" s="673"/>
      <c r="H3086" s="1415"/>
      <c r="I3086" s="1118"/>
      <c r="J3086" s="4318"/>
      <c r="K3086" s="2261"/>
      <c r="L3086" s="2261"/>
      <c r="M3086" s="2484"/>
      <c r="N3086" s="3592"/>
      <c r="P3086" s="4592"/>
    </row>
    <row r="3087" spans="1:16" s="4099" customFormat="1" ht="20.25" customHeight="1" x14ac:dyDescent="0.25">
      <c r="A3087" s="4101"/>
      <c r="B3087" s="4119"/>
      <c r="C3087" s="4104" t="s">
        <v>5788</v>
      </c>
      <c r="D3087" s="666">
        <v>300000000</v>
      </c>
      <c r="E3087" s="4051">
        <f>D3087/D2961*100</f>
        <v>0.20770953975505546</v>
      </c>
      <c r="F3087" s="542"/>
      <c r="G3087" s="666"/>
      <c r="H3087" s="1467"/>
      <c r="I3087" s="2482"/>
      <c r="J3087" s="2452"/>
      <c r="K3087" s="1717"/>
      <c r="L3087" s="2456"/>
      <c r="M3087" s="2483"/>
      <c r="N3087" s="4109"/>
      <c r="P3087" s="500"/>
    </row>
    <row r="3088" spans="1:16" s="4099" customFormat="1" ht="17.25" customHeight="1" x14ac:dyDescent="0.25">
      <c r="A3088" s="4101"/>
      <c r="B3088" s="4119"/>
      <c r="C3088" s="4104" t="s">
        <v>5789</v>
      </c>
      <c r="D3088" s="666">
        <v>300000000</v>
      </c>
      <c r="E3088" s="4051">
        <f>D3088/D2961*100</f>
        <v>0.20770953975505546</v>
      </c>
      <c r="F3088" s="542"/>
      <c r="G3088" s="666"/>
      <c r="H3088" s="1467"/>
      <c r="I3088" s="2482"/>
      <c r="J3088" s="2452"/>
      <c r="K3088" s="1717"/>
      <c r="L3088" s="2456"/>
      <c r="M3088" s="2483"/>
      <c r="N3088" s="4109"/>
      <c r="P3088" s="500"/>
    </row>
    <row r="3089" spans="1:16" s="4099" customFormat="1" ht="18" customHeight="1" x14ac:dyDescent="0.25">
      <c r="A3089" s="4101"/>
      <c r="B3089" s="4119"/>
      <c r="C3089" s="4104" t="s">
        <v>5790</v>
      </c>
      <c r="D3089" s="666">
        <v>1550000000</v>
      </c>
      <c r="E3089" s="4051">
        <f>D3089/D2961*100</f>
        <v>1.0731659554011199</v>
      </c>
      <c r="F3089" s="542"/>
      <c r="G3089" s="666"/>
      <c r="H3089" s="1467"/>
      <c r="I3089" s="2482"/>
      <c r="J3089" s="2452"/>
      <c r="K3089" s="1717"/>
      <c r="L3089" s="2456"/>
      <c r="M3089" s="2483"/>
      <c r="N3089" s="4109"/>
      <c r="P3089" s="500"/>
    </row>
    <row r="3090" spans="1:16" s="4099" customFormat="1" ht="12" customHeight="1" x14ac:dyDescent="0.25">
      <c r="A3090" s="4101"/>
      <c r="B3090" s="4119"/>
      <c r="C3090" s="4117"/>
      <c r="D3090" s="671"/>
      <c r="E3090" s="4112"/>
      <c r="F3090" s="543"/>
      <c r="G3090" s="3409"/>
      <c r="H3090" s="2458"/>
      <c r="I3090" s="2459"/>
      <c r="J3090" s="2460"/>
      <c r="K3090" s="2265"/>
      <c r="L3090" s="2470"/>
      <c r="M3090" s="2004"/>
      <c r="N3090" s="4109"/>
      <c r="P3090" s="500"/>
    </row>
    <row r="3091" spans="1:16" s="523" customFormat="1" ht="16.5" customHeight="1" x14ac:dyDescent="0.25">
      <c r="A3091" s="352"/>
      <c r="B3091" s="1305"/>
      <c r="C3091" s="3913" t="s">
        <v>5791</v>
      </c>
      <c r="D3091" s="669">
        <f>SUM(D3092+D3097+D3100+D3104+D3107)</f>
        <v>4959487585</v>
      </c>
      <c r="E3091" s="1039">
        <f>D3091/D2961*100</f>
        <v>3.4337762790042055</v>
      </c>
      <c r="F3091" s="847"/>
      <c r="G3091" s="847"/>
      <c r="H3091" s="1462"/>
      <c r="I3091" s="1107"/>
      <c r="J3091" s="1824"/>
      <c r="K3091" s="1824"/>
      <c r="L3091" s="1462"/>
      <c r="M3091" s="2315"/>
      <c r="N3091" s="535"/>
      <c r="P3091" s="500"/>
    </row>
    <row r="3092" spans="1:16" s="523" customFormat="1" ht="15.75" customHeight="1" x14ac:dyDescent="0.25">
      <c r="A3092" s="352"/>
      <c r="B3092" s="1242"/>
      <c r="C3092" s="3961" t="s">
        <v>979</v>
      </c>
      <c r="D3092" s="4278">
        <f>SUM(D3093:D3095)</f>
        <v>533035140</v>
      </c>
      <c r="E3092" s="1023">
        <f>D3092/D2961*100</f>
        <v>0.36905494534223854</v>
      </c>
      <c r="F3092" s="1101"/>
      <c r="G3092" s="965"/>
      <c r="H3092" s="966"/>
      <c r="I3092" s="965"/>
      <c r="J3092" s="1101"/>
      <c r="K3092" s="965"/>
      <c r="L3092" s="966"/>
      <c r="M3092" s="965"/>
      <c r="N3092" s="535"/>
      <c r="P3092" s="500"/>
    </row>
    <row r="3093" spans="1:16" s="523" customFormat="1" ht="16.5" customHeight="1" x14ac:dyDescent="0.25">
      <c r="A3093" s="352"/>
      <c r="B3093" s="1242"/>
      <c r="C3093" s="3917" t="s">
        <v>5792</v>
      </c>
      <c r="D3093" s="4276">
        <v>232535140</v>
      </c>
      <c r="E3093" s="1481">
        <f>D3093/D2961*100</f>
        <v>0.16099922302092465</v>
      </c>
      <c r="F3093" s="1092"/>
      <c r="G3093" s="963"/>
      <c r="H3093" s="967"/>
      <c r="I3093" s="963"/>
      <c r="J3093" s="1092"/>
      <c r="K3093" s="963"/>
      <c r="L3093" s="967"/>
      <c r="M3093" s="963"/>
      <c r="N3093" s="535"/>
      <c r="P3093" s="500"/>
    </row>
    <row r="3094" spans="1:16" s="4099" customFormat="1" ht="15.75" customHeight="1" x14ac:dyDescent="0.25">
      <c r="A3094" s="4101"/>
      <c r="B3094" s="4119"/>
      <c r="C3094" s="4118" t="s">
        <v>7321</v>
      </c>
      <c r="D3094" s="4276">
        <v>100500000</v>
      </c>
      <c r="E3094" s="1481">
        <f>D3094/D2961*100</f>
        <v>6.9582695817943588E-2</v>
      </c>
      <c r="F3094" s="1092"/>
      <c r="G3094" s="3768"/>
      <c r="H3094" s="3770"/>
      <c r="I3094" s="3357"/>
      <c r="J3094" s="1092"/>
      <c r="K3094" s="3768"/>
      <c r="L3094" s="4330"/>
      <c r="M3094" s="3786"/>
      <c r="N3094" s="4109"/>
      <c r="P3094" s="500"/>
    </row>
    <row r="3095" spans="1:16" s="4099" customFormat="1" ht="15.75" customHeight="1" x14ac:dyDescent="0.25">
      <c r="A3095" s="4101"/>
      <c r="B3095" s="4119"/>
      <c r="C3095" s="4118" t="s">
        <v>5793</v>
      </c>
      <c r="D3095" s="4276">
        <v>200000000</v>
      </c>
      <c r="E3095" s="1484">
        <f>D3095/D2961*100</f>
        <v>0.13847302650337032</v>
      </c>
      <c r="F3095" s="1092"/>
      <c r="G3095" s="3768"/>
      <c r="H3095" s="3770"/>
      <c r="I3095" s="3357"/>
      <c r="J3095" s="1092"/>
      <c r="K3095" s="3768"/>
      <c r="L3095" s="4330"/>
      <c r="M3095" s="3786"/>
      <c r="N3095" s="4109"/>
      <c r="P3095" s="500"/>
    </row>
    <row r="3096" spans="1:16" s="523" customFormat="1" ht="9" customHeight="1" x14ac:dyDescent="0.25">
      <c r="A3096" s="352"/>
      <c r="B3096" s="1242"/>
      <c r="C3096" s="3962"/>
      <c r="D3096" s="4279"/>
      <c r="E3096" s="729"/>
      <c r="F3096" s="1102"/>
      <c r="G3096" s="666"/>
      <c r="H3096" s="1467"/>
      <c r="I3096" s="2459"/>
      <c r="J3096" s="2452"/>
      <c r="K3096" s="1717"/>
      <c r="L3096" s="2467"/>
      <c r="M3096" s="2003"/>
      <c r="N3096" s="535"/>
      <c r="P3096" s="500"/>
    </row>
    <row r="3097" spans="1:16" s="523" customFormat="1" ht="16.5" customHeight="1" x14ac:dyDescent="0.25">
      <c r="A3097" s="352"/>
      <c r="B3097" s="1242"/>
      <c r="C3097" s="3938" t="s">
        <v>5794</v>
      </c>
      <c r="D3097" s="4277">
        <f>D3098</f>
        <v>16880000</v>
      </c>
      <c r="E3097" s="1023">
        <f>D3097/D2961*100</f>
        <v>1.1687123436884455E-2</v>
      </c>
      <c r="F3097" s="1096"/>
      <c r="G3097" s="1096"/>
      <c r="H3097" s="1308"/>
      <c r="I3097" s="2344"/>
      <c r="J3097" s="1096"/>
      <c r="K3097" s="1096"/>
      <c r="L3097" s="1308"/>
      <c r="M3097" s="2344"/>
      <c r="N3097" s="535"/>
      <c r="P3097" s="500"/>
    </row>
    <row r="3098" spans="1:16" s="523" customFormat="1" ht="18" customHeight="1" x14ac:dyDescent="0.25">
      <c r="A3098" s="352"/>
      <c r="B3098" s="1242"/>
      <c r="C3098" s="3917" t="s">
        <v>5795</v>
      </c>
      <c r="D3098" s="4276">
        <v>16880000</v>
      </c>
      <c r="E3098" s="1484">
        <f>D3098/D2961*100</f>
        <v>1.1687123436884455E-2</v>
      </c>
      <c r="F3098" s="1092"/>
      <c r="G3098" s="1095"/>
      <c r="H3098" s="1310"/>
      <c r="I3098" s="2459"/>
      <c r="J3098" s="1092"/>
      <c r="K3098" s="1982"/>
      <c r="L3098" s="1310"/>
      <c r="M3098" s="2459"/>
      <c r="N3098" s="535"/>
      <c r="P3098" s="500"/>
    </row>
    <row r="3099" spans="1:16" s="523" customFormat="1" ht="11.25" customHeight="1" x14ac:dyDescent="0.25">
      <c r="A3099" s="352"/>
      <c r="B3099" s="1242"/>
      <c r="C3099" s="3962"/>
      <c r="D3099" s="4279"/>
      <c r="E3099" s="729"/>
      <c r="F3099" s="1102"/>
      <c r="G3099" s="666"/>
      <c r="H3099" s="1467"/>
      <c r="I3099" s="2459"/>
      <c r="J3099" s="2452"/>
      <c r="K3099" s="1717"/>
      <c r="L3099" s="2467"/>
      <c r="M3099" s="2003"/>
      <c r="N3099" s="535"/>
      <c r="P3099" s="500"/>
    </row>
    <row r="3100" spans="1:16" s="523" customFormat="1" ht="16.5" customHeight="1" x14ac:dyDescent="0.25">
      <c r="A3100" s="352"/>
      <c r="B3100" s="1242"/>
      <c r="C3100" s="3938" t="s">
        <v>5796</v>
      </c>
      <c r="D3100" s="4277">
        <f>SUM(D3101:D3102)</f>
        <v>4066723445</v>
      </c>
      <c r="E3100" s="1023">
        <f>D3100/D2961*100</f>
        <v>2.8156575169068123</v>
      </c>
      <c r="F3100" s="1096"/>
      <c r="G3100" s="1096"/>
      <c r="H3100" s="1308"/>
      <c r="I3100" s="2344"/>
      <c r="J3100" s="1096"/>
      <c r="K3100" s="1096"/>
      <c r="L3100" s="1308"/>
      <c r="M3100" s="2006"/>
      <c r="N3100" s="535"/>
      <c r="P3100" s="500"/>
    </row>
    <row r="3101" spans="1:16" s="523" customFormat="1" ht="17.25" customHeight="1" x14ac:dyDescent="0.25">
      <c r="A3101" s="352"/>
      <c r="B3101" s="1242"/>
      <c r="C3101" s="3917" t="s">
        <v>5797</v>
      </c>
      <c r="D3101" s="4276">
        <v>193349000</v>
      </c>
      <c r="E3101" s="1484">
        <f>D3101/D2961*100</f>
        <v>0.13386810600700072</v>
      </c>
      <c r="F3101" s="1092"/>
      <c r="G3101" s="646"/>
      <c r="H3101" s="1310"/>
      <c r="I3101" s="2339"/>
      <c r="J3101" s="2453"/>
      <c r="K3101" s="1386"/>
      <c r="L3101" s="1310"/>
      <c r="M3101" s="2230"/>
      <c r="N3101" s="535"/>
      <c r="P3101" s="500"/>
    </row>
    <row r="3102" spans="1:16" s="523" customFormat="1" ht="18.75" customHeight="1" x14ac:dyDescent="0.25">
      <c r="A3102" s="352"/>
      <c r="B3102" s="1242"/>
      <c r="C3102" s="3917" t="s">
        <v>5798</v>
      </c>
      <c r="D3102" s="4276">
        <v>3873374445</v>
      </c>
      <c r="E3102" s="1481">
        <f>D3102/D2961*100</f>
        <v>2.6817894108998113</v>
      </c>
      <c r="F3102" s="1092"/>
      <c r="G3102" s="971"/>
      <c r="H3102" s="971"/>
      <c r="I3102" s="971"/>
      <c r="J3102" s="2453"/>
      <c r="K3102" s="2454"/>
      <c r="L3102" s="1310"/>
      <c r="M3102" s="2230"/>
      <c r="N3102" s="535"/>
      <c r="P3102" s="500"/>
    </row>
    <row r="3103" spans="1:16" s="4099" customFormat="1" ht="8.25" customHeight="1" x14ac:dyDescent="0.25">
      <c r="A3103" s="4101"/>
      <c r="B3103" s="4119"/>
      <c r="C3103" s="4118"/>
      <c r="D3103" s="4276"/>
      <c r="E3103" s="1481"/>
      <c r="F3103" s="1092"/>
      <c r="G3103" s="971"/>
      <c r="H3103" s="3714"/>
      <c r="I3103" s="3724"/>
      <c r="J3103" s="2453"/>
      <c r="K3103" s="2454"/>
      <c r="L3103" s="1310"/>
      <c r="M3103" s="2230"/>
      <c r="N3103" s="4109"/>
      <c r="P3103" s="500"/>
    </row>
    <row r="3104" spans="1:16" s="3598" customFormat="1" ht="19.5" customHeight="1" x14ac:dyDescent="0.25">
      <c r="A3104" s="3588"/>
      <c r="B3104" s="4119"/>
      <c r="C3104" s="3938" t="s">
        <v>5799</v>
      </c>
      <c r="D3104" s="4277">
        <f>D3105</f>
        <v>192849000</v>
      </c>
      <c r="E3104" s="1481">
        <f>D3104/D2961*100</f>
        <v>0.13352192344074232</v>
      </c>
      <c r="F3104" s="1096"/>
      <c r="G3104" s="1379"/>
      <c r="H3104" s="4331"/>
      <c r="I3104" s="4332"/>
      <c r="J3104" s="4333"/>
      <c r="K3104" s="4334"/>
      <c r="L3104" s="1308"/>
      <c r="M3104" s="2006"/>
      <c r="N3104" s="3592"/>
      <c r="P3104" s="4592"/>
    </row>
    <row r="3105" spans="1:16" s="4099" customFormat="1" ht="27.75" customHeight="1" x14ac:dyDescent="0.25">
      <c r="A3105" s="4101"/>
      <c r="B3105" s="4119"/>
      <c r="C3105" s="4118" t="s">
        <v>5800</v>
      </c>
      <c r="D3105" s="4276">
        <v>192849000</v>
      </c>
      <c r="E3105" s="4051">
        <f>D3105/D2961*100</f>
        <v>0.13352192344074232</v>
      </c>
      <c r="F3105" s="1092"/>
      <c r="G3105" s="971"/>
      <c r="H3105" s="3714"/>
      <c r="I3105" s="3724"/>
      <c r="J3105" s="2453"/>
      <c r="K3105" s="2454"/>
      <c r="L3105" s="1310"/>
      <c r="M3105" s="2230"/>
      <c r="N3105" s="4109"/>
      <c r="P3105" s="500"/>
    </row>
    <row r="3106" spans="1:16" s="4099" customFormat="1" ht="10.5" customHeight="1" x14ac:dyDescent="0.25">
      <c r="A3106" s="4101"/>
      <c r="B3106" s="4119"/>
      <c r="C3106" s="4118"/>
      <c r="D3106" s="4276"/>
      <c r="E3106" s="4051"/>
      <c r="F3106" s="1092"/>
      <c r="G3106" s="971"/>
      <c r="H3106" s="3714"/>
      <c r="I3106" s="3724"/>
      <c r="J3106" s="2453"/>
      <c r="K3106" s="2454"/>
      <c r="L3106" s="1310"/>
      <c r="M3106" s="2230"/>
      <c r="N3106" s="4109"/>
      <c r="P3106" s="500"/>
    </row>
    <row r="3107" spans="1:16" s="3598" customFormat="1" ht="17.25" customHeight="1" x14ac:dyDescent="0.25">
      <c r="A3107" s="3588"/>
      <c r="B3107" s="4119"/>
      <c r="C3107" s="3972" t="s">
        <v>5801</v>
      </c>
      <c r="D3107" s="4335">
        <f>D3108</f>
        <v>150000000</v>
      </c>
      <c r="E3107" s="4053">
        <f>D3107/D2961*100</f>
        <v>0.10385476987752773</v>
      </c>
      <c r="F3107" s="4336"/>
      <c r="G3107" s="4337"/>
      <c r="H3107" s="2251"/>
      <c r="I3107" s="2344"/>
      <c r="J3107" s="4338"/>
      <c r="K3107" s="4339"/>
      <c r="L3107" s="2251"/>
      <c r="M3107" s="2348"/>
      <c r="N3107" s="3592"/>
      <c r="P3107" s="4592"/>
    </row>
    <row r="3108" spans="1:16" s="4099" customFormat="1" ht="17.25" customHeight="1" x14ac:dyDescent="0.25">
      <c r="A3108" s="4101"/>
      <c r="B3108" s="4119"/>
      <c r="C3108" s="4118" t="s">
        <v>5802</v>
      </c>
      <c r="D3108" s="4276">
        <v>150000000</v>
      </c>
      <c r="E3108" s="4051">
        <f>D3108/D2961*100</f>
        <v>0.10385476987752773</v>
      </c>
      <c r="F3108" s="1092"/>
      <c r="G3108" s="1095"/>
      <c r="H3108" s="880"/>
      <c r="I3108" s="1121"/>
      <c r="J3108" s="2453"/>
      <c r="K3108" s="2454"/>
      <c r="L3108" s="880"/>
      <c r="M3108" s="2338"/>
      <c r="N3108" s="4109"/>
      <c r="P3108" s="500"/>
    </row>
    <row r="3109" spans="1:16" s="523" customFormat="1" ht="12" customHeight="1" x14ac:dyDescent="0.25">
      <c r="A3109" s="352"/>
      <c r="B3109" s="1242"/>
      <c r="C3109" s="3897"/>
      <c r="D3109" s="671"/>
      <c r="E3109" s="724"/>
      <c r="F3109" s="543"/>
      <c r="G3109" s="1103"/>
      <c r="H3109" s="4340"/>
      <c r="I3109" s="2459"/>
      <c r="J3109" s="2460"/>
      <c r="K3109" s="2265"/>
      <c r="L3109" s="2470"/>
      <c r="M3109" s="2004"/>
      <c r="N3109" s="535"/>
      <c r="P3109" s="500"/>
    </row>
    <row r="3110" spans="1:16" s="523" customFormat="1" ht="18" customHeight="1" x14ac:dyDescent="0.25">
      <c r="A3110" s="352"/>
      <c r="B3110" s="1305"/>
      <c r="C3110" s="3913" t="s">
        <v>5803</v>
      </c>
      <c r="D3110" s="669">
        <f>SUM(D3111+D3114+D3118)</f>
        <v>999520000</v>
      </c>
      <c r="E3110" s="1039">
        <f>D3110/D2961*100</f>
        <v>0.69203279725324351</v>
      </c>
      <c r="F3110" s="847"/>
      <c r="G3110" s="847"/>
      <c r="H3110" s="1462"/>
      <c r="I3110" s="1107"/>
      <c r="J3110" s="1824"/>
      <c r="K3110" s="1824"/>
      <c r="L3110" s="1462"/>
      <c r="M3110" s="2315"/>
      <c r="N3110" s="535"/>
      <c r="P3110" s="500"/>
    </row>
    <row r="3111" spans="1:16" s="523" customFormat="1" ht="17.25" customHeight="1" x14ac:dyDescent="0.25">
      <c r="A3111" s="352"/>
      <c r="B3111" s="1242"/>
      <c r="C3111" s="3963" t="s">
        <v>237</v>
      </c>
      <c r="D3111" s="667">
        <f>D3112</f>
        <v>318201000</v>
      </c>
      <c r="E3111" s="1023">
        <f>D3111/D2961*100</f>
        <v>0.22031127753199467</v>
      </c>
      <c r="F3111" s="867"/>
      <c r="G3111" s="1329"/>
      <c r="H3111" s="1379"/>
      <c r="I3111" s="1329"/>
      <c r="J3111" s="1840"/>
      <c r="K3111" s="1840"/>
      <c r="L3111" s="1308"/>
      <c r="M3111" s="2345"/>
      <c r="N3111" s="535"/>
      <c r="P3111" s="500"/>
    </row>
    <row r="3112" spans="1:16" s="523" customFormat="1" ht="15.75" customHeight="1" x14ac:dyDescent="0.25">
      <c r="A3112" s="352"/>
      <c r="B3112" s="1242"/>
      <c r="C3112" s="3917" t="s">
        <v>5804</v>
      </c>
      <c r="D3112" s="4276">
        <v>318201000</v>
      </c>
      <c r="E3112" s="1484">
        <f>D3112/D2961*100</f>
        <v>0.22031127753199467</v>
      </c>
      <c r="F3112" s="1092"/>
      <c r="G3112" s="963"/>
      <c r="H3112" s="967"/>
      <c r="I3112" s="963"/>
      <c r="J3112" s="2453"/>
      <c r="K3112" s="2454"/>
      <c r="L3112" s="1310"/>
      <c r="M3112" s="2338"/>
      <c r="N3112" s="535"/>
      <c r="P3112" s="500"/>
    </row>
    <row r="3113" spans="1:16" s="523" customFormat="1" ht="8.25" customHeight="1" x14ac:dyDescent="0.25">
      <c r="A3113" s="352"/>
      <c r="B3113" s="1242"/>
      <c r="C3113" s="3962"/>
      <c r="D3113" s="666"/>
      <c r="E3113" s="729"/>
      <c r="F3113" s="542"/>
      <c r="G3113" s="666"/>
      <c r="H3113" s="880"/>
      <c r="I3113" s="666"/>
      <c r="J3113" s="2452"/>
      <c r="K3113" s="1717"/>
      <c r="L3113" s="2456"/>
      <c r="M3113" s="2483"/>
      <c r="N3113" s="535"/>
      <c r="P3113" s="500"/>
    </row>
    <row r="3114" spans="1:16" s="523" customFormat="1" ht="18.75" customHeight="1" x14ac:dyDescent="0.25">
      <c r="A3114" s="352"/>
      <c r="B3114" s="1242"/>
      <c r="C3114" s="3938" t="s">
        <v>5805</v>
      </c>
      <c r="D3114" s="673">
        <f>D3115+D3116</f>
        <v>431799000</v>
      </c>
      <c r="E3114" s="1023">
        <f>D3114/D2961*100</f>
        <v>0.29896257185564401</v>
      </c>
      <c r="F3114" s="541"/>
      <c r="G3114" s="1329"/>
      <c r="H3114" s="1379"/>
      <c r="I3114" s="1329"/>
      <c r="J3114" s="1112"/>
      <c r="K3114" s="1329"/>
      <c r="L3114" s="1379"/>
      <c r="M3114" s="1329"/>
      <c r="N3114" s="535"/>
      <c r="P3114" s="500"/>
    </row>
    <row r="3115" spans="1:16" s="523" customFormat="1" ht="15" customHeight="1" x14ac:dyDescent="0.25">
      <c r="A3115" s="352"/>
      <c r="B3115" s="1242"/>
      <c r="C3115" s="3917" t="s">
        <v>5806</v>
      </c>
      <c r="D3115" s="4276">
        <v>181799000</v>
      </c>
      <c r="E3115" s="1484">
        <f>D3115/D2961*100</f>
        <v>0.12587128872643111</v>
      </c>
      <c r="F3115" s="1102"/>
      <c r="G3115" s="963"/>
      <c r="H3115" s="967"/>
      <c r="I3115" s="963"/>
      <c r="J3115" s="1102"/>
      <c r="K3115" s="963"/>
      <c r="L3115" s="967"/>
      <c r="M3115" s="963"/>
      <c r="N3115" s="535"/>
      <c r="P3115" s="500"/>
    </row>
    <row r="3116" spans="1:16" s="3387" customFormat="1" ht="15.75" customHeight="1" x14ac:dyDescent="0.25">
      <c r="A3116" s="3587"/>
      <c r="B3116" s="2910"/>
      <c r="C3116" s="4118" t="s">
        <v>5807</v>
      </c>
      <c r="D3116" s="666">
        <v>250000000</v>
      </c>
      <c r="E3116" s="1484">
        <f>D3116/D2961*100</f>
        <v>0.1730912831292129</v>
      </c>
      <c r="F3116" s="542"/>
      <c r="G3116" s="666"/>
      <c r="H3116" s="1467"/>
      <c r="I3116" s="1121"/>
      <c r="J3116" s="2452"/>
      <c r="K3116" s="1717"/>
      <c r="L3116" s="2456"/>
      <c r="M3116" s="2338"/>
      <c r="N3116" s="3590"/>
      <c r="P3116" s="612"/>
    </row>
    <row r="3117" spans="1:16" s="4099" customFormat="1" ht="12" customHeight="1" x14ac:dyDescent="0.25">
      <c r="A3117" s="4101"/>
      <c r="B3117" s="4119"/>
      <c r="C3117" s="3962"/>
      <c r="D3117" s="666"/>
      <c r="E3117" s="732"/>
      <c r="F3117" s="542"/>
      <c r="G3117" s="666"/>
      <c r="H3117" s="2455"/>
      <c r="I3117" s="2482"/>
      <c r="J3117" s="2452"/>
      <c r="K3117" s="1717"/>
      <c r="L3117" s="2467"/>
      <c r="M3117" s="2483"/>
      <c r="N3117" s="4109"/>
      <c r="P3117" s="500"/>
    </row>
    <row r="3118" spans="1:16" s="523" customFormat="1" ht="15.75" customHeight="1" x14ac:dyDescent="0.25">
      <c r="A3118" s="352"/>
      <c r="B3118" s="1242"/>
      <c r="C3118" s="3938" t="s">
        <v>5808</v>
      </c>
      <c r="D3118" s="4230">
        <f>D3119</f>
        <v>249520000</v>
      </c>
      <c r="E3118" s="1023">
        <f>D3118/D2961*100</f>
        <v>0.17275894786560481</v>
      </c>
      <c r="F3118" s="1104"/>
      <c r="G3118" s="1104"/>
      <c r="H3118" s="1308"/>
      <c r="I3118" s="1118"/>
      <c r="J3118" s="1940"/>
      <c r="K3118" s="1940"/>
      <c r="L3118" s="1308"/>
      <c r="M3118" s="1118"/>
      <c r="N3118" s="535"/>
      <c r="P3118" s="500"/>
    </row>
    <row r="3119" spans="1:16" s="523" customFormat="1" ht="14.25" customHeight="1" x14ac:dyDescent="0.25">
      <c r="A3119" s="352"/>
      <c r="B3119" s="1242"/>
      <c r="C3119" s="3917" t="s">
        <v>5809</v>
      </c>
      <c r="D3119" s="4276">
        <v>249520000</v>
      </c>
      <c r="E3119" s="1484">
        <f>D3119/D2961*100</f>
        <v>0.17275894786560481</v>
      </c>
      <c r="F3119" s="1092"/>
      <c r="G3119" s="1095"/>
      <c r="H3119" s="1310"/>
      <c r="I3119" s="1121"/>
      <c r="J3119" s="1092"/>
      <c r="K3119" s="1982"/>
      <c r="L3119" s="1310"/>
      <c r="M3119" s="1121"/>
      <c r="N3119" s="535"/>
      <c r="P3119" s="500"/>
    </row>
    <row r="3120" spans="1:16" s="523" customFormat="1" ht="12" customHeight="1" x14ac:dyDescent="0.25">
      <c r="A3120" s="352"/>
      <c r="B3120" s="1242"/>
      <c r="C3120" s="3897"/>
      <c r="D3120" s="671"/>
      <c r="E3120" s="724"/>
      <c r="F3120" s="543"/>
      <c r="G3120" s="1103"/>
      <c r="H3120" s="2486"/>
      <c r="I3120" s="2459"/>
      <c r="J3120" s="2460"/>
      <c r="K3120" s="2265"/>
      <c r="L3120" s="2470"/>
      <c r="M3120" s="2004"/>
      <c r="N3120" s="535"/>
      <c r="P3120" s="500"/>
    </row>
    <row r="3121" spans="1:16" ht="15.75" customHeight="1" x14ac:dyDescent="0.25">
      <c r="B3121" s="1305"/>
      <c r="C3121" s="3906" t="s">
        <v>5810</v>
      </c>
      <c r="D3121" s="669">
        <f>D3122</f>
        <v>200000000</v>
      </c>
      <c r="E3121" s="1479">
        <f>D3121/D2961*100</f>
        <v>0.13847302650337032</v>
      </c>
      <c r="F3121" s="847"/>
      <c r="G3121" s="847"/>
      <c r="H3121" s="1050"/>
      <c r="I3121" s="2298"/>
      <c r="J3121" s="1824"/>
      <c r="K3121" s="1824"/>
      <c r="L3121" s="1050"/>
      <c r="M3121" s="2462"/>
      <c r="N3121" s="535"/>
    </row>
    <row r="3122" spans="1:16" ht="17.25" customHeight="1" x14ac:dyDescent="0.25">
      <c r="B3122" s="1242"/>
      <c r="C3122" s="3938" t="s">
        <v>5811</v>
      </c>
      <c r="D3122" s="4277">
        <f>D3123</f>
        <v>200000000</v>
      </c>
      <c r="E3122" s="1025">
        <f>D3122/D2961*100</f>
        <v>0.13847302650337032</v>
      </c>
      <c r="F3122" s="1096"/>
      <c r="G3122" s="1096"/>
      <c r="H3122" s="1308"/>
      <c r="I3122" s="1316"/>
      <c r="J3122" s="1096"/>
      <c r="K3122" s="1096"/>
      <c r="L3122" s="1308"/>
      <c r="M3122" s="2487"/>
      <c r="N3122" s="535"/>
    </row>
    <row r="3123" spans="1:16" ht="15.75" customHeight="1" x14ac:dyDescent="0.25">
      <c r="B3123" s="1242"/>
      <c r="C3123" s="3917" t="s">
        <v>5812</v>
      </c>
      <c r="D3123" s="4276">
        <v>200000000</v>
      </c>
      <c r="E3123" s="1481">
        <f>D3123/D2961*100</f>
        <v>0.13847302650337032</v>
      </c>
      <c r="F3123" s="1092"/>
      <c r="G3123" s="1095"/>
      <c r="H3123" s="1310"/>
      <c r="I3123" s="1111"/>
      <c r="J3123" s="2453"/>
      <c r="K3123" s="2454"/>
      <c r="L3123" s="1310"/>
      <c r="M3123" s="2003"/>
      <c r="N3123" s="535"/>
    </row>
    <row r="3124" spans="1:16" s="523" customFormat="1" ht="12" customHeight="1" x14ac:dyDescent="0.25">
      <c r="A3124" s="352"/>
      <c r="B3124" s="1242"/>
      <c r="C3124" s="2039"/>
      <c r="D3124" s="4345"/>
      <c r="E3124" s="4120"/>
      <c r="F3124" s="4346"/>
      <c r="G3124" s="651"/>
      <c r="H3124" s="1053"/>
      <c r="I3124" s="2339"/>
      <c r="J3124" s="2465"/>
      <c r="K3124" s="2281"/>
      <c r="L3124" s="1323"/>
      <c r="M3124" s="2466"/>
      <c r="N3124" s="535"/>
      <c r="P3124" s="500"/>
    </row>
    <row r="3125" spans="1:16" s="4099" customFormat="1" ht="16.5" customHeight="1" x14ac:dyDescent="0.25">
      <c r="A3125" s="4101"/>
      <c r="B3125" s="4050"/>
      <c r="C3125" s="3913" t="s">
        <v>5813</v>
      </c>
      <c r="D3125" s="4359">
        <f>D3126</f>
        <v>1311040000</v>
      </c>
      <c r="E3125" s="1479">
        <f>D3125/D2961*100</f>
        <v>0.90771838333489308</v>
      </c>
      <c r="F3125" s="4347"/>
      <c r="G3125" s="4170"/>
      <c r="H3125" s="4348"/>
      <c r="I3125" s="3839"/>
      <c r="J3125" s="3828"/>
      <c r="K3125" s="3471"/>
      <c r="L3125" s="3471"/>
      <c r="M3125" s="4349"/>
      <c r="N3125" s="4109"/>
      <c r="P3125" s="500"/>
    </row>
    <row r="3126" spans="1:16" s="3598" customFormat="1" ht="20.25" customHeight="1" x14ac:dyDescent="0.25">
      <c r="A3126" s="3588"/>
      <c r="B3126" s="4119"/>
      <c r="C3126" s="3983" t="s">
        <v>5814</v>
      </c>
      <c r="D3126" s="4350">
        <f>SUM(D3127:D3130)</f>
        <v>1311040000</v>
      </c>
      <c r="E3126" s="4114">
        <f>D3126/D2961*100</f>
        <v>0.90771838333489308</v>
      </c>
      <c r="F3126" s="4351"/>
      <c r="G3126" s="1361"/>
      <c r="H3126" s="4352"/>
      <c r="I3126" s="2498"/>
      <c r="J3126" s="2472"/>
      <c r="K3126" s="2461"/>
      <c r="L3126" s="2470"/>
      <c r="M3126" s="2345"/>
      <c r="N3126" s="3592"/>
      <c r="P3126" s="4592"/>
    </row>
    <row r="3127" spans="1:16" s="3387" customFormat="1" ht="18.75" customHeight="1" x14ac:dyDescent="0.25">
      <c r="A3127" s="3587"/>
      <c r="B3127" s="2910"/>
      <c r="C3127" s="4118" t="s">
        <v>5815</v>
      </c>
      <c r="D3127" s="4276">
        <v>684000000</v>
      </c>
      <c r="E3127" s="1481">
        <f>D3127/D2961*100</f>
        <v>0.47357775064152646</v>
      </c>
      <c r="F3127" s="1092"/>
      <c r="G3127" s="3681"/>
      <c r="H3127" s="1162"/>
      <c r="I3127" s="1121"/>
      <c r="J3127" s="2452"/>
      <c r="K3127" s="1717"/>
      <c r="L3127" s="1717"/>
      <c r="M3127" s="2338"/>
      <c r="N3127" s="3590"/>
      <c r="P3127" s="612"/>
    </row>
    <row r="3128" spans="1:16" s="3387" customFormat="1" ht="15.75" customHeight="1" x14ac:dyDescent="0.25">
      <c r="A3128" s="3587"/>
      <c r="B3128" s="2910"/>
      <c r="C3128" s="4118" t="s">
        <v>5816</v>
      </c>
      <c r="D3128" s="4276">
        <v>326040000</v>
      </c>
      <c r="E3128" s="1481">
        <f>D3128/D2961*100</f>
        <v>0.22573872780579429</v>
      </c>
      <c r="F3128" s="1092"/>
      <c r="G3128" s="3681"/>
      <c r="H3128" s="1162"/>
      <c r="I3128" s="1121"/>
      <c r="J3128" s="2452"/>
      <c r="K3128" s="1717"/>
      <c r="L3128" s="1717"/>
      <c r="M3128" s="2338"/>
      <c r="N3128" s="3590"/>
      <c r="P3128" s="612"/>
    </row>
    <row r="3129" spans="1:16" s="3387" customFormat="1" ht="18.75" customHeight="1" x14ac:dyDescent="0.25">
      <c r="A3129" s="3587"/>
      <c r="B3129" s="2910"/>
      <c r="C3129" s="4118" t="s">
        <v>5817</v>
      </c>
      <c r="D3129" s="4276">
        <v>151000000</v>
      </c>
      <c r="E3129" s="1481">
        <f>D3129/D2961*100</f>
        <v>0.10454713501004459</v>
      </c>
      <c r="F3129" s="1092"/>
      <c r="G3129" s="3681"/>
      <c r="H3129" s="1162"/>
      <c r="I3129" s="1121"/>
      <c r="J3129" s="2452"/>
      <c r="K3129" s="1717"/>
      <c r="L3129" s="1717"/>
      <c r="M3129" s="2338"/>
      <c r="N3129" s="3590"/>
      <c r="P3129" s="612"/>
    </row>
    <row r="3130" spans="1:16" s="3387" customFormat="1" ht="18.75" customHeight="1" x14ac:dyDescent="0.25">
      <c r="A3130" s="3587"/>
      <c r="B3130" s="2910"/>
      <c r="C3130" s="4118" t="s">
        <v>5818</v>
      </c>
      <c r="D3130" s="4276">
        <v>150000000</v>
      </c>
      <c r="E3130" s="1481">
        <f>D3130/D2961*100</f>
        <v>0.10385476987752773</v>
      </c>
      <c r="F3130" s="1092"/>
      <c r="G3130" s="3681"/>
      <c r="H3130" s="1162"/>
      <c r="I3130" s="1121"/>
      <c r="J3130" s="2452"/>
      <c r="K3130" s="1717"/>
      <c r="L3130" s="1717"/>
      <c r="M3130" s="2338"/>
      <c r="N3130" s="3590"/>
      <c r="P3130" s="612"/>
    </row>
    <row r="3131" spans="1:16" s="4099" customFormat="1" ht="12" customHeight="1" x14ac:dyDescent="0.25">
      <c r="A3131" s="4101"/>
      <c r="B3131" s="4119"/>
      <c r="C3131" s="4341"/>
      <c r="D3131" s="4342"/>
      <c r="E3131" s="4343"/>
      <c r="F3131" s="4344"/>
      <c r="G3131" s="4108"/>
      <c r="H3131" s="1458"/>
      <c r="I3131" s="2339"/>
      <c r="J3131" s="2460"/>
      <c r="K3131" s="2265"/>
      <c r="L3131" s="1703"/>
      <c r="M3131" s="2004"/>
      <c r="N3131" s="4109"/>
      <c r="P3131" s="500"/>
    </row>
    <row r="3132" spans="1:16" s="4099" customFormat="1" ht="18" customHeight="1" x14ac:dyDescent="0.25">
      <c r="A3132" s="4101"/>
      <c r="B3132" s="4050"/>
      <c r="C3132" s="3913" t="s">
        <v>5819</v>
      </c>
      <c r="D3132" s="4359">
        <f>SUM(D3133+D3139)</f>
        <v>16680658423.98</v>
      </c>
      <c r="E3132" s="1479">
        <f>D3132/D2961*100</f>
        <v>11.549106280187249</v>
      </c>
      <c r="F3132" s="4347"/>
      <c r="G3132" s="4170"/>
      <c r="H3132" s="4348"/>
      <c r="I3132" s="3839"/>
      <c r="J3132" s="3828"/>
      <c r="K3132" s="3471"/>
      <c r="L3132" s="3471"/>
      <c r="M3132" s="4349"/>
      <c r="N3132" s="4109"/>
      <c r="P3132" s="500"/>
    </row>
    <row r="3133" spans="1:16" s="4099" customFormat="1" ht="16.5" customHeight="1" x14ac:dyDescent="0.25">
      <c r="A3133" s="4101"/>
      <c r="B3133" s="4119"/>
      <c r="C3133" s="3913" t="s">
        <v>5820</v>
      </c>
      <c r="D3133" s="4359">
        <f>D3134</f>
        <v>3680000000</v>
      </c>
      <c r="E3133" s="1039">
        <f>D3133/D2961*100</f>
        <v>2.5479036876620138</v>
      </c>
      <c r="F3133" s="4347"/>
      <c r="G3133" s="4170"/>
      <c r="H3133" s="4348"/>
      <c r="I3133" s="3839"/>
      <c r="J3133" s="3828"/>
      <c r="K3133" s="3471"/>
      <c r="L3133" s="3471"/>
      <c r="M3133" s="4349"/>
      <c r="N3133" s="4109"/>
      <c r="P3133" s="500"/>
    </row>
    <row r="3134" spans="1:16" s="3598" customFormat="1" ht="15" customHeight="1" x14ac:dyDescent="0.25">
      <c r="A3134" s="3588"/>
      <c r="B3134" s="4119"/>
      <c r="C3134" s="4021" t="s">
        <v>5821</v>
      </c>
      <c r="D3134" s="4354">
        <f>SUM(D3135:D3137)</f>
        <v>3680000000</v>
      </c>
      <c r="E3134" s="1023">
        <f>D3134/D2961*100</f>
        <v>2.5479036876620138</v>
      </c>
      <c r="F3134" s="4355"/>
      <c r="G3134" s="4291"/>
      <c r="H3134" s="1163"/>
      <c r="I3134" s="4356"/>
      <c r="J3134" s="4357"/>
      <c r="K3134" s="4162"/>
      <c r="L3134" s="4162"/>
      <c r="M3134" s="4358"/>
      <c r="N3134" s="3592"/>
      <c r="P3134" s="4592"/>
    </row>
    <row r="3135" spans="1:16" s="3387" customFormat="1" ht="15.75" customHeight="1" x14ac:dyDescent="0.25">
      <c r="A3135" s="3587"/>
      <c r="B3135" s="2910"/>
      <c r="C3135" s="4118" t="s">
        <v>5822</v>
      </c>
      <c r="D3135" s="4276">
        <v>1480000000</v>
      </c>
      <c r="E3135" s="1070">
        <f>D3135/D2961*100</f>
        <v>1.0247003961249403</v>
      </c>
      <c r="F3135" s="1092"/>
      <c r="G3135" s="3681"/>
      <c r="H3135" s="1162"/>
      <c r="I3135" s="1121"/>
      <c r="J3135" s="2452"/>
      <c r="K3135" s="1717"/>
      <c r="L3135" s="1717"/>
      <c r="M3135" s="2338"/>
      <c r="N3135" s="3590"/>
      <c r="P3135" s="612"/>
    </row>
    <row r="3136" spans="1:16" s="3387" customFormat="1" ht="15.75" customHeight="1" x14ac:dyDescent="0.25">
      <c r="A3136" s="3587"/>
      <c r="B3136" s="2910"/>
      <c r="C3136" s="4118" t="s">
        <v>5823</v>
      </c>
      <c r="D3136" s="4276">
        <v>1331249200</v>
      </c>
      <c r="E3136" s="1070">
        <f>D3136/D2961*100</f>
        <v>0.92171052877095261</v>
      </c>
      <c r="F3136" s="1092"/>
      <c r="G3136" s="3681"/>
      <c r="H3136" s="1162"/>
      <c r="I3136" s="1121"/>
      <c r="J3136" s="2452"/>
      <c r="K3136" s="1717"/>
      <c r="L3136" s="1717"/>
      <c r="M3136" s="2338"/>
      <c r="N3136" s="3590"/>
      <c r="P3136" s="612"/>
    </row>
    <row r="3137" spans="1:16" s="3387" customFormat="1" ht="16.5" customHeight="1" x14ac:dyDescent="0.25">
      <c r="A3137" s="3587"/>
      <c r="B3137" s="2910"/>
      <c r="C3137" s="4118" t="s">
        <v>5824</v>
      </c>
      <c r="D3137" s="4276">
        <v>868750800</v>
      </c>
      <c r="E3137" s="1070">
        <f>D3137/D2961*100</f>
        <v>0.60149276276612085</v>
      </c>
      <c r="F3137" s="1092"/>
      <c r="G3137" s="3681"/>
      <c r="H3137" s="1162"/>
      <c r="I3137" s="1121"/>
      <c r="J3137" s="2452"/>
      <c r="K3137" s="1717"/>
      <c r="L3137" s="1717"/>
      <c r="M3137" s="2338"/>
      <c r="N3137" s="3590"/>
      <c r="P3137" s="612"/>
    </row>
    <row r="3138" spans="1:16" s="4099" customFormat="1" ht="12" customHeight="1" x14ac:dyDescent="0.25">
      <c r="A3138" s="4101"/>
      <c r="B3138" s="4119"/>
      <c r="C3138" s="2039"/>
      <c r="D3138" s="4345"/>
      <c r="E3138" s="4120"/>
      <c r="F3138" s="4346"/>
      <c r="G3138" s="651"/>
      <c r="H3138" s="1053"/>
      <c r="I3138" s="1916"/>
      <c r="J3138" s="2465"/>
      <c r="K3138" s="2281"/>
      <c r="L3138" s="2281"/>
      <c r="M3138" s="2485"/>
      <c r="N3138" s="536"/>
      <c r="P3138" s="500"/>
    </row>
    <row r="3139" spans="1:16" s="4099" customFormat="1" ht="17.25" customHeight="1" x14ac:dyDescent="0.25">
      <c r="A3139" s="4101"/>
      <c r="B3139" s="4119"/>
      <c r="C3139" s="3913" t="s">
        <v>5825</v>
      </c>
      <c r="D3139" s="4359">
        <f>SUM(D3140+D3145+D3149)</f>
        <v>13000658423.98</v>
      </c>
      <c r="E3139" s="1039">
        <f>D3139/D2961*100</f>
        <v>9.0012025925252352</v>
      </c>
      <c r="F3139" s="4347"/>
      <c r="G3139" s="4170"/>
      <c r="H3139" s="4348"/>
      <c r="I3139" s="3839"/>
      <c r="J3139" s="3828"/>
      <c r="K3139" s="3471"/>
      <c r="L3139" s="3471"/>
      <c r="M3139" s="4349"/>
      <c r="N3139" s="584"/>
      <c r="P3139" s="500"/>
    </row>
    <row r="3140" spans="1:16" s="3598" customFormat="1" ht="18" customHeight="1" x14ac:dyDescent="0.25">
      <c r="A3140" s="3588"/>
      <c r="B3140" s="4119"/>
      <c r="C3140" s="4021" t="s">
        <v>5826</v>
      </c>
      <c r="D3140" s="4360">
        <f>SUM(D3141:D3143)</f>
        <v>9664301715</v>
      </c>
      <c r="E3140" s="1023">
        <f>D3140/D2961*100</f>
        <v>6.6912255375888119</v>
      </c>
      <c r="F3140" s="4355"/>
      <c r="G3140" s="4291"/>
      <c r="H3140" s="1159"/>
      <c r="I3140" s="3395"/>
      <c r="J3140" s="2502"/>
      <c r="K3140" s="2562"/>
      <c r="L3140" s="2562"/>
      <c r="M3140" s="4358"/>
      <c r="N3140" s="551"/>
      <c r="P3140" s="4592"/>
    </row>
    <row r="3141" spans="1:16" s="4099" customFormat="1" ht="15" customHeight="1" x14ac:dyDescent="0.25">
      <c r="A3141" s="4101"/>
      <c r="B3141" s="4119"/>
      <c r="C3141" s="4118" t="s">
        <v>5827</v>
      </c>
      <c r="D3141" s="4276">
        <v>164301715</v>
      </c>
      <c r="E3141" s="1070">
        <f>D3141/D2961*100</f>
        <v>0.11375677867872097</v>
      </c>
      <c r="F3141" s="1102"/>
      <c r="G3141" s="4107"/>
      <c r="H3141" s="1162"/>
      <c r="I3141" s="1121"/>
      <c r="J3141" s="2452"/>
      <c r="K3141" s="1717"/>
      <c r="L3141" s="1717"/>
      <c r="M3141" s="2483"/>
      <c r="N3141" s="4109"/>
      <c r="P3141" s="500"/>
    </row>
    <row r="3142" spans="1:16" s="4099" customFormat="1" ht="15" customHeight="1" x14ac:dyDescent="0.25">
      <c r="A3142" s="4101"/>
      <c r="B3142" s="4119"/>
      <c r="C3142" s="4118" t="s">
        <v>5828</v>
      </c>
      <c r="D3142" s="4276">
        <v>9000000000</v>
      </c>
      <c r="E3142" s="1070">
        <f>D3142/D2961*100</f>
        <v>6.2312861926516643</v>
      </c>
      <c r="F3142" s="1102"/>
      <c r="G3142" s="4107"/>
      <c r="H3142" s="1162"/>
      <c r="I3142" s="1121"/>
      <c r="J3142" s="2452"/>
      <c r="K3142" s="1717"/>
      <c r="L3142" s="1717"/>
      <c r="M3142" s="2483"/>
      <c r="N3142" s="4109"/>
      <c r="P3142" s="500"/>
    </row>
    <row r="3143" spans="1:16" s="4099" customFormat="1" ht="17.25" customHeight="1" x14ac:dyDescent="0.25">
      <c r="A3143" s="4101"/>
      <c r="B3143" s="4119"/>
      <c r="C3143" s="4118" t="s">
        <v>5829</v>
      </c>
      <c r="D3143" s="4276">
        <v>500000000</v>
      </c>
      <c r="E3143" s="1070">
        <f>D3143/D2961*100</f>
        <v>0.34618256625842581</v>
      </c>
      <c r="F3143" s="1102"/>
      <c r="G3143" s="4107"/>
      <c r="H3143" s="1162"/>
      <c r="I3143" s="1121"/>
      <c r="J3143" s="2452"/>
      <c r="K3143" s="1717"/>
      <c r="L3143" s="1717"/>
      <c r="M3143" s="2483"/>
      <c r="N3143" s="4109"/>
      <c r="P3143" s="500"/>
    </row>
    <row r="3144" spans="1:16" s="4099" customFormat="1" ht="12" customHeight="1" x14ac:dyDescent="0.25">
      <c r="A3144" s="4101"/>
      <c r="B3144" s="4119"/>
      <c r="C3144" s="3938"/>
      <c r="D3144" s="4279"/>
      <c r="E3144" s="729"/>
      <c r="F3144" s="1102"/>
      <c r="G3144" s="4107"/>
      <c r="H3144" s="1162"/>
      <c r="I3144" s="1121"/>
      <c r="J3144" s="2452"/>
      <c r="K3144" s="1717"/>
      <c r="L3144" s="1717"/>
      <c r="M3144" s="2483"/>
      <c r="N3144" s="4109"/>
      <c r="P3144" s="500"/>
    </row>
    <row r="3145" spans="1:16" s="3598" customFormat="1" ht="15.75" customHeight="1" x14ac:dyDescent="0.25">
      <c r="A3145" s="3588"/>
      <c r="B3145" s="4119"/>
      <c r="C3145" s="3938" t="s">
        <v>5830</v>
      </c>
      <c r="D3145" s="4277">
        <f>SUM(D3146:D3147)</f>
        <v>2000000924</v>
      </c>
      <c r="E3145" s="1023">
        <f>D3145/D2961*100</f>
        <v>1.3847309047790857</v>
      </c>
      <c r="F3145" s="1096"/>
      <c r="G3145" s="4353"/>
      <c r="H3145" s="1052"/>
      <c r="I3145" s="1118"/>
      <c r="J3145" s="4318"/>
      <c r="K3145" s="2261"/>
      <c r="L3145" s="2261"/>
      <c r="M3145" s="2484"/>
      <c r="N3145" s="3592"/>
      <c r="P3145" s="4592"/>
    </row>
    <row r="3146" spans="1:16" s="4099" customFormat="1" ht="18" customHeight="1" x14ac:dyDescent="0.25">
      <c r="A3146" s="4101"/>
      <c r="B3146" s="4119"/>
      <c r="C3146" s="4118" t="s">
        <v>5831</v>
      </c>
      <c r="D3146" s="4276">
        <v>1000000924</v>
      </c>
      <c r="E3146" s="1070">
        <f>D3146/D2961*100</f>
        <v>0.69236577226223406</v>
      </c>
      <c r="F3146" s="1102"/>
      <c r="G3146" s="4107"/>
      <c r="H3146" s="1162"/>
      <c r="I3146" s="1121"/>
      <c r="J3146" s="2452"/>
      <c r="K3146" s="1717"/>
      <c r="L3146" s="1717"/>
      <c r="M3146" s="2483"/>
      <c r="N3146" s="4109"/>
      <c r="P3146" s="500"/>
    </row>
    <row r="3147" spans="1:16" s="4099" customFormat="1" ht="17.25" customHeight="1" x14ac:dyDescent="0.25">
      <c r="A3147" s="4101"/>
      <c r="B3147" s="4119"/>
      <c r="C3147" s="4118" t="s">
        <v>5832</v>
      </c>
      <c r="D3147" s="4276">
        <v>1000000000</v>
      </c>
      <c r="E3147" s="1070">
        <f>D3147/D2961*100</f>
        <v>0.69236513251685161</v>
      </c>
      <c r="F3147" s="1102"/>
      <c r="G3147" s="4107"/>
      <c r="H3147" s="1162"/>
      <c r="I3147" s="1121"/>
      <c r="J3147" s="2452"/>
      <c r="K3147" s="1717"/>
      <c r="L3147" s="1717"/>
      <c r="M3147" s="2483"/>
      <c r="N3147" s="4109"/>
      <c r="P3147" s="500"/>
    </row>
    <row r="3148" spans="1:16" s="4099" customFormat="1" ht="9" customHeight="1" x14ac:dyDescent="0.25">
      <c r="A3148" s="4101"/>
      <c r="B3148" s="4119"/>
      <c r="C3148" s="3938"/>
      <c r="D3148" s="4279"/>
      <c r="E3148" s="729"/>
      <c r="F3148" s="1102"/>
      <c r="G3148" s="4107"/>
      <c r="H3148" s="1162"/>
      <c r="I3148" s="1121"/>
      <c r="J3148" s="2452"/>
      <c r="K3148" s="1717"/>
      <c r="L3148" s="1717"/>
      <c r="M3148" s="2483"/>
      <c r="N3148" s="4109"/>
      <c r="P3148" s="500"/>
    </row>
    <row r="3149" spans="1:16" s="4099" customFormat="1" ht="18" customHeight="1" x14ac:dyDescent="0.25">
      <c r="A3149" s="4101"/>
      <c r="B3149" s="4119"/>
      <c r="C3149" s="3938" t="s">
        <v>5833</v>
      </c>
      <c r="D3149" s="4277">
        <f>D3150</f>
        <v>1336355784.98</v>
      </c>
      <c r="E3149" s="1023">
        <f>D3149/D2961*100</f>
        <v>0.92524615015733891</v>
      </c>
      <c r="F3149" s="1102"/>
      <c r="G3149" s="4107"/>
      <c r="H3149" s="1162"/>
      <c r="I3149" s="1121"/>
      <c r="J3149" s="2452"/>
      <c r="K3149" s="1717"/>
      <c r="L3149" s="1717"/>
      <c r="M3149" s="2483"/>
      <c r="N3149" s="4109"/>
      <c r="P3149" s="500"/>
    </row>
    <row r="3150" spans="1:16" ht="18" customHeight="1" x14ac:dyDescent="0.25">
      <c r="B3150" s="1242"/>
      <c r="C3150" s="4104" t="s">
        <v>5834</v>
      </c>
      <c r="D3150" s="666">
        <v>1336355784.98</v>
      </c>
      <c r="E3150" s="1070">
        <f>D3150/D2961*100</f>
        <v>0.92524615015733891</v>
      </c>
      <c r="F3150" s="542"/>
      <c r="G3150" s="666"/>
      <c r="H3150" s="880"/>
      <c r="I3150" s="666"/>
      <c r="J3150" s="2452"/>
      <c r="K3150" s="1717"/>
      <c r="L3150" s="2456"/>
      <c r="M3150" s="2483"/>
      <c r="N3150" s="535"/>
    </row>
    <row r="3151" spans="1:16" s="4099" customFormat="1" ht="12.75" customHeight="1" x14ac:dyDescent="0.25">
      <c r="A3151" s="4101"/>
      <c r="B3151" s="4119"/>
      <c r="C3151" s="4117"/>
      <c r="D3151" s="671"/>
      <c r="E3151" s="4112"/>
      <c r="F3151" s="543"/>
      <c r="G3151" s="671"/>
      <c r="H3151" s="886"/>
      <c r="I3151" s="671"/>
      <c r="J3151" s="2460"/>
      <c r="K3151" s="2265"/>
      <c r="L3151" s="2470"/>
      <c r="M3151" s="2004"/>
      <c r="N3151" s="4109"/>
      <c r="P3151" s="500"/>
    </row>
    <row r="3152" spans="1:16" ht="18" customHeight="1" x14ac:dyDescent="0.25">
      <c r="B3152" s="1305"/>
      <c r="C3152" s="3906" t="s">
        <v>5837</v>
      </c>
      <c r="D3152" s="669">
        <f>SUM(D3153)</f>
        <v>789700000</v>
      </c>
      <c r="E3152" s="1479">
        <f>D3152/D2961*100</f>
        <v>0.54676074514855777</v>
      </c>
      <c r="F3152" s="847"/>
      <c r="G3152" s="980"/>
      <c r="H3152" s="998"/>
      <c r="I3152" s="980"/>
      <c r="J3152" s="1824"/>
      <c r="K3152" s="1824"/>
      <c r="L3152" s="2488"/>
      <c r="M3152" s="2489"/>
      <c r="N3152" s="535"/>
    </row>
    <row r="3153" spans="1:19" ht="17.25" customHeight="1" x14ac:dyDescent="0.25">
      <c r="B3153" s="1242"/>
      <c r="C3153" s="3854" t="s">
        <v>5835</v>
      </c>
      <c r="D3153" s="1942">
        <f>D3154</f>
        <v>789700000</v>
      </c>
      <c r="E3153" s="1486">
        <f>D3153/D2961*100</f>
        <v>0.54676074514855777</v>
      </c>
      <c r="F3153" s="685"/>
      <c r="G3153" s="994"/>
      <c r="H3153" s="1585"/>
      <c r="I3153" s="994"/>
      <c r="J3153" s="1941"/>
      <c r="K3153" s="1941"/>
      <c r="L3153" s="1308"/>
      <c r="M3153" s="2487"/>
      <c r="N3153" s="535"/>
    </row>
    <row r="3154" spans="1:19" ht="17.25" customHeight="1" x14ac:dyDescent="0.25">
      <c r="B3154" s="1242"/>
      <c r="C3154" s="3863" t="s">
        <v>5836</v>
      </c>
      <c r="D3154" s="666">
        <v>789700000</v>
      </c>
      <c r="E3154" s="939">
        <f>D3154/D2961*100</f>
        <v>0.54676074514855777</v>
      </c>
      <c r="F3154" s="542"/>
      <c r="G3154" s="963"/>
      <c r="H3154" s="967"/>
      <c r="I3154" s="963"/>
      <c r="J3154" s="663"/>
      <c r="K3154" s="2490"/>
      <c r="L3154" s="1310"/>
      <c r="M3154" s="2230"/>
      <c r="N3154" s="535"/>
    </row>
    <row r="3155" spans="1:19" ht="14.25" customHeight="1" x14ac:dyDescent="0.25">
      <c r="B3155" s="1242"/>
      <c r="C3155" s="4055"/>
      <c r="D3155" s="1858"/>
      <c r="E3155" s="1480"/>
      <c r="F3155" s="651"/>
      <c r="G3155" s="651"/>
      <c r="H3155" s="995"/>
      <c r="I3155" s="1651"/>
      <c r="J3155" s="2175"/>
      <c r="K3155" s="2175"/>
      <c r="L3155" s="2175"/>
      <c r="M3155" s="2175"/>
      <c r="N3155" s="535"/>
    </row>
    <row r="3156" spans="1:19" s="3598" customFormat="1" ht="16.5" customHeight="1" x14ac:dyDescent="0.25">
      <c r="A3156" s="3588"/>
      <c r="B3156" s="4050"/>
      <c r="C3156" s="4070" t="s">
        <v>7097</v>
      </c>
      <c r="D3156" s="1853">
        <f>D3157</f>
        <v>8450330658</v>
      </c>
      <c r="E3156" s="1479">
        <f>D3156/D2961*100</f>
        <v>5.8507143058373838</v>
      </c>
      <c r="F3156" s="1373"/>
      <c r="G3156" s="1373"/>
      <c r="H3156" s="3393"/>
      <c r="I3156" s="669"/>
      <c r="J3156" s="2356"/>
      <c r="K3156" s="2356"/>
      <c r="L3156" s="2356"/>
      <c r="M3156" s="2356"/>
      <c r="N3156" s="3592"/>
      <c r="P3156" s="4592"/>
    </row>
    <row r="3157" spans="1:19" s="4099" customFormat="1" ht="19.5" customHeight="1" x14ac:dyDescent="0.25">
      <c r="A3157" s="4101"/>
      <c r="B3157" s="4119"/>
      <c r="C3157" s="4029" t="s">
        <v>7098</v>
      </c>
      <c r="D3157" s="1852">
        <f>D3158</f>
        <v>8450330658</v>
      </c>
      <c r="E3157" s="1486">
        <f>D3157/D2961*100</f>
        <v>5.8507143058373838</v>
      </c>
      <c r="F3157" s="4108"/>
      <c r="G3157" s="4108"/>
      <c r="H3157" s="886"/>
      <c r="I3157" s="791"/>
      <c r="J3157" s="2182"/>
      <c r="K3157" s="2182"/>
      <c r="L3157" s="2182"/>
      <c r="M3157" s="2182"/>
      <c r="N3157" s="4109"/>
      <c r="P3157" s="500"/>
    </row>
    <row r="3158" spans="1:19" s="4099" customFormat="1" ht="17.25" customHeight="1" x14ac:dyDescent="0.25">
      <c r="A3158" s="4101"/>
      <c r="B3158" s="4119"/>
      <c r="C3158" s="3856" t="s">
        <v>7099</v>
      </c>
      <c r="D3158" s="1846">
        <v>8450330658</v>
      </c>
      <c r="E3158" s="4113">
        <f>D3158/D2961*100</f>
        <v>5.8507143058373838</v>
      </c>
      <c r="F3158" s="4107"/>
      <c r="G3158" s="4107"/>
      <c r="H3158" s="880"/>
      <c r="I3158" s="894"/>
      <c r="J3158" s="1315"/>
      <c r="K3158" s="1315"/>
      <c r="L3158" s="1315"/>
      <c r="M3158" s="1315"/>
      <c r="N3158" s="4109"/>
      <c r="P3158" s="500"/>
    </row>
    <row r="3159" spans="1:19" s="4099" customFormat="1" ht="14.25" customHeight="1" thickBot="1" x14ac:dyDescent="0.3">
      <c r="A3159" s="4101"/>
      <c r="B3159" s="4119"/>
      <c r="C3159" s="4876"/>
      <c r="D3159" s="4084"/>
      <c r="E3159" s="731"/>
      <c r="F3159" s="4108"/>
      <c r="G3159" s="4108"/>
      <c r="H3159" s="886"/>
      <c r="I3159" s="791"/>
      <c r="J3159" s="2182"/>
      <c r="K3159" s="2182"/>
      <c r="L3159" s="2182"/>
      <c r="M3159" s="2182"/>
      <c r="N3159" s="4109"/>
      <c r="P3159" s="500"/>
    </row>
    <row r="3160" spans="1:19" ht="15.75" customHeight="1" thickBot="1" x14ac:dyDescent="0.3">
      <c r="B3160" s="2916"/>
      <c r="C3160" s="1300" t="s">
        <v>7104</v>
      </c>
      <c r="D3160" s="1932">
        <f>(D3162+D3220+D3284+D3292+D3299+D3314+D3319+D3340+D3344+D3363+D3372+D3394+D3401+D3408+D3412+D3451+D3460)</f>
        <v>138203382000</v>
      </c>
      <c r="E3160" s="1476">
        <f>D3160/2507241496000*100</f>
        <v>5.5121687408447393</v>
      </c>
      <c r="F3160" s="4128"/>
      <c r="G3160" s="680"/>
      <c r="H3160" s="2491"/>
      <c r="I3160" s="2365"/>
      <c r="J3160" s="1932"/>
      <c r="K3160" s="1932"/>
      <c r="L3160" s="2492"/>
      <c r="M3160" s="2493"/>
      <c r="N3160" s="535"/>
      <c r="P3160" s="321"/>
    </row>
    <row r="3161" spans="1:19" ht="6.75" customHeight="1" x14ac:dyDescent="0.25">
      <c r="B3161" s="1242"/>
      <c r="C3161" s="3854"/>
      <c r="D3161" s="4084"/>
      <c r="E3161" s="731"/>
      <c r="F3161" s="533"/>
      <c r="G3161" s="1105"/>
      <c r="H3161" s="2486"/>
      <c r="I3161" s="2409"/>
      <c r="J3161" s="2472"/>
      <c r="K3161" s="2461"/>
      <c r="L3161" s="2470"/>
      <c r="M3161" s="1671"/>
      <c r="N3161" s="535"/>
    </row>
    <row r="3162" spans="1:19" ht="16.5" customHeight="1" x14ac:dyDescent="0.25">
      <c r="B3162" s="1305"/>
      <c r="C3162" s="3875" t="s">
        <v>365</v>
      </c>
      <c r="D3162" s="669">
        <f>D3163+D3172+D3192+D3196+D3204+D3208+D3212+D3215</f>
        <v>32020000000</v>
      </c>
      <c r="E3162" s="1039">
        <f>D3162/D3160*100</f>
        <v>23.168752845715453</v>
      </c>
      <c r="F3162" s="847"/>
      <c r="G3162" s="847"/>
      <c r="H3162" s="1030"/>
      <c r="I3162" s="2298"/>
      <c r="J3162" s="1824"/>
      <c r="K3162" s="1824"/>
      <c r="L3162" s="1030"/>
      <c r="M3162" s="2066"/>
      <c r="N3162" s="535"/>
      <c r="P3162" s="104"/>
    </row>
    <row r="3163" spans="1:19" ht="15.75" customHeight="1" x14ac:dyDescent="0.25">
      <c r="A3163" s="3758"/>
      <c r="B3163" s="3809"/>
      <c r="C3163" s="3810" t="s">
        <v>288</v>
      </c>
      <c r="D3163" s="2932">
        <v>3780000000</v>
      </c>
      <c r="E3163" s="1025">
        <f>D3163/D3160*100</f>
        <v>2.7350994927171897</v>
      </c>
      <c r="F3163" s="3761"/>
      <c r="G3163" s="3761"/>
      <c r="H3163" s="3771"/>
      <c r="I3163" s="3769"/>
      <c r="J3163" s="3777"/>
      <c r="K3163" s="3787"/>
      <c r="L3163" s="3803"/>
      <c r="M3163" s="3803"/>
      <c r="N3163" s="3760"/>
      <c r="O3163" s="3758"/>
      <c r="Q3163" s="3747"/>
      <c r="R3163" s="3747"/>
      <c r="S3163" s="3747"/>
    </row>
    <row r="3164" spans="1:19" ht="14.25" customHeight="1" x14ac:dyDescent="0.25">
      <c r="A3164" s="3758"/>
      <c r="B3164" s="3779"/>
      <c r="C3164" s="3863" t="s">
        <v>7119</v>
      </c>
      <c r="D3164" s="4280">
        <v>1200000000</v>
      </c>
      <c r="E3164" s="3767">
        <f>D3164/D3160*100</f>
        <v>0.86828555324355228</v>
      </c>
      <c r="F3164" s="3762"/>
      <c r="G3164" s="3768"/>
      <c r="H3164" s="3772"/>
      <c r="I3164" s="3768"/>
      <c r="J3164" s="3763"/>
      <c r="K3164" s="3788"/>
      <c r="L3164" s="3800"/>
      <c r="M3164" s="3800"/>
      <c r="N3164" s="3760"/>
      <c r="O3164" s="3758"/>
      <c r="Q3164" s="3747"/>
      <c r="R3164" s="3747"/>
      <c r="S3164" s="3747"/>
    </row>
    <row r="3165" spans="1:19" ht="15.75" customHeight="1" x14ac:dyDescent="0.25">
      <c r="A3165" s="3758"/>
      <c r="B3165" s="3779"/>
      <c r="C3165" s="3863" t="s">
        <v>7120</v>
      </c>
      <c r="D3165" s="4280">
        <v>600000000</v>
      </c>
      <c r="E3165" s="3767">
        <f>D3165/D3160*100</f>
        <v>0.43414277662177614</v>
      </c>
      <c r="F3165" s="3762"/>
      <c r="G3165" s="3768"/>
      <c r="H3165" s="3772"/>
      <c r="I3165" s="3768"/>
      <c r="J3165" s="3763"/>
      <c r="K3165" s="3788"/>
      <c r="L3165" s="3800"/>
      <c r="M3165" s="3800"/>
      <c r="N3165" s="3760"/>
      <c r="O3165" s="3758"/>
      <c r="Q3165" s="3747"/>
      <c r="R3165" s="3747"/>
      <c r="S3165" s="3747"/>
    </row>
    <row r="3166" spans="1:19" ht="15" customHeight="1" x14ac:dyDescent="0.25">
      <c r="A3166" s="3759"/>
      <c r="B3166" s="3779"/>
      <c r="C3166" s="3863" t="s">
        <v>4836</v>
      </c>
      <c r="D3166" s="4280">
        <v>300000000</v>
      </c>
      <c r="E3166" s="3767">
        <f>D3166/D3160*100</f>
        <v>0.21707138831088807</v>
      </c>
      <c r="F3166" s="3762"/>
      <c r="G3166" s="3768"/>
      <c r="H3166" s="3799"/>
      <c r="I3166" s="3786"/>
      <c r="J3166" s="3763"/>
      <c r="K3166" s="3807"/>
      <c r="L3166" s="3800"/>
      <c r="M3166" s="3805"/>
      <c r="N3166" s="3760"/>
      <c r="O3166" s="3758"/>
      <c r="Q3166" s="3747"/>
      <c r="R3166" s="3747"/>
      <c r="S3166" s="3747"/>
    </row>
    <row r="3167" spans="1:19" ht="15.75" customHeight="1" x14ac:dyDescent="0.25">
      <c r="A3167" s="3759"/>
      <c r="B3167" s="3779"/>
      <c r="C3167" s="3863" t="s">
        <v>4837</v>
      </c>
      <c r="D3167" s="4280">
        <v>1000000000</v>
      </c>
      <c r="E3167" s="3767">
        <f>D3167/D3160*100</f>
        <v>0.72357129436962697</v>
      </c>
      <c r="F3167" s="3762"/>
      <c r="G3167" s="3768"/>
      <c r="H3167" s="3799"/>
      <c r="I3167" s="3786"/>
      <c r="J3167" s="3763"/>
      <c r="K3167" s="3807"/>
      <c r="L3167" s="3800"/>
      <c r="M3167" s="3805"/>
      <c r="N3167" s="3760"/>
      <c r="O3167" s="3758"/>
      <c r="Q3167" s="3747"/>
      <c r="R3167" s="3747"/>
      <c r="S3167" s="3747"/>
    </row>
    <row r="3168" spans="1:19" ht="13.5" customHeight="1" x14ac:dyDescent="0.25">
      <c r="A3168" s="3759"/>
      <c r="B3168" s="3779"/>
      <c r="C3168" s="3863" t="s">
        <v>4838</v>
      </c>
      <c r="D3168" s="4280">
        <v>280000000</v>
      </c>
      <c r="E3168" s="3767">
        <f>D3168/D3160*100</f>
        <v>0.20259996242349554</v>
      </c>
      <c r="F3168" s="3762"/>
      <c r="G3168" s="3768"/>
      <c r="H3168" s="3799"/>
      <c r="I3168" s="3786"/>
      <c r="J3168" s="3763"/>
      <c r="K3168" s="3807"/>
      <c r="L3168" s="3800"/>
      <c r="M3168" s="3805"/>
      <c r="N3168" s="3760"/>
      <c r="O3168" s="3747"/>
      <c r="Q3168" s="3747"/>
      <c r="R3168" s="3747"/>
      <c r="S3168" s="3747"/>
    </row>
    <row r="3169" spans="1:19" ht="13.5" customHeight="1" x14ac:dyDescent="0.25">
      <c r="A3169" s="3759"/>
      <c r="B3169" s="3779"/>
      <c r="C3169" s="3863" t="s">
        <v>4839</v>
      </c>
      <c r="D3169" s="4280">
        <v>250000000</v>
      </c>
      <c r="E3169" s="3767">
        <f>D3169/D3160*100</f>
        <v>0.18089282359240674</v>
      </c>
      <c r="F3169" s="3762"/>
      <c r="G3169" s="3768"/>
      <c r="H3169" s="3799"/>
      <c r="I3169" s="3786"/>
      <c r="J3169" s="3763"/>
      <c r="K3169" s="3807"/>
      <c r="L3169" s="3800"/>
      <c r="M3169" s="3805"/>
      <c r="N3169" s="3760"/>
      <c r="O3169" s="3747"/>
      <c r="Q3169" s="3747"/>
      <c r="R3169" s="3747"/>
      <c r="S3169" s="3747"/>
    </row>
    <row r="3170" spans="1:19" ht="13.5" customHeight="1" x14ac:dyDescent="0.25">
      <c r="A3170" s="3759"/>
      <c r="B3170" s="3779"/>
      <c r="C3170" s="3863" t="s">
        <v>4840</v>
      </c>
      <c r="D3170" s="4280">
        <v>150000000</v>
      </c>
      <c r="E3170" s="3767">
        <f>D3170/D3160*100</f>
        <v>0.10853569415544403</v>
      </c>
      <c r="F3170" s="3762"/>
      <c r="G3170" s="3768"/>
      <c r="H3170" s="3799"/>
      <c r="I3170" s="3786"/>
      <c r="J3170" s="3763"/>
      <c r="K3170" s="3807"/>
      <c r="L3170" s="3800"/>
      <c r="M3170" s="3805"/>
      <c r="N3170" s="3760"/>
      <c r="O3170" s="3747"/>
      <c r="Q3170" s="3747"/>
      <c r="R3170" s="3747"/>
      <c r="S3170" s="3747"/>
    </row>
    <row r="3171" spans="1:19" ht="9.75" customHeight="1" x14ac:dyDescent="0.25">
      <c r="A3171" s="3758"/>
      <c r="B3171" s="3779"/>
      <c r="C3171" s="3863"/>
      <c r="D3171" s="666"/>
      <c r="E3171" s="3765"/>
      <c r="F3171" s="3763"/>
      <c r="G3171" s="3764"/>
      <c r="H3171" s="3802"/>
      <c r="I3171" s="3797"/>
      <c r="J3171" s="3801"/>
      <c r="K3171" s="3784"/>
      <c r="L3171" s="3803"/>
      <c r="M3171" s="3791"/>
      <c r="N3171" s="3760"/>
      <c r="O3171" s="3747"/>
      <c r="Q3171" s="3747"/>
      <c r="R3171" s="3747"/>
      <c r="S3171" s="3747"/>
    </row>
    <row r="3172" spans="1:19" ht="15.75" customHeight="1" x14ac:dyDescent="0.25">
      <c r="A3172" s="3758"/>
      <c r="B3172" s="2908"/>
      <c r="C3172" s="4045" t="s">
        <v>279</v>
      </c>
      <c r="D3172" s="768">
        <f>SUM(D3173:D3190)</f>
        <v>21325000000</v>
      </c>
      <c r="E3172" s="1025">
        <f>D3172/D3160*100</f>
        <v>15.430157852432295</v>
      </c>
      <c r="F3172" s="3761"/>
      <c r="G3172" s="3761"/>
      <c r="H3172" s="3771"/>
      <c r="I3172" s="3775"/>
      <c r="J3172" s="3777"/>
      <c r="K3172" s="3777"/>
      <c r="L3172" s="3803"/>
      <c r="M3172" s="3792"/>
      <c r="N3172" s="3760"/>
      <c r="O3172" s="3747"/>
      <c r="Q3172" s="3747"/>
      <c r="R3172" s="3747"/>
      <c r="S3172" s="3747"/>
    </row>
    <row r="3173" spans="1:19" ht="12.75" customHeight="1" x14ac:dyDescent="0.25">
      <c r="A3173" s="3758"/>
      <c r="B3173" s="3779"/>
      <c r="C3173" s="3863" t="s">
        <v>4841</v>
      </c>
      <c r="D3173" s="4280">
        <v>900000000</v>
      </c>
      <c r="E3173" s="3767">
        <f>D3173/D3160*100</f>
        <v>0.65121416493266426</v>
      </c>
      <c r="F3173" s="3762"/>
      <c r="G3173" s="3764"/>
      <c r="H3173" s="3772"/>
      <c r="I3173" s="3774"/>
      <c r="J3173" s="3763"/>
      <c r="K3173" s="3789"/>
      <c r="L3173" s="3800"/>
      <c r="M3173" s="3793"/>
      <c r="N3173" s="3760"/>
      <c r="O3173" s="3747"/>
      <c r="Q3173" s="3747"/>
      <c r="R3173" s="3747"/>
      <c r="S3173" s="3747"/>
    </row>
    <row r="3174" spans="1:19" ht="15.75" customHeight="1" x14ac:dyDescent="0.25">
      <c r="A3174" s="3758"/>
      <c r="B3174" s="3779"/>
      <c r="C3174" s="3863" t="s">
        <v>4842</v>
      </c>
      <c r="D3174" s="4280">
        <v>2000000000</v>
      </c>
      <c r="E3174" s="3767">
        <f>D3174/D3160*100</f>
        <v>1.4471425887392539</v>
      </c>
      <c r="F3174" s="3762"/>
      <c r="G3174" s="3764"/>
      <c r="H3174" s="3772"/>
      <c r="I3174" s="3774"/>
      <c r="J3174" s="3763"/>
      <c r="K3174" s="3789"/>
      <c r="L3174" s="3800"/>
      <c r="M3174" s="3793"/>
      <c r="N3174" s="3760"/>
      <c r="O3174" s="3747"/>
      <c r="Q3174" s="3747"/>
      <c r="R3174" s="3747"/>
      <c r="S3174" s="3747"/>
    </row>
    <row r="3175" spans="1:19" ht="15.75" customHeight="1" x14ac:dyDescent="0.25">
      <c r="A3175" s="3758"/>
      <c r="B3175" s="3779"/>
      <c r="C3175" s="3863" t="s">
        <v>4843</v>
      </c>
      <c r="D3175" s="4281">
        <v>1540000000</v>
      </c>
      <c r="E3175" s="3767">
        <f>D3175/D3160*100</f>
        <v>1.1142997933292254</v>
      </c>
      <c r="F3175" s="3762"/>
      <c r="G3175" s="3764"/>
      <c r="H3175" s="3772"/>
      <c r="I3175" s="3774"/>
      <c r="J3175" s="3763"/>
      <c r="K3175" s="3789"/>
      <c r="L3175" s="3800"/>
      <c r="M3175" s="3793"/>
      <c r="N3175" s="3760"/>
      <c r="O3175" s="3747"/>
      <c r="Q3175" s="3747"/>
      <c r="R3175" s="3747"/>
      <c r="S3175" s="3747"/>
    </row>
    <row r="3176" spans="1:19" ht="14.25" customHeight="1" x14ac:dyDescent="0.25">
      <c r="A3176" s="3758"/>
      <c r="B3176" s="3779"/>
      <c r="C3176" s="3863" t="s">
        <v>4844</v>
      </c>
      <c r="D3176" s="1846">
        <v>1850000000</v>
      </c>
      <c r="E3176" s="3767">
        <f>D3176/D3160*100</f>
        <v>1.3386068945838099</v>
      </c>
      <c r="F3176" s="3762"/>
      <c r="G3176" s="3768"/>
      <c r="H3176" s="3772"/>
      <c r="I3176" s="3774"/>
      <c r="J3176" s="3763"/>
      <c r="K3176" s="3789"/>
      <c r="L3176" s="3800"/>
      <c r="M3176" s="3793"/>
      <c r="N3176" s="3760"/>
      <c r="O3176" s="3747"/>
      <c r="Q3176" s="3747"/>
      <c r="R3176" s="3747"/>
      <c r="S3176" s="3747"/>
    </row>
    <row r="3177" spans="1:19" ht="15.75" customHeight="1" x14ac:dyDescent="0.25">
      <c r="A3177" s="3758"/>
      <c r="B3177" s="3779"/>
      <c r="C3177" s="3863" t="s">
        <v>4845</v>
      </c>
      <c r="D3177" s="1846">
        <v>700000000</v>
      </c>
      <c r="E3177" s="3767">
        <f>D3177/D3160*100</f>
        <v>0.50649990605873885</v>
      </c>
      <c r="F3177" s="3762"/>
      <c r="G3177" s="3768"/>
      <c r="H3177" s="3772"/>
      <c r="I3177" s="3774"/>
      <c r="J3177" s="3763"/>
      <c r="K3177" s="3789"/>
      <c r="L3177" s="3800"/>
      <c r="M3177" s="3798"/>
      <c r="N3177" s="3760"/>
      <c r="O3177" s="3747"/>
      <c r="Q3177" s="3747"/>
      <c r="R3177" s="3747"/>
      <c r="S3177" s="3747"/>
    </row>
    <row r="3178" spans="1:19" ht="14.25" customHeight="1" x14ac:dyDescent="0.25">
      <c r="A3178" s="3758"/>
      <c r="B3178" s="3779"/>
      <c r="C3178" s="3863" t="s">
        <v>4846</v>
      </c>
      <c r="D3178" s="1846">
        <v>880000000</v>
      </c>
      <c r="E3178" s="3767">
        <f>D3178/D3160*100</f>
        <v>0.63674273904527168</v>
      </c>
      <c r="F3178" s="3762"/>
      <c r="G3178" s="3768"/>
      <c r="H3178" s="3772"/>
      <c r="I3178" s="3774"/>
      <c r="J3178" s="3763"/>
      <c r="K3178" s="3789"/>
      <c r="L3178" s="3800"/>
      <c r="M3178" s="3793"/>
      <c r="N3178" s="3760"/>
      <c r="O3178" s="3747"/>
      <c r="Q3178" s="3747"/>
      <c r="R3178" s="3747"/>
      <c r="S3178" s="3747"/>
    </row>
    <row r="3179" spans="1:19" ht="15.75" customHeight="1" x14ac:dyDescent="0.25">
      <c r="A3179" s="3758"/>
      <c r="B3179" s="3779"/>
      <c r="C3179" s="3863" t="s">
        <v>4847</v>
      </c>
      <c r="D3179" s="1846">
        <v>1400000000</v>
      </c>
      <c r="E3179" s="3767">
        <f>D3179/D3160*100</f>
        <v>1.0129998121174777</v>
      </c>
      <c r="F3179" s="3762"/>
      <c r="G3179" s="3768"/>
      <c r="H3179" s="3772"/>
      <c r="I3179" s="3774"/>
      <c r="J3179" s="3763"/>
      <c r="K3179" s="3789"/>
      <c r="L3179" s="3800"/>
      <c r="M3179" s="3798"/>
      <c r="N3179" s="3760"/>
      <c r="O3179" s="3747"/>
      <c r="Q3179" s="3747"/>
      <c r="R3179" s="3747"/>
      <c r="S3179" s="3747"/>
    </row>
    <row r="3180" spans="1:19" ht="14.25" customHeight="1" x14ac:dyDescent="0.25">
      <c r="A3180" s="3758"/>
      <c r="B3180" s="3779"/>
      <c r="C3180" s="3863" t="s">
        <v>4848</v>
      </c>
      <c r="D3180" s="1846">
        <v>55000000</v>
      </c>
      <c r="E3180" s="3767">
        <f>D3180/D3160*100</f>
        <v>3.979642119032948E-2</v>
      </c>
      <c r="F3180" s="3762"/>
      <c r="G3180" s="3768"/>
      <c r="H3180" s="3772"/>
      <c r="I3180" s="3774"/>
      <c r="J3180" s="3763"/>
      <c r="K3180" s="3789"/>
      <c r="L3180" s="3800"/>
      <c r="M3180" s="3793"/>
      <c r="N3180" s="3760"/>
      <c r="O3180" s="3747"/>
      <c r="Q3180" s="3747"/>
      <c r="R3180" s="3747"/>
      <c r="S3180" s="3747"/>
    </row>
    <row r="3181" spans="1:19" ht="14.25" customHeight="1" x14ac:dyDescent="0.25">
      <c r="A3181" s="3758"/>
      <c r="B3181" s="3779"/>
      <c r="C3181" s="3863" t="s">
        <v>4849</v>
      </c>
      <c r="D3181" s="1846">
        <v>1100000000</v>
      </c>
      <c r="E3181" s="3767">
        <f>D3181/D3160*100</f>
        <v>0.79592842380658957</v>
      </c>
      <c r="F3181" s="3762"/>
      <c r="G3181" s="3764"/>
      <c r="H3181" s="3772"/>
      <c r="I3181" s="3774"/>
      <c r="J3181" s="3763"/>
      <c r="K3181" s="3789"/>
      <c r="L3181" s="3800"/>
      <c r="M3181" s="3793"/>
      <c r="N3181" s="3760"/>
      <c r="O3181" s="3747"/>
      <c r="Q3181" s="3747"/>
      <c r="R3181" s="3747"/>
      <c r="S3181" s="3747"/>
    </row>
    <row r="3182" spans="1:19" ht="14.25" customHeight="1" x14ac:dyDescent="0.25">
      <c r="A3182" s="3758"/>
      <c r="B3182" s="3779"/>
      <c r="C3182" s="3863" t="s">
        <v>4850</v>
      </c>
      <c r="D3182" s="1846">
        <v>800000000</v>
      </c>
      <c r="E3182" s="3767">
        <f>D3182/D3160*100</f>
        <v>0.57885703549570156</v>
      </c>
      <c r="F3182" s="3762"/>
      <c r="G3182" s="3768"/>
      <c r="H3182" s="3772"/>
      <c r="I3182" s="3774"/>
      <c r="J3182" s="3763"/>
      <c r="K3182" s="3789"/>
      <c r="L3182" s="3800"/>
      <c r="M3182" s="3798"/>
      <c r="N3182" s="3760"/>
      <c r="O3182" s="3747"/>
      <c r="Q3182" s="3747"/>
      <c r="R3182" s="3747"/>
      <c r="S3182" s="3747"/>
    </row>
    <row r="3183" spans="1:19" ht="14.25" customHeight="1" x14ac:dyDescent="0.25">
      <c r="A3183" s="3758"/>
      <c r="B3183" s="3779"/>
      <c r="C3183" s="3863" t="s">
        <v>4851</v>
      </c>
      <c r="D3183" s="1846">
        <v>400000000</v>
      </c>
      <c r="E3183" s="3767">
        <f>D3183/D3160*100</f>
        <v>0.28942851774785078</v>
      </c>
      <c r="F3183" s="3762"/>
      <c r="G3183" s="3764"/>
      <c r="H3183" s="3772"/>
      <c r="I3183" s="3774"/>
      <c r="J3183" s="3763"/>
      <c r="K3183" s="3789"/>
      <c r="L3183" s="3800"/>
      <c r="M3183" s="3793"/>
      <c r="N3183" s="3760"/>
      <c r="O3183" s="3747"/>
      <c r="Q3183" s="3747"/>
      <c r="R3183" s="3747"/>
      <c r="S3183" s="3747"/>
    </row>
    <row r="3184" spans="1:19" ht="15" customHeight="1" x14ac:dyDescent="0.25">
      <c r="A3184" s="3758"/>
      <c r="B3184" s="3779"/>
      <c r="C3184" s="3863" t="s">
        <v>4852</v>
      </c>
      <c r="D3184" s="1846">
        <v>800000000</v>
      </c>
      <c r="E3184" s="3767">
        <f>D3184/D3160*100</f>
        <v>0.57885703549570156</v>
      </c>
      <c r="F3184" s="3762"/>
      <c r="G3184" s="3768"/>
      <c r="H3184" s="3772"/>
      <c r="I3184" s="3774"/>
      <c r="J3184" s="3763"/>
      <c r="K3184" s="3789"/>
      <c r="L3184" s="3800"/>
      <c r="M3184" s="3793"/>
      <c r="N3184" s="3760"/>
      <c r="O3184" s="3747"/>
      <c r="Q3184" s="3747"/>
      <c r="R3184" s="3747"/>
      <c r="S3184" s="3747"/>
    </row>
    <row r="3185" spans="1:19" ht="15" customHeight="1" x14ac:dyDescent="0.25">
      <c r="A3185" s="3758"/>
      <c r="B3185" s="3779"/>
      <c r="C3185" s="3863" t="s">
        <v>4853</v>
      </c>
      <c r="D3185" s="1846">
        <v>600000000</v>
      </c>
      <c r="E3185" s="3767">
        <f>D3185/D3160*100</f>
        <v>0.43414277662177614</v>
      </c>
      <c r="F3185" s="3762"/>
      <c r="G3185" s="3764"/>
      <c r="H3185" s="3772"/>
      <c r="I3185" s="3774"/>
      <c r="J3185" s="3763"/>
      <c r="K3185" s="3789"/>
      <c r="L3185" s="3800"/>
      <c r="M3185" s="3793"/>
      <c r="N3185" s="3760"/>
      <c r="O3185" s="3747"/>
      <c r="Q3185" s="3747"/>
      <c r="R3185" s="3747"/>
      <c r="S3185" s="3747"/>
    </row>
    <row r="3186" spans="1:19" ht="14.25" customHeight="1" x14ac:dyDescent="0.25">
      <c r="A3186" s="3758"/>
      <c r="B3186" s="3779"/>
      <c r="C3186" s="3863" t="s">
        <v>4854</v>
      </c>
      <c r="D3186" s="1846">
        <v>2500000000</v>
      </c>
      <c r="E3186" s="3767">
        <f>D3186/D3160*100</f>
        <v>1.8089282359240673</v>
      </c>
      <c r="F3186" s="3762"/>
      <c r="G3186" s="3768"/>
      <c r="H3186" s="3772"/>
      <c r="I3186" s="3774"/>
      <c r="J3186" s="3763"/>
      <c r="K3186" s="3789"/>
      <c r="L3186" s="3800"/>
      <c r="M3186" s="3798"/>
      <c r="N3186" s="3760"/>
      <c r="O3186" s="3747"/>
      <c r="Q3186" s="3747"/>
      <c r="R3186" s="3747"/>
      <c r="S3186" s="3747"/>
    </row>
    <row r="3187" spans="1:19" ht="13.5" customHeight="1" x14ac:dyDescent="0.25">
      <c r="A3187" s="3758"/>
      <c r="B3187" s="3779"/>
      <c r="C3187" s="3863" t="s">
        <v>4855</v>
      </c>
      <c r="D3187" s="1846">
        <v>3000000000</v>
      </c>
      <c r="E3187" s="3767">
        <f>D3187/D3160*100</f>
        <v>2.1707138831088808</v>
      </c>
      <c r="F3187" s="3762"/>
      <c r="G3187" s="3768"/>
      <c r="H3187" s="3772"/>
      <c r="I3187" s="3774"/>
      <c r="J3187" s="3763"/>
      <c r="K3187" s="3789"/>
      <c r="L3187" s="3800"/>
      <c r="M3187" s="3793"/>
      <c r="N3187" s="3760"/>
      <c r="O3187" s="3747"/>
      <c r="Q3187" s="3747"/>
      <c r="R3187" s="3747"/>
      <c r="S3187" s="3747"/>
    </row>
    <row r="3188" spans="1:19" ht="14.25" customHeight="1" x14ac:dyDescent="0.25">
      <c r="A3188" s="3758"/>
      <c r="B3188" s="3779"/>
      <c r="C3188" s="3863" t="s">
        <v>4856</v>
      </c>
      <c r="D3188" s="1846">
        <v>460000000</v>
      </c>
      <c r="E3188" s="3767">
        <f>D3188/D3160*100</f>
        <v>0.33284279541002837</v>
      </c>
      <c r="F3188" s="3762"/>
      <c r="G3188" s="3768"/>
      <c r="H3188" s="3772"/>
      <c r="I3188" s="3774"/>
      <c r="J3188" s="3763"/>
      <c r="K3188" s="3789"/>
      <c r="L3188" s="3800"/>
      <c r="M3188" s="3793"/>
      <c r="N3188" s="3760"/>
      <c r="O3188" s="3747"/>
      <c r="Q3188" s="3747"/>
      <c r="R3188" s="3747"/>
      <c r="S3188" s="3747"/>
    </row>
    <row r="3189" spans="1:19" ht="15.75" customHeight="1" x14ac:dyDescent="0.25">
      <c r="A3189" s="3758"/>
      <c r="B3189" s="3779"/>
      <c r="C3189" s="3863" t="s">
        <v>4857</v>
      </c>
      <c r="D3189" s="1846">
        <v>1900000000</v>
      </c>
      <c r="E3189" s="3767">
        <f>D3189/D3160*100</f>
        <v>1.3747854593022912</v>
      </c>
      <c r="F3189" s="3762"/>
      <c r="G3189" s="3768"/>
      <c r="H3189" s="3772"/>
      <c r="I3189" s="3774"/>
      <c r="J3189" s="3763"/>
      <c r="K3189" s="3789"/>
      <c r="L3189" s="3800"/>
      <c r="M3189" s="3793"/>
      <c r="N3189" s="3760"/>
      <c r="O3189" s="3747"/>
      <c r="Q3189" s="3747"/>
      <c r="R3189" s="3747"/>
      <c r="S3189" s="3747"/>
    </row>
    <row r="3190" spans="1:19" ht="16.5" customHeight="1" x14ac:dyDescent="0.25">
      <c r="A3190" s="3758"/>
      <c r="B3190" s="3779"/>
      <c r="C3190" s="3863" t="s">
        <v>4858</v>
      </c>
      <c r="D3190" s="1846">
        <v>440000000</v>
      </c>
      <c r="E3190" s="3767">
        <f>D3190/D3160*100</f>
        <v>0.31837136952263584</v>
      </c>
      <c r="F3190" s="3762"/>
      <c r="G3190" s="3768"/>
      <c r="H3190" s="3772"/>
      <c r="I3190" s="3774"/>
      <c r="J3190" s="3763"/>
      <c r="K3190" s="3789"/>
      <c r="L3190" s="3800"/>
      <c r="M3190" s="3793"/>
      <c r="N3190" s="3760"/>
      <c r="O3190" s="3747"/>
      <c r="Q3190" s="3747"/>
      <c r="R3190" s="3747"/>
      <c r="S3190" s="3747"/>
    </row>
    <row r="3191" spans="1:19" ht="9" customHeight="1" x14ac:dyDescent="0.25">
      <c r="A3191" s="3759"/>
      <c r="B3191" s="3779"/>
      <c r="C3191" s="3863"/>
      <c r="D3191" s="1849"/>
      <c r="E3191" s="3767"/>
      <c r="F3191" s="3762"/>
      <c r="G3191" s="3768"/>
      <c r="H3191" s="3772"/>
      <c r="I3191" s="3774"/>
      <c r="J3191" s="3763"/>
      <c r="K3191" s="3789"/>
      <c r="L3191" s="3800"/>
      <c r="M3191" s="3793"/>
      <c r="N3191" s="3760"/>
      <c r="O3191" s="3747"/>
      <c r="Q3191" s="3747"/>
      <c r="R3191" s="3747"/>
      <c r="S3191" s="3747"/>
    </row>
    <row r="3192" spans="1:19" ht="15" customHeight="1" x14ac:dyDescent="0.25">
      <c r="A3192" s="3759"/>
      <c r="B3192" s="2908"/>
      <c r="C3192" s="3958" t="s">
        <v>224</v>
      </c>
      <c r="D3192" s="4282">
        <f>SUM(D3193:D3194)</f>
        <v>1700000000</v>
      </c>
      <c r="E3192" s="1025">
        <f>D3192/D3160*100</f>
        <v>1.2300712004283658</v>
      </c>
      <c r="F3192" s="3762"/>
      <c r="G3192" s="3768"/>
      <c r="H3192" s="3772"/>
      <c r="I3192" s="3774"/>
      <c r="J3192" s="3763"/>
      <c r="K3192" s="3789"/>
      <c r="L3192" s="3800"/>
      <c r="M3192" s="3793"/>
      <c r="N3192" s="3760"/>
      <c r="O3192" s="3747"/>
      <c r="Q3192" s="3747"/>
      <c r="R3192" s="3747"/>
      <c r="S3192" s="3747"/>
    </row>
    <row r="3193" spans="1:19" ht="15" customHeight="1" x14ac:dyDescent="0.25">
      <c r="A3193" s="3759"/>
      <c r="B3193" s="3779"/>
      <c r="C3193" s="3863" t="s">
        <v>4859</v>
      </c>
      <c r="D3193" s="1846">
        <v>1000000000</v>
      </c>
      <c r="E3193" s="3767">
        <f>D3193/D3160*100</f>
        <v>0.72357129436962697</v>
      </c>
      <c r="F3193" s="3762"/>
      <c r="G3193" s="3768"/>
      <c r="H3193" s="3772"/>
      <c r="I3193" s="3774"/>
      <c r="J3193" s="3763"/>
      <c r="K3193" s="3789"/>
      <c r="L3193" s="3800"/>
      <c r="M3193" s="3793"/>
      <c r="N3193" s="3760"/>
      <c r="O3193" s="3747"/>
      <c r="Q3193" s="3747"/>
      <c r="R3193" s="3747"/>
      <c r="S3193" s="3747"/>
    </row>
    <row r="3194" spans="1:19" ht="15" customHeight="1" x14ac:dyDescent="0.25">
      <c r="A3194" s="3758"/>
      <c r="B3194" s="3779"/>
      <c r="C3194" s="3863" t="s">
        <v>4860</v>
      </c>
      <c r="D3194" s="666">
        <v>700000000</v>
      </c>
      <c r="E3194" s="3767">
        <f>D3194/D3160*100</f>
        <v>0.50649990605873885</v>
      </c>
      <c r="F3194" s="3762"/>
      <c r="G3194" s="3768"/>
      <c r="H3194" s="3772"/>
      <c r="I3194" s="3774"/>
      <c r="J3194" s="3763"/>
      <c r="K3194" s="3789"/>
      <c r="L3194" s="3800"/>
      <c r="M3194" s="3800"/>
      <c r="N3194" s="3760"/>
      <c r="O3194" s="3747"/>
      <c r="Q3194" s="3747"/>
      <c r="R3194" s="3747"/>
      <c r="S3194" s="3747"/>
    </row>
    <row r="3195" spans="1:19" ht="12" customHeight="1" x14ac:dyDescent="0.25">
      <c r="A3195" s="3758"/>
      <c r="B3195" s="3779"/>
      <c r="C3195" s="3863"/>
      <c r="D3195" s="666"/>
      <c r="E3195" s="3767"/>
      <c r="F3195" s="3763"/>
      <c r="G3195" s="3764"/>
      <c r="H3195" s="3780"/>
      <c r="I3195" s="3776"/>
      <c r="J3195" s="3763"/>
      <c r="K3195" s="3789"/>
      <c r="L3195" s="3782"/>
      <c r="M3195" s="3782"/>
      <c r="N3195" s="3760"/>
      <c r="O3195" s="3747"/>
      <c r="Q3195" s="3747"/>
      <c r="R3195" s="3747"/>
      <c r="S3195" s="3747"/>
    </row>
    <row r="3196" spans="1:19" ht="17.25" customHeight="1" x14ac:dyDescent="0.25">
      <c r="A3196" s="3758"/>
      <c r="B3196" s="3811"/>
      <c r="C3196" s="4045" t="s">
        <v>280</v>
      </c>
      <c r="D3196" s="768">
        <f>SUM(D3197:D3202)</f>
        <v>1900000000</v>
      </c>
      <c r="E3196" s="3767">
        <f>D3196/D3160*100</f>
        <v>1.3747854593022912</v>
      </c>
      <c r="F3196" s="3761"/>
      <c r="G3196" s="3761"/>
      <c r="H3196" s="3771"/>
      <c r="I3196" s="3775"/>
      <c r="J3196" s="3777"/>
      <c r="K3196" s="3777"/>
      <c r="L3196" s="3803"/>
      <c r="M3196" s="3792"/>
      <c r="N3196" s="3760"/>
      <c r="O3196" s="3747"/>
      <c r="Q3196" s="3747"/>
      <c r="R3196" s="3747"/>
      <c r="S3196" s="3747"/>
    </row>
    <row r="3197" spans="1:19" ht="15" customHeight="1" x14ac:dyDescent="0.25">
      <c r="A3197" s="3758"/>
      <c r="B3197" s="3779"/>
      <c r="C3197" s="3863" t="s">
        <v>4861</v>
      </c>
      <c r="D3197" s="1846">
        <v>250000000</v>
      </c>
      <c r="E3197" s="3767">
        <f>D3197/D3160*100</f>
        <v>0.18089282359240674</v>
      </c>
      <c r="F3197" s="3762"/>
      <c r="G3197" s="3764"/>
      <c r="H3197" s="3772"/>
      <c r="I3197" s="3774"/>
      <c r="J3197" s="3763"/>
      <c r="K3197" s="3763"/>
      <c r="L3197" s="3800"/>
      <c r="M3197" s="3793"/>
      <c r="N3197" s="3760"/>
      <c r="O3197" s="3747"/>
      <c r="Q3197" s="3747"/>
      <c r="R3197" s="3747"/>
      <c r="S3197" s="3747"/>
    </row>
    <row r="3198" spans="1:19" ht="15.75" customHeight="1" x14ac:dyDescent="0.25">
      <c r="A3198" s="3758"/>
      <c r="B3198" s="3779"/>
      <c r="C3198" s="3863" t="s">
        <v>4862</v>
      </c>
      <c r="D3198" s="1846">
        <v>250000000</v>
      </c>
      <c r="E3198" s="3767">
        <f>D3198/D3160*100</f>
        <v>0.18089282359240674</v>
      </c>
      <c r="F3198" s="3762"/>
      <c r="G3198" s="3764"/>
      <c r="H3198" s="3772"/>
      <c r="I3198" s="3774"/>
      <c r="J3198" s="3763"/>
      <c r="K3198" s="3763"/>
      <c r="L3198" s="3800"/>
      <c r="M3198" s="3793"/>
      <c r="N3198" s="3760"/>
      <c r="O3198" s="3747"/>
      <c r="Q3198" s="3747"/>
      <c r="R3198" s="3747"/>
      <c r="S3198" s="3747"/>
    </row>
    <row r="3199" spans="1:19" ht="14.25" customHeight="1" x14ac:dyDescent="0.25">
      <c r="A3199" s="3758"/>
      <c r="B3199" s="3779"/>
      <c r="C3199" s="3863" t="s">
        <v>4863</v>
      </c>
      <c r="D3199" s="1846">
        <v>500000000</v>
      </c>
      <c r="E3199" s="3767">
        <f>D3199/D3160*100</f>
        <v>0.36178564718481349</v>
      </c>
      <c r="F3199" s="3762"/>
      <c r="G3199" s="3764"/>
      <c r="H3199" s="3772"/>
      <c r="I3199" s="3774"/>
      <c r="J3199" s="3763"/>
      <c r="K3199" s="3763"/>
      <c r="L3199" s="3800"/>
      <c r="M3199" s="3793"/>
      <c r="N3199" s="3760"/>
      <c r="O3199" s="3747"/>
      <c r="Q3199" s="3747"/>
      <c r="R3199" s="3747"/>
      <c r="S3199" s="3747"/>
    </row>
    <row r="3200" spans="1:19" ht="15" customHeight="1" x14ac:dyDescent="0.25">
      <c r="A3200" s="3759"/>
      <c r="B3200" s="3779"/>
      <c r="C3200" s="3863" t="s">
        <v>4864</v>
      </c>
      <c r="D3200" s="1846">
        <v>250000000</v>
      </c>
      <c r="E3200" s="3767">
        <f>D3200/D3160*100</f>
        <v>0.18089282359240674</v>
      </c>
      <c r="F3200" s="3762"/>
      <c r="G3200" s="3764"/>
      <c r="H3200" s="3772"/>
      <c r="I3200" s="3774"/>
      <c r="J3200" s="3763"/>
      <c r="K3200" s="3763"/>
      <c r="L3200" s="3800"/>
      <c r="M3200" s="3793"/>
      <c r="N3200" s="3760"/>
      <c r="O3200" s="3747"/>
      <c r="Q3200" s="3747"/>
      <c r="R3200" s="3747"/>
      <c r="S3200" s="3747"/>
    </row>
    <row r="3201" spans="1:19" ht="15" customHeight="1" x14ac:dyDescent="0.25">
      <c r="A3201" s="3758"/>
      <c r="B3201" s="3779"/>
      <c r="C3201" s="3863" t="s">
        <v>4865</v>
      </c>
      <c r="D3201" s="1846">
        <v>400000000</v>
      </c>
      <c r="E3201" s="3767">
        <f>D3201/D3160*100</f>
        <v>0.28942851774785078</v>
      </c>
      <c r="F3201" s="3762"/>
      <c r="G3201" s="3768"/>
      <c r="H3201" s="3772"/>
      <c r="I3201" s="3774"/>
      <c r="J3201" s="3763"/>
      <c r="K3201" s="3763"/>
      <c r="L3201" s="3800"/>
      <c r="M3201" s="3793"/>
      <c r="N3201" s="3760"/>
      <c r="O3201" s="3747"/>
      <c r="Q3201" s="3747"/>
      <c r="R3201" s="3747"/>
      <c r="S3201" s="3747"/>
    </row>
    <row r="3202" spans="1:19" ht="15" customHeight="1" x14ac:dyDescent="0.25">
      <c r="A3202" s="3758"/>
      <c r="B3202" s="3779"/>
      <c r="C3202" s="3863" t="s">
        <v>4866</v>
      </c>
      <c r="D3202" s="1846">
        <v>250000000</v>
      </c>
      <c r="E3202" s="3767">
        <f>D3202/D3160*100</f>
        <v>0.18089282359240674</v>
      </c>
      <c r="F3202" s="3762"/>
      <c r="G3202" s="3764"/>
      <c r="H3202" s="3772"/>
      <c r="I3202" s="3774"/>
      <c r="J3202" s="3763"/>
      <c r="K3202" s="3763"/>
      <c r="L3202" s="3800"/>
      <c r="M3202" s="3793"/>
      <c r="N3202" s="3760"/>
      <c r="O3202" s="3747"/>
      <c r="Q3202" s="3747"/>
      <c r="R3202" s="3747"/>
      <c r="S3202" s="3747"/>
    </row>
    <row r="3203" spans="1:19" ht="9.75" customHeight="1" x14ac:dyDescent="0.25">
      <c r="A3203" s="3758"/>
      <c r="B3203" s="3779"/>
      <c r="C3203" s="3863"/>
      <c r="D3203" s="894"/>
      <c r="E3203" s="3767"/>
      <c r="F3203" s="3773"/>
      <c r="G3203" s="3766"/>
      <c r="H3203" s="3795"/>
      <c r="I3203" s="3797"/>
      <c r="J3203" s="3773"/>
      <c r="K3203" s="3773"/>
      <c r="L3203" s="3800"/>
      <c r="M3203" s="3793"/>
      <c r="N3203" s="3760"/>
      <c r="O3203" s="3747"/>
      <c r="Q3203" s="3747"/>
      <c r="R3203" s="3747"/>
      <c r="S3203" s="3747"/>
    </row>
    <row r="3204" spans="1:19" ht="18.75" customHeight="1" x14ac:dyDescent="0.25">
      <c r="A3204" s="3758"/>
      <c r="B3204" s="2908"/>
      <c r="C3204" s="3958" t="s">
        <v>4867</v>
      </c>
      <c r="D3204" s="768">
        <f>SUM(D3205:D3206)</f>
        <v>995000000</v>
      </c>
      <c r="E3204" s="1025">
        <f>D3204/D3160*100</f>
        <v>0.71995343789777877</v>
      </c>
      <c r="F3204" s="3761"/>
      <c r="G3204" s="3761"/>
      <c r="H3204" s="3771"/>
      <c r="I3204" s="3775"/>
      <c r="J3204" s="3777"/>
      <c r="K3204" s="3777"/>
      <c r="L3204" s="3803"/>
      <c r="M3204" s="3792"/>
      <c r="N3204" s="3760"/>
      <c r="O3204" s="3747"/>
      <c r="Q3204" s="3747"/>
      <c r="R3204" s="3747"/>
      <c r="S3204" s="3747"/>
    </row>
    <row r="3205" spans="1:19" ht="15.75" customHeight="1" x14ac:dyDescent="0.25">
      <c r="A3205" s="3758"/>
      <c r="B3205" s="3779"/>
      <c r="C3205" s="3863" t="s">
        <v>4868</v>
      </c>
      <c r="D3205" s="666">
        <v>700000000</v>
      </c>
      <c r="E3205" s="3767">
        <f>D3205/D3160*100</f>
        <v>0.50649990605873885</v>
      </c>
      <c r="F3205" s="3762"/>
      <c r="G3205" s="3768"/>
      <c r="H3205" s="3770"/>
      <c r="I3205" s="3768"/>
      <c r="J3205" s="3763"/>
      <c r="K3205" s="3763"/>
      <c r="L3205" s="3800"/>
      <c r="M3205" s="3793"/>
      <c r="N3205" s="3760"/>
      <c r="O3205" s="3747"/>
      <c r="Q3205" s="3747"/>
      <c r="R3205" s="3747"/>
      <c r="S3205" s="3747"/>
    </row>
    <row r="3206" spans="1:19" ht="15.75" customHeight="1" x14ac:dyDescent="0.25">
      <c r="A3206" s="3758"/>
      <c r="B3206" s="3779"/>
      <c r="C3206" s="3863" t="s">
        <v>4869</v>
      </c>
      <c r="D3206" s="666">
        <v>295000000</v>
      </c>
      <c r="E3206" s="3767">
        <f>D3206/D3160*100</f>
        <v>0.21345353183903995</v>
      </c>
      <c r="F3206" s="3762"/>
      <c r="G3206" s="3768"/>
      <c r="H3206" s="3770"/>
      <c r="I3206" s="3768"/>
      <c r="J3206" s="3763"/>
      <c r="K3206" s="3763"/>
      <c r="L3206" s="3800"/>
      <c r="M3206" s="3793"/>
      <c r="N3206" s="3760"/>
      <c r="O3206" s="3747"/>
      <c r="Q3206" s="3747"/>
      <c r="R3206" s="3747"/>
      <c r="S3206" s="3747"/>
    </row>
    <row r="3207" spans="1:19" ht="9.75" customHeight="1" x14ac:dyDescent="0.25">
      <c r="A3207" s="3758"/>
      <c r="B3207" s="3779"/>
      <c r="C3207" s="3863"/>
      <c r="D3207" s="666"/>
      <c r="E3207" s="3767"/>
      <c r="F3207" s="3773"/>
      <c r="G3207" s="3766"/>
      <c r="H3207" s="3795"/>
      <c r="I3207" s="3797"/>
      <c r="J3207" s="3773"/>
      <c r="K3207" s="3783"/>
      <c r="L3207" s="3781"/>
      <c r="M3207" s="3793"/>
      <c r="N3207" s="3760"/>
      <c r="O3207" s="3747"/>
      <c r="Q3207" s="3747"/>
      <c r="R3207" s="3747"/>
      <c r="S3207" s="3747"/>
    </row>
    <row r="3208" spans="1:19" ht="15.75" customHeight="1" x14ac:dyDescent="0.25">
      <c r="A3208" s="3758"/>
      <c r="B3208" s="2908"/>
      <c r="C3208" s="4045" t="s">
        <v>4870</v>
      </c>
      <c r="D3208" s="768">
        <f>SUM(D3209:D3210)</f>
        <v>1000000000</v>
      </c>
      <c r="E3208" s="1025">
        <f>D3208/D3160*100</f>
        <v>0.72357129436962697</v>
      </c>
      <c r="F3208" s="3761"/>
      <c r="G3208" s="3761"/>
      <c r="H3208" s="3771"/>
      <c r="I3208" s="3775"/>
      <c r="J3208" s="3777"/>
      <c r="K3208" s="3777"/>
      <c r="L3208" s="3803"/>
      <c r="M3208" s="3792"/>
      <c r="N3208" s="3760"/>
      <c r="O3208" s="3747"/>
      <c r="Q3208" s="3747"/>
      <c r="R3208" s="3747"/>
      <c r="S3208" s="3747"/>
    </row>
    <row r="3209" spans="1:19" ht="15.75" customHeight="1" x14ac:dyDescent="0.25">
      <c r="A3209" s="3758"/>
      <c r="B3209" s="3779"/>
      <c r="C3209" s="3863" t="s">
        <v>4871</v>
      </c>
      <c r="D3209" s="666">
        <v>500000000</v>
      </c>
      <c r="E3209" s="3767">
        <f>D3209/D3160*100</f>
        <v>0.36178564718481349</v>
      </c>
      <c r="F3209" s="3762"/>
      <c r="G3209" s="3768"/>
      <c r="H3209" s="3772"/>
      <c r="I3209" s="3774"/>
      <c r="J3209" s="3763"/>
      <c r="K3209" s="3790"/>
      <c r="L3209" s="3800"/>
      <c r="M3209" s="3793"/>
      <c r="N3209" s="3760"/>
      <c r="O3209" s="3747"/>
      <c r="Q3209" s="3747"/>
      <c r="R3209" s="3747"/>
      <c r="S3209" s="3747"/>
    </row>
    <row r="3210" spans="1:19" ht="16.5" customHeight="1" x14ac:dyDescent="0.25">
      <c r="A3210" s="3758"/>
      <c r="B3210" s="3779"/>
      <c r="C3210" s="3863" t="s">
        <v>4872</v>
      </c>
      <c r="D3210" s="666">
        <v>500000000</v>
      </c>
      <c r="E3210" s="3767">
        <f>D3210/D3160*100</f>
        <v>0.36178564718481349</v>
      </c>
      <c r="F3210" s="3762"/>
      <c r="G3210" s="3768"/>
      <c r="H3210" s="3772"/>
      <c r="I3210" s="3774"/>
      <c r="J3210" s="3763"/>
      <c r="K3210" s="3790"/>
      <c r="L3210" s="3800"/>
      <c r="M3210" s="3793"/>
      <c r="N3210" s="3760"/>
      <c r="O3210" s="3747"/>
      <c r="Q3210" s="3747"/>
      <c r="R3210" s="3747"/>
      <c r="S3210" s="3747"/>
    </row>
    <row r="3211" spans="1:19" ht="7.5" customHeight="1" x14ac:dyDescent="0.25">
      <c r="A3211" s="3758"/>
      <c r="B3211" s="3779"/>
      <c r="C3211" s="3863"/>
      <c r="D3211" s="666"/>
      <c r="E3211" s="3767"/>
      <c r="F3211" s="3762"/>
      <c r="G3211" s="3768"/>
      <c r="H3211" s="3772"/>
      <c r="I3211" s="3774"/>
      <c r="J3211" s="3763"/>
      <c r="K3211" s="3790"/>
      <c r="L3211" s="3800"/>
      <c r="M3211" s="3793"/>
      <c r="N3211" s="3760"/>
      <c r="O3211" s="3747"/>
      <c r="Q3211" s="3747"/>
      <c r="R3211" s="3747"/>
      <c r="S3211" s="3747"/>
    </row>
    <row r="3212" spans="1:19" ht="16.5" customHeight="1" x14ac:dyDescent="0.25">
      <c r="A3212" s="3758"/>
      <c r="B3212" s="2908"/>
      <c r="C3212" s="3958" t="s">
        <v>4873</v>
      </c>
      <c r="D3212" s="768">
        <f>D3213</f>
        <v>710000000</v>
      </c>
      <c r="E3212" s="1025">
        <f>D3212/D3160*100</f>
        <v>0.51373561900243514</v>
      </c>
      <c r="F3212" s="3762"/>
      <c r="G3212" s="3768"/>
      <c r="H3212" s="3772"/>
      <c r="I3212" s="3774"/>
      <c r="J3212" s="3763"/>
      <c r="K3212" s="3790"/>
      <c r="L3212" s="3800"/>
      <c r="M3212" s="3796"/>
      <c r="N3212" s="3760"/>
      <c r="O3212" s="3747"/>
      <c r="Q3212" s="3747"/>
      <c r="R3212" s="3747"/>
      <c r="S3212" s="3747"/>
    </row>
    <row r="3213" spans="1:19" ht="15" customHeight="1" x14ac:dyDescent="0.25">
      <c r="A3213" s="3758"/>
      <c r="B3213" s="3779"/>
      <c r="C3213" s="3863" t="s">
        <v>4874</v>
      </c>
      <c r="D3213" s="666">
        <v>710000000</v>
      </c>
      <c r="E3213" s="3767">
        <f>D3213/D3160*100</f>
        <v>0.51373561900243514</v>
      </c>
      <c r="F3213" s="3762"/>
      <c r="G3213" s="3768"/>
      <c r="H3213" s="3772"/>
      <c r="I3213" s="3774"/>
      <c r="J3213" s="3763"/>
      <c r="K3213" s="3790"/>
      <c r="L3213" s="3800"/>
      <c r="M3213" s="3796"/>
      <c r="N3213" s="3760"/>
      <c r="O3213" s="3747"/>
      <c r="Q3213" s="3747"/>
      <c r="R3213" s="3747"/>
      <c r="S3213" s="3747"/>
    </row>
    <row r="3214" spans="1:19" ht="9" customHeight="1" x14ac:dyDescent="0.25">
      <c r="A3214" s="3758"/>
      <c r="B3214" s="3779"/>
      <c r="C3214" s="3863"/>
      <c r="D3214" s="666"/>
      <c r="E3214" s="3767"/>
      <c r="F3214" s="3762"/>
      <c r="G3214" s="3768"/>
      <c r="H3214" s="3772"/>
      <c r="I3214" s="3774"/>
      <c r="J3214" s="3763"/>
      <c r="K3214" s="3790"/>
      <c r="L3214" s="3800"/>
      <c r="M3214" s="3796"/>
      <c r="N3214" s="3760"/>
      <c r="O3214" s="3747"/>
      <c r="Q3214" s="3747"/>
      <c r="R3214" s="3747"/>
      <c r="S3214" s="3747"/>
    </row>
    <row r="3215" spans="1:19" ht="19.5" customHeight="1" x14ac:dyDescent="0.25">
      <c r="A3215" s="3758"/>
      <c r="B3215" s="2908"/>
      <c r="C3215" s="3958" t="s">
        <v>4875</v>
      </c>
      <c r="D3215" s="768">
        <f>SUM(D3216:D3218)</f>
        <v>610000000</v>
      </c>
      <c r="E3215" s="1025">
        <f>D3215/D3160*100</f>
        <v>0.44137848956547243</v>
      </c>
      <c r="F3215" s="3762"/>
      <c r="G3215" s="3768"/>
      <c r="H3215" s="3772"/>
      <c r="I3215" s="3774"/>
      <c r="J3215" s="3763"/>
      <c r="K3215" s="3790"/>
      <c r="L3215" s="3800"/>
      <c r="M3215" s="3796"/>
      <c r="N3215" s="3760"/>
      <c r="O3215" s="3747"/>
      <c r="Q3215" s="3747"/>
      <c r="R3215" s="3747"/>
      <c r="S3215" s="3747"/>
    </row>
    <row r="3216" spans="1:19" ht="15" customHeight="1" x14ac:dyDescent="0.25">
      <c r="A3216" s="3758"/>
      <c r="B3216" s="3779"/>
      <c r="C3216" s="3863" t="s">
        <v>4876</v>
      </c>
      <c r="D3216" s="666">
        <v>350000000</v>
      </c>
      <c r="E3216" s="3767">
        <f>D3216/D3160*100</f>
        <v>0.25324995302936942</v>
      </c>
      <c r="F3216" s="3762"/>
      <c r="G3216" s="3768"/>
      <c r="H3216" s="3772"/>
      <c r="I3216" s="3774"/>
      <c r="J3216" s="3763"/>
      <c r="K3216" s="3790"/>
      <c r="L3216" s="3800"/>
      <c r="M3216" s="3796"/>
      <c r="N3216" s="3760"/>
      <c r="O3216" s="3747"/>
      <c r="Q3216" s="3747"/>
      <c r="R3216" s="3747"/>
      <c r="S3216" s="3747"/>
    </row>
    <row r="3217" spans="1:19" ht="16.5" customHeight="1" x14ac:dyDescent="0.25">
      <c r="A3217" s="3759"/>
      <c r="B3217" s="3779"/>
      <c r="C3217" s="3964" t="s">
        <v>4877</v>
      </c>
      <c r="D3217" s="671">
        <v>160000000</v>
      </c>
      <c r="E3217" s="3767">
        <f>D3217/D3160*100</f>
        <v>0.11577140709914031</v>
      </c>
      <c r="F3217" s="3778"/>
      <c r="G3217" s="3768"/>
      <c r="H3217" s="3804"/>
      <c r="I3217" s="3774"/>
      <c r="J3217" s="3785"/>
      <c r="K3217" s="3808"/>
      <c r="L3217" s="3806"/>
      <c r="M3217" s="3794"/>
      <c r="N3217" s="3760"/>
      <c r="O3217" s="3747"/>
      <c r="Q3217" s="3747"/>
      <c r="R3217" s="3747"/>
      <c r="S3217" s="3747"/>
    </row>
    <row r="3218" spans="1:19" ht="17.25" customHeight="1" x14ac:dyDescent="0.25">
      <c r="A3218" s="3759"/>
      <c r="B3218" s="3779"/>
      <c r="C3218" s="3860" t="s">
        <v>4878</v>
      </c>
      <c r="D3218" s="666">
        <v>100000000</v>
      </c>
      <c r="E3218" s="3767">
        <f>D3218/D3160*100</f>
        <v>7.2357129436962694E-2</v>
      </c>
      <c r="F3218" s="3778"/>
      <c r="G3218" s="3768"/>
      <c r="H3218" s="3804"/>
      <c r="I3218" s="3774"/>
      <c r="J3218" s="3785"/>
      <c r="K3218" s="3808"/>
      <c r="L3218" s="3806"/>
      <c r="M3218" s="3794"/>
      <c r="N3218" s="3760"/>
      <c r="O3218" s="3747"/>
      <c r="Q3218" s="3747"/>
      <c r="R3218" s="3747"/>
      <c r="S3218" s="3747"/>
    </row>
    <row r="3219" spans="1:19" ht="12" customHeight="1" x14ac:dyDescent="0.25">
      <c r="B3219" s="1242"/>
      <c r="D3219" s="671"/>
      <c r="E3219" s="724"/>
      <c r="F3219" s="653"/>
      <c r="G3219" s="963"/>
      <c r="H3219" s="2495"/>
      <c r="I3219" s="1109"/>
      <c r="J3219" s="2460"/>
      <c r="K3219" s="2265"/>
      <c r="L3219" s="2470"/>
      <c r="M3219" s="2004"/>
      <c r="N3219" s="535"/>
    </row>
    <row r="3220" spans="1:19" s="269" customFormat="1" ht="16.5" customHeight="1" x14ac:dyDescent="0.25">
      <c r="A3220" s="350"/>
      <c r="B3220" s="1305"/>
      <c r="C3220" s="3906" t="s">
        <v>379</v>
      </c>
      <c r="D3220" s="669">
        <f>D3221+D3225+D3240+D3245+D3256+D3264</f>
        <v>13172298000</v>
      </c>
      <c r="E3220" s="1479">
        <f>D3220/D3160*100</f>
        <v>9.531096713682448</v>
      </c>
      <c r="F3220" s="847"/>
      <c r="G3220" s="847"/>
      <c r="H3220" s="1030"/>
      <c r="I3220" s="2298"/>
      <c r="J3220" s="1824"/>
      <c r="K3220" s="1824"/>
      <c r="L3220" s="1030"/>
      <c r="M3220" s="2066"/>
      <c r="N3220" s="553"/>
      <c r="P3220" s="300"/>
    </row>
    <row r="3221" spans="1:19" ht="16.5" customHeight="1" x14ac:dyDescent="0.25">
      <c r="B3221" s="1242"/>
      <c r="C3221" s="3816" t="s">
        <v>4879</v>
      </c>
      <c r="D3221" s="4282">
        <f>SUM(D3222:D3223)</f>
        <v>890000000</v>
      </c>
      <c r="E3221" s="1025">
        <f>D3221/D3160*100</f>
        <v>0.64397845198896797</v>
      </c>
      <c r="F3221" s="867"/>
      <c r="G3221" s="965"/>
      <c r="H3221" s="966"/>
      <c r="I3221" s="965"/>
      <c r="J3221" s="1112"/>
      <c r="K3221" s="1112"/>
      <c r="L3221" s="2494"/>
      <c r="M3221" s="2006"/>
      <c r="N3221" s="535"/>
    </row>
    <row r="3222" spans="1:19" ht="18.75" customHeight="1" x14ac:dyDescent="0.25">
      <c r="B3222" s="1242"/>
      <c r="C3222" s="3822" t="s">
        <v>4880</v>
      </c>
      <c r="D3222" s="1846">
        <v>490000000</v>
      </c>
      <c r="E3222" s="939">
        <f>D3222/D3160*100</f>
        <v>0.35454993424111719</v>
      </c>
      <c r="F3222" s="542"/>
      <c r="G3222" s="963"/>
      <c r="H3222" s="967"/>
      <c r="I3222" s="963"/>
      <c r="J3222" s="663"/>
      <c r="K3222" s="1984"/>
      <c r="L3222" s="2435"/>
      <c r="M3222" s="2230"/>
      <c r="N3222" s="535"/>
    </row>
    <row r="3223" spans="1:19" ht="17.25" customHeight="1" x14ac:dyDescent="0.25">
      <c r="B3223" s="1242"/>
      <c r="C3223" s="3813" t="s">
        <v>4881</v>
      </c>
      <c r="D3223" s="666">
        <v>400000000</v>
      </c>
      <c r="E3223" s="939">
        <f>D3223/D3160*100</f>
        <v>0.28942851774785078</v>
      </c>
      <c r="F3223" s="542"/>
      <c r="G3223" s="963"/>
      <c r="H3223" s="967"/>
      <c r="I3223" s="963"/>
      <c r="J3223" s="663"/>
      <c r="K3223" s="1983"/>
      <c r="L3223" s="2435"/>
      <c r="M3223" s="2230"/>
      <c r="N3223" s="535"/>
    </row>
    <row r="3224" spans="1:19" ht="9.75" customHeight="1" x14ac:dyDescent="0.25">
      <c r="B3224" s="1242"/>
      <c r="C3224" s="3863"/>
      <c r="D3224" s="666"/>
      <c r="E3224" s="939"/>
      <c r="F3224" s="542"/>
      <c r="G3224" s="963"/>
      <c r="H3224" s="967"/>
      <c r="I3224" s="963"/>
      <c r="J3224" s="663"/>
      <c r="K3224" s="1983"/>
      <c r="L3224" s="2435"/>
      <c r="M3224" s="2230"/>
      <c r="N3224" s="535"/>
    </row>
    <row r="3225" spans="1:19" ht="21" customHeight="1" x14ac:dyDescent="0.25">
      <c r="B3225" s="1242"/>
      <c r="C3225" s="4045" t="s">
        <v>4882</v>
      </c>
      <c r="D3225" s="768">
        <f>SUM(D3226:D3238)</f>
        <v>2530570000</v>
      </c>
      <c r="E3225" s="3834">
        <f>D3225/D3160*100</f>
        <v>1.8310478103929468</v>
      </c>
      <c r="F3225" s="542"/>
      <c r="G3225" s="963"/>
      <c r="H3225" s="967"/>
      <c r="I3225" s="963"/>
      <c r="J3225" s="663"/>
      <c r="K3225" s="1983"/>
      <c r="L3225" s="2435"/>
      <c r="M3225" s="2230"/>
      <c r="N3225" s="535"/>
    </row>
    <row r="3226" spans="1:19" ht="17.25" customHeight="1" x14ac:dyDescent="0.25">
      <c r="B3226" s="1242"/>
      <c r="C3226" s="3813" t="s">
        <v>4883</v>
      </c>
      <c r="D3226" s="1846">
        <v>259100000</v>
      </c>
      <c r="E3226" s="939">
        <f>D3226/D3160*100</f>
        <v>0.18747732237117035</v>
      </c>
      <c r="F3226" s="542"/>
      <c r="G3226" s="963"/>
      <c r="H3226" s="967"/>
      <c r="I3226" s="963"/>
      <c r="J3226" s="663"/>
      <c r="K3226" s="1983"/>
      <c r="L3226" s="2435"/>
      <c r="M3226" s="2230"/>
      <c r="N3226" s="535"/>
    </row>
    <row r="3227" spans="1:19" ht="15.75" customHeight="1" x14ac:dyDescent="0.25">
      <c r="B3227" s="1242"/>
      <c r="C3227" s="3813" t="s">
        <v>4884</v>
      </c>
      <c r="D3227" s="1846">
        <v>121070000</v>
      </c>
      <c r="E3227" s="939">
        <f>D3227/D3160*100</f>
        <v>8.7602776609330732E-2</v>
      </c>
      <c r="F3227" s="542"/>
      <c r="G3227" s="963"/>
      <c r="H3227" s="967"/>
      <c r="I3227" s="963"/>
      <c r="J3227" s="663"/>
      <c r="K3227" s="1984"/>
      <c r="L3227" s="2435"/>
      <c r="M3227" s="2230"/>
      <c r="N3227" s="535"/>
    </row>
    <row r="3228" spans="1:19" ht="17.25" customHeight="1" x14ac:dyDescent="0.25">
      <c r="B3228" s="1242"/>
      <c r="C3228" s="3813" t="s">
        <v>4885</v>
      </c>
      <c r="D3228" s="1846">
        <v>118900000</v>
      </c>
      <c r="E3228" s="939">
        <f>D3228/D3160*100</f>
        <v>8.6032626900548637E-2</v>
      </c>
      <c r="F3228" s="542"/>
      <c r="G3228" s="963"/>
      <c r="H3228" s="967"/>
      <c r="I3228" s="963"/>
      <c r="J3228" s="663"/>
      <c r="K3228" s="1983"/>
      <c r="L3228" s="2435"/>
      <c r="M3228" s="2230"/>
      <c r="N3228" s="535"/>
    </row>
    <row r="3229" spans="1:19" ht="17.25" customHeight="1" x14ac:dyDescent="0.25">
      <c r="B3229" s="1242"/>
      <c r="C3229" s="3813" t="s">
        <v>4886</v>
      </c>
      <c r="D3229" s="1846">
        <v>129020000</v>
      </c>
      <c r="E3229" s="3833">
        <f>D3229/D3160*100</f>
        <v>9.3355168399569269E-2</v>
      </c>
      <c r="F3229" s="1106"/>
      <c r="G3229" s="894"/>
      <c r="H3229" s="2335"/>
      <c r="I3229" s="2360"/>
      <c r="J3229" s="1106"/>
      <c r="K3229" s="1315"/>
      <c r="L3229" s="2435"/>
      <c r="M3229" s="2230"/>
      <c r="N3229" s="535"/>
    </row>
    <row r="3230" spans="1:19" ht="15.75" customHeight="1" x14ac:dyDescent="0.25">
      <c r="B3230" s="1242"/>
      <c r="C3230" s="3813" t="s">
        <v>4887</v>
      </c>
      <c r="D3230" s="1846">
        <v>80750000</v>
      </c>
      <c r="E3230" s="3833">
        <f>D3230/D3160*100</f>
        <v>5.8428382020347371E-2</v>
      </c>
      <c r="F3230" s="541"/>
      <c r="G3230" s="965"/>
      <c r="H3230" s="966"/>
      <c r="I3230" s="965"/>
      <c r="J3230" s="1112"/>
      <c r="K3230" s="1112"/>
      <c r="L3230" s="2494"/>
      <c r="M3230" s="2494"/>
      <c r="N3230" s="535"/>
    </row>
    <row r="3231" spans="1:19" ht="15" customHeight="1" x14ac:dyDescent="0.25">
      <c r="B3231" s="1242"/>
      <c r="C3231" s="3813" t="s">
        <v>4888</v>
      </c>
      <c r="D3231" s="1846">
        <v>94250000</v>
      </c>
      <c r="E3231" s="939">
        <f>D3231/D3160*100</f>
        <v>6.8196594494337348E-2</v>
      </c>
      <c r="F3231" s="542"/>
      <c r="G3231" s="963"/>
      <c r="H3231" s="967"/>
      <c r="I3231" s="963"/>
      <c r="J3231" s="663"/>
      <c r="K3231" s="1984"/>
      <c r="L3231" s="2435"/>
      <c r="M3231" s="2435"/>
      <c r="N3231" s="535"/>
    </row>
    <row r="3232" spans="1:19" ht="17.25" customHeight="1" x14ac:dyDescent="0.25">
      <c r="B3232" s="1242"/>
      <c r="C3232" s="3813" t="s">
        <v>4889</v>
      </c>
      <c r="D3232" s="1846">
        <v>69800000</v>
      </c>
      <c r="E3232" s="3833">
        <f>D3232/D3160*100</f>
        <v>5.0505276346999965E-2</v>
      </c>
      <c r="F3232" s="663"/>
      <c r="G3232" s="666"/>
      <c r="H3232" s="1310"/>
      <c r="I3232" s="1109"/>
      <c r="J3232" s="663"/>
      <c r="K3232" s="1717"/>
      <c r="L3232" s="1312"/>
      <c r="M3232" s="1312"/>
      <c r="N3232" s="535"/>
    </row>
    <row r="3233" spans="2:14" ht="17.25" customHeight="1" x14ac:dyDescent="0.25">
      <c r="B3233" s="1242"/>
      <c r="C3233" s="3813" t="s">
        <v>4890</v>
      </c>
      <c r="D3233" s="666">
        <v>129600000</v>
      </c>
      <c r="E3233" s="3833">
        <f>D3233/D3160*100</f>
        <v>9.3774839750303651E-2</v>
      </c>
      <c r="F3233" s="541"/>
      <c r="G3233" s="541"/>
      <c r="H3233" s="1033"/>
      <c r="I3233" s="541"/>
      <c r="J3233" s="1112"/>
      <c r="K3233" s="1112"/>
      <c r="L3233" s="2494"/>
      <c r="M3233" s="2494"/>
      <c r="N3233" s="535"/>
    </row>
    <row r="3234" spans="2:14" ht="15" customHeight="1" x14ac:dyDescent="0.25">
      <c r="B3234" s="1242"/>
      <c r="C3234" s="3813" t="s">
        <v>4891</v>
      </c>
      <c r="D3234" s="1846">
        <v>209200000</v>
      </c>
      <c r="E3234" s="939">
        <f>D3234/D3160*100</f>
        <v>0.15137111478212595</v>
      </c>
      <c r="F3234" s="542"/>
      <c r="G3234" s="963"/>
      <c r="H3234" s="967"/>
      <c r="I3234" s="963"/>
      <c r="J3234" s="663"/>
      <c r="K3234" s="1984"/>
      <c r="L3234" s="2435"/>
      <c r="M3234" s="2435"/>
      <c r="N3234" s="535"/>
    </row>
    <row r="3235" spans="2:14" ht="14.25" customHeight="1" x14ac:dyDescent="0.25">
      <c r="B3235" s="1242"/>
      <c r="C3235" s="3813" t="s">
        <v>4892</v>
      </c>
      <c r="D3235" s="1846">
        <v>102200000</v>
      </c>
      <c r="E3235" s="939">
        <f>D3235/D3160*100</f>
        <v>7.3948986284575871E-2</v>
      </c>
      <c r="F3235" s="542"/>
      <c r="G3235" s="963"/>
      <c r="H3235" s="1043"/>
      <c r="I3235" s="1109"/>
      <c r="J3235" s="663"/>
      <c r="K3235" s="1984"/>
      <c r="L3235" s="2435"/>
      <c r="M3235" s="2435"/>
      <c r="N3235" s="535"/>
    </row>
    <row r="3236" spans="2:14" ht="16.5" customHeight="1" x14ac:dyDescent="0.25">
      <c r="B3236" s="1242"/>
      <c r="C3236" s="3813" t="s">
        <v>4893</v>
      </c>
      <c r="D3236" s="1846">
        <v>1000000000</v>
      </c>
      <c r="E3236" s="3833">
        <f>D3236/D3160*100</f>
        <v>0.72357129436962697</v>
      </c>
      <c r="F3236" s="663"/>
      <c r="G3236" s="666"/>
      <c r="H3236" s="1310"/>
      <c r="I3236" s="1109"/>
      <c r="J3236" s="663"/>
      <c r="K3236" s="1717"/>
      <c r="L3236" s="1312"/>
      <c r="M3236" s="2230"/>
      <c r="N3236" s="535"/>
    </row>
    <row r="3237" spans="2:14" ht="17.25" customHeight="1" x14ac:dyDescent="0.25">
      <c r="B3237" s="1242"/>
      <c r="C3237" s="3813" t="s">
        <v>4894</v>
      </c>
      <c r="D3237" s="1846">
        <v>90080000</v>
      </c>
      <c r="E3237" s="3833">
        <f>D3237/D3160*100</f>
        <v>6.5179302196815989E-2</v>
      </c>
      <c r="F3237" s="541"/>
      <c r="G3237" s="541"/>
      <c r="H3237" s="1033"/>
      <c r="I3237" s="541"/>
      <c r="J3237" s="1112"/>
      <c r="K3237" s="1112"/>
      <c r="L3237" s="2494"/>
      <c r="M3237" s="2496"/>
      <c r="N3237" s="535"/>
    </row>
    <row r="3238" spans="2:14" ht="15" customHeight="1" x14ac:dyDescent="0.25">
      <c r="B3238" s="1242"/>
      <c r="C3238" s="3813" t="s">
        <v>4895</v>
      </c>
      <c r="D3238" s="1846">
        <v>126600000</v>
      </c>
      <c r="E3238" s="939">
        <f>D3238/D3160*100</f>
        <v>9.1604125867194769E-2</v>
      </c>
      <c r="F3238" s="542"/>
      <c r="G3238" s="963"/>
      <c r="H3238" s="1043"/>
      <c r="I3238" s="963"/>
      <c r="J3238" s="663"/>
      <c r="K3238" s="1984"/>
      <c r="L3238" s="2435"/>
      <c r="M3238" s="2230"/>
      <c r="N3238" s="535"/>
    </row>
    <row r="3239" spans="2:14" ht="9.75" customHeight="1" x14ac:dyDescent="0.25">
      <c r="B3239" s="1242"/>
      <c r="C3239" s="3812"/>
      <c r="D3239" s="1849"/>
      <c r="E3239" s="939"/>
      <c r="F3239" s="542"/>
      <c r="G3239" s="963"/>
      <c r="H3239" s="1043"/>
      <c r="I3239" s="963"/>
      <c r="J3239" s="663"/>
      <c r="K3239" s="1983"/>
      <c r="L3239" s="2435"/>
      <c r="M3239" s="2230"/>
      <c r="N3239" s="535"/>
    </row>
    <row r="3240" spans="2:14" ht="15" customHeight="1" x14ac:dyDescent="0.25">
      <c r="B3240" s="1242"/>
      <c r="C3240" s="3818" t="s">
        <v>4896</v>
      </c>
      <c r="D3240" s="4282">
        <f>SUM(D3241:D3243)</f>
        <v>263700000</v>
      </c>
      <c r="E3240" s="3834">
        <f>D3240/D3160*100</f>
        <v>0.19080575032527061</v>
      </c>
      <c r="F3240" s="542"/>
      <c r="G3240" s="963"/>
      <c r="H3240" s="1043"/>
      <c r="I3240" s="963"/>
      <c r="J3240" s="663"/>
      <c r="K3240" s="1984"/>
      <c r="L3240" s="2435"/>
      <c r="M3240" s="2230"/>
      <c r="N3240" s="535"/>
    </row>
    <row r="3241" spans="2:14" ht="15" customHeight="1" x14ac:dyDescent="0.25">
      <c r="B3241" s="1242"/>
      <c r="C3241" s="3813" t="s">
        <v>4897</v>
      </c>
      <c r="D3241" s="1846">
        <v>87640000</v>
      </c>
      <c r="E3241" s="939">
        <f>D3241/D3160*100</f>
        <v>6.3413788238554106E-2</v>
      </c>
      <c r="F3241" s="542"/>
      <c r="G3241" s="542"/>
      <c r="H3241" s="1043"/>
      <c r="I3241" s="1109"/>
      <c r="J3241" s="663"/>
      <c r="K3241" s="1984"/>
      <c r="L3241" s="2435"/>
      <c r="M3241" s="2230"/>
      <c r="N3241" s="535"/>
    </row>
    <row r="3242" spans="2:14" ht="15.75" customHeight="1" x14ac:dyDescent="0.25">
      <c r="B3242" s="1242"/>
      <c r="C3242" s="3813" t="s">
        <v>4898</v>
      </c>
      <c r="D3242" s="1846">
        <v>131360000</v>
      </c>
      <c r="E3242" s="939">
        <f>D3242/D3160*100</f>
        <v>9.5048325228394195E-2</v>
      </c>
      <c r="F3242" s="542"/>
      <c r="G3242" s="963"/>
      <c r="H3242" s="1043"/>
      <c r="I3242" s="963"/>
      <c r="J3242" s="663"/>
      <c r="K3242" s="1984"/>
      <c r="L3242" s="2435"/>
      <c r="M3242" s="2230"/>
      <c r="N3242" s="535"/>
    </row>
    <row r="3243" spans="2:14" ht="17.25" customHeight="1" x14ac:dyDescent="0.25">
      <c r="B3243" s="1242"/>
      <c r="C3243" s="3813" t="s">
        <v>4899</v>
      </c>
      <c r="D3243" s="1846">
        <v>44700000</v>
      </c>
      <c r="E3243" s="3833">
        <f>D3243/D3160*100</f>
        <v>3.2343636858322318E-2</v>
      </c>
      <c r="F3243" s="1106"/>
      <c r="G3243" s="894"/>
      <c r="H3243" s="2335"/>
      <c r="I3243" s="2360"/>
      <c r="J3243" s="1106"/>
      <c r="K3243" s="1315"/>
      <c r="L3243" s="1311"/>
      <c r="M3243" s="2003"/>
      <c r="N3243" s="535"/>
    </row>
    <row r="3244" spans="2:14" ht="9" customHeight="1" x14ac:dyDescent="0.25">
      <c r="B3244" s="1242"/>
      <c r="C3244" s="3863"/>
      <c r="D3244" s="666"/>
      <c r="E3244" s="1025"/>
      <c r="F3244" s="541"/>
      <c r="G3244" s="541"/>
      <c r="H3244" s="1033"/>
      <c r="I3244" s="541"/>
      <c r="J3244" s="1112"/>
      <c r="K3244" s="1112"/>
      <c r="L3244" s="2494"/>
      <c r="M3244" s="2496"/>
      <c r="N3244" s="535"/>
    </row>
    <row r="3245" spans="2:14" ht="15.75" customHeight="1" x14ac:dyDescent="0.25">
      <c r="B3245" s="1242"/>
      <c r="C3245" s="4045" t="s">
        <v>453</v>
      </c>
      <c r="D3245" s="768">
        <v>2985000000</v>
      </c>
      <c r="E3245" s="3834">
        <f>D3245/D3160*100</f>
        <v>2.1598603136933363</v>
      </c>
      <c r="F3245" s="542"/>
      <c r="G3245" s="666"/>
      <c r="H3245" s="1043"/>
      <c r="I3245" s="1109"/>
      <c r="J3245" s="663"/>
      <c r="K3245" s="1717"/>
      <c r="L3245" s="2435"/>
      <c r="M3245" s="2230"/>
      <c r="N3245" s="535"/>
    </row>
    <row r="3246" spans="2:14" ht="16.5" customHeight="1" x14ac:dyDescent="0.25">
      <c r="B3246" s="1242"/>
      <c r="C3246" s="3813" t="s">
        <v>4900</v>
      </c>
      <c r="D3246" s="1846">
        <v>392500000</v>
      </c>
      <c r="E3246" s="939">
        <f>D3246/D3160*100</f>
        <v>0.28400173304007853</v>
      </c>
      <c r="F3246" s="542"/>
      <c r="G3246" s="963"/>
      <c r="H3246" s="1043"/>
      <c r="I3246" s="963"/>
      <c r="J3246" s="663"/>
      <c r="K3246" s="1717"/>
      <c r="L3246" s="2435"/>
      <c r="M3246" s="2230"/>
      <c r="N3246" s="535"/>
    </row>
    <row r="3247" spans="2:14" ht="15" customHeight="1" x14ac:dyDescent="0.25">
      <c r="B3247" s="1242"/>
      <c r="C3247" s="3813" t="s">
        <v>4901</v>
      </c>
      <c r="D3247" s="1846">
        <v>400000000</v>
      </c>
      <c r="E3247" s="939">
        <f>D3247/D3160*100</f>
        <v>0.28942851774785078</v>
      </c>
      <c r="F3247" s="542"/>
      <c r="G3247" s="963"/>
      <c r="H3247" s="1043"/>
      <c r="I3247" s="963"/>
      <c r="J3247" s="663"/>
      <c r="K3247" s="1717"/>
      <c r="L3247" s="2435"/>
      <c r="M3247" s="2230"/>
      <c r="N3247" s="535"/>
    </row>
    <row r="3248" spans="2:14" ht="14.25" customHeight="1" x14ac:dyDescent="0.25">
      <c r="B3248" s="1242"/>
      <c r="C3248" s="3813" t="s">
        <v>4902</v>
      </c>
      <c r="D3248" s="1846">
        <v>400000000</v>
      </c>
      <c r="E3248" s="939">
        <f>D3248/D3160*100</f>
        <v>0.28942851774785078</v>
      </c>
      <c r="F3248" s="542"/>
      <c r="G3248" s="963"/>
      <c r="H3248" s="1043"/>
      <c r="I3248" s="963"/>
      <c r="J3248" s="663"/>
      <c r="K3248" s="1717"/>
      <c r="L3248" s="2435"/>
      <c r="M3248" s="2230"/>
      <c r="N3248" s="535"/>
    </row>
    <row r="3249" spans="2:14" ht="15" customHeight="1" x14ac:dyDescent="0.25">
      <c r="B3249" s="1242"/>
      <c r="C3249" s="3813" t="s">
        <v>4903</v>
      </c>
      <c r="D3249" s="1846">
        <v>350000000</v>
      </c>
      <c r="E3249" s="939">
        <f>D3249/D3160*100</f>
        <v>0.25324995302936942</v>
      </c>
      <c r="F3249" s="542"/>
      <c r="G3249" s="666"/>
      <c r="H3249" s="1043"/>
      <c r="I3249" s="1109"/>
      <c r="J3249" s="663"/>
      <c r="K3249" s="1717"/>
      <c r="L3249" s="2435"/>
      <c r="M3249" s="2230"/>
      <c r="N3249" s="535"/>
    </row>
    <row r="3250" spans="2:14" ht="17.25" customHeight="1" x14ac:dyDescent="0.25">
      <c r="B3250" s="1242"/>
      <c r="C3250" s="3813" t="s">
        <v>4904</v>
      </c>
      <c r="D3250" s="1846">
        <v>350000000</v>
      </c>
      <c r="E3250" s="939">
        <f>D3250/D3160*100</f>
        <v>0.25324995302936942</v>
      </c>
      <c r="F3250" s="542"/>
      <c r="G3250" s="666"/>
      <c r="H3250" s="1043"/>
      <c r="I3250" s="1109"/>
      <c r="J3250" s="663"/>
      <c r="K3250" s="1717"/>
      <c r="L3250" s="2435"/>
      <c r="M3250" s="2230"/>
      <c r="N3250" s="535"/>
    </row>
    <row r="3251" spans="2:14" ht="15" customHeight="1" x14ac:dyDescent="0.25">
      <c r="B3251" s="1242"/>
      <c r="C3251" s="3813" t="s">
        <v>4905</v>
      </c>
      <c r="D3251" s="1846">
        <v>350000000</v>
      </c>
      <c r="E3251" s="3833">
        <f>D3251/D3160*100</f>
        <v>0.25324995302936942</v>
      </c>
      <c r="F3251" s="1106"/>
      <c r="G3251" s="894"/>
      <c r="H3251" s="2335"/>
      <c r="I3251" s="2360"/>
      <c r="J3251" s="1106"/>
      <c r="K3251" s="1315"/>
      <c r="L3251" s="1311"/>
      <c r="M3251" s="2230"/>
      <c r="N3251" s="535"/>
    </row>
    <row r="3252" spans="2:14" ht="13.5" customHeight="1" x14ac:dyDescent="0.25">
      <c r="B3252" s="1242"/>
      <c r="C3252" s="3813" t="s">
        <v>4906</v>
      </c>
      <c r="D3252" s="1846">
        <v>300000000</v>
      </c>
      <c r="E3252" s="3833">
        <f>D3252/D3160*100</f>
        <v>0.21707138831088807</v>
      </c>
      <c r="F3252" s="541"/>
      <c r="G3252" s="541"/>
      <c r="H3252" s="1033"/>
      <c r="I3252" s="541"/>
      <c r="J3252" s="1112"/>
      <c r="K3252" s="1112"/>
      <c r="L3252" s="2494"/>
      <c r="M3252" s="2496"/>
      <c r="N3252" s="535"/>
    </row>
    <row r="3253" spans="2:14" ht="16.5" customHeight="1" x14ac:dyDescent="0.25">
      <c r="B3253" s="1242"/>
      <c r="C3253" s="3813" t="s">
        <v>4907</v>
      </c>
      <c r="D3253" s="1846">
        <v>292500000</v>
      </c>
      <c r="E3253" s="939">
        <f>D3253/D3160*100</f>
        <v>0.21164460360311588</v>
      </c>
      <c r="F3253" s="542"/>
      <c r="G3253" s="963"/>
      <c r="H3253" s="1043"/>
      <c r="I3253" s="1109"/>
      <c r="J3253" s="663"/>
      <c r="K3253" s="1983"/>
      <c r="L3253" s="2435"/>
      <c r="M3253" s="2230"/>
      <c r="N3253" s="535"/>
    </row>
    <row r="3254" spans="2:14" ht="13.5" customHeight="1" x14ac:dyDescent="0.25">
      <c r="B3254" s="1242"/>
      <c r="C3254" s="3813" t="s">
        <v>4908</v>
      </c>
      <c r="D3254" s="1846">
        <v>150000000</v>
      </c>
      <c r="E3254" s="939">
        <f>D3254/D3160*100</f>
        <v>0.10853569415544403</v>
      </c>
      <c r="F3254" s="542"/>
      <c r="G3254" s="963"/>
      <c r="H3254" s="1043"/>
      <c r="I3254" s="963"/>
      <c r="J3254" s="663"/>
      <c r="K3254" s="1983"/>
      <c r="L3254" s="2435"/>
      <c r="M3254" s="2230"/>
      <c r="N3254" s="535"/>
    </row>
    <row r="3255" spans="2:14" ht="12" customHeight="1" x14ac:dyDescent="0.25">
      <c r="B3255" s="1242"/>
      <c r="C3255" s="3863"/>
      <c r="D3255" s="666"/>
      <c r="E3255" s="939"/>
      <c r="F3255" s="542"/>
      <c r="G3255" s="666"/>
      <c r="H3255" s="1043"/>
      <c r="I3255" s="1109"/>
      <c r="J3255" s="663"/>
      <c r="K3255" s="1983"/>
      <c r="L3255" s="2435"/>
      <c r="M3255" s="2230"/>
      <c r="N3255" s="535"/>
    </row>
    <row r="3256" spans="2:14" ht="16.5" customHeight="1" x14ac:dyDescent="0.25">
      <c r="B3256" s="1242"/>
      <c r="C3256" s="4045" t="s">
        <v>4909</v>
      </c>
      <c r="D3256" s="768">
        <f>SUM(D3257:D3262)</f>
        <v>3714600000</v>
      </c>
      <c r="E3256" s="1025">
        <f>D3256/D3160*100</f>
        <v>2.6877779300654163</v>
      </c>
      <c r="F3256" s="541"/>
      <c r="G3256" s="541"/>
      <c r="H3256" s="1033"/>
      <c r="I3256" s="541"/>
      <c r="J3256" s="1112"/>
      <c r="K3256" s="1112"/>
      <c r="L3256" s="2494"/>
      <c r="M3256" s="2496"/>
      <c r="N3256" s="535"/>
    </row>
    <row r="3257" spans="2:14" ht="16.5" customHeight="1" x14ac:dyDescent="0.25">
      <c r="B3257" s="1242"/>
      <c r="C3257" s="3813" t="s">
        <v>4910</v>
      </c>
      <c r="D3257" s="1846">
        <v>500000000</v>
      </c>
      <c r="E3257" s="939">
        <f>D3257/D3160*100</f>
        <v>0.36178564718481349</v>
      </c>
      <c r="F3257" s="542"/>
      <c r="G3257" s="666"/>
      <c r="H3257" s="1043"/>
      <c r="I3257" s="1109"/>
      <c r="J3257" s="663"/>
      <c r="K3257" s="1983"/>
      <c r="L3257" s="2435"/>
      <c r="M3257" s="2230"/>
      <c r="N3257" s="535"/>
    </row>
    <row r="3258" spans="2:14" ht="18" customHeight="1" x14ac:dyDescent="0.25">
      <c r="B3258" s="1242"/>
      <c r="C3258" s="3813" t="s">
        <v>4911</v>
      </c>
      <c r="D3258" s="1846">
        <v>1100000000</v>
      </c>
      <c r="E3258" s="939">
        <f>D3258/D3160*100</f>
        <v>0.79592842380658957</v>
      </c>
      <c r="F3258" s="542"/>
      <c r="G3258" s="963"/>
      <c r="H3258" s="1043"/>
      <c r="I3258" s="963"/>
      <c r="J3258" s="663"/>
      <c r="K3258" s="1983"/>
      <c r="L3258" s="2435"/>
      <c r="M3258" s="2230"/>
      <c r="N3258" s="535"/>
    </row>
    <row r="3259" spans="2:14" ht="18" customHeight="1" x14ac:dyDescent="0.25">
      <c r="B3259" s="1242"/>
      <c r="C3259" s="3813" t="s">
        <v>4912</v>
      </c>
      <c r="D3259" s="1846">
        <v>700000000</v>
      </c>
      <c r="E3259" s="3833">
        <f>D3259/D3160*100</f>
        <v>0.50649990605873885</v>
      </c>
      <c r="F3259" s="663"/>
      <c r="G3259" s="666"/>
      <c r="H3259" s="1310"/>
      <c r="I3259" s="1109"/>
      <c r="J3259" s="663"/>
      <c r="K3259" s="1315"/>
      <c r="L3259" s="1311"/>
      <c r="M3259" s="2003"/>
      <c r="N3259" s="535"/>
    </row>
    <row r="3260" spans="2:14" ht="17.25" customHeight="1" x14ac:dyDescent="0.25">
      <c r="B3260" s="1242"/>
      <c r="C3260" s="3813" t="s">
        <v>4913</v>
      </c>
      <c r="D3260" s="1846">
        <v>500000000</v>
      </c>
      <c r="E3260" s="3833">
        <f>D3260/D3160*100</f>
        <v>0.36178564718481349</v>
      </c>
      <c r="F3260" s="541"/>
      <c r="G3260" s="541"/>
      <c r="H3260" s="1308"/>
      <c r="I3260" s="541"/>
      <c r="J3260" s="1112"/>
      <c r="K3260" s="1112"/>
      <c r="L3260" s="2494"/>
      <c r="M3260" s="2496"/>
      <c r="N3260" s="535"/>
    </row>
    <row r="3261" spans="2:14" ht="18" customHeight="1" x14ac:dyDescent="0.25">
      <c r="B3261" s="1242"/>
      <c r="C3261" s="3813" t="s">
        <v>4914</v>
      </c>
      <c r="D3261" s="1846">
        <v>700000000</v>
      </c>
      <c r="E3261" s="939">
        <f>D3261/D3160*100</f>
        <v>0.50649990605873885</v>
      </c>
      <c r="F3261" s="542"/>
      <c r="G3261" s="542"/>
      <c r="H3261" s="1310"/>
      <c r="I3261" s="1109"/>
      <c r="J3261" s="663"/>
      <c r="K3261" s="1984"/>
      <c r="L3261" s="2435"/>
      <c r="M3261" s="2230"/>
      <c r="N3261" s="535"/>
    </row>
    <row r="3262" spans="2:14" ht="18" customHeight="1" x14ac:dyDescent="0.25">
      <c r="B3262" s="1242"/>
      <c r="C3262" s="3813" t="s">
        <v>4915</v>
      </c>
      <c r="D3262" s="1846">
        <v>214600000</v>
      </c>
      <c r="E3262" s="3833">
        <f>D3262/D3160*100</f>
        <v>0.15527839977172195</v>
      </c>
      <c r="F3262" s="663"/>
      <c r="G3262" s="666"/>
      <c r="H3262" s="1310"/>
      <c r="I3262" s="1109"/>
      <c r="J3262" s="663"/>
      <c r="K3262" s="1717"/>
      <c r="L3262" s="1312"/>
      <c r="M3262" s="2230"/>
      <c r="N3262" s="535"/>
    </row>
    <row r="3263" spans="2:14" ht="6.75" customHeight="1" x14ac:dyDescent="0.25">
      <c r="B3263" s="1242"/>
      <c r="C3263" s="3863"/>
      <c r="D3263" s="666"/>
      <c r="E3263" s="1025"/>
      <c r="F3263" s="541"/>
      <c r="G3263" s="541"/>
      <c r="H3263" s="1308"/>
      <c r="I3263" s="541"/>
      <c r="J3263" s="1112"/>
      <c r="K3263" s="1112"/>
      <c r="L3263" s="2494"/>
      <c r="M3263" s="2496"/>
      <c r="N3263" s="535"/>
    </row>
    <row r="3264" spans="2:14" ht="17.25" customHeight="1" x14ac:dyDescent="0.25">
      <c r="B3264" s="1242"/>
      <c r="C3264" s="4045" t="s">
        <v>4916</v>
      </c>
      <c r="D3264" s="768">
        <f>SUM(D3265:D3282)</f>
        <v>2788428000</v>
      </c>
      <c r="E3264" s="3834">
        <f>D3264/D3160*100</f>
        <v>2.0176264572165099</v>
      </c>
      <c r="F3264" s="542"/>
      <c r="G3264" s="542"/>
      <c r="H3264" s="1310"/>
      <c r="I3264" s="1109"/>
      <c r="J3264" s="663"/>
      <c r="K3264" s="1984"/>
      <c r="L3264" s="2435"/>
      <c r="M3264" s="2230"/>
      <c r="N3264" s="535"/>
    </row>
    <row r="3265" spans="2:14" ht="16.5" customHeight="1" x14ac:dyDescent="0.25">
      <c r="B3265" s="1242"/>
      <c r="C3265" s="3813" t="s">
        <v>4917</v>
      </c>
      <c r="D3265" s="1846">
        <v>66200000</v>
      </c>
      <c r="E3265" s="3833">
        <f>D3265/D3160*100</f>
        <v>4.7900419687269304E-2</v>
      </c>
      <c r="F3265" s="663"/>
      <c r="G3265" s="663"/>
      <c r="H3265" s="1310"/>
      <c r="I3265" s="1109"/>
      <c r="J3265" s="663"/>
      <c r="K3265" s="1717"/>
      <c r="L3265" s="1312"/>
      <c r="M3265" s="2230"/>
      <c r="N3265" s="535"/>
    </row>
    <row r="3266" spans="2:14" ht="15" customHeight="1" x14ac:dyDescent="0.25">
      <c r="B3266" s="1242"/>
      <c r="C3266" s="3813" t="s">
        <v>4918</v>
      </c>
      <c r="D3266" s="1846">
        <v>69050000</v>
      </c>
      <c r="E3266" s="3833">
        <f>D3266/D3160*100</f>
        <v>4.9962597876222738E-2</v>
      </c>
      <c r="F3266" s="541"/>
      <c r="G3266" s="541"/>
      <c r="H3266" s="1308"/>
      <c r="I3266" s="541"/>
      <c r="J3266" s="1112"/>
      <c r="K3266" s="1112"/>
      <c r="L3266" s="2494"/>
      <c r="M3266" s="2496"/>
      <c r="N3266" s="535"/>
    </row>
    <row r="3267" spans="2:14" ht="16.5" customHeight="1" x14ac:dyDescent="0.25">
      <c r="B3267" s="1242"/>
      <c r="C3267" s="3813" t="s">
        <v>4919</v>
      </c>
      <c r="D3267" s="1846">
        <v>88850000</v>
      </c>
      <c r="E3267" s="939">
        <f>D3267/D3160*100</f>
        <v>6.4289309504741349E-2</v>
      </c>
      <c r="F3267" s="542"/>
      <c r="G3267" s="542"/>
      <c r="H3267" s="1310"/>
      <c r="I3267" s="1109"/>
      <c r="J3267" s="663"/>
      <c r="K3267" s="663"/>
      <c r="L3267" s="2435"/>
      <c r="M3267" s="2230"/>
      <c r="N3267" s="535"/>
    </row>
    <row r="3268" spans="2:14" ht="18" customHeight="1" x14ac:dyDescent="0.25">
      <c r="B3268" s="1242"/>
      <c r="C3268" s="3813" t="s">
        <v>4920</v>
      </c>
      <c r="D3268" s="1846">
        <v>88850000</v>
      </c>
      <c r="E3268" s="3833">
        <f>D3268/D3160*100</f>
        <v>6.4289309504741349E-2</v>
      </c>
      <c r="F3268" s="872"/>
      <c r="G3268" s="868"/>
      <c r="H3268" s="2174"/>
      <c r="I3268" s="2295"/>
      <c r="J3268" s="2465"/>
      <c r="K3268" s="2281"/>
      <c r="L3268" s="1323"/>
      <c r="M3268" s="2227"/>
      <c r="N3268" s="535"/>
    </row>
    <row r="3269" spans="2:14" ht="17.25" customHeight="1" x14ac:dyDescent="0.25">
      <c r="B3269" s="3837"/>
      <c r="C3269" s="3813" t="s">
        <v>4921</v>
      </c>
      <c r="D3269" s="1846">
        <v>64050000</v>
      </c>
      <c r="E3269" s="3833">
        <f>D3269/D3160*100</f>
        <v>4.6344741404374605E-2</v>
      </c>
      <c r="F3269" s="541"/>
      <c r="G3269" s="1118"/>
      <c r="H3269" s="1052"/>
      <c r="I3269" s="1118"/>
      <c r="J3269" s="1112"/>
      <c r="K3269" s="1112"/>
      <c r="L3269" s="3836"/>
      <c r="M3269" s="2484"/>
      <c r="N3269" s="536"/>
    </row>
    <row r="3270" spans="2:14" ht="15.75" customHeight="1" x14ac:dyDescent="0.25">
      <c r="B3270" s="3837"/>
      <c r="C3270" s="3813" t="s">
        <v>4922</v>
      </c>
      <c r="D3270" s="1846">
        <v>377148000</v>
      </c>
      <c r="E3270" s="3825">
        <f>D3270/D3160*100</f>
        <v>0.27289346652891605</v>
      </c>
      <c r="F3270" s="665"/>
      <c r="G3270" s="1108"/>
      <c r="H3270" s="2497"/>
      <c r="I3270" s="1108"/>
      <c r="J3270" s="1847"/>
      <c r="K3270" s="1847"/>
      <c r="L3270" s="3835"/>
      <c r="M3270" s="2308"/>
      <c r="N3270" s="535"/>
    </row>
    <row r="3271" spans="2:14" ht="17.25" customHeight="1" x14ac:dyDescent="0.25">
      <c r="B3271" s="3837"/>
      <c r="C3271" s="3813" t="s">
        <v>4923</v>
      </c>
      <c r="D3271" s="1846">
        <v>155400000</v>
      </c>
      <c r="E3271" s="4113">
        <f>D3271/D3160*100</f>
        <v>0.11244297914504002</v>
      </c>
      <c r="F3271" s="542"/>
      <c r="G3271" s="1109"/>
      <c r="H3271" s="1647"/>
      <c r="I3271" s="1109"/>
      <c r="J3271" s="663"/>
      <c r="K3271" s="1109"/>
      <c r="L3271" s="1162"/>
      <c r="M3271" s="1109"/>
      <c r="N3271" s="535"/>
    </row>
    <row r="3272" spans="2:14" ht="30" customHeight="1" x14ac:dyDescent="0.25">
      <c r="B3272" s="3837"/>
      <c r="C3272" s="3820" t="s">
        <v>4933</v>
      </c>
      <c r="D3272" s="666">
        <v>207375000</v>
      </c>
      <c r="E3272" s="1487">
        <f>D3272/D3160*100</f>
        <v>0.15005059716990138</v>
      </c>
      <c r="F3272" s="542"/>
      <c r="G3272" s="1109"/>
      <c r="H3272" s="1647"/>
      <c r="I3272" s="1109"/>
      <c r="J3272" s="663"/>
      <c r="K3272" s="1985"/>
      <c r="L3272" s="2435"/>
      <c r="M3272" s="2230"/>
      <c r="N3272" s="535"/>
    </row>
    <row r="3273" spans="2:14" ht="17.25" customHeight="1" x14ac:dyDescent="0.25">
      <c r="B3273" s="3837"/>
      <c r="C3273" s="3820" t="s">
        <v>4934</v>
      </c>
      <c r="D3273" s="666">
        <v>276010000</v>
      </c>
      <c r="E3273" s="3833">
        <f>D3273/D3160*100</f>
        <v>0.19971291295896071</v>
      </c>
      <c r="F3273" s="541"/>
      <c r="G3273" s="541"/>
      <c r="H3273" s="3836"/>
      <c r="I3273" s="1118"/>
      <c r="J3273" s="1112"/>
      <c r="K3273" s="1112"/>
      <c r="L3273" s="3836"/>
      <c r="M3273" s="2484"/>
      <c r="N3273" s="535"/>
    </row>
    <row r="3274" spans="2:14" ht="19.5" customHeight="1" x14ac:dyDescent="0.25">
      <c r="B3274" s="1242"/>
      <c r="C3274" s="3820" t="s">
        <v>4924</v>
      </c>
      <c r="D3274" s="1846">
        <v>258825000</v>
      </c>
      <c r="E3274" s="3824">
        <f>D3274/D3160*100</f>
        <v>0.18727834026521867</v>
      </c>
      <c r="F3274" s="541"/>
      <c r="G3274" s="541"/>
      <c r="H3274" s="1033"/>
      <c r="I3274" s="541"/>
      <c r="J3274" s="1112"/>
      <c r="K3274" s="1112"/>
      <c r="L3274" s="1031"/>
      <c r="M3274" s="2496"/>
      <c r="N3274" s="535"/>
    </row>
    <row r="3275" spans="2:14" ht="15.75" customHeight="1" x14ac:dyDescent="0.25">
      <c r="B3275" s="1242"/>
      <c r="C3275" s="3820" t="s">
        <v>4925</v>
      </c>
      <c r="D3275" s="1846">
        <v>318900000</v>
      </c>
      <c r="E3275" s="1487">
        <f>D3275/D3160*100</f>
        <v>0.23074688577447403</v>
      </c>
      <c r="F3275" s="542"/>
      <c r="G3275" s="666"/>
      <c r="H3275" s="1043"/>
      <c r="I3275" s="1109"/>
      <c r="J3275" s="663"/>
      <c r="K3275" s="1984"/>
      <c r="L3275" s="2435"/>
      <c r="M3275" s="2230"/>
      <c r="N3275" s="535"/>
    </row>
    <row r="3276" spans="2:14" ht="15.75" customHeight="1" x14ac:dyDescent="0.25">
      <c r="B3276" s="1242"/>
      <c r="C3276" s="3820" t="s">
        <v>4926</v>
      </c>
      <c r="D3276" s="1846">
        <v>200250000</v>
      </c>
      <c r="E3276" s="1487">
        <f>D3276/D3160*100</f>
        <v>0.14489515169751779</v>
      </c>
      <c r="F3276" s="542"/>
      <c r="G3276" s="666"/>
      <c r="H3276" s="1043"/>
      <c r="I3276" s="1109"/>
      <c r="J3276" s="663"/>
      <c r="K3276" s="1984"/>
      <c r="L3276" s="2435"/>
      <c r="M3276" s="2230"/>
      <c r="N3276" s="535"/>
    </row>
    <row r="3277" spans="2:14" ht="17.25" customHeight="1" x14ac:dyDescent="0.25">
      <c r="B3277" s="1242"/>
      <c r="C3277" s="3820" t="s">
        <v>4927</v>
      </c>
      <c r="D3277" s="1846">
        <v>143600000</v>
      </c>
      <c r="E3277" s="3838">
        <f>D3277/D3160*100</f>
        <v>0.10390483787147842</v>
      </c>
      <c r="F3277" s="663"/>
      <c r="G3277" s="666"/>
      <c r="H3277" s="1033"/>
      <c r="I3277" s="1109"/>
      <c r="J3277" s="663"/>
      <c r="K3277" s="1717"/>
      <c r="L3277" s="1312"/>
      <c r="M3277" s="2230"/>
      <c r="N3277" s="535"/>
    </row>
    <row r="3278" spans="2:14" ht="15.75" customHeight="1" x14ac:dyDescent="0.25">
      <c r="B3278" s="1242"/>
      <c r="C3278" s="3820" t="s">
        <v>4928</v>
      </c>
      <c r="D3278" s="1846">
        <v>136720000</v>
      </c>
      <c r="E3278" s="3838">
        <f>D3278/D3160*100</f>
        <v>9.8926667366215401E-2</v>
      </c>
      <c r="F3278" s="541"/>
      <c r="G3278" s="541"/>
      <c r="H3278" s="1033"/>
      <c r="I3278" s="541"/>
      <c r="J3278" s="1112"/>
      <c r="K3278" s="1112"/>
      <c r="L3278" s="1031"/>
      <c r="M3278" s="2496"/>
      <c r="N3278" s="535"/>
    </row>
    <row r="3279" spans="2:14" ht="15.75" customHeight="1" x14ac:dyDescent="0.25">
      <c r="B3279" s="1242"/>
      <c r="C3279" s="3820" t="s">
        <v>4929</v>
      </c>
      <c r="D3279" s="1846">
        <v>84750000</v>
      </c>
      <c r="E3279" s="1487">
        <f>D3279/D3160*100</f>
        <v>6.1322667197825885E-2</v>
      </c>
      <c r="F3279" s="542"/>
      <c r="G3279" s="1109"/>
      <c r="H3279" s="1043"/>
      <c r="I3279" s="1109"/>
      <c r="J3279" s="663"/>
      <c r="K3279" s="1109"/>
      <c r="L3279" s="1043"/>
      <c r="M3279" s="1109"/>
      <c r="N3279" s="535"/>
    </row>
    <row r="3280" spans="2:14" ht="17.25" customHeight="1" x14ac:dyDescent="0.25">
      <c r="B3280" s="1242"/>
      <c r="C3280" s="3820" t="s">
        <v>4930</v>
      </c>
      <c r="D3280" s="1846">
        <v>84150000</v>
      </c>
      <c r="E3280" s="1487">
        <f>D3280/D3160*100</f>
        <v>6.0888524421204106E-2</v>
      </c>
      <c r="F3280" s="542"/>
      <c r="G3280" s="666"/>
      <c r="H3280" s="1043"/>
      <c r="I3280" s="1109"/>
      <c r="J3280" s="663"/>
      <c r="K3280" s="1984"/>
      <c r="L3280" s="2435"/>
      <c r="M3280" s="2230"/>
      <c r="N3280" s="535"/>
    </row>
    <row r="3281" spans="1:16" ht="15.75" customHeight="1" x14ac:dyDescent="0.25">
      <c r="B3281" s="1242"/>
      <c r="C3281" s="3820" t="s">
        <v>4931</v>
      </c>
      <c r="D3281" s="1846">
        <v>84150000</v>
      </c>
      <c r="E3281" s="1487">
        <f>D3281/D3160*100</f>
        <v>6.0888524421204106E-2</v>
      </c>
      <c r="F3281" s="542"/>
      <c r="G3281" s="666"/>
      <c r="H3281" s="1043"/>
      <c r="I3281" s="1109"/>
      <c r="J3281" s="663"/>
      <c r="K3281" s="1984"/>
      <c r="L3281" s="2435"/>
      <c r="M3281" s="2230"/>
      <c r="N3281" s="535"/>
    </row>
    <row r="3282" spans="1:16" ht="19.5" customHeight="1" x14ac:dyDescent="0.25">
      <c r="B3282" s="1242"/>
      <c r="C3282" s="3820" t="s">
        <v>4932</v>
      </c>
      <c r="D3282" s="1846">
        <v>84150000</v>
      </c>
      <c r="E3282" s="1487">
        <f>D3282/D3160*100</f>
        <v>6.0888524421204106E-2</v>
      </c>
      <c r="F3282" s="542"/>
      <c r="G3282" s="666"/>
      <c r="H3282" s="1043"/>
      <c r="I3282" s="1109"/>
      <c r="J3282" s="663"/>
      <c r="K3282" s="1984"/>
      <c r="L3282" s="2435"/>
      <c r="M3282" s="2230"/>
      <c r="N3282" s="535"/>
    </row>
    <row r="3283" spans="1:16" ht="10.5" customHeight="1" x14ac:dyDescent="0.25">
      <c r="B3283" s="1242"/>
      <c r="C3283" s="3904"/>
      <c r="D3283" s="868"/>
      <c r="E3283" s="724"/>
      <c r="F3283" s="872"/>
      <c r="G3283" s="868"/>
      <c r="H3283" s="2174"/>
      <c r="I3283" s="2295"/>
      <c r="J3283" s="2465"/>
      <c r="K3283" s="2281"/>
      <c r="L3283" s="1323"/>
      <c r="M3283" s="2227"/>
      <c r="N3283" s="535"/>
    </row>
    <row r="3284" spans="1:16" s="3829" customFormat="1" ht="15.75" customHeight="1" x14ac:dyDescent="0.25">
      <c r="A3284" s="3830"/>
      <c r="B3284" s="3840"/>
      <c r="C3284" s="3913" t="s">
        <v>4935</v>
      </c>
      <c r="D3284" s="2659">
        <f>SUM(D3285+D3288)</f>
        <v>3295000000</v>
      </c>
      <c r="E3284" s="3815">
        <f>D3284/D3160*100</f>
        <v>2.3841674149479206</v>
      </c>
      <c r="F3284" s="5085"/>
      <c r="G3284" s="3548"/>
      <c r="H3284" s="3470"/>
      <c r="I3284" s="3839"/>
      <c r="J3284" s="3828"/>
      <c r="K3284" s="3471"/>
      <c r="L3284" s="3471"/>
      <c r="M3284" s="3273"/>
      <c r="N3284" s="3831"/>
      <c r="P3284" s="500"/>
    </row>
    <row r="3285" spans="1:16" s="3829" customFormat="1" ht="18.75" customHeight="1" x14ac:dyDescent="0.25">
      <c r="A3285" s="3830"/>
      <c r="B3285" s="3837"/>
      <c r="C3285" s="4045" t="s">
        <v>1573</v>
      </c>
      <c r="D3285" s="2026">
        <f>D3286</f>
        <v>150000000</v>
      </c>
      <c r="E3285" s="3823">
        <f>D3285/D3160*100</f>
        <v>0.10853569415544403</v>
      </c>
      <c r="F3285" s="1841"/>
      <c r="G3285" s="671"/>
      <c r="H3285" s="2255"/>
      <c r="I3285" s="2339"/>
      <c r="J3285" s="2460"/>
      <c r="K3285" s="2265"/>
      <c r="L3285" s="1703"/>
      <c r="M3285" s="2302"/>
      <c r="N3285" s="3831"/>
      <c r="P3285" s="500"/>
    </row>
    <row r="3286" spans="1:16" s="3829" customFormat="1" ht="15" customHeight="1" x14ac:dyDescent="0.25">
      <c r="A3286" s="3830"/>
      <c r="B3286" s="3837"/>
      <c r="C3286" s="3863" t="s">
        <v>4936</v>
      </c>
      <c r="D3286" s="666">
        <v>150000000</v>
      </c>
      <c r="E3286" s="1481">
        <f>D3286/D3160*100</f>
        <v>0.10853569415544403</v>
      </c>
      <c r="F3286" s="663"/>
      <c r="G3286" s="666"/>
      <c r="H3286" s="880"/>
      <c r="I3286" s="1121"/>
      <c r="J3286" s="2452"/>
      <c r="K3286" s="1717"/>
      <c r="L3286" s="1717"/>
      <c r="M3286" s="2338"/>
      <c r="N3286" s="3831"/>
      <c r="P3286" s="500"/>
    </row>
    <row r="3287" spans="1:16" s="3829" customFormat="1" ht="10.5" customHeight="1" x14ac:dyDescent="0.25">
      <c r="A3287" s="3830"/>
      <c r="B3287" s="3837"/>
      <c r="C3287" s="3863"/>
      <c r="D3287" s="666"/>
      <c r="E3287" s="3817"/>
      <c r="F3287" s="663"/>
      <c r="G3287" s="666"/>
      <c r="H3287" s="880"/>
      <c r="I3287" s="1121"/>
      <c r="J3287" s="2452"/>
      <c r="K3287" s="1717"/>
      <c r="L3287" s="1717"/>
      <c r="M3287" s="2338"/>
      <c r="N3287" s="3831"/>
      <c r="P3287" s="500"/>
    </row>
    <row r="3288" spans="1:16" s="3829" customFormat="1" ht="18" customHeight="1" x14ac:dyDescent="0.25">
      <c r="A3288" s="3830"/>
      <c r="B3288" s="3837"/>
      <c r="C3288" s="3958" t="s">
        <v>4937</v>
      </c>
      <c r="D3288" s="768">
        <f>SUM(D3289:D3290)</f>
        <v>3145000000</v>
      </c>
      <c r="E3288" s="1485">
        <f>D3288/D3160*100</f>
        <v>2.2756317207924766</v>
      </c>
      <c r="F3288" s="663"/>
      <c r="G3288" s="666"/>
      <c r="H3288" s="880"/>
      <c r="I3288" s="1121"/>
      <c r="J3288" s="2452"/>
      <c r="K3288" s="1717"/>
      <c r="L3288" s="1717"/>
      <c r="M3288" s="2338"/>
      <c r="N3288" s="3831"/>
      <c r="P3288" s="500"/>
    </row>
    <row r="3289" spans="1:16" s="3829" customFormat="1" ht="13.5" customHeight="1" x14ac:dyDescent="0.25">
      <c r="A3289" s="3830"/>
      <c r="B3289" s="3837"/>
      <c r="C3289" s="4079" t="s">
        <v>4938</v>
      </c>
      <c r="D3289" s="666">
        <v>1145000000</v>
      </c>
      <c r="E3289" s="1481">
        <f>D3289/D3160*100</f>
        <v>0.82848913205322283</v>
      </c>
      <c r="F3289" s="663"/>
      <c r="G3289" s="666"/>
      <c r="H3289" s="880"/>
      <c r="I3289" s="1121"/>
      <c r="J3289" s="2452"/>
      <c r="K3289" s="1717"/>
      <c r="L3289" s="1717"/>
      <c r="M3289" s="2338"/>
      <c r="N3289" s="3831"/>
      <c r="P3289" s="500"/>
    </row>
    <row r="3290" spans="1:16" s="3829" customFormat="1" ht="15.75" customHeight="1" x14ac:dyDescent="0.25">
      <c r="A3290" s="3830"/>
      <c r="B3290" s="3837"/>
      <c r="C3290" s="3863" t="s">
        <v>4939</v>
      </c>
      <c r="D3290" s="666">
        <v>2000000000</v>
      </c>
      <c r="E3290" s="1481">
        <f>D3290/D3160*100</f>
        <v>1.4471425887392539</v>
      </c>
      <c r="F3290" s="663"/>
      <c r="G3290" s="666"/>
      <c r="H3290" s="880"/>
      <c r="I3290" s="1121"/>
      <c r="J3290" s="2452"/>
      <c r="K3290" s="1717"/>
      <c r="L3290" s="1717"/>
      <c r="M3290" s="2338"/>
      <c r="N3290" s="3831"/>
      <c r="P3290" s="500"/>
    </row>
    <row r="3291" spans="1:16" s="3829" customFormat="1" ht="10.5" customHeight="1" x14ac:dyDescent="0.25">
      <c r="A3291" s="3830"/>
      <c r="B3291" s="3837"/>
      <c r="C3291" s="3897"/>
      <c r="D3291" s="671"/>
      <c r="E3291" s="3846"/>
      <c r="F3291" s="872"/>
      <c r="G3291" s="868"/>
      <c r="H3291" s="995"/>
      <c r="I3291" s="1916"/>
      <c r="J3291" s="2452"/>
      <c r="K3291" s="1717"/>
      <c r="L3291" s="1717"/>
      <c r="M3291" s="2338"/>
      <c r="N3291" s="3831"/>
      <c r="P3291" s="500"/>
    </row>
    <row r="3292" spans="1:16" s="3829" customFormat="1" ht="18" customHeight="1" x14ac:dyDescent="0.25">
      <c r="A3292" s="3830"/>
      <c r="B3292" s="3845"/>
      <c r="C3292" s="4070" t="s">
        <v>2333</v>
      </c>
      <c r="D3292" s="2659">
        <f>SUM(D3293+D3296)</f>
        <v>7000000000</v>
      </c>
      <c r="E3292" s="3815">
        <f>D3292/D3160*100</f>
        <v>5.0649990605873887</v>
      </c>
      <c r="F3292" s="3821"/>
      <c r="G3292" s="3548"/>
      <c r="H3292" s="3470"/>
      <c r="I3292" s="3839"/>
      <c r="J3292" s="2452"/>
      <c r="K3292" s="1717"/>
      <c r="L3292" s="1717"/>
      <c r="M3292" s="2338"/>
      <c r="N3292" s="3831"/>
      <c r="P3292" s="500"/>
    </row>
    <row r="3293" spans="1:16" s="3829" customFormat="1" ht="17.25" customHeight="1" x14ac:dyDescent="0.25">
      <c r="A3293" s="3830"/>
      <c r="B3293" s="3837"/>
      <c r="C3293" s="4064" t="s">
        <v>4940</v>
      </c>
      <c r="D3293" s="768">
        <f>D3294</f>
        <v>5000000000</v>
      </c>
      <c r="E3293" s="1485">
        <f>D3293/D3160*100</f>
        <v>3.6178564718481345</v>
      </c>
      <c r="F3293" s="663"/>
      <c r="G3293" s="666"/>
      <c r="H3293" s="880"/>
      <c r="I3293" s="1121"/>
      <c r="J3293" s="2452"/>
      <c r="K3293" s="1717"/>
      <c r="L3293" s="1717"/>
      <c r="M3293" s="2338"/>
      <c r="N3293" s="3831"/>
      <c r="P3293" s="500"/>
    </row>
    <row r="3294" spans="1:16" s="3829" customFormat="1" ht="15.75" customHeight="1" x14ac:dyDescent="0.25">
      <c r="A3294" s="3830"/>
      <c r="B3294" s="3837"/>
      <c r="C3294" s="3959" t="s">
        <v>4941</v>
      </c>
      <c r="D3294" s="780">
        <v>5000000000</v>
      </c>
      <c r="E3294" s="1481">
        <f>D3294/D3160*100</f>
        <v>3.6178564718481345</v>
      </c>
      <c r="F3294" s="663"/>
      <c r="G3294" s="666"/>
      <c r="H3294" s="880"/>
      <c r="I3294" s="1121"/>
      <c r="J3294" s="2452"/>
      <c r="K3294" s="1717"/>
      <c r="L3294" s="1717"/>
      <c r="M3294" s="2338"/>
      <c r="N3294" s="3831"/>
      <c r="P3294" s="500"/>
    </row>
    <row r="3295" spans="1:16" s="3829" customFormat="1" ht="10.5" customHeight="1" x14ac:dyDescent="0.25">
      <c r="A3295" s="3830"/>
      <c r="B3295" s="3837"/>
      <c r="C3295" s="3959"/>
      <c r="D3295" s="780"/>
      <c r="E3295" s="1481"/>
      <c r="F3295" s="663"/>
      <c r="G3295" s="666"/>
      <c r="H3295" s="880"/>
      <c r="I3295" s="1121"/>
      <c r="J3295" s="2452"/>
      <c r="K3295" s="1717"/>
      <c r="L3295" s="1717"/>
      <c r="M3295" s="2338"/>
      <c r="N3295" s="3831"/>
      <c r="P3295" s="500"/>
    </row>
    <row r="3296" spans="1:16" s="3829" customFormat="1" ht="15.75" customHeight="1" x14ac:dyDescent="0.25">
      <c r="A3296" s="3830"/>
      <c r="B3296" s="3837"/>
      <c r="C3296" s="4045" t="s">
        <v>4942</v>
      </c>
      <c r="D3296" s="768">
        <f>D3297</f>
        <v>2000000000</v>
      </c>
      <c r="E3296" s="1485">
        <f>D3296/D3160*100</f>
        <v>1.4471425887392539</v>
      </c>
      <c r="F3296" s="663"/>
      <c r="G3296" s="666"/>
      <c r="H3296" s="880"/>
      <c r="I3296" s="1121"/>
      <c r="J3296" s="2452"/>
      <c r="K3296" s="1717"/>
      <c r="L3296" s="1717"/>
      <c r="M3296" s="2338"/>
      <c r="N3296" s="3831"/>
      <c r="P3296" s="500"/>
    </row>
    <row r="3297" spans="1:16" s="3829" customFormat="1" ht="16.5" customHeight="1" x14ac:dyDescent="0.25">
      <c r="A3297" s="3830"/>
      <c r="B3297" s="3837"/>
      <c r="C3297" s="3863" t="s">
        <v>4943</v>
      </c>
      <c r="D3297" s="666">
        <v>2000000000</v>
      </c>
      <c r="E3297" s="1481">
        <f>D3297/D3160*100</f>
        <v>1.4471425887392539</v>
      </c>
      <c r="F3297" s="663"/>
      <c r="G3297" s="666"/>
      <c r="H3297" s="880"/>
      <c r="I3297" s="1121"/>
      <c r="J3297" s="2452"/>
      <c r="K3297" s="1717"/>
      <c r="L3297" s="1717"/>
      <c r="M3297" s="2338"/>
      <c r="N3297" s="3831"/>
      <c r="P3297" s="500"/>
    </row>
    <row r="3298" spans="1:16" s="3829" customFormat="1" ht="10.5" customHeight="1" x14ac:dyDescent="0.25">
      <c r="A3298" s="3830"/>
      <c r="B3298" s="3837"/>
      <c r="C3298" s="3897"/>
      <c r="D3298" s="671"/>
      <c r="E3298" s="3832"/>
      <c r="F3298" s="1841"/>
      <c r="G3298" s="671"/>
      <c r="H3298" s="2255"/>
      <c r="I3298" s="2339"/>
      <c r="J3298" s="2460"/>
      <c r="K3298" s="2265"/>
      <c r="L3298" s="1703"/>
      <c r="M3298" s="2302"/>
      <c r="N3298" s="3831"/>
      <c r="P3298" s="500"/>
    </row>
    <row r="3299" spans="1:16" s="3829" customFormat="1" ht="17.25" customHeight="1" x14ac:dyDescent="0.25">
      <c r="A3299" s="3830"/>
      <c r="B3299" s="4050"/>
      <c r="C3299" s="4070" t="s">
        <v>2334</v>
      </c>
      <c r="D3299" s="2659">
        <f>SUM(D3300+D3305+D3311)</f>
        <v>3520000000</v>
      </c>
      <c r="E3299" s="3815">
        <f>D3299/D3160*100</f>
        <v>2.5469709561810867</v>
      </c>
      <c r="F3299" s="3821"/>
      <c r="G3299" s="3548"/>
      <c r="H3299" s="3470"/>
      <c r="I3299" s="3839"/>
      <c r="J3299" s="3828"/>
      <c r="K3299" s="3471"/>
      <c r="L3299" s="3471"/>
      <c r="M3299" s="3273"/>
      <c r="N3299" s="3831"/>
      <c r="P3299" s="500"/>
    </row>
    <row r="3300" spans="1:16" s="3841" customFormat="1" ht="18" customHeight="1" x14ac:dyDescent="0.25">
      <c r="A3300" s="3842"/>
      <c r="B3300" s="3844"/>
      <c r="C3300" s="4069" t="s">
        <v>4944</v>
      </c>
      <c r="D3300" s="768">
        <f>SUM(D3301:D3303)</f>
        <v>920000000</v>
      </c>
      <c r="E3300" s="1485">
        <f>D3300/D3160*100</f>
        <v>0.66568559082005674</v>
      </c>
      <c r="F3300" s="663"/>
      <c r="G3300" s="666"/>
      <c r="H3300" s="880"/>
      <c r="I3300" s="1121"/>
      <c r="J3300" s="2452"/>
      <c r="K3300" s="1717"/>
      <c r="L3300" s="1717"/>
      <c r="M3300" s="2338"/>
      <c r="N3300" s="3843"/>
      <c r="P3300" s="500"/>
    </row>
    <row r="3301" spans="1:16" s="3841" customFormat="1" ht="15.75" customHeight="1" x14ac:dyDescent="0.25">
      <c r="A3301" s="3842"/>
      <c r="B3301" s="3844"/>
      <c r="C3301" s="3827" t="s">
        <v>4945</v>
      </c>
      <c r="D3301" s="780">
        <v>260000000</v>
      </c>
      <c r="E3301" s="1481">
        <f>D3301/D3160*100</f>
        <v>0.18812853653610301</v>
      </c>
      <c r="F3301" s="663"/>
      <c r="G3301" s="666"/>
      <c r="H3301" s="880"/>
      <c r="I3301" s="1121"/>
      <c r="J3301" s="2452"/>
      <c r="K3301" s="1717"/>
      <c r="L3301" s="1717"/>
      <c r="M3301" s="2338"/>
      <c r="N3301" s="3843"/>
      <c r="P3301" s="500"/>
    </row>
    <row r="3302" spans="1:16" s="3841" customFormat="1" ht="13.5" customHeight="1" x14ac:dyDescent="0.25">
      <c r="A3302" s="3842"/>
      <c r="B3302" s="3844"/>
      <c r="C3302" s="3917" t="s">
        <v>4946</v>
      </c>
      <c r="D3302" s="780">
        <v>260000000</v>
      </c>
      <c r="E3302" s="1481">
        <f>D3302/D3160*100</f>
        <v>0.18812853653610301</v>
      </c>
      <c r="F3302" s="663"/>
      <c r="G3302" s="666"/>
      <c r="H3302" s="880"/>
      <c r="I3302" s="1121"/>
      <c r="J3302" s="2452"/>
      <c r="K3302" s="1717"/>
      <c r="L3302" s="1717"/>
      <c r="M3302" s="2338"/>
      <c r="N3302" s="3843"/>
      <c r="P3302" s="500"/>
    </row>
    <row r="3303" spans="1:16" s="3841" customFormat="1" ht="16.5" customHeight="1" x14ac:dyDescent="0.25">
      <c r="A3303" s="3842"/>
      <c r="B3303" s="3844"/>
      <c r="C3303" s="3917" t="s">
        <v>4947</v>
      </c>
      <c r="D3303" s="780">
        <v>400000000</v>
      </c>
      <c r="E3303" s="1481">
        <f>D3303/D3160*100</f>
        <v>0.28942851774785078</v>
      </c>
      <c r="F3303" s="663"/>
      <c r="G3303" s="666"/>
      <c r="H3303" s="880"/>
      <c r="I3303" s="1121"/>
      <c r="J3303" s="2452"/>
      <c r="K3303" s="1717"/>
      <c r="L3303" s="1717"/>
      <c r="M3303" s="2338"/>
      <c r="N3303" s="3843"/>
      <c r="P3303" s="500"/>
    </row>
    <row r="3304" spans="1:16" s="3841" customFormat="1" ht="10.5" customHeight="1" x14ac:dyDescent="0.25">
      <c r="A3304" s="3842"/>
      <c r="B3304" s="3844"/>
      <c r="C3304" s="3917"/>
      <c r="D3304" s="780"/>
      <c r="E3304" s="1481"/>
      <c r="F3304" s="663"/>
      <c r="G3304" s="666"/>
      <c r="H3304" s="880"/>
      <c r="I3304" s="1121"/>
      <c r="J3304" s="2452"/>
      <c r="K3304" s="1717"/>
      <c r="L3304" s="1717"/>
      <c r="M3304" s="2338"/>
      <c r="N3304" s="3843"/>
      <c r="P3304" s="500"/>
    </row>
    <row r="3305" spans="1:16" s="3841" customFormat="1" ht="19.5" customHeight="1" x14ac:dyDescent="0.25">
      <c r="A3305" s="3842"/>
      <c r="B3305" s="3844"/>
      <c r="C3305" s="3938" t="s">
        <v>4948</v>
      </c>
      <c r="D3305" s="768">
        <f>+SUM(D3306:D3309)</f>
        <v>2440000000</v>
      </c>
      <c r="E3305" s="4053">
        <f>D3305/D3160*100</f>
        <v>1.7655139582618897</v>
      </c>
      <c r="F3305" s="663"/>
      <c r="G3305" s="666"/>
      <c r="H3305" s="880"/>
      <c r="I3305" s="1121"/>
      <c r="J3305" s="2452"/>
      <c r="K3305" s="1717"/>
      <c r="L3305" s="1717"/>
      <c r="M3305" s="2338"/>
      <c r="N3305" s="3843"/>
      <c r="P3305" s="500"/>
    </row>
    <row r="3306" spans="1:16" s="3841" customFormat="1" ht="27" customHeight="1" x14ac:dyDescent="0.25">
      <c r="A3306" s="3842"/>
      <c r="B3306" s="3844"/>
      <c r="C3306" s="3826" t="s">
        <v>4949</v>
      </c>
      <c r="D3306" s="780">
        <v>400000000</v>
      </c>
      <c r="E3306" s="4051">
        <f>D3306/D3160*100</f>
        <v>0.28942851774785078</v>
      </c>
      <c r="F3306" s="663"/>
      <c r="G3306" s="666"/>
      <c r="H3306" s="880"/>
      <c r="I3306" s="1121"/>
      <c r="J3306" s="2452"/>
      <c r="K3306" s="1717"/>
      <c r="L3306" s="1717"/>
      <c r="M3306" s="2338"/>
      <c r="N3306" s="3843"/>
      <c r="P3306" s="500"/>
    </row>
    <row r="3307" spans="1:16" s="3841" customFormat="1" ht="17.25" customHeight="1" x14ac:dyDescent="0.25">
      <c r="A3307" s="3842"/>
      <c r="B3307" s="3844"/>
      <c r="C3307" s="3826" t="s">
        <v>4950</v>
      </c>
      <c r="D3307" s="4231">
        <v>1140000000</v>
      </c>
      <c r="E3307" s="1481">
        <f>D3307/D3160*100</f>
        <v>0.82487127558137463</v>
      </c>
      <c r="F3307" s="663"/>
      <c r="G3307" s="666"/>
      <c r="H3307" s="880"/>
      <c r="I3307" s="1121"/>
      <c r="J3307" s="2452"/>
      <c r="K3307" s="1717"/>
      <c r="L3307" s="1717"/>
      <c r="M3307" s="2338"/>
      <c r="N3307" s="3843"/>
      <c r="P3307" s="500"/>
    </row>
    <row r="3308" spans="1:16" s="3841" customFormat="1" ht="15.75" customHeight="1" x14ac:dyDescent="0.25">
      <c r="A3308" s="3842"/>
      <c r="B3308" s="3844"/>
      <c r="C3308" s="3826" t="s">
        <v>4951</v>
      </c>
      <c r="D3308" s="4231">
        <v>400000000</v>
      </c>
      <c r="E3308" s="1481">
        <f>D3308/D3160*100</f>
        <v>0.28942851774785078</v>
      </c>
      <c r="F3308" s="663"/>
      <c r="G3308" s="666"/>
      <c r="H3308" s="880"/>
      <c r="I3308" s="1121"/>
      <c r="J3308" s="2452"/>
      <c r="K3308" s="1717"/>
      <c r="L3308" s="1717"/>
      <c r="M3308" s="2338"/>
      <c r="N3308" s="3843"/>
      <c r="P3308" s="500"/>
    </row>
    <row r="3309" spans="1:16" s="3841" customFormat="1" ht="18" customHeight="1" x14ac:dyDescent="0.25">
      <c r="A3309" s="3842"/>
      <c r="B3309" s="3844"/>
      <c r="C3309" s="3826" t="s">
        <v>4952</v>
      </c>
      <c r="D3309" s="4231">
        <v>500000000</v>
      </c>
      <c r="E3309" s="1481">
        <f>D3309/D3160*100</f>
        <v>0.36178564718481349</v>
      </c>
      <c r="F3309" s="663"/>
      <c r="G3309" s="666"/>
      <c r="H3309" s="880"/>
      <c r="I3309" s="1121"/>
      <c r="J3309" s="2452"/>
      <c r="K3309" s="1717"/>
      <c r="L3309" s="1717"/>
      <c r="M3309" s="2338"/>
      <c r="N3309" s="3843"/>
      <c r="P3309" s="500"/>
    </row>
    <row r="3310" spans="1:16" s="3841" customFormat="1" ht="10.5" customHeight="1" x14ac:dyDescent="0.25">
      <c r="A3310" s="3842"/>
      <c r="B3310" s="3844"/>
      <c r="C3310" s="3917"/>
      <c r="D3310" s="780"/>
      <c r="E3310" s="1481"/>
      <c r="F3310" s="663"/>
      <c r="G3310" s="666"/>
      <c r="H3310" s="880"/>
      <c r="I3310" s="1121"/>
      <c r="J3310" s="2452"/>
      <c r="K3310" s="1717"/>
      <c r="L3310" s="1717"/>
      <c r="M3310" s="2338"/>
      <c r="N3310" s="3843"/>
      <c r="P3310" s="500"/>
    </row>
    <row r="3311" spans="1:16" s="3829" customFormat="1" ht="18.75" customHeight="1" x14ac:dyDescent="0.25">
      <c r="A3311" s="3830"/>
      <c r="B3311" s="3837"/>
      <c r="C3311" s="3938" t="s">
        <v>4953</v>
      </c>
      <c r="D3311" s="768">
        <f>D3312</f>
        <v>160000000</v>
      </c>
      <c r="E3311" s="1481">
        <f>D3311/D3160*100</f>
        <v>0.11577140709914031</v>
      </c>
      <c r="F3311" s="663"/>
      <c r="G3311" s="666"/>
      <c r="H3311" s="880"/>
      <c r="I3311" s="1121"/>
      <c r="J3311" s="2452"/>
      <c r="K3311" s="1717"/>
      <c r="L3311" s="1717"/>
      <c r="M3311" s="2338"/>
      <c r="N3311" s="3831"/>
      <c r="P3311" s="500"/>
    </row>
    <row r="3312" spans="1:16" s="3829" customFormat="1" ht="16.5" customHeight="1" x14ac:dyDescent="0.25">
      <c r="A3312" s="3830"/>
      <c r="B3312" s="3837"/>
      <c r="C3312" s="3860" t="s">
        <v>4954</v>
      </c>
      <c r="D3312" s="666">
        <v>160000000</v>
      </c>
      <c r="E3312" s="1481">
        <f>D3312/D3160*100</f>
        <v>0.11577140709914031</v>
      </c>
      <c r="F3312" s="663"/>
      <c r="G3312" s="666"/>
      <c r="H3312" s="880"/>
      <c r="I3312" s="1121"/>
      <c r="J3312" s="2452"/>
      <c r="K3312" s="1717"/>
      <c r="L3312" s="1717"/>
      <c r="M3312" s="2338"/>
      <c r="N3312" s="3831"/>
      <c r="P3312" s="500"/>
    </row>
    <row r="3313" spans="1:16" s="3829" customFormat="1" ht="10.5" customHeight="1" x14ac:dyDescent="0.25">
      <c r="A3313" s="3830"/>
      <c r="B3313" s="3837"/>
      <c r="C3313" s="3897"/>
      <c r="D3313" s="671"/>
      <c r="E3313" s="3832"/>
      <c r="F3313" s="1841"/>
      <c r="G3313" s="671"/>
      <c r="H3313" s="2255"/>
      <c r="I3313" s="2339"/>
      <c r="J3313" s="2460"/>
      <c r="K3313" s="2265"/>
      <c r="L3313" s="1703"/>
      <c r="M3313" s="2302"/>
      <c r="N3313" s="3831"/>
      <c r="P3313" s="500"/>
    </row>
    <row r="3314" spans="1:16" ht="16.5" customHeight="1" x14ac:dyDescent="0.25">
      <c r="B3314" s="1305"/>
      <c r="C3314" s="3875" t="s">
        <v>265</v>
      </c>
      <c r="D3314" s="4283">
        <f>D3315</f>
        <v>1200000000</v>
      </c>
      <c r="E3314" s="1479">
        <f>D3314/D3160*100</f>
        <v>0.86828555324355228</v>
      </c>
      <c r="F3314" s="847"/>
      <c r="G3314" s="1107"/>
      <c r="H3314" s="1050"/>
      <c r="I3314" s="1107"/>
      <c r="J3314" s="1824"/>
      <c r="K3314" s="1824"/>
      <c r="L3314" s="1030"/>
      <c r="M3314" s="2500"/>
      <c r="N3314" s="535"/>
    </row>
    <row r="3315" spans="1:16" ht="15.75" customHeight="1" x14ac:dyDescent="0.25">
      <c r="B3315" s="1242"/>
      <c r="C3315" s="4102" t="s">
        <v>4955</v>
      </c>
      <c r="D3315" s="667">
        <v>1200000000</v>
      </c>
      <c r="E3315" s="1488">
        <f>D3315/D3160*100</f>
        <v>0.86828555324355228</v>
      </c>
      <c r="F3315" s="867"/>
      <c r="G3315" s="1109"/>
      <c r="H3315" s="1647"/>
      <c r="I3315" s="1109"/>
      <c r="J3315" s="1840"/>
      <c r="K3315" s="1840"/>
      <c r="L3315" s="1031"/>
      <c r="M3315" s="2345"/>
      <c r="N3315" s="535"/>
    </row>
    <row r="3316" spans="1:16" ht="17.25" customHeight="1" x14ac:dyDescent="0.25">
      <c r="B3316" s="1242"/>
      <c r="C3316" s="4124" t="s">
        <v>4956</v>
      </c>
      <c r="D3316" s="386">
        <v>600000000</v>
      </c>
      <c r="E3316" s="1487">
        <f>D3316/D3160*100</f>
        <v>0.43414277662177614</v>
      </c>
      <c r="F3316" s="542"/>
      <c r="G3316" s="1109"/>
      <c r="H3316" s="1647"/>
      <c r="I3316" s="1109"/>
      <c r="J3316" s="663"/>
      <c r="K3316" s="663"/>
      <c r="L3316" s="2435"/>
      <c r="M3316" s="2230"/>
      <c r="N3316" s="535"/>
    </row>
    <row r="3317" spans="1:16" ht="15.75" customHeight="1" x14ac:dyDescent="0.25">
      <c r="B3317" s="1242"/>
      <c r="C3317" s="4124" t="s">
        <v>4957</v>
      </c>
      <c r="D3317" s="386">
        <v>600000000</v>
      </c>
      <c r="E3317" s="1487">
        <f>D3317/D3160*100</f>
        <v>0.43414277662177614</v>
      </c>
      <c r="F3317" s="542"/>
      <c r="G3317" s="1109"/>
      <c r="H3317" s="1647"/>
      <c r="I3317" s="1109"/>
      <c r="J3317" s="663"/>
      <c r="K3317" s="663"/>
      <c r="L3317" s="2435"/>
      <c r="M3317" s="2230"/>
      <c r="N3317" s="535"/>
    </row>
    <row r="3318" spans="1:16" ht="12" customHeight="1" x14ac:dyDescent="0.25">
      <c r="B3318" s="1242"/>
      <c r="D3318" s="671"/>
      <c r="E3318" s="724"/>
      <c r="F3318" s="653"/>
      <c r="G3318" s="671"/>
      <c r="H3318" s="2255"/>
      <c r="I3318" s="2339"/>
      <c r="J3318" s="2460"/>
      <c r="K3318" s="2265"/>
      <c r="L3318" s="1703"/>
      <c r="M3318" s="2302"/>
      <c r="N3318" s="535"/>
    </row>
    <row r="3319" spans="1:16" ht="18" customHeight="1" x14ac:dyDescent="0.25">
      <c r="B3319" s="1305"/>
      <c r="C3319" s="3875" t="s">
        <v>1945</v>
      </c>
      <c r="D3319" s="669">
        <f>D3320+D3325+D3333+D3337+D3329</f>
        <v>3050000000</v>
      </c>
      <c r="E3319" s="1479">
        <f>D3319/D3160*100</f>
        <v>2.2068924478273622</v>
      </c>
      <c r="F3319" s="847"/>
      <c r="G3319" s="1107"/>
      <c r="H3319" s="1050"/>
      <c r="I3319" s="1107"/>
      <c r="J3319" s="1824"/>
      <c r="K3319" s="1824"/>
      <c r="L3319" s="1030"/>
      <c r="M3319" s="2066"/>
      <c r="N3319" s="535"/>
    </row>
    <row r="3320" spans="1:16" ht="18.75" customHeight="1" x14ac:dyDescent="0.25">
      <c r="B3320" s="1242"/>
      <c r="C3320" s="4103" t="s">
        <v>4958</v>
      </c>
      <c r="D3320" s="673">
        <f>SUM(D3321:D3323)</f>
        <v>1225000000</v>
      </c>
      <c r="E3320" s="1025">
        <f>D3320/D3160*100</f>
        <v>0.88637483560279307</v>
      </c>
      <c r="F3320" s="541"/>
      <c r="G3320" s="1109"/>
      <c r="H3320" s="1647"/>
      <c r="I3320" s="1109"/>
      <c r="J3320" s="1112"/>
      <c r="K3320" s="1112"/>
      <c r="L3320" s="1031"/>
      <c r="M3320" s="2006"/>
      <c r="N3320" s="535"/>
    </row>
    <row r="3321" spans="1:16" ht="15" customHeight="1" x14ac:dyDescent="0.25">
      <c r="B3321" s="1242"/>
      <c r="C3321" s="4106" t="s">
        <v>4959</v>
      </c>
      <c r="D3321" s="666">
        <v>700000000</v>
      </c>
      <c r="E3321" s="1487">
        <f>D3321/D3160*100</f>
        <v>0.50649990605873885</v>
      </c>
      <c r="F3321" s="542"/>
      <c r="G3321" s="1109"/>
      <c r="H3321" s="1647"/>
      <c r="I3321" s="1109"/>
      <c r="J3321" s="663"/>
      <c r="K3321" s="663"/>
      <c r="L3321" s="2435"/>
      <c r="M3321" s="2230"/>
      <c r="N3321" s="535"/>
    </row>
    <row r="3322" spans="1:16" ht="14.25" customHeight="1" x14ac:dyDescent="0.25">
      <c r="B3322" s="1242"/>
      <c r="C3322" s="4106" t="s">
        <v>4960</v>
      </c>
      <c r="D3322" s="666">
        <v>180000000</v>
      </c>
      <c r="E3322" s="1487">
        <f>D3322/D3160*100</f>
        <v>0.13024283298653283</v>
      </c>
      <c r="F3322" s="542"/>
      <c r="G3322" s="1109"/>
      <c r="H3322" s="1647"/>
      <c r="I3322" s="1109"/>
      <c r="J3322" s="663"/>
      <c r="K3322" s="663"/>
      <c r="L3322" s="2435"/>
      <c r="M3322" s="2230"/>
      <c r="N3322" s="535"/>
    </row>
    <row r="3323" spans="1:16" ht="16.5" customHeight="1" x14ac:dyDescent="0.25">
      <c r="B3323" s="1242"/>
      <c r="C3323" s="4104" t="s">
        <v>4961</v>
      </c>
      <c r="D3323" s="666">
        <v>345000000</v>
      </c>
      <c r="E3323" s="4121">
        <f>D3323/D3160*100</f>
        <v>0.24963209655752128</v>
      </c>
      <c r="F3323" s="1106"/>
      <c r="G3323" s="666"/>
      <c r="H3323" s="880"/>
      <c r="I3323" s="1121"/>
      <c r="J3323" s="2452"/>
      <c r="K3323" s="1717"/>
      <c r="L3323" s="1717"/>
      <c r="M3323" s="2338"/>
      <c r="N3323" s="535"/>
    </row>
    <row r="3324" spans="1:16" s="4099" customFormat="1" ht="12" customHeight="1" x14ac:dyDescent="0.25">
      <c r="A3324" s="4101"/>
      <c r="B3324" s="4119"/>
      <c r="C3324" s="4104"/>
      <c r="D3324" s="666"/>
      <c r="E3324" s="4121"/>
      <c r="F3324" s="1106"/>
      <c r="G3324" s="666"/>
      <c r="H3324" s="880"/>
      <c r="I3324" s="1121"/>
      <c r="J3324" s="2452"/>
      <c r="K3324" s="1717"/>
      <c r="L3324" s="1717"/>
      <c r="M3324" s="2338"/>
      <c r="N3324" s="4109"/>
      <c r="P3324" s="500"/>
    </row>
    <row r="3325" spans="1:16" s="4099" customFormat="1" ht="16.5" customHeight="1" x14ac:dyDescent="0.25">
      <c r="A3325" s="4101"/>
      <c r="B3325" s="4119"/>
      <c r="C3325" s="4116" t="s">
        <v>4962</v>
      </c>
      <c r="D3325" s="673">
        <f>SUM(D3326:D3327)</f>
        <v>300000000</v>
      </c>
      <c r="E3325" s="4122">
        <f>D3325/D3160*100</f>
        <v>0.21707138831088807</v>
      </c>
      <c r="F3325" s="1106"/>
      <c r="G3325" s="666"/>
      <c r="H3325" s="880"/>
      <c r="I3325" s="1121"/>
      <c r="J3325" s="2452"/>
      <c r="K3325" s="1717"/>
      <c r="L3325" s="1717"/>
      <c r="M3325" s="2338"/>
      <c r="N3325" s="4109"/>
      <c r="P3325" s="500"/>
    </row>
    <row r="3326" spans="1:16" s="4099" customFormat="1" ht="14.25" customHeight="1" x14ac:dyDescent="0.25">
      <c r="A3326" s="4101"/>
      <c r="B3326" s="4119"/>
      <c r="C3326" s="4104" t="s">
        <v>4963</v>
      </c>
      <c r="D3326" s="666">
        <v>100000000</v>
      </c>
      <c r="E3326" s="4121">
        <f>D3326/D3160*100</f>
        <v>7.2357129436962694E-2</v>
      </c>
      <c r="F3326" s="1106"/>
      <c r="G3326" s="666"/>
      <c r="H3326" s="880"/>
      <c r="I3326" s="1121"/>
      <c r="J3326" s="2452"/>
      <c r="K3326" s="1717"/>
      <c r="L3326" s="1717"/>
      <c r="M3326" s="2338"/>
      <c r="N3326" s="4109"/>
      <c r="P3326" s="500"/>
    </row>
    <row r="3327" spans="1:16" s="4099" customFormat="1" ht="14.25" customHeight="1" x14ac:dyDescent="0.25">
      <c r="A3327" s="4101"/>
      <c r="B3327" s="4119"/>
      <c r="C3327" s="4104" t="s">
        <v>4964</v>
      </c>
      <c r="D3327" s="666">
        <v>200000000</v>
      </c>
      <c r="E3327" s="4121">
        <f>D3327/D3160*100</f>
        <v>0.14471425887392539</v>
      </c>
      <c r="F3327" s="1106"/>
      <c r="G3327" s="666"/>
      <c r="H3327" s="880"/>
      <c r="I3327" s="1121"/>
      <c r="J3327" s="2452"/>
      <c r="K3327" s="1717"/>
      <c r="L3327" s="1717"/>
      <c r="M3327" s="2338"/>
      <c r="N3327" s="4109"/>
      <c r="P3327" s="500"/>
    </row>
    <row r="3328" spans="1:16" s="4099" customFormat="1" ht="11.25" customHeight="1" x14ac:dyDescent="0.25">
      <c r="A3328" s="4101"/>
      <c r="B3328" s="4119"/>
      <c r="C3328" s="4104"/>
      <c r="D3328" s="666"/>
      <c r="E3328" s="4121"/>
      <c r="F3328" s="1106"/>
      <c r="G3328" s="666"/>
      <c r="H3328" s="880"/>
      <c r="I3328" s="1121"/>
      <c r="J3328" s="2452"/>
      <c r="K3328" s="1717"/>
      <c r="L3328" s="1717"/>
      <c r="M3328" s="2338"/>
      <c r="N3328" s="4109"/>
      <c r="P3328" s="500"/>
    </row>
    <row r="3329" spans="1:16" s="4099" customFormat="1" ht="14.25" customHeight="1" x14ac:dyDescent="0.25">
      <c r="A3329" s="4101"/>
      <c r="B3329" s="4119"/>
      <c r="C3329" s="4116" t="s">
        <v>4965</v>
      </c>
      <c r="D3329" s="673">
        <v>500000000</v>
      </c>
      <c r="E3329" s="4122">
        <f>D3329/D3160*100</f>
        <v>0.36178564718481349</v>
      </c>
      <c r="F3329" s="1106"/>
      <c r="G3329" s="666"/>
      <c r="H3329" s="880"/>
      <c r="I3329" s="1121"/>
      <c r="J3329" s="2452"/>
      <c r="K3329" s="1717"/>
      <c r="L3329" s="1717"/>
      <c r="M3329" s="2338"/>
      <c r="N3329" s="4109"/>
      <c r="P3329" s="500"/>
    </row>
    <row r="3330" spans="1:16" s="4099" customFormat="1" ht="14.25" customHeight="1" x14ac:dyDescent="0.25">
      <c r="A3330" s="4101"/>
      <c r="B3330" s="4119"/>
      <c r="C3330" s="4104" t="s">
        <v>4966</v>
      </c>
      <c r="D3330" s="666">
        <v>350000000</v>
      </c>
      <c r="E3330" s="4121">
        <f>D3330/D3160*100</f>
        <v>0.25324995302936942</v>
      </c>
      <c r="F3330" s="1106"/>
      <c r="G3330" s="666"/>
      <c r="H3330" s="880"/>
      <c r="I3330" s="1121"/>
      <c r="J3330" s="2452"/>
      <c r="K3330" s="1717"/>
      <c r="L3330" s="1717"/>
      <c r="M3330" s="2338"/>
      <c r="N3330" s="4109"/>
      <c r="P3330" s="500"/>
    </row>
    <row r="3331" spans="1:16" s="4099" customFormat="1" ht="14.25" customHeight="1" x14ac:dyDescent="0.25">
      <c r="A3331" s="4101"/>
      <c r="B3331" s="4119"/>
      <c r="C3331" s="4104" t="s">
        <v>4967</v>
      </c>
      <c r="D3331" s="666">
        <v>150000000</v>
      </c>
      <c r="E3331" s="4121">
        <f>D3331/D3160*100</f>
        <v>0.10853569415544403</v>
      </c>
      <c r="F3331" s="1106"/>
      <c r="G3331" s="666"/>
      <c r="H3331" s="880"/>
      <c r="I3331" s="1121"/>
      <c r="J3331" s="2452"/>
      <c r="K3331" s="1717"/>
      <c r="L3331" s="1717"/>
      <c r="M3331" s="2338"/>
      <c r="N3331" s="4109"/>
      <c r="P3331" s="500"/>
    </row>
    <row r="3332" spans="1:16" s="4099" customFormat="1" ht="9" customHeight="1" x14ac:dyDescent="0.25">
      <c r="A3332" s="4101"/>
      <c r="B3332" s="4119"/>
      <c r="C3332" s="4116"/>
      <c r="D3332" s="673"/>
      <c r="E3332" s="4121"/>
      <c r="F3332" s="1106"/>
      <c r="G3332" s="666"/>
      <c r="H3332" s="880"/>
      <c r="I3332" s="1121"/>
      <c r="J3332" s="2452"/>
      <c r="K3332" s="1717"/>
      <c r="L3332" s="1717"/>
      <c r="M3332" s="2338"/>
      <c r="N3332" s="4109"/>
      <c r="P3332" s="500"/>
    </row>
    <row r="3333" spans="1:16" s="4099" customFormat="1" ht="18.75" customHeight="1" x14ac:dyDescent="0.25">
      <c r="A3333" s="4101"/>
      <c r="B3333" s="4119"/>
      <c r="C3333" s="4116" t="s">
        <v>4968</v>
      </c>
      <c r="D3333" s="673">
        <f>SUM(D3334:D3335)</f>
        <v>200000000</v>
      </c>
      <c r="E3333" s="4122">
        <f>D3333/D3160*100</f>
        <v>0.14471425887392539</v>
      </c>
      <c r="F3333" s="1106"/>
      <c r="G3333" s="666"/>
      <c r="H3333" s="880"/>
      <c r="I3333" s="1121"/>
      <c r="J3333" s="2452"/>
      <c r="K3333" s="1717"/>
      <c r="L3333" s="1717"/>
      <c r="M3333" s="2338"/>
      <c r="N3333" s="4109"/>
      <c r="P3333" s="500"/>
    </row>
    <row r="3334" spans="1:16" s="4099" customFormat="1" ht="14.25" customHeight="1" x14ac:dyDescent="0.25">
      <c r="A3334" s="4101"/>
      <c r="B3334" s="4119"/>
      <c r="C3334" s="4104" t="s">
        <v>4969</v>
      </c>
      <c r="D3334" s="666">
        <v>100000000</v>
      </c>
      <c r="E3334" s="4121">
        <f>D3334/D3160*100</f>
        <v>7.2357129436962694E-2</v>
      </c>
      <c r="F3334" s="1106"/>
      <c r="G3334" s="666"/>
      <c r="H3334" s="880"/>
      <c r="I3334" s="1121"/>
      <c r="J3334" s="2452"/>
      <c r="K3334" s="1717"/>
      <c r="L3334" s="1717"/>
      <c r="M3334" s="2338"/>
      <c r="N3334" s="4109"/>
      <c r="P3334" s="500"/>
    </row>
    <row r="3335" spans="1:16" s="4099" customFormat="1" ht="14.25" customHeight="1" x14ac:dyDescent="0.25">
      <c r="A3335" s="4101"/>
      <c r="B3335" s="4119"/>
      <c r="C3335" s="4104" t="s">
        <v>4970</v>
      </c>
      <c r="D3335" s="666">
        <v>100000000</v>
      </c>
      <c r="E3335" s="4121">
        <f>D3335/D3160*100</f>
        <v>7.2357129436962694E-2</v>
      </c>
      <c r="F3335" s="1106"/>
      <c r="G3335" s="666"/>
      <c r="H3335" s="880"/>
      <c r="I3335" s="1121"/>
      <c r="J3335" s="2452"/>
      <c r="K3335" s="1717"/>
      <c r="L3335" s="1717"/>
      <c r="M3335" s="2338"/>
      <c r="N3335" s="4109"/>
      <c r="P3335" s="500"/>
    </row>
    <row r="3336" spans="1:16" s="4099" customFormat="1" ht="9" customHeight="1" x14ac:dyDescent="0.25">
      <c r="A3336" s="4101"/>
      <c r="B3336" s="4119"/>
      <c r="C3336" s="4116"/>
      <c r="D3336" s="673"/>
      <c r="E3336" s="4121"/>
      <c r="F3336" s="1106"/>
      <c r="G3336" s="666"/>
      <c r="H3336" s="880"/>
      <c r="I3336" s="1121"/>
      <c r="J3336" s="2452"/>
      <c r="K3336" s="1717"/>
      <c r="L3336" s="1717"/>
      <c r="M3336" s="2338"/>
      <c r="N3336" s="4109"/>
      <c r="P3336" s="500"/>
    </row>
    <row r="3337" spans="1:16" s="4099" customFormat="1" ht="18" customHeight="1" x14ac:dyDescent="0.25">
      <c r="A3337" s="4101"/>
      <c r="B3337" s="4119"/>
      <c r="C3337" s="4116" t="s">
        <v>4971</v>
      </c>
      <c r="D3337" s="673">
        <f>D3338</f>
        <v>825000000</v>
      </c>
      <c r="E3337" s="4122">
        <f>D3337/D3160*100</f>
        <v>0.59694631785494223</v>
      </c>
      <c r="F3337" s="1106"/>
      <c r="G3337" s="666"/>
      <c r="H3337" s="880"/>
      <c r="I3337" s="1121"/>
      <c r="J3337" s="2452"/>
      <c r="K3337" s="1717"/>
      <c r="L3337" s="1717"/>
      <c r="M3337" s="2338"/>
      <c r="N3337" s="4109"/>
      <c r="P3337" s="500"/>
    </row>
    <row r="3338" spans="1:16" s="4099" customFormat="1" ht="14.25" customHeight="1" x14ac:dyDescent="0.25">
      <c r="A3338" s="4101"/>
      <c r="B3338" s="4119"/>
      <c r="C3338" s="4104" t="s">
        <v>4972</v>
      </c>
      <c r="D3338" s="666">
        <v>825000000</v>
      </c>
      <c r="E3338" s="4121">
        <f>D3338/D3160*100</f>
        <v>0.59694631785494223</v>
      </c>
      <c r="F3338" s="1106"/>
      <c r="G3338" s="666"/>
      <c r="H3338" s="880"/>
      <c r="I3338" s="1121"/>
      <c r="J3338" s="2452"/>
      <c r="K3338" s="1717"/>
      <c r="L3338" s="1717"/>
      <c r="M3338" s="2338"/>
      <c r="N3338" s="4109"/>
      <c r="P3338" s="500"/>
    </row>
    <row r="3339" spans="1:16" s="4099" customFormat="1" ht="14.25" customHeight="1" x14ac:dyDescent="0.25">
      <c r="A3339" s="4101"/>
      <c r="B3339" s="4119"/>
      <c r="C3339" s="4117"/>
      <c r="D3339" s="671"/>
      <c r="E3339" s="4112"/>
      <c r="F3339" s="4095"/>
      <c r="G3339" s="671"/>
      <c r="H3339" s="2255"/>
      <c r="I3339" s="2339"/>
      <c r="J3339" s="2460"/>
      <c r="K3339" s="2265"/>
      <c r="L3339" s="1703"/>
      <c r="M3339" s="2302"/>
      <c r="N3339" s="4109"/>
      <c r="P3339" s="500"/>
    </row>
    <row r="3340" spans="1:16" ht="15.75" customHeight="1" x14ac:dyDescent="0.25">
      <c r="B3340" s="1305"/>
      <c r="C3340" s="3875" t="s">
        <v>4973</v>
      </c>
      <c r="D3340" s="669">
        <f>SUM(D3341)</f>
        <v>300000000</v>
      </c>
      <c r="E3340" s="1479">
        <f>D3340/D3160*100</f>
        <v>0.21707138831088807</v>
      </c>
      <c r="F3340" s="847"/>
      <c r="G3340" s="847"/>
      <c r="H3340" s="1030"/>
      <c r="I3340" s="847"/>
      <c r="J3340" s="1824"/>
      <c r="K3340" s="1824"/>
      <c r="L3340" s="1030"/>
      <c r="M3340" s="2462"/>
      <c r="N3340" s="535"/>
    </row>
    <row r="3341" spans="1:16" ht="17.25" customHeight="1" x14ac:dyDescent="0.25">
      <c r="B3341" s="1242"/>
      <c r="C3341" s="3878" t="s">
        <v>4974</v>
      </c>
      <c r="D3341" s="673">
        <f>D3342</f>
        <v>300000000</v>
      </c>
      <c r="E3341" s="1489">
        <f>D3341/D3160*100</f>
        <v>0.21707138831088807</v>
      </c>
      <c r="F3341" s="541"/>
      <c r="G3341" s="541"/>
      <c r="H3341" s="1033"/>
      <c r="I3341" s="1110"/>
      <c r="J3341" s="1112"/>
      <c r="K3341" s="1112"/>
      <c r="L3341" s="1033"/>
      <c r="M3341" s="2006"/>
      <c r="N3341" s="535"/>
    </row>
    <row r="3342" spans="1:16" ht="17.25" customHeight="1" x14ac:dyDescent="0.25">
      <c r="B3342" s="1242"/>
      <c r="C3342" s="3863" t="s">
        <v>4975</v>
      </c>
      <c r="D3342" s="666">
        <v>300000000</v>
      </c>
      <c r="E3342" s="1487">
        <f>D3342/D3160*100</f>
        <v>0.21707138831088807</v>
      </c>
      <c r="F3342" s="542"/>
      <c r="G3342" s="1109"/>
      <c r="H3342" s="1043"/>
      <c r="I3342" s="1109"/>
      <c r="J3342" s="663"/>
      <c r="K3342" s="1984"/>
      <c r="L3342" s="2435"/>
      <c r="M3342" s="2230"/>
      <c r="N3342" s="535"/>
    </row>
    <row r="3343" spans="1:16" ht="12" customHeight="1" x14ac:dyDescent="0.25">
      <c r="B3343" s="1242"/>
      <c r="C3343" s="3897"/>
      <c r="D3343" s="671"/>
      <c r="E3343" s="724"/>
      <c r="F3343" s="653"/>
      <c r="G3343" s="671"/>
      <c r="H3343" s="2458"/>
      <c r="I3343" s="2339"/>
      <c r="J3343" s="2460"/>
      <c r="K3343" s="2265"/>
      <c r="L3343" s="2470"/>
      <c r="M3343" s="2302"/>
      <c r="N3343" s="535"/>
    </row>
    <row r="3344" spans="1:16" ht="14.25" customHeight="1" x14ac:dyDescent="0.25">
      <c r="B3344" s="1305"/>
      <c r="C3344" s="3875" t="s">
        <v>1750</v>
      </c>
      <c r="D3344" s="669">
        <f>D3345+D3356+D3360</f>
        <v>6600000000</v>
      </c>
      <c r="E3344" s="1479">
        <f>D3344/D3160*100</f>
        <v>4.7755705428395379</v>
      </c>
      <c r="F3344" s="847"/>
      <c r="G3344" s="1107"/>
      <c r="H3344" s="1050"/>
      <c r="I3344" s="1107"/>
      <c r="J3344" s="1824"/>
      <c r="K3344" s="1824"/>
      <c r="L3344" s="1030"/>
      <c r="M3344" s="2066"/>
      <c r="N3344" s="535"/>
    </row>
    <row r="3345" spans="1:16" ht="31.5" customHeight="1" x14ac:dyDescent="0.25">
      <c r="B3345" s="1242"/>
      <c r="C3345" s="4103" t="s">
        <v>4976</v>
      </c>
      <c r="D3345" s="768">
        <f>D3346+D3347+D3348+D3349+D3350+D3351+D3352+D3353+D3354</f>
        <v>4800000000</v>
      </c>
      <c r="E3345" s="4114">
        <f>D3345/D3160*100</f>
        <v>3.4731422129742091</v>
      </c>
      <c r="F3345" s="541"/>
      <c r="G3345" s="1118"/>
      <c r="H3345" s="1646"/>
      <c r="I3345" s="1110"/>
      <c r="J3345" s="1840"/>
      <c r="K3345" s="1840"/>
      <c r="L3345" s="1033"/>
      <c r="M3345" s="2499"/>
      <c r="N3345" s="535"/>
    </row>
    <row r="3346" spans="1:16" ht="16.5" customHeight="1" x14ac:dyDescent="0.25">
      <c r="B3346" s="1242"/>
      <c r="C3346" s="3863" t="s">
        <v>4977</v>
      </c>
      <c r="D3346" s="666">
        <v>1000000000</v>
      </c>
      <c r="E3346" s="1487">
        <f>D3346/D3160*100</f>
        <v>0.72357129436962697</v>
      </c>
      <c r="F3346" s="542"/>
      <c r="G3346" s="1109"/>
      <c r="H3346" s="1647"/>
      <c r="I3346" s="1109"/>
      <c r="J3346" s="663"/>
      <c r="K3346" s="1983"/>
      <c r="L3346" s="2435"/>
      <c r="M3346" s="2230"/>
      <c r="N3346" s="535"/>
    </row>
    <row r="3347" spans="1:16" ht="16.5" customHeight="1" x14ac:dyDescent="0.25">
      <c r="B3347" s="1242"/>
      <c r="C3347" s="3863" t="s">
        <v>4978</v>
      </c>
      <c r="D3347" s="666">
        <v>500000000</v>
      </c>
      <c r="E3347" s="4121">
        <f>D3347/D3160*100</f>
        <v>0.36178564718481349</v>
      </c>
      <c r="F3347" s="663"/>
      <c r="G3347" s="666"/>
      <c r="H3347" s="880"/>
      <c r="I3347" s="666"/>
      <c r="J3347" s="663"/>
      <c r="K3347" s="1315"/>
      <c r="L3347" s="1311"/>
      <c r="M3347" s="2230"/>
      <c r="N3347" s="535"/>
    </row>
    <row r="3348" spans="1:16" ht="15" customHeight="1" x14ac:dyDescent="0.25">
      <c r="B3348" s="1242"/>
      <c r="C3348" s="4111" t="s">
        <v>4979</v>
      </c>
      <c r="D3348" s="666">
        <v>500000000</v>
      </c>
      <c r="E3348" s="4121">
        <f>D3348/D3160*100</f>
        <v>0.36178564718481349</v>
      </c>
      <c r="F3348" s="541"/>
      <c r="G3348" s="1110"/>
      <c r="H3348" s="1646"/>
      <c r="I3348" s="1110"/>
      <c r="J3348" s="1112"/>
      <c r="K3348" s="1112"/>
      <c r="L3348" s="1033"/>
      <c r="M3348" s="2501"/>
      <c r="N3348" s="535"/>
    </row>
    <row r="3349" spans="1:16" ht="15.75" customHeight="1" x14ac:dyDescent="0.25">
      <c r="B3349" s="1242"/>
      <c r="C3349" s="4106" t="s">
        <v>4980</v>
      </c>
      <c r="D3349" s="666">
        <v>600000000</v>
      </c>
      <c r="E3349" s="1487">
        <f>D3349/D3160*100</f>
        <v>0.43414277662177614</v>
      </c>
      <c r="F3349" s="542"/>
      <c r="G3349" s="1109"/>
      <c r="H3349" s="1647"/>
      <c r="I3349" s="1109"/>
      <c r="J3349" s="663"/>
      <c r="K3349" s="1983"/>
      <c r="L3349" s="2435"/>
      <c r="M3349" s="2230"/>
      <c r="N3349" s="535"/>
    </row>
    <row r="3350" spans="1:16" ht="17.25" customHeight="1" x14ac:dyDescent="0.25">
      <c r="B3350" s="1242"/>
      <c r="C3350" s="4117" t="s">
        <v>4981</v>
      </c>
      <c r="D3350" s="671">
        <v>600000000</v>
      </c>
      <c r="E3350" s="4097">
        <f>D3350/D3160*100</f>
        <v>0.43414277662177614</v>
      </c>
      <c r="F3350" s="651"/>
      <c r="G3350" s="303"/>
      <c r="H3350" s="4120"/>
      <c r="I3350" s="303"/>
      <c r="J3350" s="1850"/>
      <c r="K3350" s="2265"/>
      <c r="L3350" s="1703"/>
      <c r="M3350" s="2302"/>
      <c r="N3350" s="535"/>
    </row>
    <row r="3351" spans="1:16" ht="15.75" customHeight="1" x14ac:dyDescent="0.25">
      <c r="B3351" s="1242"/>
      <c r="C3351" s="4104" t="s">
        <v>4982</v>
      </c>
      <c r="D3351" s="666">
        <v>200000000</v>
      </c>
      <c r="E3351" s="4113">
        <f>D3351/D3160*100</f>
        <v>0.14471425887392539</v>
      </c>
      <c r="F3351" s="541"/>
      <c r="G3351" s="1118"/>
      <c r="H3351" s="1052"/>
      <c r="I3351" s="1118"/>
      <c r="J3351" s="1112"/>
      <c r="K3351" s="1112"/>
      <c r="L3351" s="4115"/>
      <c r="M3351" s="2484"/>
      <c r="N3351" s="535"/>
    </row>
    <row r="3352" spans="1:16" ht="15.75" customHeight="1" x14ac:dyDescent="0.25">
      <c r="B3352" s="1242"/>
      <c r="C3352" s="4104" t="s">
        <v>4983</v>
      </c>
      <c r="D3352" s="666">
        <v>600000000</v>
      </c>
      <c r="E3352" s="4113">
        <f>D3352/D3160*100</f>
        <v>0.43414277662177614</v>
      </c>
      <c r="F3352" s="542"/>
      <c r="G3352" s="1121"/>
      <c r="H3352" s="1162"/>
      <c r="I3352" s="1121"/>
      <c r="J3352" s="663"/>
      <c r="K3352" s="3746"/>
      <c r="L3352" s="4123"/>
      <c r="M3352" s="2338"/>
      <c r="N3352" s="535"/>
    </row>
    <row r="3353" spans="1:16" ht="17.25" customHeight="1" x14ac:dyDescent="0.25">
      <c r="B3353" s="1242"/>
      <c r="C3353" s="4104" t="s">
        <v>4984</v>
      </c>
      <c r="D3353" s="666">
        <v>500000000</v>
      </c>
      <c r="E3353" s="4113">
        <f>D3353/D3160*100</f>
        <v>0.36178564718481349</v>
      </c>
      <c r="F3353" s="4107"/>
      <c r="G3353" s="4107"/>
      <c r="H3353" s="1467"/>
      <c r="I3353" s="1121"/>
      <c r="J3353" s="2452"/>
      <c r="K3353" s="1717"/>
      <c r="L3353" s="2456"/>
      <c r="M3353" s="2338"/>
      <c r="N3353" s="535"/>
    </row>
    <row r="3354" spans="1:16" s="4099" customFormat="1" ht="12" customHeight="1" x14ac:dyDescent="0.25">
      <c r="A3354" s="4101"/>
      <c r="B3354" s="4119"/>
      <c r="C3354" s="4104" t="s">
        <v>4985</v>
      </c>
      <c r="D3354" s="666">
        <v>300000000</v>
      </c>
      <c r="E3354" s="4113">
        <f>D3354/D3160*100</f>
        <v>0.21707138831088807</v>
      </c>
      <c r="F3354" s="4107"/>
      <c r="G3354" s="4107"/>
      <c r="H3354" s="1467"/>
      <c r="I3354" s="1121"/>
      <c r="J3354" s="2452"/>
      <c r="K3354" s="1717"/>
      <c r="L3354" s="2456"/>
      <c r="M3354" s="2338"/>
      <c r="N3354" s="4109"/>
      <c r="P3354" s="500"/>
    </row>
    <row r="3355" spans="1:16" s="4099" customFormat="1" ht="12" customHeight="1" x14ac:dyDescent="0.25">
      <c r="A3355" s="4101"/>
      <c r="B3355" s="4119"/>
      <c r="C3355" s="4118"/>
      <c r="D3355" s="780"/>
      <c r="E3355" s="4113"/>
      <c r="F3355" s="4107"/>
      <c r="G3355" s="4107"/>
      <c r="H3355" s="1467"/>
      <c r="I3355" s="1121"/>
      <c r="J3355" s="2452"/>
      <c r="K3355" s="1717"/>
      <c r="L3355" s="2456"/>
      <c r="M3355" s="2338"/>
      <c r="N3355" s="4109"/>
      <c r="P3355" s="500"/>
    </row>
    <row r="3356" spans="1:16" s="4099" customFormat="1" ht="18" customHeight="1" x14ac:dyDescent="0.25">
      <c r="A3356" s="4101"/>
      <c r="B3356" s="4119"/>
      <c r="C3356" s="4096" t="s">
        <v>4986</v>
      </c>
      <c r="D3356" s="3042">
        <f>SUM(D3357:D3358)</f>
        <v>1200000000</v>
      </c>
      <c r="E3356" s="4114">
        <f>D3356/D3160*100</f>
        <v>0.86828555324355228</v>
      </c>
      <c r="F3356" s="4107"/>
      <c r="G3356" s="4107"/>
      <c r="H3356" s="1467"/>
      <c r="I3356" s="1121"/>
      <c r="J3356" s="2452"/>
      <c r="K3356" s="1717"/>
      <c r="L3356" s="2456"/>
      <c r="M3356" s="2338"/>
      <c r="N3356" s="4109"/>
      <c r="P3356" s="500"/>
    </row>
    <row r="3357" spans="1:16" s="4099" customFormat="1" ht="17.25" customHeight="1" x14ac:dyDescent="0.25">
      <c r="A3357" s="4101"/>
      <c r="B3357" s="4119"/>
      <c r="C3357" s="4104" t="s">
        <v>4987</v>
      </c>
      <c r="D3357" s="666">
        <v>600000000</v>
      </c>
      <c r="E3357" s="4113">
        <f>D3357/D3160*100</f>
        <v>0.43414277662177614</v>
      </c>
      <c r="F3357" s="4107"/>
      <c r="G3357" s="4107"/>
      <c r="H3357" s="1467"/>
      <c r="I3357" s="1121"/>
      <c r="J3357" s="2452"/>
      <c r="K3357" s="1717"/>
      <c r="L3357" s="2456"/>
      <c r="M3357" s="2338"/>
      <c r="N3357" s="4109"/>
      <c r="P3357" s="500"/>
    </row>
    <row r="3358" spans="1:16" s="4099" customFormat="1" ht="15" customHeight="1" x14ac:dyDescent="0.25">
      <c r="A3358" s="4101"/>
      <c r="B3358" s="4119"/>
      <c r="C3358" s="4104" t="s">
        <v>4988</v>
      </c>
      <c r="D3358" s="666">
        <v>600000000</v>
      </c>
      <c r="E3358" s="4113">
        <f>D3358/D3160*100</f>
        <v>0.43414277662177614</v>
      </c>
      <c r="F3358" s="4107"/>
      <c r="G3358" s="4107"/>
      <c r="H3358" s="1467"/>
      <c r="I3358" s="1121"/>
      <c r="J3358" s="2452"/>
      <c r="K3358" s="1717"/>
      <c r="L3358" s="2456"/>
      <c r="M3358" s="2338"/>
      <c r="N3358" s="4109"/>
      <c r="P3358" s="500"/>
    </row>
    <row r="3359" spans="1:16" s="4099" customFormat="1" ht="12" customHeight="1" x14ac:dyDescent="0.25">
      <c r="A3359" s="4101"/>
      <c r="B3359" s="4119"/>
      <c r="C3359" s="4104"/>
      <c r="D3359" s="666"/>
      <c r="E3359" s="4113"/>
      <c r="F3359" s="4107"/>
      <c r="G3359" s="4107"/>
      <c r="H3359" s="1467"/>
      <c r="I3359" s="1121"/>
      <c r="J3359" s="2452"/>
      <c r="K3359" s="1717"/>
      <c r="L3359" s="2456"/>
      <c r="M3359" s="2338"/>
      <c r="N3359" s="4109"/>
      <c r="P3359" s="500"/>
    </row>
    <row r="3360" spans="1:16" s="4099" customFormat="1" ht="17.25" customHeight="1" x14ac:dyDescent="0.25">
      <c r="A3360" s="4101"/>
      <c r="B3360" s="4119"/>
      <c r="C3360" s="4116" t="s">
        <v>4989</v>
      </c>
      <c r="D3360" s="673">
        <f>D3361</f>
        <v>600000000</v>
      </c>
      <c r="E3360" s="4114">
        <f>D3360/D3160*100</f>
        <v>0.43414277662177614</v>
      </c>
      <c r="F3360" s="4107"/>
      <c r="G3360" s="4107"/>
      <c r="H3360" s="1467"/>
      <c r="I3360" s="1121"/>
      <c r="J3360" s="2452"/>
      <c r="K3360" s="1717"/>
      <c r="L3360" s="2456"/>
      <c r="M3360" s="2338"/>
      <c r="N3360" s="4109"/>
      <c r="P3360" s="500"/>
    </row>
    <row r="3361" spans="1:16" s="4099" customFormat="1" ht="15" customHeight="1" x14ac:dyDescent="0.25">
      <c r="A3361" s="4101"/>
      <c r="B3361" s="4119"/>
      <c r="C3361" s="4104" t="s">
        <v>4990</v>
      </c>
      <c r="D3361" s="666">
        <v>600000000</v>
      </c>
      <c r="E3361" s="4113">
        <f>D3361/D3160*100</f>
        <v>0.43414277662177614</v>
      </c>
      <c r="F3361" s="4107"/>
      <c r="G3361" s="4107"/>
      <c r="H3361" s="1467"/>
      <c r="I3361" s="1121"/>
      <c r="J3361" s="2452"/>
      <c r="K3361" s="1717"/>
      <c r="L3361" s="2456"/>
      <c r="M3361" s="2338"/>
      <c r="N3361" s="4109"/>
      <c r="P3361" s="500"/>
    </row>
    <row r="3362" spans="1:16" s="4099" customFormat="1" ht="12" customHeight="1" x14ac:dyDescent="0.25">
      <c r="A3362" s="4101"/>
      <c r="B3362" s="4119"/>
      <c r="C3362" s="4117"/>
      <c r="D3362" s="671"/>
      <c r="E3362" s="4112"/>
      <c r="F3362" s="4108"/>
      <c r="G3362" s="4100"/>
      <c r="H3362" s="2486"/>
      <c r="I3362" s="2339"/>
      <c r="J3362" s="2460"/>
      <c r="K3362" s="2265"/>
      <c r="L3362" s="2470"/>
      <c r="M3362" s="2302"/>
      <c r="N3362" s="4109"/>
      <c r="P3362" s="500"/>
    </row>
    <row r="3363" spans="1:16" ht="17.25" customHeight="1" x14ac:dyDescent="0.25">
      <c r="B3363" s="1305"/>
      <c r="C3363" s="3875" t="s">
        <v>1753</v>
      </c>
      <c r="D3363" s="669">
        <f>SUM(D3364+D3367)</f>
        <v>3700000000</v>
      </c>
      <c r="E3363" s="1479">
        <f>D3363/D3160*100</f>
        <v>2.6772137891676198</v>
      </c>
      <c r="F3363" s="847"/>
      <c r="G3363" s="847"/>
      <c r="H3363" s="1030"/>
      <c r="I3363" s="2298"/>
      <c r="J3363" s="1824"/>
      <c r="K3363" s="1824"/>
      <c r="L3363" s="1030"/>
      <c r="M3363" s="2066"/>
      <c r="N3363" s="535"/>
    </row>
    <row r="3364" spans="1:16" ht="18" customHeight="1" x14ac:dyDescent="0.25">
      <c r="B3364" s="2904"/>
      <c r="C3364" s="4103" t="s">
        <v>4991</v>
      </c>
      <c r="D3364" s="673">
        <f>D3365</f>
        <v>2700000000</v>
      </c>
      <c r="E3364" s="4114">
        <f>D3364/D3160*100</f>
        <v>1.9536424947979927</v>
      </c>
      <c r="F3364" s="541"/>
      <c r="G3364" s="541"/>
      <c r="H3364" s="1033"/>
      <c r="I3364" s="1118"/>
      <c r="J3364" s="1112"/>
      <c r="K3364" s="1112"/>
      <c r="L3364" s="1033"/>
      <c r="M3364" s="2006"/>
      <c r="N3364" s="535"/>
    </row>
    <row r="3365" spans="1:16" ht="18" customHeight="1" x14ac:dyDescent="0.25">
      <c r="B3365" s="1242"/>
      <c r="C3365" s="3863" t="s">
        <v>4992</v>
      </c>
      <c r="D3365" s="666">
        <v>2700000000</v>
      </c>
      <c r="E3365" s="1487">
        <f>D3365/D3160*100</f>
        <v>1.9536424947979927</v>
      </c>
      <c r="F3365" s="542"/>
      <c r="G3365" s="1111"/>
      <c r="H3365" s="1043"/>
      <c r="I3365" s="1109"/>
      <c r="J3365" s="663"/>
      <c r="K3365" s="1986"/>
      <c r="L3365" s="2435"/>
      <c r="M3365" s="2230"/>
      <c r="N3365" s="535"/>
    </row>
    <row r="3366" spans="1:16" ht="12" customHeight="1" x14ac:dyDescent="0.25">
      <c r="B3366" s="1242"/>
      <c r="C3366" s="3863"/>
      <c r="D3366" s="666"/>
      <c r="E3366" s="4121"/>
      <c r="F3366" s="663"/>
      <c r="G3366" s="1111"/>
      <c r="H3366" s="2455"/>
      <c r="I3366" s="1109"/>
      <c r="J3366" s="663"/>
      <c r="K3366" s="1717"/>
      <c r="L3366" s="1312"/>
      <c r="M3366" s="2230"/>
      <c r="N3366" s="535"/>
    </row>
    <row r="3367" spans="1:16" ht="16.5" customHeight="1" x14ac:dyDescent="0.25">
      <c r="B3367" s="1242"/>
      <c r="C3367" s="3854" t="s">
        <v>4993</v>
      </c>
      <c r="D3367" s="667">
        <f>SUM(D3368:D3370)</f>
        <v>1000000000</v>
      </c>
      <c r="E3367" s="4122">
        <f>D3367/D3160*100</f>
        <v>0.72357129436962697</v>
      </c>
      <c r="F3367" s="867"/>
      <c r="G3367" s="1110"/>
      <c r="H3367" s="1646"/>
      <c r="I3367" s="1110"/>
      <c r="J3367" s="1840"/>
      <c r="K3367" s="1840"/>
      <c r="L3367" s="1033"/>
      <c r="M3367" s="2496"/>
      <c r="N3367" s="535"/>
    </row>
    <row r="3368" spans="1:16" ht="18" customHeight="1" x14ac:dyDescent="0.25">
      <c r="B3368" s="1242"/>
      <c r="C3368" s="3863" t="s">
        <v>4994</v>
      </c>
      <c r="D3368" s="666">
        <v>200000000</v>
      </c>
      <c r="E3368" s="1487">
        <f>D3368/D3160*100</f>
        <v>0.14471425887392539</v>
      </c>
      <c r="F3368" s="542"/>
      <c r="G3368" s="1109"/>
      <c r="H3368" s="1647"/>
      <c r="I3368" s="1109"/>
      <c r="J3368" s="663"/>
      <c r="K3368" s="1983"/>
      <c r="L3368" s="2435"/>
      <c r="M3368" s="2230"/>
      <c r="N3368" s="535"/>
    </row>
    <row r="3369" spans="1:16" ht="17.25" customHeight="1" x14ac:dyDescent="0.25">
      <c r="B3369" s="1242"/>
      <c r="C3369" s="3863" t="s">
        <v>4995</v>
      </c>
      <c r="D3369" s="666">
        <v>500000000</v>
      </c>
      <c r="E3369" s="1487">
        <f>D3369/D3160*100</f>
        <v>0.36178564718481349</v>
      </c>
      <c r="F3369" s="542"/>
      <c r="G3369" s="1109"/>
      <c r="H3369" s="1647"/>
      <c r="I3369" s="1109"/>
      <c r="J3369" s="663"/>
      <c r="K3369" s="1983"/>
      <c r="L3369" s="2435"/>
      <c r="M3369" s="2230"/>
      <c r="N3369" s="535"/>
    </row>
    <row r="3370" spans="1:16" ht="13.5" customHeight="1" x14ac:dyDescent="0.25">
      <c r="B3370" s="1242"/>
      <c r="C3370" s="3863" t="s">
        <v>4996</v>
      </c>
      <c r="D3370" s="666">
        <v>300000000</v>
      </c>
      <c r="E3370" s="1487">
        <f>D3370/D3160*100</f>
        <v>0.21707138831088807</v>
      </c>
      <c r="F3370" s="542"/>
      <c r="G3370" s="1109"/>
      <c r="H3370" s="1647"/>
      <c r="I3370" s="1109"/>
      <c r="J3370" s="663"/>
      <c r="K3370" s="1983"/>
      <c r="L3370" s="2435"/>
      <c r="M3370" s="2230"/>
      <c r="N3370" s="535"/>
    </row>
    <row r="3371" spans="1:16" ht="12" customHeight="1" x14ac:dyDescent="0.25">
      <c r="B3371" s="1242"/>
      <c r="C3371" s="3897" t="s">
        <v>257</v>
      </c>
      <c r="D3371" s="1858"/>
      <c r="E3371" s="1480"/>
      <c r="F3371" s="651"/>
      <c r="G3371" s="868"/>
      <c r="H3371" s="724"/>
      <c r="I3371" s="653"/>
      <c r="J3371" s="2465"/>
      <c r="K3371" s="2281"/>
      <c r="L3371" s="2470"/>
      <c r="M3371" s="2302"/>
      <c r="N3371" s="535"/>
    </row>
    <row r="3372" spans="1:16" ht="17.25" customHeight="1" x14ac:dyDescent="0.25">
      <c r="A3372" s="350"/>
      <c r="B3372" s="1655"/>
      <c r="C3372" s="3875" t="s">
        <v>4997</v>
      </c>
      <c r="D3372" s="669">
        <f>SUM(D3373+D3388+D3381)</f>
        <v>6092702000</v>
      </c>
      <c r="E3372" s="1039">
        <f>D3372/D3160*100</f>
        <v>4.4085042723484147</v>
      </c>
      <c r="F3372" s="847"/>
      <c r="G3372" s="847"/>
      <c r="H3372" s="1030"/>
      <c r="I3372" s="1911"/>
      <c r="J3372" s="1824"/>
      <c r="K3372" s="1824"/>
      <c r="L3372" s="1030"/>
      <c r="M3372" s="1235"/>
    </row>
    <row r="3373" spans="1:16" ht="15" customHeight="1" x14ac:dyDescent="0.25">
      <c r="B3373" s="1242"/>
      <c r="C3373" s="4103" t="s">
        <v>4998</v>
      </c>
      <c r="D3373" s="673">
        <f>SUM(D3374:D3379)</f>
        <v>2500000000</v>
      </c>
      <c r="E3373" s="4114">
        <f>D3373/D3160*100</f>
        <v>1.8089282359240673</v>
      </c>
      <c r="F3373" s="541"/>
      <c r="G3373" s="541"/>
      <c r="H3373" s="1033"/>
      <c r="I3373" s="541"/>
      <c r="J3373" s="1112"/>
      <c r="K3373" s="1112"/>
      <c r="L3373" s="1033"/>
      <c r="M3373" s="2496"/>
      <c r="N3373" s="535"/>
    </row>
    <row r="3374" spans="1:16" ht="18" customHeight="1" x14ac:dyDescent="0.25">
      <c r="B3374" s="1242"/>
      <c r="C3374" s="3863" t="s">
        <v>4999</v>
      </c>
      <c r="D3374" s="666">
        <v>600000000</v>
      </c>
      <c r="E3374" s="4113">
        <f>D3374/D3160*100</f>
        <v>0.43414277662177614</v>
      </c>
      <c r="F3374" s="542"/>
      <c r="G3374" s="1109"/>
      <c r="H3374" s="1043"/>
      <c r="I3374" s="1109"/>
      <c r="J3374" s="663"/>
      <c r="K3374" s="663"/>
      <c r="L3374" s="2435"/>
      <c r="M3374" s="2230"/>
      <c r="N3374" s="535"/>
    </row>
    <row r="3375" spans="1:16" ht="16.5" customHeight="1" x14ac:dyDescent="0.25">
      <c r="B3375" s="1242"/>
      <c r="C3375" s="3897" t="s">
        <v>5000</v>
      </c>
      <c r="D3375" s="671">
        <v>400000000</v>
      </c>
      <c r="E3375" s="4113">
        <f>D3375/D3160*100</f>
        <v>0.28942851774785078</v>
      </c>
      <c r="F3375" s="543"/>
      <c r="G3375" s="543"/>
      <c r="H3375" s="1043"/>
      <c r="I3375" s="2339"/>
      <c r="J3375" s="1841"/>
      <c r="K3375" s="1841"/>
      <c r="L3375" s="2435"/>
      <c r="M3375" s="2302"/>
      <c r="N3375" s="536"/>
    </row>
    <row r="3376" spans="1:16" ht="16.5" customHeight="1" x14ac:dyDescent="0.25">
      <c r="B3376" s="1242"/>
      <c r="C3376" s="3863" t="s">
        <v>5001</v>
      </c>
      <c r="D3376" s="666">
        <v>600000000</v>
      </c>
      <c r="E3376" s="4113">
        <f>D3376/D3160*100</f>
        <v>0.43414277662177614</v>
      </c>
      <c r="F3376" s="542"/>
      <c r="G3376" s="666"/>
      <c r="H3376" s="1310"/>
      <c r="I3376" s="1109"/>
      <c r="J3376" s="663"/>
      <c r="K3376" s="1717"/>
      <c r="L3376" s="1312"/>
      <c r="M3376" s="2230"/>
      <c r="N3376" s="535"/>
    </row>
    <row r="3377" spans="1:16" s="4099" customFormat="1" ht="15" customHeight="1" x14ac:dyDescent="0.25">
      <c r="A3377" s="4101"/>
      <c r="B3377" s="4119"/>
      <c r="C3377" s="4106" t="s">
        <v>5002</v>
      </c>
      <c r="D3377" s="666">
        <v>250000000</v>
      </c>
      <c r="E3377" s="4113">
        <f>D3377/D3160*100</f>
        <v>0.18089282359240674</v>
      </c>
      <c r="F3377" s="542"/>
      <c r="G3377" s="666"/>
      <c r="H3377" s="1310"/>
      <c r="I3377" s="1109"/>
      <c r="J3377" s="663"/>
      <c r="K3377" s="1717"/>
      <c r="L3377" s="1312"/>
      <c r="M3377" s="2230"/>
      <c r="N3377" s="4109"/>
      <c r="P3377" s="500"/>
    </row>
    <row r="3378" spans="1:16" s="4099" customFormat="1" ht="26.25" customHeight="1" x14ac:dyDescent="0.25">
      <c r="A3378" s="4101"/>
      <c r="B3378" s="4119"/>
      <c r="C3378" s="4106" t="s">
        <v>5003</v>
      </c>
      <c r="D3378" s="666">
        <v>300000000</v>
      </c>
      <c r="E3378" s="4113">
        <f>D3378/D3160*100</f>
        <v>0.21707138831088807</v>
      </c>
      <c r="F3378" s="542"/>
      <c r="G3378" s="666"/>
      <c r="H3378" s="1310"/>
      <c r="I3378" s="1109"/>
      <c r="J3378" s="663"/>
      <c r="K3378" s="1717"/>
      <c r="L3378" s="1312"/>
      <c r="M3378" s="2230"/>
      <c r="N3378" s="4109"/>
      <c r="P3378" s="500"/>
    </row>
    <row r="3379" spans="1:16" s="4099" customFormat="1" ht="21" customHeight="1" x14ac:dyDescent="0.25">
      <c r="A3379" s="4101"/>
      <c r="B3379" s="4119"/>
      <c r="C3379" s="4106" t="s">
        <v>5004</v>
      </c>
      <c r="D3379" s="666">
        <v>350000000</v>
      </c>
      <c r="E3379" s="4113">
        <f>D3379/D3160*100</f>
        <v>0.25324995302936942</v>
      </c>
      <c r="F3379" s="542"/>
      <c r="G3379" s="666"/>
      <c r="H3379" s="1310"/>
      <c r="I3379" s="1109"/>
      <c r="J3379" s="663"/>
      <c r="K3379" s="1717"/>
      <c r="L3379" s="1312"/>
      <c r="M3379" s="2230"/>
      <c r="N3379" s="4109"/>
      <c r="P3379" s="500"/>
    </row>
    <row r="3380" spans="1:16" s="4099" customFormat="1" ht="8.25" customHeight="1" x14ac:dyDescent="0.25">
      <c r="A3380" s="4101"/>
      <c r="B3380" s="4119"/>
      <c r="C3380" s="4106"/>
      <c r="D3380" s="666"/>
      <c r="E3380" s="4113"/>
      <c r="F3380" s="542"/>
      <c r="G3380" s="666"/>
      <c r="H3380" s="1310"/>
      <c r="I3380" s="1109"/>
      <c r="J3380" s="663"/>
      <c r="K3380" s="1717"/>
      <c r="L3380" s="1312"/>
      <c r="M3380" s="2230"/>
      <c r="N3380" s="4109"/>
      <c r="P3380" s="500"/>
    </row>
    <row r="3381" spans="1:16" s="4099" customFormat="1" ht="17.25" customHeight="1" x14ac:dyDescent="0.25">
      <c r="A3381" s="4101"/>
      <c r="B3381" s="4119"/>
      <c r="C3381" s="4105" t="s">
        <v>5005</v>
      </c>
      <c r="D3381" s="673">
        <f>SUM(D3382:D3386)</f>
        <v>2242702000</v>
      </c>
      <c r="E3381" s="4114">
        <f>D3381/D3160*100</f>
        <v>1.6227547890253511</v>
      </c>
      <c r="F3381" s="542"/>
      <c r="G3381" s="666"/>
      <c r="H3381" s="1310"/>
      <c r="I3381" s="1109"/>
      <c r="J3381" s="663"/>
      <c r="K3381" s="1717"/>
      <c r="L3381" s="1312"/>
      <c r="M3381" s="2230"/>
      <c r="N3381" s="4109"/>
      <c r="P3381" s="500"/>
    </row>
    <row r="3382" spans="1:16" s="4099" customFormat="1" ht="15.75" customHeight="1" x14ac:dyDescent="0.25">
      <c r="A3382" s="4101"/>
      <c r="B3382" s="4119"/>
      <c r="C3382" s="4106" t="s">
        <v>5006</v>
      </c>
      <c r="D3382" s="666">
        <v>400000000</v>
      </c>
      <c r="E3382" s="4113">
        <f>D3382/D3160*100</f>
        <v>0.28942851774785078</v>
      </c>
      <c r="F3382" s="542"/>
      <c r="G3382" s="666"/>
      <c r="H3382" s="1310"/>
      <c r="I3382" s="1109"/>
      <c r="J3382" s="663"/>
      <c r="K3382" s="1717"/>
      <c r="L3382" s="1312"/>
      <c r="M3382" s="2230"/>
      <c r="N3382" s="4109"/>
      <c r="P3382" s="500"/>
    </row>
    <row r="3383" spans="1:16" s="4099" customFormat="1" ht="15.75" customHeight="1" x14ac:dyDescent="0.25">
      <c r="A3383" s="4101"/>
      <c r="B3383" s="4119"/>
      <c r="C3383" s="4106" t="s">
        <v>5007</v>
      </c>
      <c r="D3383" s="666">
        <v>400000000</v>
      </c>
      <c r="E3383" s="4113">
        <f>D3383/D3160*100</f>
        <v>0.28942851774785078</v>
      </c>
      <c r="F3383" s="542"/>
      <c r="G3383" s="666"/>
      <c r="H3383" s="1310"/>
      <c r="I3383" s="1109"/>
      <c r="J3383" s="663"/>
      <c r="K3383" s="1717"/>
      <c r="L3383" s="1312"/>
      <c r="M3383" s="2230"/>
      <c r="N3383" s="4109"/>
      <c r="P3383" s="500"/>
    </row>
    <row r="3384" spans="1:16" s="4099" customFormat="1" ht="16.5" customHeight="1" x14ac:dyDescent="0.25">
      <c r="A3384" s="4101"/>
      <c r="B3384" s="4119"/>
      <c r="C3384" s="4106" t="s">
        <v>5008</v>
      </c>
      <c r="D3384" s="666">
        <v>800000000</v>
      </c>
      <c r="E3384" s="4113">
        <f>D3384/D3160*100</f>
        <v>0.57885703549570156</v>
      </c>
      <c r="F3384" s="542"/>
      <c r="G3384" s="666"/>
      <c r="H3384" s="1310"/>
      <c r="I3384" s="1109"/>
      <c r="J3384" s="663"/>
      <c r="K3384" s="1717"/>
      <c r="L3384" s="1312"/>
      <c r="M3384" s="2230"/>
      <c r="N3384" s="4109"/>
      <c r="P3384" s="500"/>
    </row>
    <row r="3385" spans="1:16" s="4099" customFormat="1" ht="26.25" customHeight="1" x14ac:dyDescent="0.25">
      <c r="A3385" s="4101"/>
      <c r="B3385" s="4119"/>
      <c r="C3385" s="4106" t="s">
        <v>5009</v>
      </c>
      <c r="D3385" s="666">
        <v>400000000</v>
      </c>
      <c r="E3385" s="4113">
        <f>D3385/D3160*100</f>
        <v>0.28942851774785078</v>
      </c>
      <c r="F3385" s="542"/>
      <c r="G3385" s="666"/>
      <c r="H3385" s="1310"/>
      <c r="I3385" s="1109"/>
      <c r="J3385" s="663"/>
      <c r="K3385" s="1717"/>
      <c r="L3385" s="1312"/>
      <c r="M3385" s="2230"/>
      <c r="N3385" s="4109"/>
      <c r="P3385" s="500"/>
    </row>
    <row r="3386" spans="1:16" s="4099" customFormat="1" ht="21.75" customHeight="1" x14ac:dyDescent="0.25">
      <c r="A3386" s="4101"/>
      <c r="B3386" s="4119"/>
      <c r="C3386" s="4106" t="s">
        <v>5010</v>
      </c>
      <c r="D3386" s="666">
        <v>242702000</v>
      </c>
      <c r="E3386" s="4113">
        <f>D3386/D3160*100</f>
        <v>0.1756122002860972</v>
      </c>
      <c r="F3386" s="542"/>
      <c r="G3386" s="666"/>
      <c r="H3386" s="1310"/>
      <c r="I3386" s="1109"/>
      <c r="J3386" s="663"/>
      <c r="K3386" s="1717"/>
      <c r="L3386" s="1312"/>
      <c r="M3386" s="2230"/>
      <c r="N3386" s="4109"/>
      <c r="P3386" s="500"/>
    </row>
    <row r="3387" spans="1:16" s="4099" customFormat="1" ht="11.25" customHeight="1" x14ac:dyDescent="0.25">
      <c r="A3387" s="4101"/>
      <c r="B3387" s="4119"/>
      <c r="C3387" s="4106"/>
      <c r="D3387" s="666"/>
      <c r="E3387" s="4112"/>
      <c r="F3387" s="542"/>
      <c r="G3387" s="666"/>
      <c r="H3387" s="1310"/>
      <c r="I3387" s="1109"/>
      <c r="J3387" s="663"/>
      <c r="K3387" s="1717"/>
      <c r="L3387" s="1312"/>
      <c r="M3387" s="2230"/>
      <c r="N3387" s="4109"/>
      <c r="P3387" s="500"/>
    </row>
    <row r="3388" spans="1:16" ht="20.25" customHeight="1" x14ac:dyDescent="0.25">
      <c r="B3388" s="1242"/>
      <c r="C3388" s="3862" t="s">
        <v>5011</v>
      </c>
      <c r="D3388" s="673">
        <f>SUM(D3389:D3392)</f>
        <v>1350000000</v>
      </c>
      <c r="E3388" s="1488">
        <f>D3388/D3160*100</f>
        <v>0.97682124739899634</v>
      </c>
      <c r="F3388" s="541"/>
      <c r="G3388" s="541"/>
      <c r="H3388" s="1033"/>
      <c r="I3388" s="1110"/>
      <c r="J3388" s="1112"/>
      <c r="K3388" s="1112"/>
      <c r="L3388" s="1033"/>
      <c r="M3388" s="2006"/>
      <c r="N3388" s="535"/>
    </row>
    <row r="3389" spans="1:16" ht="15.75" customHeight="1" x14ac:dyDescent="0.25">
      <c r="B3389" s="1242"/>
      <c r="C3389" s="3863" t="s">
        <v>5012</v>
      </c>
      <c r="D3389" s="666">
        <v>350000000</v>
      </c>
      <c r="E3389" s="1487">
        <f>D3389/D3160*100</f>
        <v>0.25324995302936942</v>
      </c>
      <c r="F3389" s="542"/>
      <c r="G3389" s="1109"/>
      <c r="H3389" s="1647"/>
      <c r="I3389" s="1109"/>
      <c r="J3389" s="663"/>
      <c r="K3389" s="1984"/>
      <c r="L3389" s="2435"/>
      <c r="M3389" s="2230"/>
      <c r="N3389" s="535"/>
    </row>
    <row r="3390" spans="1:16" ht="18" customHeight="1" x14ac:dyDescent="0.25">
      <c r="B3390" s="1242"/>
      <c r="C3390" s="3863" t="s">
        <v>5013</v>
      </c>
      <c r="D3390" s="671">
        <v>250000000</v>
      </c>
      <c r="E3390" s="1487">
        <f>D3390/D3160*100</f>
        <v>0.18089282359240674</v>
      </c>
      <c r="F3390" s="543"/>
      <c r="G3390" s="666"/>
      <c r="H3390" s="1043"/>
      <c r="I3390" s="1109"/>
      <c r="J3390" s="1841"/>
      <c r="K3390" s="1984"/>
      <c r="L3390" s="2435"/>
      <c r="M3390" s="2230"/>
      <c r="N3390" s="535"/>
    </row>
    <row r="3391" spans="1:16" ht="19.5" customHeight="1" x14ac:dyDescent="0.25">
      <c r="B3391" s="1242"/>
      <c r="C3391" s="3863" t="s">
        <v>5014</v>
      </c>
      <c r="D3391" s="666">
        <v>250000000</v>
      </c>
      <c r="E3391" s="1487">
        <f>D3391/D3160*100</f>
        <v>0.18089282359240674</v>
      </c>
      <c r="F3391" s="542"/>
      <c r="G3391" s="1109"/>
      <c r="H3391" s="1647"/>
      <c r="I3391" s="1109"/>
      <c r="J3391" s="663"/>
      <c r="K3391" s="1984"/>
      <c r="L3391" s="2435"/>
      <c r="M3391" s="2230"/>
      <c r="N3391" s="535"/>
    </row>
    <row r="3392" spans="1:16" ht="15.75" customHeight="1" x14ac:dyDescent="0.25">
      <c r="B3392" s="1242"/>
      <c r="C3392" s="3863" t="s">
        <v>5015</v>
      </c>
      <c r="D3392" s="666">
        <v>500000000</v>
      </c>
      <c r="E3392" s="1487">
        <f>D3392/D3160*100</f>
        <v>0.36178564718481349</v>
      </c>
      <c r="F3392" s="542"/>
      <c r="G3392" s="1109"/>
      <c r="H3392" s="1647"/>
      <c r="I3392" s="1109"/>
      <c r="J3392" s="663"/>
      <c r="K3392" s="1984"/>
      <c r="L3392" s="2435"/>
      <c r="M3392" s="2230"/>
      <c r="N3392" s="535"/>
    </row>
    <row r="3393" spans="1:16" s="4099" customFormat="1" ht="12" customHeight="1" x14ac:dyDescent="0.25">
      <c r="A3393" s="4101"/>
      <c r="B3393" s="4119"/>
      <c r="C3393" s="4117"/>
      <c r="D3393" s="671"/>
      <c r="E3393" s="4112"/>
      <c r="F3393" s="4095"/>
      <c r="G3393" s="969"/>
      <c r="H3393" s="2238"/>
      <c r="I3393" s="2459"/>
      <c r="J3393" s="4098"/>
      <c r="K3393" s="2279"/>
      <c r="L3393" s="1671"/>
      <c r="M3393" s="2004"/>
      <c r="N3393" s="4110"/>
      <c r="P3393" s="500"/>
    </row>
    <row r="3394" spans="1:16" ht="17.25" customHeight="1" x14ac:dyDescent="0.25">
      <c r="B3394" s="1305"/>
      <c r="C3394" s="3875" t="s">
        <v>5016</v>
      </c>
      <c r="D3394" s="669">
        <f>SUM(D3395+D3398)</f>
        <v>1500000000</v>
      </c>
      <c r="E3394" s="1479">
        <f>D3394/D3160*100</f>
        <v>1.0853569415544404</v>
      </c>
      <c r="F3394" s="847"/>
      <c r="G3394" s="1107"/>
      <c r="H3394" s="1050"/>
      <c r="I3394" s="1107"/>
      <c r="J3394" s="1824"/>
      <c r="K3394" s="1824"/>
      <c r="L3394" s="1030"/>
      <c r="M3394" s="2462"/>
      <c r="N3394" s="579"/>
    </row>
    <row r="3395" spans="1:16" ht="16.5" customHeight="1" x14ac:dyDescent="0.25">
      <c r="B3395" s="1242"/>
      <c r="C3395" s="4103" t="s">
        <v>5017</v>
      </c>
      <c r="D3395" s="673">
        <f>D3396</f>
        <v>700000000</v>
      </c>
      <c r="E3395" s="4114">
        <f>D3395/D3160*100</f>
        <v>0.50649990605873885</v>
      </c>
      <c r="F3395" s="541"/>
      <c r="G3395" s="1110"/>
      <c r="H3395" s="1646"/>
      <c r="I3395" s="1110"/>
      <c r="J3395" s="1840"/>
      <c r="K3395" s="1840"/>
      <c r="L3395" s="1033"/>
      <c r="M3395" s="2499"/>
      <c r="N3395" s="535"/>
    </row>
    <row r="3396" spans="1:16" ht="28.5" customHeight="1" x14ac:dyDescent="0.25">
      <c r="B3396" s="1242"/>
      <c r="C3396" s="3863" t="s">
        <v>5018</v>
      </c>
      <c r="D3396" s="666">
        <v>700000000</v>
      </c>
      <c r="E3396" s="1487">
        <f>D3396/D3160*100</f>
        <v>0.50649990605873885</v>
      </c>
      <c r="F3396" s="542"/>
      <c r="G3396" s="1109"/>
      <c r="H3396" s="1647"/>
      <c r="I3396" s="1109"/>
      <c r="J3396" s="663"/>
      <c r="K3396" s="663"/>
      <c r="L3396" s="2435"/>
      <c r="M3396" s="2230"/>
      <c r="N3396" s="535"/>
    </row>
    <row r="3397" spans="1:16" ht="8.25" customHeight="1" x14ac:dyDescent="0.25">
      <c r="B3397" s="1242"/>
      <c r="C3397" s="3897"/>
      <c r="D3397" s="671"/>
      <c r="E3397" s="4097"/>
      <c r="F3397" s="543"/>
      <c r="G3397" s="666"/>
      <c r="H3397" s="880"/>
      <c r="I3397" s="666"/>
      <c r="J3397" s="1841"/>
      <c r="K3397" s="1841"/>
      <c r="L3397" s="1671"/>
      <c r="M3397" s="2302"/>
      <c r="N3397" s="536"/>
    </row>
    <row r="3398" spans="1:16" ht="17.25" customHeight="1" x14ac:dyDescent="0.25">
      <c r="B3398" s="1242"/>
      <c r="C3398" s="3862" t="s">
        <v>5019</v>
      </c>
      <c r="D3398" s="673">
        <f>D3399</f>
        <v>800000000</v>
      </c>
      <c r="E3398" s="4114">
        <f>D3398/D3160*100</f>
        <v>0.57885703549570156</v>
      </c>
      <c r="F3398" s="541"/>
      <c r="G3398" s="1110"/>
      <c r="H3398" s="1646"/>
      <c r="I3398" s="1110"/>
      <c r="J3398" s="1840"/>
      <c r="K3398" s="1840"/>
      <c r="L3398" s="1033"/>
      <c r="M3398" s="2230"/>
      <c r="N3398" s="535"/>
    </row>
    <row r="3399" spans="1:16" ht="15" customHeight="1" x14ac:dyDescent="0.25">
      <c r="B3399" s="1242"/>
      <c r="C3399" s="3863" t="s">
        <v>5020</v>
      </c>
      <c r="D3399" s="666">
        <v>800000000</v>
      </c>
      <c r="E3399" s="4113">
        <f>D3399/D3160*100</f>
        <v>0.57885703549570156</v>
      </c>
      <c r="F3399" s="542"/>
      <c r="G3399" s="1109"/>
      <c r="H3399" s="1647"/>
      <c r="I3399" s="1109"/>
      <c r="J3399" s="663"/>
      <c r="K3399" s="663"/>
      <c r="L3399" s="2435"/>
      <c r="M3399" s="2230"/>
      <c r="N3399" s="535"/>
    </row>
    <row r="3400" spans="1:16" ht="12" customHeight="1" x14ac:dyDescent="0.25">
      <c r="B3400" s="1242"/>
      <c r="C3400" s="3904"/>
      <c r="D3400" s="868"/>
      <c r="E3400" s="724"/>
      <c r="F3400" s="1114"/>
      <c r="G3400" s="868"/>
      <c r="H3400" s="2477"/>
      <c r="I3400" s="2478"/>
      <c r="J3400" s="2503"/>
      <c r="K3400" s="2285"/>
      <c r="L3400" s="775"/>
      <c r="M3400" s="2227"/>
      <c r="N3400" s="535"/>
    </row>
    <row r="3401" spans="1:16" ht="18" customHeight="1" x14ac:dyDescent="0.25">
      <c r="B3401" s="1305"/>
      <c r="C3401" s="3875" t="s">
        <v>5021</v>
      </c>
      <c r="D3401" s="669">
        <f>SUM(D3402+D3405)</f>
        <v>850000000</v>
      </c>
      <c r="E3401" s="1479">
        <f>D3401/D3160*100</f>
        <v>0.61503560021418291</v>
      </c>
      <c r="F3401" s="847"/>
      <c r="G3401" s="1107"/>
      <c r="H3401" s="1050"/>
      <c r="I3401" s="1107"/>
      <c r="J3401" s="1824"/>
      <c r="K3401" s="1824"/>
      <c r="L3401" s="1030"/>
      <c r="M3401" s="2066"/>
      <c r="N3401" s="579"/>
    </row>
    <row r="3402" spans="1:16" ht="18.75" customHeight="1" x14ac:dyDescent="0.25">
      <c r="B3402" s="1242"/>
      <c r="C3402" s="4103" t="s">
        <v>5022</v>
      </c>
      <c r="D3402" s="673">
        <f>D3403</f>
        <v>350000000</v>
      </c>
      <c r="E3402" s="4114">
        <f>D3402/D3160*100</f>
        <v>0.25324995302936942</v>
      </c>
      <c r="F3402" s="541"/>
      <c r="G3402" s="1110"/>
      <c r="H3402" s="1646"/>
      <c r="I3402" s="1110"/>
      <c r="J3402" s="1112"/>
      <c r="K3402" s="1112"/>
      <c r="L3402" s="1033"/>
      <c r="M3402" s="2499"/>
      <c r="N3402" s="535"/>
    </row>
    <row r="3403" spans="1:16" ht="18" customHeight="1" x14ac:dyDescent="0.25">
      <c r="B3403" s="1242"/>
      <c r="C3403" s="3863" t="s">
        <v>5023</v>
      </c>
      <c r="D3403" s="666">
        <v>350000000</v>
      </c>
      <c r="E3403" s="1487">
        <f>D3403/D3160*100</f>
        <v>0.25324995302936942</v>
      </c>
      <c r="F3403" s="542"/>
      <c r="G3403" s="1109"/>
      <c r="H3403" s="1647"/>
      <c r="I3403" s="1109"/>
      <c r="J3403" s="663"/>
      <c r="K3403" s="663"/>
      <c r="L3403" s="2435"/>
      <c r="M3403" s="2230"/>
      <c r="N3403" s="535"/>
    </row>
    <row r="3404" spans="1:16" ht="9.75" customHeight="1" x14ac:dyDescent="0.25">
      <c r="B3404" s="1242"/>
      <c r="C3404" s="3904"/>
      <c r="D3404" s="788"/>
      <c r="E3404" s="4121"/>
      <c r="F3404" s="873"/>
      <c r="G3404" s="788"/>
      <c r="H3404" s="2174"/>
      <c r="I3404" s="2295"/>
      <c r="J3404" s="2465"/>
      <c r="K3404" s="2281"/>
      <c r="L3404" s="1323"/>
      <c r="M3404" s="2227"/>
      <c r="N3404" s="535"/>
    </row>
    <row r="3405" spans="1:16" s="4099" customFormat="1" ht="16.5" customHeight="1" x14ac:dyDescent="0.25">
      <c r="A3405" s="4101"/>
      <c r="B3405" s="4119"/>
      <c r="C3405" s="4116" t="s">
        <v>5024</v>
      </c>
      <c r="D3405" s="673">
        <f>D3406</f>
        <v>500000000</v>
      </c>
      <c r="E3405" s="4121">
        <f>D3405/D3160*100</f>
        <v>0.36178564718481349</v>
      </c>
      <c r="F3405" s="869"/>
      <c r="G3405" s="894"/>
      <c r="H3405" s="880"/>
      <c r="I3405" s="1121"/>
      <c r="J3405" s="2452"/>
      <c r="K3405" s="1717"/>
      <c r="L3405" s="1717"/>
      <c r="M3405" s="2338"/>
      <c r="N3405" s="4109"/>
      <c r="P3405" s="500"/>
    </row>
    <row r="3406" spans="1:16" s="4099" customFormat="1" ht="15.75" customHeight="1" x14ac:dyDescent="0.25">
      <c r="A3406" s="4101"/>
      <c r="B3406" s="4119"/>
      <c r="C3406" s="4104" t="s">
        <v>5025</v>
      </c>
      <c r="D3406" s="386">
        <v>500000000</v>
      </c>
      <c r="E3406" s="4121">
        <f>D3406/D3160*100</f>
        <v>0.36178564718481349</v>
      </c>
      <c r="F3406" s="869"/>
      <c r="G3406" s="894"/>
      <c r="H3406" s="880"/>
      <c r="I3406" s="1121"/>
      <c r="J3406" s="2452"/>
      <c r="K3406" s="1717"/>
      <c r="L3406" s="1717"/>
      <c r="M3406" s="2338"/>
      <c r="N3406" s="4109"/>
      <c r="P3406" s="500"/>
    </row>
    <row r="3407" spans="1:16" s="4099" customFormat="1" ht="12.75" customHeight="1" x14ac:dyDescent="0.25">
      <c r="A3407" s="4101"/>
      <c r="B3407" s="4119"/>
      <c r="C3407" s="4117"/>
      <c r="D3407" s="969"/>
      <c r="E3407" s="4112"/>
      <c r="F3407" s="4126"/>
      <c r="G3407" s="969"/>
      <c r="H3407" s="2255"/>
      <c r="I3407" s="2339"/>
      <c r="J3407" s="2460"/>
      <c r="K3407" s="2265"/>
      <c r="L3407" s="1703"/>
      <c r="M3407" s="2302"/>
      <c r="N3407" s="4109"/>
      <c r="P3407" s="500"/>
    </row>
    <row r="3408" spans="1:16" ht="15.75" customHeight="1" x14ac:dyDescent="0.25">
      <c r="B3408" s="1305"/>
      <c r="C3408" s="3875" t="s">
        <v>5026</v>
      </c>
      <c r="D3408" s="669">
        <f>SUM(D3409)</f>
        <v>400000000</v>
      </c>
      <c r="E3408" s="1479">
        <f>D3408/D3160*100</f>
        <v>0.28942851774785078</v>
      </c>
      <c r="F3408" s="847"/>
      <c r="G3408" s="847"/>
      <c r="H3408" s="1030"/>
      <c r="I3408" s="2298"/>
      <c r="J3408" s="1824"/>
      <c r="K3408" s="1824"/>
      <c r="L3408" s="1030"/>
      <c r="M3408" s="2066"/>
      <c r="N3408" s="535"/>
    </row>
    <row r="3409" spans="1:16" ht="16.5" customHeight="1" x14ac:dyDescent="0.25">
      <c r="B3409" s="1242"/>
      <c r="C3409" s="4103" t="s">
        <v>5027</v>
      </c>
      <c r="D3409" s="673">
        <f>D3410</f>
        <v>400000000</v>
      </c>
      <c r="E3409" s="4114">
        <f>D3409/D3160*100</f>
        <v>0.28942851774785078</v>
      </c>
      <c r="F3409" s="541"/>
      <c r="G3409" s="541"/>
      <c r="H3409" s="1033"/>
      <c r="I3409" s="541"/>
      <c r="J3409" s="1112"/>
      <c r="K3409" s="1112"/>
      <c r="L3409" s="1033"/>
      <c r="M3409" s="2496"/>
      <c r="N3409" s="535"/>
    </row>
    <row r="3410" spans="1:16" ht="16.5" customHeight="1" x14ac:dyDescent="0.25">
      <c r="B3410" s="1242"/>
      <c r="C3410" s="3863" t="s">
        <v>5028</v>
      </c>
      <c r="D3410" s="666">
        <v>400000000</v>
      </c>
      <c r="E3410" s="1487">
        <f>D3410/D3160*100</f>
        <v>0.28942851774785078</v>
      </c>
      <c r="F3410" s="542"/>
      <c r="G3410" s="666"/>
      <c r="H3410" s="1043"/>
      <c r="I3410" s="1109"/>
      <c r="J3410" s="663"/>
      <c r="K3410" s="1984"/>
      <c r="L3410" s="2435"/>
      <c r="M3410" s="2230"/>
      <c r="N3410" s="535"/>
    </row>
    <row r="3411" spans="1:16" ht="12" customHeight="1" x14ac:dyDescent="0.25">
      <c r="B3411" s="1242"/>
      <c r="C3411" s="3897"/>
      <c r="D3411" s="671"/>
      <c r="E3411" s="724"/>
      <c r="F3411" s="543"/>
      <c r="G3411" s="671"/>
      <c r="H3411" s="2458"/>
      <c r="I3411" s="2339"/>
      <c r="J3411" s="2460"/>
      <c r="K3411" s="2265"/>
      <c r="L3411" s="2470"/>
      <c r="M3411" s="2302"/>
      <c r="N3411" s="535"/>
    </row>
    <row r="3412" spans="1:16" ht="16.5" customHeight="1" x14ac:dyDescent="0.25">
      <c r="B3412" s="1305"/>
      <c r="C3412" s="3875" t="s">
        <v>5029</v>
      </c>
      <c r="D3412" s="669">
        <f>SUM(D3413,D3438,D3421,D3432,D3441)</f>
        <v>32500000000</v>
      </c>
      <c r="E3412" s="1479">
        <f>D3412/D3160*100</f>
        <v>23.516067067012873</v>
      </c>
      <c r="F3412" s="847"/>
      <c r="G3412" s="1107"/>
      <c r="H3412" s="1050"/>
      <c r="I3412" s="1107"/>
      <c r="J3412" s="1824"/>
      <c r="K3412" s="1824"/>
      <c r="L3412" s="1030"/>
      <c r="M3412" s="2066"/>
      <c r="N3412" s="535"/>
    </row>
    <row r="3413" spans="1:16" ht="18.75" customHeight="1" x14ac:dyDescent="0.25">
      <c r="B3413" s="1242"/>
      <c r="C3413" s="3854" t="s">
        <v>5030</v>
      </c>
      <c r="D3413" s="667">
        <f>SUM(D3414:D3419)</f>
        <v>12600000000</v>
      </c>
      <c r="E3413" s="1488">
        <f>D3413/D3160*100</f>
        <v>9.1169983090572995</v>
      </c>
      <c r="F3413" s="867"/>
      <c r="G3413" s="1110"/>
      <c r="H3413" s="1646"/>
      <c r="I3413" s="1110"/>
      <c r="J3413" s="1112"/>
      <c r="K3413" s="1112"/>
      <c r="L3413" s="1033"/>
      <c r="M3413" s="2499"/>
      <c r="N3413" s="535"/>
    </row>
    <row r="3414" spans="1:16" ht="17.25" customHeight="1" x14ac:dyDescent="0.25">
      <c r="B3414" s="1242"/>
      <c r="C3414" s="3863" t="s">
        <v>5031</v>
      </c>
      <c r="D3414" s="666">
        <v>2300000000</v>
      </c>
      <c r="E3414" s="1487">
        <f>D3414/D3160*100</f>
        <v>1.6642139770501421</v>
      </c>
      <c r="F3414" s="542"/>
      <c r="G3414" s="1109"/>
      <c r="H3414" s="1647"/>
      <c r="I3414" s="1109"/>
      <c r="J3414" s="663"/>
      <c r="K3414" s="1984"/>
      <c r="L3414" s="2435"/>
      <c r="M3414" s="2230"/>
      <c r="N3414" s="535"/>
    </row>
    <row r="3415" spans="1:16" ht="15" customHeight="1" x14ac:dyDescent="0.25">
      <c r="B3415" s="1242"/>
      <c r="C3415" s="3863" t="s">
        <v>5032</v>
      </c>
      <c r="D3415" s="666">
        <v>2000000000</v>
      </c>
      <c r="E3415" s="4121">
        <f>D3415/D3160*100</f>
        <v>1.4471425887392539</v>
      </c>
      <c r="F3415" s="542"/>
      <c r="G3415" s="666"/>
      <c r="H3415" s="880"/>
      <c r="I3415" s="666"/>
      <c r="J3415" s="663"/>
      <c r="K3415" s="1717"/>
      <c r="L3415" s="2467"/>
      <c r="M3415" s="2230"/>
      <c r="N3415" s="535"/>
    </row>
    <row r="3416" spans="1:16" s="4099" customFormat="1" ht="13.5" customHeight="1" x14ac:dyDescent="0.25">
      <c r="A3416" s="4101"/>
      <c r="B3416" s="4119"/>
      <c r="C3416" s="3964" t="s">
        <v>5033</v>
      </c>
      <c r="D3416" s="666">
        <v>2500000000</v>
      </c>
      <c r="E3416" s="4121">
        <f>D3416/D3160*100</f>
        <v>1.8089282359240673</v>
      </c>
      <c r="F3416" s="542"/>
      <c r="G3416" s="1111"/>
      <c r="H3416" s="1310"/>
      <c r="I3416" s="1111"/>
      <c r="J3416" s="663"/>
      <c r="K3416" s="1717"/>
      <c r="L3416" s="2467"/>
      <c r="M3416" s="2230"/>
      <c r="N3416" s="4109"/>
      <c r="P3416" s="500"/>
    </row>
    <row r="3417" spans="1:16" s="4099" customFormat="1" ht="12.75" customHeight="1" x14ac:dyDescent="0.25">
      <c r="A3417" s="4101"/>
      <c r="B3417" s="4119"/>
      <c r="C3417" s="4104" t="s">
        <v>5034</v>
      </c>
      <c r="D3417" s="666">
        <v>2500000000</v>
      </c>
      <c r="E3417" s="4121">
        <f>D3417/D3160*100</f>
        <v>1.8089282359240673</v>
      </c>
      <c r="F3417" s="542"/>
      <c r="G3417" s="1111"/>
      <c r="H3417" s="1310"/>
      <c r="I3417" s="1111"/>
      <c r="J3417" s="663"/>
      <c r="K3417" s="1717"/>
      <c r="L3417" s="2467"/>
      <c r="M3417" s="2230"/>
      <c r="N3417" s="4109"/>
      <c r="P3417" s="500"/>
    </row>
    <row r="3418" spans="1:16" s="4099" customFormat="1" ht="16.5" customHeight="1" x14ac:dyDescent="0.25">
      <c r="A3418" s="4101"/>
      <c r="B3418" s="4119"/>
      <c r="C3418" s="4104" t="s">
        <v>5035</v>
      </c>
      <c r="D3418" s="666">
        <v>2300000000</v>
      </c>
      <c r="E3418" s="4121">
        <f>D3418/D3160*100</f>
        <v>1.6642139770501421</v>
      </c>
      <c r="F3418" s="542"/>
      <c r="G3418" s="1111"/>
      <c r="H3418" s="1310"/>
      <c r="I3418" s="1111"/>
      <c r="J3418" s="663"/>
      <c r="K3418" s="1717"/>
      <c r="L3418" s="2467"/>
      <c r="M3418" s="2230"/>
      <c r="N3418" s="4109"/>
      <c r="P3418" s="500"/>
    </row>
    <row r="3419" spans="1:16" s="4099" customFormat="1" ht="14.25" customHeight="1" x14ac:dyDescent="0.25">
      <c r="A3419" s="4101"/>
      <c r="B3419" s="4119"/>
      <c r="C3419" s="4104" t="s">
        <v>5036</v>
      </c>
      <c r="D3419" s="666">
        <v>1000000000</v>
      </c>
      <c r="E3419" s="4121">
        <f>D3419/D3160*100</f>
        <v>0.72357129436962697</v>
      </c>
      <c r="F3419" s="542"/>
      <c r="G3419" s="1111"/>
      <c r="H3419" s="1310"/>
      <c r="I3419" s="1111"/>
      <c r="J3419" s="663"/>
      <c r="K3419" s="1717"/>
      <c r="L3419" s="2467"/>
      <c r="M3419" s="2230"/>
      <c r="N3419" s="4109"/>
      <c r="P3419" s="500"/>
    </row>
    <row r="3420" spans="1:16" s="4099" customFormat="1" ht="9" customHeight="1" x14ac:dyDescent="0.25">
      <c r="A3420" s="4101"/>
      <c r="B3420" s="4119"/>
      <c r="C3420" s="3964"/>
      <c r="D3420" s="868"/>
      <c r="E3420" s="4121"/>
      <c r="F3420" s="1114"/>
      <c r="G3420" s="1324"/>
      <c r="H3420" s="2174"/>
      <c r="I3420" s="1324"/>
      <c r="J3420" s="872"/>
      <c r="K3420" s="2281"/>
      <c r="L3420" s="2467"/>
      <c r="M3420" s="2230"/>
      <c r="N3420" s="4109"/>
      <c r="P3420" s="500"/>
    </row>
    <row r="3421" spans="1:16" s="4099" customFormat="1" ht="18.75" customHeight="1" x14ac:dyDescent="0.25">
      <c r="A3421" s="4101"/>
      <c r="B3421" s="4119"/>
      <c r="C3421" s="4116" t="s">
        <v>5037</v>
      </c>
      <c r="D3421" s="673">
        <f>SUM(D3422:D3430)</f>
        <v>9780000000</v>
      </c>
      <c r="E3421" s="4122">
        <f>D3421/D3160*100</f>
        <v>7.0765272589349522</v>
      </c>
      <c r="F3421" s="542"/>
      <c r="G3421" s="666"/>
      <c r="H3421" s="880"/>
      <c r="I3421" s="666"/>
      <c r="J3421" s="663"/>
      <c r="K3421" s="1717"/>
      <c r="L3421" s="2467"/>
      <c r="M3421" s="2230"/>
      <c r="N3421" s="4109"/>
      <c r="P3421" s="500"/>
    </row>
    <row r="3422" spans="1:16" s="4099" customFormat="1" ht="15" customHeight="1" x14ac:dyDescent="0.25">
      <c r="A3422" s="4101"/>
      <c r="B3422" s="4119"/>
      <c r="C3422" s="4104" t="s">
        <v>5038</v>
      </c>
      <c r="D3422" s="666">
        <v>1100000000</v>
      </c>
      <c r="E3422" s="4121">
        <f>D3422/D3160*100</f>
        <v>0.79592842380658957</v>
      </c>
      <c r="F3422" s="542"/>
      <c r="G3422" s="666"/>
      <c r="H3422" s="880"/>
      <c r="I3422" s="666"/>
      <c r="J3422" s="663"/>
      <c r="K3422" s="1717"/>
      <c r="L3422" s="2467"/>
      <c r="M3422" s="2230"/>
      <c r="N3422" s="4109"/>
      <c r="P3422" s="500"/>
    </row>
    <row r="3423" spans="1:16" s="4099" customFormat="1" ht="16.5" customHeight="1" x14ac:dyDescent="0.25">
      <c r="A3423" s="4101"/>
      <c r="B3423" s="4119"/>
      <c r="C3423" s="4104" t="s">
        <v>5039</v>
      </c>
      <c r="D3423" s="666">
        <v>1200000000</v>
      </c>
      <c r="E3423" s="4121">
        <f>D3423/D3160*100</f>
        <v>0.86828555324355228</v>
      </c>
      <c r="F3423" s="542"/>
      <c r="G3423" s="666"/>
      <c r="H3423" s="880"/>
      <c r="I3423" s="666"/>
      <c r="J3423" s="663"/>
      <c r="K3423" s="1717"/>
      <c r="L3423" s="2467"/>
      <c r="M3423" s="2230"/>
      <c r="N3423" s="4109"/>
      <c r="P3423" s="500"/>
    </row>
    <row r="3424" spans="1:16" s="4099" customFormat="1" ht="15" customHeight="1" x14ac:dyDescent="0.25">
      <c r="A3424" s="4101"/>
      <c r="B3424" s="4119"/>
      <c r="C3424" s="4104" t="s">
        <v>5040</v>
      </c>
      <c r="D3424" s="666">
        <v>1000000000</v>
      </c>
      <c r="E3424" s="4121">
        <f>D3424/D3160*100</f>
        <v>0.72357129436962697</v>
      </c>
      <c r="F3424" s="542"/>
      <c r="G3424" s="666"/>
      <c r="H3424" s="880"/>
      <c r="I3424" s="666"/>
      <c r="J3424" s="663"/>
      <c r="K3424" s="1717"/>
      <c r="L3424" s="2467"/>
      <c r="M3424" s="2230"/>
      <c r="N3424" s="4109"/>
      <c r="P3424" s="500"/>
    </row>
    <row r="3425" spans="1:16" s="4099" customFormat="1" ht="13.5" customHeight="1" x14ac:dyDescent="0.25">
      <c r="A3425" s="4101"/>
      <c r="B3425" s="4119"/>
      <c r="C3425" s="4104" t="s">
        <v>5041</v>
      </c>
      <c r="D3425" s="666">
        <v>1200000000</v>
      </c>
      <c r="E3425" s="4121">
        <f>D3425/D3160*100</f>
        <v>0.86828555324355228</v>
      </c>
      <c r="F3425" s="542"/>
      <c r="G3425" s="666"/>
      <c r="H3425" s="880"/>
      <c r="I3425" s="666"/>
      <c r="J3425" s="663"/>
      <c r="K3425" s="1717"/>
      <c r="L3425" s="2467"/>
      <c r="M3425" s="2230"/>
      <c r="N3425" s="4109"/>
      <c r="P3425" s="500"/>
    </row>
    <row r="3426" spans="1:16" s="4099" customFormat="1" ht="15.75" customHeight="1" x14ac:dyDescent="0.25">
      <c r="A3426" s="4101"/>
      <c r="B3426" s="4119"/>
      <c r="C3426" s="4104" t="s">
        <v>5042</v>
      </c>
      <c r="D3426" s="666">
        <v>1400000000</v>
      </c>
      <c r="E3426" s="4121">
        <f>D3426/D3160*100</f>
        <v>1.0129998121174777</v>
      </c>
      <c r="F3426" s="542"/>
      <c r="G3426" s="666"/>
      <c r="H3426" s="880"/>
      <c r="I3426" s="666"/>
      <c r="J3426" s="663"/>
      <c r="K3426" s="1717"/>
      <c r="L3426" s="2467"/>
      <c r="M3426" s="2230"/>
      <c r="N3426" s="4109"/>
      <c r="P3426" s="500"/>
    </row>
    <row r="3427" spans="1:16" s="4099" customFormat="1" ht="15" customHeight="1" x14ac:dyDescent="0.25">
      <c r="A3427" s="4101"/>
      <c r="B3427" s="4119"/>
      <c r="C3427" s="4104" t="s">
        <v>5043</v>
      </c>
      <c r="D3427" s="666">
        <v>1200000000</v>
      </c>
      <c r="E3427" s="4121">
        <f>D3427/D3160*100</f>
        <v>0.86828555324355228</v>
      </c>
      <c r="F3427" s="542"/>
      <c r="G3427" s="666"/>
      <c r="H3427" s="880"/>
      <c r="I3427" s="666"/>
      <c r="J3427" s="663"/>
      <c r="K3427" s="1717"/>
      <c r="L3427" s="2467"/>
      <c r="M3427" s="2230"/>
      <c r="N3427" s="4109"/>
      <c r="P3427" s="500"/>
    </row>
    <row r="3428" spans="1:16" s="4099" customFormat="1" ht="15.75" customHeight="1" x14ac:dyDescent="0.25">
      <c r="A3428" s="4101"/>
      <c r="B3428" s="4119"/>
      <c r="C3428" s="4104" t="s">
        <v>5044</v>
      </c>
      <c r="D3428" s="666">
        <v>880000000</v>
      </c>
      <c r="E3428" s="4121">
        <f>D3428/D3160*100</f>
        <v>0.63674273904527168</v>
      </c>
      <c r="F3428" s="542"/>
      <c r="G3428" s="666"/>
      <c r="H3428" s="880"/>
      <c r="I3428" s="666"/>
      <c r="J3428" s="663"/>
      <c r="K3428" s="1717"/>
      <c r="L3428" s="2467"/>
      <c r="M3428" s="2230"/>
      <c r="N3428" s="4109"/>
      <c r="P3428" s="500"/>
    </row>
    <row r="3429" spans="1:16" s="4099" customFormat="1" ht="14.25" customHeight="1" x14ac:dyDescent="0.25">
      <c r="A3429" s="4101"/>
      <c r="B3429" s="4119"/>
      <c r="C3429" s="4104" t="s">
        <v>5045</v>
      </c>
      <c r="D3429" s="666">
        <v>600000000</v>
      </c>
      <c r="E3429" s="4121">
        <f>D3429/D3160*100</f>
        <v>0.43414277662177614</v>
      </c>
      <c r="F3429" s="542"/>
      <c r="G3429" s="666"/>
      <c r="H3429" s="880"/>
      <c r="I3429" s="666"/>
      <c r="J3429" s="663"/>
      <c r="K3429" s="1717"/>
      <c r="L3429" s="2467"/>
      <c r="M3429" s="2230"/>
      <c r="N3429" s="4109"/>
      <c r="P3429" s="500"/>
    </row>
    <row r="3430" spans="1:16" s="4099" customFormat="1" ht="17.25" customHeight="1" x14ac:dyDescent="0.25">
      <c r="A3430" s="4101"/>
      <c r="B3430" s="4119"/>
      <c r="C3430" s="4104" t="s">
        <v>5046</v>
      </c>
      <c r="D3430" s="666">
        <v>1200000000</v>
      </c>
      <c r="E3430" s="4121">
        <f>D3430/D3160*100</f>
        <v>0.86828555324355228</v>
      </c>
      <c r="F3430" s="542"/>
      <c r="G3430" s="666"/>
      <c r="H3430" s="880"/>
      <c r="I3430" s="666"/>
      <c r="J3430" s="663"/>
      <c r="K3430" s="1717"/>
      <c r="L3430" s="2467"/>
      <c r="M3430" s="2230"/>
      <c r="N3430" s="4109"/>
      <c r="P3430" s="500"/>
    </row>
    <row r="3431" spans="1:16" s="4099" customFormat="1" ht="10.5" customHeight="1" x14ac:dyDescent="0.25">
      <c r="A3431" s="4101"/>
      <c r="B3431" s="4119"/>
      <c r="C3431" s="4104"/>
      <c r="D3431" s="666"/>
      <c r="E3431" s="4121"/>
      <c r="F3431" s="542"/>
      <c r="G3431" s="666"/>
      <c r="H3431" s="880"/>
      <c r="I3431" s="666"/>
      <c r="J3431" s="663"/>
      <c r="K3431" s="1717"/>
      <c r="L3431" s="2467"/>
      <c r="M3431" s="2230"/>
      <c r="N3431" s="4109"/>
      <c r="P3431" s="500"/>
    </row>
    <row r="3432" spans="1:16" s="4099" customFormat="1" ht="15.75" customHeight="1" x14ac:dyDescent="0.25">
      <c r="A3432" s="4101"/>
      <c r="B3432" s="4119"/>
      <c r="C3432" s="4116" t="s">
        <v>5047</v>
      </c>
      <c r="D3432" s="673">
        <f>SUM(D3433:D3436)</f>
        <v>2500000000</v>
      </c>
      <c r="E3432" s="4125">
        <f>D3432/D3160*100</f>
        <v>1.8089282359240673</v>
      </c>
      <c r="F3432" s="542"/>
      <c r="G3432" s="666"/>
      <c r="H3432" s="880"/>
      <c r="I3432" s="666"/>
      <c r="J3432" s="663"/>
      <c r="K3432" s="1717"/>
      <c r="L3432" s="2467"/>
      <c r="M3432" s="2230"/>
      <c r="N3432" s="4109"/>
      <c r="P3432" s="500"/>
    </row>
    <row r="3433" spans="1:16" s="4099" customFormat="1" ht="15.75" customHeight="1" x14ac:dyDescent="0.25">
      <c r="A3433" s="4101"/>
      <c r="B3433" s="4119"/>
      <c r="C3433" s="4104" t="s">
        <v>5048</v>
      </c>
      <c r="D3433" s="666">
        <v>500000000</v>
      </c>
      <c r="E3433" s="4121">
        <f>D3433/D3160*100</f>
        <v>0.36178564718481349</v>
      </c>
      <c r="F3433" s="542"/>
      <c r="G3433" s="666"/>
      <c r="H3433" s="880"/>
      <c r="I3433" s="666"/>
      <c r="J3433" s="663"/>
      <c r="K3433" s="1717"/>
      <c r="L3433" s="2467"/>
      <c r="M3433" s="2230"/>
      <c r="N3433" s="4109"/>
      <c r="P3433" s="500"/>
    </row>
    <row r="3434" spans="1:16" s="4099" customFormat="1" ht="16.5" customHeight="1" x14ac:dyDescent="0.25">
      <c r="A3434" s="4101"/>
      <c r="B3434" s="4119"/>
      <c r="C3434" s="4104" t="s">
        <v>5049</v>
      </c>
      <c r="D3434" s="666">
        <v>500000000</v>
      </c>
      <c r="E3434" s="4121">
        <f>D3434/D3160*100</f>
        <v>0.36178564718481349</v>
      </c>
      <c r="F3434" s="542"/>
      <c r="G3434" s="666"/>
      <c r="H3434" s="880"/>
      <c r="I3434" s="666"/>
      <c r="J3434" s="663"/>
      <c r="K3434" s="1717"/>
      <c r="L3434" s="2467"/>
      <c r="M3434" s="2230"/>
      <c r="N3434" s="4109"/>
      <c r="P3434" s="500"/>
    </row>
    <row r="3435" spans="1:16" s="4099" customFormat="1" ht="16.5" customHeight="1" x14ac:dyDescent="0.25">
      <c r="A3435" s="4101"/>
      <c r="B3435" s="4119"/>
      <c r="C3435" s="4104" t="s">
        <v>5050</v>
      </c>
      <c r="D3435" s="666">
        <v>1000000000</v>
      </c>
      <c r="E3435" s="4121">
        <f>D3435/D3160*100</f>
        <v>0.72357129436962697</v>
      </c>
      <c r="F3435" s="542"/>
      <c r="G3435" s="666"/>
      <c r="H3435" s="880"/>
      <c r="I3435" s="666"/>
      <c r="J3435" s="663"/>
      <c r="K3435" s="1717"/>
      <c r="L3435" s="2467"/>
      <c r="M3435" s="2230"/>
      <c r="N3435" s="4109"/>
      <c r="P3435" s="500"/>
    </row>
    <row r="3436" spans="1:16" s="4099" customFormat="1" ht="18" customHeight="1" x14ac:dyDescent="0.25">
      <c r="A3436" s="4101"/>
      <c r="B3436" s="4119"/>
      <c r="C3436" s="4104" t="s">
        <v>5051</v>
      </c>
      <c r="D3436" s="666">
        <v>500000000</v>
      </c>
      <c r="E3436" s="4121">
        <f>D3436/D3160*100</f>
        <v>0.36178564718481349</v>
      </c>
      <c r="F3436" s="542"/>
      <c r="G3436" s="666"/>
      <c r="H3436" s="880"/>
      <c r="I3436" s="666"/>
      <c r="J3436" s="663"/>
      <c r="K3436" s="1717"/>
      <c r="L3436" s="2467"/>
      <c r="M3436" s="2230"/>
      <c r="N3436" s="4109"/>
      <c r="P3436" s="500"/>
    </row>
    <row r="3437" spans="1:16" s="4099" customFormat="1" ht="10.5" customHeight="1" x14ac:dyDescent="0.25">
      <c r="A3437" s="4101"/>
      <c r="B3437" s="4119"/>
      <c r="C3437" s="4104"/>
      <c r="D3437" s="666"/>
      <c r="E3437" s="4121"/>
      <c r="F3437" s="542"/>
      <c r="G3437" s="666"/>
      <c r="H3437" s="880"/>
      <c r="I3437" s="666"/>
      <c r="J3437" s="663"/>
      <c r="K3437" s="1717"/>
      <c r="L3437" s="2467"/>
      <c r="M3437" s="2230"/>
      <c r="N3437" s="4109"/>
      <c r="P3437" s="500"/>
    </row>
    <row r="3438" spans="1:16" ht="16.5" customHeight="1" x14ac:dyDescent="0.25">
      <c r="B3438" s="1242"/>
      <c r="C3438" s="4103" t="s">
        <v>5052</v>
      </c>
      <c r="D3438" s="673">
        <f>D3439</f>
        <v>500000000</v>
      </c>
      <c r="E3438" s="4122">
        <f>D3438/D3160*100</f>
        <v>0.36178564718481349</v>
      </c>
      <c r="F3438" s="541"/>
      <c r="G3438" s="1118"/>
      <c r="H3438" s="1052"/>
      <c r="I3438" s="1118"/>
      <c r="J3438" s="1112"/>
      <c r="K3438" s="1112"/>
      <c r="L3438" s="1033"/>
      <c r="M3438" s="2501"/>
      <c r="N3438" s="535"/>
    </row>
    <row r="3439" spans="1:16" ht="19.5" customHeight="1" x14ac:dyDescent="0.25">
      <c r="B3439" s="1242"/>
      <c r="C3439" s="4104" t="s">
        <v>5053</v>
      </c>
      <c r="D3439" s="666">
        <v>500000000</v>
      </c>
      <c r="E3439" s="4113">
        <f>D3439/D3160*100</f>
        <v>0.36178564718481349</v>
      </c>
      <c r="F3439" s="542"/>
      <c r="G3439" s="1121"/>
      <c r="H3439" s="1162"/>
      <c r="I3439" s="1121"/>
      <c r="J3439" s="663"/>
      <c r="K3439" s="663"/>
      <c r="L3439" s="2435"/>
      <c r="M3439" s="2230"/>
      <c r="N3439" s="535"/>
    </row>
    <row r="3440" spans="1:16" s="4099" customFormat="1" ht="12" customHeight="1" x14ac:dyDescent="0.25">
      <c r="A3440" s="4101"/>
      <c r="B3440" s="4119"/>
      <c r="C3440" s="4104"/>
      <c r="D3440" s="666"/>
      <c r="E3440" s="4113"/>
      <c r="F3440" s="542"/>
      <c r="G3440" s="1121"/>
      <c r="H3440" s="1162"/>
      <c r="I3440" s="1121"/>
      <c r="J3440" s="663"/>
      <c r="K3440" s="663"/>
      <c r="L3440" s="4127"/>
      <c r="M3440" s="2227"/>
      <c r="N3440" s="4109"/>
      <c r="P3440" s="500"/>
    </row>
    <row r="3441" spans="1:16" s="4099" customFormat="1" ht="20.25" customHeight="1" x14ac:dyDescent="0.25">
      <c r="A3441" s="4101"/>
      <c r="B3441" s="4119"/>
      <c r="C3441" s="4116" t="s">
        <v>5054</v>
      </c>
      <c r="D3441" s="673">
        <f>SUM(D3442:D3449)</f>
        <v>7120000000</v>
      </c>
      <c r="E3441" s="4114">
        <f>D3441/D3160*100</f>
        <v>5.1518276159117438</v>
      </c>
      <c r="F3441" s="542"/>
      <c r="G3441" s="1121"/>
      <c r="H3441" s="1162"/>
      <c r="I3441" s="1121"/>
      <c r="J3441" s="663"/>
      <c r="K3441" s="663"/>
      <c r="L3441" s="4127"/>
      <c r="M3441" s="2227"/>
      <c r="N3441" s="4109"/>
      <c r="P3441" s="500"/>
    </row>
    <row r="3442" spans="1:16" s="4099" customFormat="1" ht="15" customHeight="1" x14ac:dyDescent="0.25">
      <c r="A3442" s="4101"/>
      <c r="B3442" s="4119"/>
      <c r="C3442" s="4104" t="s">
        <v>5055</v>
      </c>
      <c r="D3442" s="666">
        <v>900000000</v>
      </c>
      <c r="E3442" s="4113">
        <f>D3442/D3160*100</f>
        <v>0.65121416493266426</v>
      </c>
      <c r="F3442" s="542"/>
      <c r="G3442" s="1121"/>
      <c r="H3442" s="1162"/>
      <c r="I3442" s="1121"/>
      <c r="J3442" s="663"/>
      <c r="K3442" s="663"/>
      <c r="L3442" s="4127"/>
      <c r="M3442" s="2227"/>
      <c r="N3442" s="4109"/>
      <c r="P3442" s="500"/>
    </row>
    <row r="3443" spans="1:16" s="4099" customFormat="1" ht="15" customHeight="1" x14ac:dyDescent="0.25">
      <c r="A3443" s="4101"/>
      <c r="B3443" s="4119"/>
      <c r="C3443" s="4104" t="s">
        <v>5056</v>
      </c>
      <c r="D3443" s="666">
        <v>820000000</v>
      </c>
      <c r="E3443" s="4113">
        <f>D3443/D3160*100</f>
        <v>0.59332846138309403</v>
      </c>
      <c r="F3443" s="542"/>
      <c r="G3443" s="1121"/>
      <c r="H3443" s="1162"/>
      <c r="I3443" s="1121"/>
      <c r="J3443" s="663"/>
      <c r="K3443" s="663"/>
      <c r="L3443" s="4127"/>
      <c r="M3443" s="2227"/>
      <c r="N3443" s="4109"/>
      <c r="P3443" s="500"/>
    </row>
    <row r="3444" spans="1:16" s="4099" customFormat="1" ht="13.5" customHeight="1" x14ac:dyDescent="0.25">
      <c r="A3444" s="4101"/>
      <c r="B3444" s="4119"/>
      <c r="C3444" s="4104" t="s">
        <v>5057</v>
      </c>
      <c r="D3444" s="666">
        <v>800000000</v>
      </c>
      <c r="E3444" s="4113">
        <f>D3444/D3160*100</f>
        <v>0.57885703549570156</v>
      </c>
      <c r="F3444" s="542"/>
      <c r="G3444" s="1121"/>
      <c r="H3444" s="1162"/>
      <c r="I3444" s="1121"/>
      <c r="J3444" s="663"/>
      <c r="K3444" s="663"/>
      <c r="L3444" s="4127"/>
      <c r="M3444" s="2227"/>
      <c r="N3444" s="4109"/>
      <c r="P3444" s="500"/>
    </row>
    <row r="3445" spans="1:16" s="4099" customFormat="1" ht="15" customHeight="1" x14ac:dyDescent="0.25">
      <c r="A3445" s="4101"/>
      <c r="B3445" s="4119"/>
      <c r="C3445" s="4104" t="s">
        <v>5058</v>
      </c>
      <c r="D3445" s="666">
        <v>800000000</v>
      </c>
      <c r="E3445" s="4113">
        <f>D3445/D3160*100</f>
        <v>0.57885703549570156</v>
      </c>
      <c r="F3445" s="542"/>
      <c r="G3445" s="1121"/>
      <c r="H3445" s="1162"/>
      <c r="I3445" s="1121"/>
      <c r="J3445" s="663"/>
      <c r="K3445" s="663"/>
      <c r="L3445" s="4127"/>
      <c r="M3445" s="2227"/>
      <c r="N3445" s="4109"/>
      <c r="P3445" s="500"/>
    </row>
    <row r="3446" spans="1:16" s="4099" customFormat="1" ht="15" customHeight="1" x14ac:dyDescent="0.25">
      <c r="A3446" s="4101"/>
      <c r="B3446" s="4119"/>
      <c r="C3446" s="4104" t="s">
        <v>5059</v>
      </c>
      <c r="D3446" s="666">
        <v>900000000</v>
      </c>
      <c r="E3446" s="4113">
        <f>D3446/D3160*100</f>
        <v>0.65121416493266426</v>
      </c>
      <c r="F3446" s="542"/>
      <c r="G3446" s="1121"/>
      <c r="H3446" s="1162"/>
      <c r="I3446" s="1121"/>
      <c r="J3446" s="663"/>
      <c r="K3446" s="663"/>
      <c r="L3446" s="4127"/>
      <c r="M3446" s="2227"/>
      <c r="N3446" s="4109"/>
      <c r="P3446" s="500"/>
    </row>
    <row r="3447" spans="1:16" s="4099" customFormat="1" ht="15.75" customHeight="1" x14ac:dyDescent="0.25">
      <c r="A3447" s="4101"/>
      <c r="B3447" s="4119"/>
      <c r="C3447" s="4104" t="s">
        <v>5060</v>
      </c>
      <c r="D3447" s="666">
        <v>900000000</v>
      </c>
      <c r="E3447" s="4113">
        <f>D3447/D3160*100</f>
        <v>0.65121416493266426</v>
      </c>
      <c r="F3447" s="542"/>
      <c r="G3447" s="1121"/>
      <c r="H3447" s="1162"/>
      <c r="I3447" s="1121"/>
      <c r="J3447" s="663"/>
      <c r="K3447" s="663"/>
      <c r="L3447" s="4127"/>
      <c r="M3447" s="2227"/>
      <c r="N3447" s="4109"/>
      <c r="P3447" s="500"/>
    </row>
    <row r="3448" spans="1:16" s="4099" customFormat="1" ht="14.25" customHeight="1" x14ac:dyDescent="0.25">
      <c r="A3448" s="4101"/>
      <c r="B3448" s="4119"/>
      <c r="C3448" s="4104" t="s">
        <v>5061</v>
      </c>
      <c r="D3448" s="666">
        <v>1000000000</v>
      </c>
      <c r="E3448" s="4113">
        <f>D3448/D3160*100</f>
        <v>0.72357129436962697</v>
      </c>
      <c r="F3448" s="542"/>
      <c r="G3448" s="1121"/>
      <c r="H3448" s="1162"/>
      <c r="I3448" s="1121"/>
      <c r="J3448" s="663"/>
      <c r="K3448" s="663"/>
      <c r="L3448" s="4127"/>
      <c r="M3448" s="2227"/>
      <c r="N3448" s="4109"/>
      <c r="P3448" s="500"/>
    </row>
    <row r="3449" spans="1:16" s="4099" customFormat="1" ht="15.75" customHeight="1" x14ac:dyDescent="0.25">
      <c r="A3449" s="4101"/>
      <c r="B3449" s="4119"/>
      <c r="C3449" s="4104" t="s">
        <v>5062</v>
      </c>
      <c r="D3449" s="666">
        <v>1000000000</v>
      </c>
      <c r="E3449" s="4113">
        <f>D3449/D3160*100</f>
        <v>0.72357129436962697</v>
      </c>
      <c r="F3449" s="542"/>
      <c r="G3449" s="1121"/>
      <c r="H3449" s="1162"/>
      <c r="I3449" s="1121"/>
      <c r="J3449" s="663"/>
      <c r="K3449" s="663"/>
      <c r="L3449" s="4127"/>
      <c r="M3449" s="2227"/>
      <c r="N3449" s="4109"/>
      <c r="P3449" s="500"/>
    </row>
    <row r="3450" spans="1:16" ht="12" customHeight="1" x14ac:dyDescent="0.25">
      <c r="B3450" s="1242"/>
      <c r="C3450" s="4117"/>
      <c r="D3450" s="671"/>
      <c r="E3450" s="724"/>
      <c r="F3450" s="543"/>
      <c r="G3450" s="533"/>
      <c r="H3450" s="2504"/>
      <c r="I3450" s="2339"/>
      <c r="J3450" s="2460"/>
      <c r="K3450" s="2265"/>
      <c r="L3450" s="1323"/>
      <c r="M3450" s="2227"/>
      <c r="N3450" s="535"/>
    </row>
    <row r="3451" spans="1:16" ht="15" customHeight="1" x14ac:dyDescent="0.25">
      <c r="B3451" s="1305"/>
      <c r="C3451" s="3906" t="s">
        <v>5063</v>
      </c>
      <c r="D3451" s="669">
        <f>SUM(D3452)</f>
        <v>5500000000</v>
      </c>
      <c r="E3451" s="1039">
        <f>D3451/D3160*100</f>
        <v>3.9796421190329481</v>
      </c>
      <c r="F3451" s="847"/>
      <c r="G3451" s="1107"/>
      <c r="H3451" s="1050"/>
      <c r="I3451" s="1107"/>
      <c r="J3451" s="1824"/>
      <c r="K3451" s="1824"/>
      <c r="L3451" s="1030"/>
      <c r="M3451" s="2066"/>
      <c r="N3451" s="535"/>
    </row>
    <row r="3452" spans="1:16" ht="18.75" customHeight="1" x14ac:dyDescent="0.25">
      <c r="B3452" s="1242"/>
      <c r="C3452" s="3854" t="s">
        <v>5064</v>
      </c>
      <c r="D3452" s="667">
        <f>SUM(D3453:D3458)</f>
        <v>5500000000</v>
      </c>
      <c r="E3452" s="1488">
        <f>D3452/D3160*100</f>
        <v>3.9796421190329481</v>
      </c>
      <c r="F3452" s="867"/>
      <c r="G3452" s="1110"/>
      <c r="H3452" s="1646"/>
      <c r="I3452" s="1110"/>
      <c r="J3452" s="1840"/>
      <c r="K3452" s="1840"/>
      <c r="L3452" s="1033"/>
      <c r="M3452" s="2308"/>
      <c r="N3452" s="535"/>
    </row>
    <row r="3453" spans="1:16" ht="16.5" customHeight="1" x14ac:dyDescent="0.25">
      <c r="B3453" s="1242"/>
      <c r="C3453" s="3863" t="s">
        <v>5065</v>
      </c>
      <c r="D3453" s="666">
        <v>3000000000</v>
      </c>
      <c r="E3453" s="1487">
        <f>D3453/D3160*100</f>
        <v>2.1707138831088808</v>
      </c>
      <c r="F3453" s="542"/>
      <c r="G3453" s="1109"/>
      <c r="H3453" s="1647"/>
      <c r="I3453" s="1109"/>
      <c r="J3453" s="663"/>
      <c r="K3453" s="1984"/>
      <c r="L3453" s="1043"/>
      <c r="M3453" s="2230"/>
      <c r="N3453" s="535"/>
    </row>
    <row r="3454" spans="1:16" s="4099" customFormat="1" ht="17.25" customHeight="1" x14ac:dyDescent="0.25">
      <c r="A3454" s="4101"/>
      <c r="B3454" s="4119"/>
      <c r="C3454" s="3904" t="s">
        <v>5066</v>
      </c>
      <c r="D3454" s="868">
        <v>500000000</v>
      </c>
      <c r="E3454" s="4121">
        <f>D3454/D3160*100</f>
        <v>0.36178564718481349</v>
      </c>
      <c r="F3454" s="1114"/>
      <c r="G3454" s="1121"/>
      <c r="H3454" s="1162"/>
      <c r="I3454" s="1121"/>
      <c r="J3454" s="663"/>
      <c r="K3454" s="3744"/>
      <c r="L3454" s="3772"/>
      <c r="M3454" s="2227"/>
      <c r="N3454" s="4109"/>
      <c r="P3454" s="500"/>
    </row>
    <row r="3455" spans="1:16" s="4099" customFormat="1" ht="16.5" customHeight="1" x14ac:dyDescent="0.25">
      <c r="A3455" s="4101"/>
      <c r="B3455" s="4119"/>
      <c r="C3455" s="3904" t="s">
        <v>5067</v>
      </c>
      <c r="D3455" s="868">
        <v>700000000</v>
      </c>
      <c r="E3455" s="4121">
        <f>D3455/D3160*100</f>
        <v>0.50649990605873885</v>
      </c>
      <c r="F3455" s="1114"/>
      <c r="G3455" s="1121"/>
      <c r="H3455" s="1162"/>
      <c r="I3455" s="1121"/>
      <c r="J3455" s="663"/>
      <c r="K3455" s="3744"/>
      <c r="L3455" s="3772"/>
      <c r="M3455" s="2227"/>
      <c r="N3455" s="4109"/>
      <c r="P3455" s="500"/>
    </row>
    <row r="3456" spans="1:16" s="4099" customFormat="1" ht="15.75" customHeight="1" x14ac:dyDescent="0.25">
      <c r="A3456" s="4101"/>
      <c r="B3456" s="4119"/>
      <c r="C3456" s="3904" t="s">
        <v>5068</v>
      </c>
      <c r="D3456" s="868">
        <v>500000000</v>
      </c>
      <c r="E3456" s="4121">
        <f>D3456/D3160*100</f>
        <v>0.36178564718481349</v>
      </c>
      <c r="F3456" s="1114"/>
      <c r="G3456" s="1121"/>
      <c r="H3456" s="1162"/>
      <c r="I3456" s="1121"/>
      <c r="J3456" s="663"/>
      <c r="K3456" s="3744"/>
      <c r="L3456" s="3772"/>
      <c r="M3456" s="2227"/>
      <c r="N3456" s="4109"/>
      <c r="P3456" s="500"/>
    </row>
    <row r="3457" spans="1:16" s="4099" customFormat="1" ht="18" customHeight="1" x14ac:dyDescent="0.25">
      <c r="A3457" s="4101"/>
      <c r="B3457" s="4119"/>
      <c r="C3457" s="3904" t="s">
        <v>5069</v>
      </c>
      <c r="D3457" s="868">
        <v>300000000</v>
      </c>
      <c r="E3457" s="4121">
        <f>D3457/D3160*100</f>
        <v>0.21707138831088807</v>
      </c>
      <c r="F3457" s="1114"/>
      <c r="G3457" s="1121"/>
      <c r="H3457" s="1162"/>
      <c r="I3457" s="1121"/>
      <c r="J3457" s="663"/>
      <c r="K3457" s="3744"/>
      <c r="L3457" s="3772"/>
      <c r="M3457" s="2227"/>
      <c r="N3457" s="4109"/>
      <c r="P3457" s="500"/>
    </row>
    <row r="3458" spans="1:16" s="4099" customFormat="1" ht="18" customHeight="1" x14ac:dyDescent="0.25">
      <c r="A3458" s="4101"/>
      <c r="B3458" s="4119"/>
      <c r="C3458" s="3904" t="s">
        <v>5070</v>
      </c>
      <c r="D3458" s="666">
        <v>500000000</v>
      </c>
      <c r="E3458" s="4113">
        <f>D3458/D3160*100</f>
        <v>0.36178564718481349</v>
      </c>
      <c r="F3458" s="542"/>
      <c r="G3458" s="1121"/>
      <c r="H3458" s="1162"/>
      <c r="I3458" s="1121"/>
      <c r="J3458" s="663"/>
      <c r="K3458" s="3744"/>
      <c r="L3458" s="3772"/>
      <c r="M3458" s="2227"/>
      <c r="N3458" s="4109"/>
      <c r="P3458" s="500"/>
    </row>
    <row r="3459" spans="1:16" ht="12" customHeight="1" x14ac:dyDescent="0.25">
      <c r="B3459" s="1242"/>
      <c r="C3459" s="3860"/>
      <c r="D3459" s="671"/>
      <c r="E3459" s="1070"/>
      <c r="F3459" s="543"/>
      <c r="G3459" s="868"/>
      <c r="H3459" s="2455"/>
      <c r="I3459" s="1109"/>
      <c r="J3459" s="2452"/>
      <c r="K3459" s="1717"/>
      <c r="L3459" s="2467"/>
      <c r="M3459" s="2230"/>
      <c r="N3459" s="535"/>
    </row>
    <row r="3460" spans="1:16" ht="16.5" customHeight="1" x14ac:dyDescent="0.25">
      <c r="B3460" s="1305"/>
      <c r="C3460" s="3875" t="s">
        <v>5071</v>
      </c>
      <c r="D3460" s="669">
        <f>SUM(D3461+D3464+D3467)</f>
        <v>17503382000</v>
      </c>
      <c r="E3460" s="1479">
        <f>D3460/D3160*100</f>
        <v>12.664944769586029</v>
      </c>
      <c r="F3460" s="847"/>
      <c r="G3460" s="1107"/>
      <c r="H3460" s="1050"/>
      <c r="I3460" s="1107"/>
      <c r="J3460" s="1824"/>
      <c r="K3460" s="1107"/>
      <c r="L3460" s="1050"/>
      <c r="M3460" s="1107"/>
      <c r="N3460" s="535"/>
    </row>
    <row r="3461" spans="1:16" ht="18" customHeight="1" x14ac:dyDescent="0.25">
      <c r="B3461" s="1242"/>
      <c r="C3461" s="4102" t="s">
        <v>5072</v>
      </c>
      <c r="D3461" s="667">
        <f>D3462</f>
        <v>300000000</v>
      </c>
      <c r="E3461" s="4122">
        <f>D3461/D3160*100</f>
        <v>0.21707138831088807</v>
      </c>
      <c r="F3461" s="867"/>
      <c r="G3461" s="2339"/>
      <c r="H3461" s="2497"/>
      <c r="I3461" s="1108"/>
      <c r="J3461" s="1840"/>
      <c r="K3461" s="1108"/>
      <c r="L3461" s="2497"/>
      <c r="M3461" s="1108"/>
      <c r="N3461" s="535"/>
    </row>
    <row r="3462" spans="1:16" s="4099" customFormat="1" ht="15.75" customHeight="1" x14ac:dyDescent="0.25">
      <c r="A3462" s="4101"/>
      <c r="B3462" s="4119"/>
      <c r="C3462" s="3856" t="s">
        <v>5073</v>
      </c>
      <c r="D3462" s="666">
        <v>300000000</v>
      </c>
      <c r="E3462" s="4121">
        <f>D3462/D3160*100</f>
        <v>0.21707138831088807</v>
      </c>
      <c r="F3462" s="541"/>
      <c r="G3462" s="1121"/>
      <c r="H3462" s="2497"/>
      <c r="I3462" s="1108"/>
      <c r="J3462" s="1840"/>
      <c r="K3462" s="1108"/>
      <c r="L3462" s="2497"/>
      <c r="M3462" s="1108"/>
      <c r="N3462" s="4109"/>
      <c r="P3462" s="500"/>
    </row>
    <row r="3463" spans="1:16" s="4099" customFormat="1" ht="10.5" customHeight="1" x14ac:dyDescent="0.25">
      <c r="A3463" s="4101"/>
      <c r="B3463" s="4119"/>
      <c r="C3463" s="3991"/>
      <c r="D3463" s="673"/>
      <c r="E3463" s="4121"/>
      <c r="F3463" s="541"/>
      <c r="G3463" s="1121"/>
      <c r="H3463" s="2497"/>
      <c r="I3463" s="1108"/>
      <c r="J3463" s="1840"/>
      <c r="K3463" s="1108"/>
      <c r="L3463" s="2497"/>
      <c r="M3463" s="1108"/>
      <c r="N3463" s="4109"/>
      <c r="P3463" s="500"/>
    </row>
    <row r="3464" spans="1:16" s="4099" customFormat="1" ht="17.25" customHeight="1" x14ac:dyDescent="0.25">
      <c r="A3464" s="4101"/>
      <c r="B3464" s="4119"/>
      <c r="C3464" s="4103" t="s">
        <v>5074</v>
      </c>
      <c r="D3464" s="673">
        <f>D3465</f>
        <v>3000000000</v>
      </c>
      <c r="E3464" s="4122">
        <f>D3464/D3160*100</f>
        <v>2.1707138831088808</v>
      </c>
      <c r="F3464" s="541"/>
      <c r="G3464" s="1121"/>
      <c r="H3464" s="2497"/>
      <c r="I3464" s="1108"/>
      <c r="J3464" s="1840"/>
      <c r="K3464" s="1108"/>
      <c r="L3464" s="2497"/>
      <c r="M3464" s="1108"/>
      <c r="N3464" s="4109"/>
      <c r="P3464" s="500"/>
    </row>
    <row r="3465" spans="1:16" s="4099" customFormat="1" ht="15" customHeight="1" x14ac:dyDescent="0.25">
      <c r="A3465" s="4101"/>
      <c r="B3465" s="4119"/>
      <c r="C3465" s="3856" t="s">
        <v>5075</v>
      </c>
      <c r="D3465" s="666">
        <v>3000000000</v>
      </c>
      <c r="E3465" s="4121">
        <f>D3465/D3160*100</f>
        <v>2.1707138831088808</v>
      </c>
      <c r="F3465" s="541"/>
      <c r="G3465" s="1121"/>
      <c r="H3465" s="2497"/>
      <c r="I3465" s="1108"/>
      <c r="J3465" s="1840"/>
      <c r="K3465" s="1108"/>
      <c r="L3465" s="2497"/>
      <c r="M3465" s="1108"/>
      <c r="N3465" s="4109"/>
      <c r="P3465" s="500"/>
    </row>
    <row r="3466" spans="1:16" s="4099" customFormat="1" ht="11.25" customHeight="1" x14ac:dyDescent="0.25">
      <c r="A3466" s="4101"/>
      <c r="B3466" s="4119"/>
      <c r="C3466" s="3991"/>
      <c r="D3466" s="673"/>
      <c r="E3466" s="4121"/>
      <c r="F3466" s="541"/>
      <c r="G3466" s="1121"/>
      <c r="H3466" s="2497"/>
      <c r="I3466" s="1108"/>
      <c r="J3466" s="1840"/>
      <c r="K3466" s="1108"/>
      <c r="L3466" s="2497"/>
      <c r="M3466" s="1108"/>
      <c r="N3466" s="4109"/>
      <c r="P3466" s="500"/>
    </row>
    <row r="3467" spans="1:16" s="4099" customFormat="1" ht="14.25" customHeight="1" x14ac:dyDescent="0.25">
      <c r="A3467" s="4101"/>
      <c r="B3467" s="4119"/>
      <c r="C3467" s="4103" t="s">
        <v>5076</v>
      </c>
      <c r="D3467" s="673">
        <f>SUM(D3468:D3470)</f>
        <v>14203382000</v>
      </c>
      <c r="E3467" s="4122">
        <f>D3467/D3160*100</f>
        <v>10.277159498166261</v>
      </c>
      <c r="F3467" s="541"/>
      <c r="G3467" s="1121"/>
      <c r="H3467" s="2497"/>
      <c r="I3467" s="1108"/>
      <c r="J3467" s="1840"/>
      <c r="K3467" s="1108"/>
      <c r="L3467" s="2497"/>
      <c r="M3467" s="1108"/>
      <c r="N3467" s="4109"/>
      <c r="P3467" s="500"/>
    </row>
    <row r="3468" spans="1:16" s="4099" customFormat="1" ht="15" customHeight="1" x14ac:dyDescent="0.25">
      <c r="A3468" s="4101"/>
      <c r="B3468" s="4119"/>
      <c r="C3468" s="3856" t="s">
        <v>5077</v>
      </c>
      <c r="D3468" s="666">
        <v>2000000000</v>
      </c>
      <c r="E3468" s="4121">
        <f>D3468/D3160*100</f>
        <v>1.4471425887392539</v>
      </c>
      <c r="F3468" s="541"/>
      <c r="G3468" s="1121"/>
      <c r="H3468" s="2497"/>
      <c r="I3468" s="1108"/>
      <c r="J3468" s="1840"/>
      <c r="K3468" s="1108"/>
      <c r="L3468" s="2497"/>
      <c r="M3468" s="1108"/>
      <c r="N3468" s="4109"/>
      <c r="P3468" s="500"/>
    </row>
    <row r="3469" spans="1:16" s="4099" customFormat="1" ht="17.25" customHeight="1" x14ac:dyDescent="0.25">
      <c r="A3469" s="4101"/>
      <c r="B3469" s="4119"/>
      <c r="C3469" s="3856" t="s">
        <v>5078</v>
      </c>
      <c r="D3469" s="666">
        <v>5000000000</v>
      </c>
      <c r="E3469" s="4121">
        <f>D3469/D3160*100</f>
        <v>3.6178564718481345</v>
      </c>
      <c r="F3469" s="541"/>
      <c r="G3469" s="1121"/>
      <c r="H3469" s="2497"/>
      <c r="I3469" s="1108"/>
      <c r="J3469" s="1840"/>
      <c r="K3469" s="1108"/>
      <c r="L3469" s="2497"/>
      <c r="M3469" s="1108"/>
      <c r="N3469" s="4109"/>
      <c r="P3469" s="500"/>
    </row>
    <row r="3470" spans="1:16" s="4099" customFormat="1" ht="17.25" customHeight="1" x14ac:dyDescent="0.25">
      <c r="A3470" s="4101"/>
      <c r="B3470" s="4119"/>
      <c r="C3470" s="3856" t="s">
        <v>5079</v>
      </c>
      <c r="D3470" s="666">
        <f>2000000000+5203382000</f>
        <v>7203382000</v>
      </c>
      <c r="E3470" s="4121">
        <f>D3470/D3160*100</f>
        <v>5.2121604375788717</v>
      </c>
      <c r="F3470" s="541"/>
      <c r="G3470" s="1121"/>
      <c r="H3470" s="2497"/>
      <c r="I3470" s="1108"/>
      <c r="J3470" s="1840"/>
      <c r="K3470" s="1108"/>
      <c r="L3470" s="2497"/>
      <c r="M3470" s="1108"/>
      <c r="N3470" s="4109"/>
      <c r="P3470" s="500"/>
    </row>
    <row r="3471" spans="1:16" s="4099" customFormat="1" ht="12" customHeight="1" x14ac:dyDescent="0.25">
      <c r="A3471" s="4101"/>
      <c r="B3471" s="4119"/>
      <c r="C3471" s="4017"/>
      <c r="D3471" s="4287"/>
      <c r="E3471" s="1611"/>
      <c r="F3471" s="686"/>
      <c r="G3471" s="3409"/>
      <c r="H3471" s="2255"/>
      <c r="I3471" s="2459"/>
      <c r="J3471" s="2182"/>
      <c r="K3471" s="2182"/>
      <c r="L3471" s="2182"/>
      <c r="M3471" s="2182"/>
      <c r="N3471" s="4109"/>
      <c r="P3471" s="500"/>
    </row>
    <row r="3472" spans="1:16" s="4099" customFormat="1" ht="16.5" customHeight="1" x14ac:dyDescent="0.25">
      <c r="A3472" s="4101"/>
      <c r="B3472" s="2916"/>
      <c r="C3472" s="4037" t="s">
        <v>867</v>
      </c>
      <c r="D3472" s="4273">
        <f>SUM(D3473+D3553+D3640+D3658+D3665+D3681+D3689+D3699+D3703+D3710)</f>
        <v>137286690000</v>
      </c>
      <c r="E3472" s="1471">
        <f>D3472/2507241496000*100</f>
        <v>5.475606965624344</v>
      </c>
      <c r="F3472" s="4411"/>
      <c r="G3472" s="1067"/>
      <c r="H3472" s="2437"/>
      <c r="I3472" s="2437"/>
      <c r="J3472" s="1926"/>
      <c r="K3472" s="1980"/>
      <c r="L3472" s="2438"/>
      <c r="M3472" s="2438"/>
      <c r="N3472" s="535"/>
      <c r="P3472" s="500"/>
    </row>
    <row r="3473" spans="1:19" s="4099" customFormat="1" ht="14.25" customHeight="1" x14ac:dyDescent="0.25">
      <c r="A3473" s="4101"/>
      <c r="B3473" s="1305"/>
      <c r="C3473" s="4023" t="s">
        <v>558</v>
      </c>
      <c r="D3473" s="2792">
        <f>SUM(D3474+D3478+D3485+D3502+D3505+D3520+D3523+D3535+D3538+D3550)</f>
        <v>46005100000</v>
      </c>
      <c r="E3473" s="1468">
        <f>D3473/D3472*100</f>
        <v>33.510240504742299</v>
      </c>
      <c r="F3473" s="1022"/>
      <c r="G3473" s="1022"/>
      <c r="H3473" s="2439"/>
      <c r="I3473" s="1004"/>
      <c r="J3473" s="1907"/>
      <c r="K3473" s="1907"/>
      <c r="L3473" s="2439"/>
      <c r="M3473" s="2440"/>
      <c r="N3473" s="535"/>
      <c r="P3473" s="500" t="s">
        <v>7260</v>
      </c>
    </row>
    <row r="3474" spans="1:19" s="4099" customFormat="1" ht="14.25" customHeight="1" x14ac:dyDescent="0.25">
      <c r="A3474" s="4101"/>
      <c r="B3474" s="1242"/>
      <c r="C3474" s="3930" t="s">
        <v>236</v>
      </c>
      <c r="D3474" s="4240">
        <f>SUM(D3475:D3476)</f>
        <v>800000000</v>
      </c>
      <c r="E3474" s="1446">
        <f>D3474/D3472*100</f>
        <v>0.58272218523150354</v>
      </c>
      <c r="F3474" s="975"/>
      <c r="G3474" s="975"/>
      <c r="H3474" s="2441"/>
      <c r="I3474" s="803"/>
      <c r="J3474" s="975"/>
      <c r="K3474" s="975"/>
      <c r="L3474" s="2441"/>
      <c r="M3474" s="1706"/>
      <c r="N3474" s="535"/>
      <c r="P3474" s="5737" t="s">
        <v>594</v>
      </c>
      <c r="Q3474" s="5738"/>
      <c r="R3474" s="5738"/>
      <c r="S3474" s="5738"/>
    </row>
    <row r="3475" spans="1:19" s="4099" customFormat="1" ht="14.25" customHeight="1" x14ac:dyDescent="0.25">
      <c r="A3475" s="4101"/>
      <c r="B3475" s="1242"/>
      <c r="C3475" s="3945" t="s">
        <v>5985</v>
      </c>
      <c r="D3475" s="4184">
        <v>300000000</v>
      </c>
      <c r="E3475" s="1207">
        <f>D3475/D3472*100</f>
        <v>0.21852081946181381</v>
      </c>
      <c r="F3475" s="963"/>
      <c r="G3475" s="1068"/>
      <c r="H3475" s="1074"/>
      <c r="I3475" s="802"/>
      <c r="J3475" s="963"/>
      <c r="K3475" s="1753"/>
      <c r="L3475" s="1074"/>
      <c r="M3475" s="1648"/>
      <c r="N3475" s="535"/>
      <c r="P3475" s="1806" t="s">
        <v>6134</v>
      </c>
    </row>
    <row r="3476" spans="1:19" s="4099" customFormat="1" ht="14.25" customHeight="1" x14ac:dyDescent="0.25">
      <c r="A3476" s="4101"/>
      <c r="B3476" s="1242"/>
      <c r="C3476" s="3945" t="s">
        <v>5986</v>
      </c>
      <c r="D3476" s="4184">
        <v>500000000</v>
      </c>
      <c r="E3476" s="1207">
        <f>D3476/D3472*100</f>
        <v>0.3642013657696897</v>
      </c>
      <c r="F3476" s="963"/>
      <c r="G3476" s="1068"/>
      <c r="H3476" s="1074"/>
      <c r="I3476" s="802"/>
      <c r="J3476" s="963"/>
      <c r="K3476" s="963"/>
      <c r="L3476" s="1074"/>
      <c r="M3476" s="1648"/>
      <c r="N3476" s="535"/>
      <c r="P3476" s="500" t="s">
        <v>6135</v>
      </c>
    </row>
    <row r="3477" spans="1:19" s="4099" customFormat="1" ht="9.75" customHeight="1" x14ac:dyDescent="0.25">
      <c r="A3477" s="4101"/>
      <c r="B3477" s="1242"/>
      <c r="C3477" s="3956"/>
      <c r="D3477" s="799"/>
      <c r="E3477" s="1472"/>
      <c r="F3477" s="827"/>
      <c r="G3477" s="755"/>
      <c r="H3477" s="755"/>
      <c r="I3477" s="802"/>
      <c r="J3477" s="1927"/>
      <c r="K3477" s="1753"/>
      <c r="L3477" s="1716"/>
      <c r="M3477" s="1648"/>
      <c r="N3477" s="535"/>
      <c r="P3477" s="500" t="s">
        <v>6136</v>
      </c>
    </row>
    <row r="3478" spans="1:19" s="4099" customFormat="1" ht="14.25" customHeight="1" x14ac:dyDescent="0.25">
      <c r="A3478" s="4101"/>
      <c r="B3478" s="1242"/>
      <c r="C3478" s="3930" t="s">
        <v>559</v>
      </c>
      <c r="D3478" s="4235">
        <f>SUM(D3479:D3483)</f>
        <v>4709368500</v>
      </c>
      <c r="E3478" s="1473">
        <f>D3478/D3472*100</f>
        <v>3.4303168792255097</v>
      </c>
      <c r="F3478" s="965"/>
      <c r="G3478" s="965"/>
      <c r="H3478" s="2442"/>
      <c r="I3478" s="803"/>
      <c r="J3478" s="965"/>
      <c r="K3478" s="965"/>
      <c r="L3478" s="2441"/>
      <c r="M3478" s="1706"/>
      <c r="N3478" s="535"/>
      <c r="P3478" s="500" t="s">
        <v>6137</v>
      </c>
    </row>
    <row r="3479" spans="1:19" s="4099" customFormat="1" ht="14.25" customHeight="1" x14ac:dyDescent="0.25">
      <c r="A3479" s="4101"/>
      <c r="B3479" s="1242"/>
      <c r="C3479" s="3945" t="s">
        <v>5987</v>
      </c>
      <c r="D3479" s="4184">
        <v>893000000</v>
      </c>
      <c r="E3479" s="1474">
        <f>D3479/D3472*100</f>
        <v>0.65046363926466577</v>
      </c>
      <c r="F3479" s="963"/>
      <c r="G3479" s="1069"/>
      <c r="H3479" s="1074"/>
      <c r="I3479" s="802"/>
      <c r="J3479" s="963"/>
      <c r="K3479" s="1753"/>
      <c r="L3479" s="1074"/>
      <c r="M3479" s="1648"/>
      <c r="N3479" s="535"/>
      <c r="P3479" s="500" t="s">
        <v>1753</v>
      </c>
    </row>
    <row r="3480" spans="1:19" s="4099" customFormat="1" ht="14.25" customHeight="1" x14ac:dyDescent="0.25">
      <c r="A3480" s="4101"/>
      <c r="B3480" s="1242"/>
      <c r="C3480" s="3945" t="s">
        <v>5988</v>
      </c>
      <c r="D3480" s="4184">
        <v>592810000</v>
      </c>
      <c r="E3480" s="1474">
        <f>D3480/D3472*100</f>
        <v>0.43180442328385948</v>
      </c>
      <c r="F3480" s="963"/>
      <c r="G3480" s="1069"/>
      <c r="H3480" s="1074"/>
      <c r="I3480" s="802"/>
      <c r="J3480" s="963"/>
      <c r="K3480" s="1753"/>
      <c r="L3480" s="1074"/>
      <c r="M3480" s="1648"/>
      <c r="N3480" s="535"/>
      <c r="P3480" s="500" t="s">
        <v>6138</v>
      </c>
    </row>
    <row r="3481" spans="1:19" s="4099" customFormat="1" ht="14.25" customHeight="1" x14ac:dyDescent="0.25">
      <c r="A3481" s="4101"/>
      <c r="B3481" s="1242"/>
      <c r="C3481" s="3945" t="s">
        <v>5989</v>
      </c>
      <c r="D3481" s="4184">
        <v>282443000</v>
      </c>
      <c r="E3481" s="1474">
        <f>D3481/D3472*100</f>
        <v>0.20573225270417694</v>
      </c>
      <c r="F3481" s="963"/>
      <c r="G3481" s="1069"/>
      <c r="H3481" s="1074"/>
      <c r="I3481" s="802"/>
      <c r="J3481" s="963"/>
      <c r="K3481" s="1753"/>
      <c r="L3481" s="1074"/>
      <c r="M3481" s="1648"/>
      <c r="N3481" s="535"/>
      <c r="P3481" s="500" t="s">
        <v>6139</v>
      </c>
    </row>
    <row r="3482" spans="1:19" s="4099" customFormat="1" ht="14.25" customHeight="1" x14ac:dyDescent="0.25">
      <c r="A3482" s="4101"/>
      <c r="B3482" s="1242"/>
      <c r="C3482" s="3945" t="s">
        <v>5990</v>
      </c>
      <c r="D3482" s="4184">
        <v>1679700000</v>
      </c>
      <c r="E3482" s="1474">
        <f>D3482/D3472*100</f>
        <v>1.2234980681666956</v>
      </c>
      <c r="F3482" s="963"/>
      <c r="G3482" s="1069"/>
      <c r="H3482" s="1074"/>
      <c r="I3482" s="802"/>
      <c r="J3482" s="963"/>
      <c r="K3482" s="1753"/>
      <c r="L3482" s="1074"/>
      <c r="M3482" s="1648"/>
      <c r="N3482" s="535"/>
      <c r="P3482" s="500" t="s">
        <v>6140</v>
      </c>
    </row>
    <row r="3483" spans="1:19" s="4099" customFormat="1" ht="14.25" customHeight="1" x14ac:dyDescent="0.25">
      <c r="A3483" s="4101"/>
      <c r="B3483" s="1242"/>
      <c r="C3483" s="3945" t="s">
        <v>5991</v>
      </c>
      <c r="D3483" s="4184">
        <v>1261415500</v>
      </c>
      <c r="E3483" s="1474">
        <f>D3483/D3472*100</f>
        <v>0.91881849580611208</v>
      </c>
      <c r="F3483" s="963"/>
      <c r="G3483" s="1069"/>
      <c r="H3483" s="1074"/>
      <c r="I3483" s="802"/>
      <c r="J3483" s="963"/>
      <c r="K3483" s="1753"/>
      <c r="L3483" s="1074"/>
      <c r="M3483" s="1648"/>
      <c r="N3483" s="535"/>
      <c r="P3483" s="500" t="s">
        <v>6141</v>
      </c>
    </row>
    <row r="3484" spans="1:19" s="4099" customFormat="1" ht="9" customHeight="1" x14ac:dyDescent="0.25">
      <c r="A3484" s="4101"/>
      <c r="B3484" s="1242"/>
      <c r="C3484" s="4038"/>
      <c r="D3484" s="671"/>
      <c r="E3484" s="1474"/>
      <c r="F3484" s="1038"/>
      <c r="G3484" s="782"/>
      <c r="H3484" s="782"/>
      <c r="I3484" s="802"/>
      <c r="J3484" s="1928"/>
      <c r="K3484" s="1753"/>
      <c r="L3484" s="1716"/>
      <c r="M3484" s="1648"/>
      <c r="N3484" s="535"/>
      <c r="P3484" s="500" t="s">
        <v>6142</v>
      </c>
    </row>
    <row r="3485" spans="1:19" s="4099" customFormat="1" ht="14.25" customHeight="1" x14ac:dyDescent="0.25">
      <c r="A3485" s="4101"/>
      <c r="B3485" s="1242"/>
      <c r="C3485" s="3930" t="s">
        <v>366</v>
      </c>
      <c r="D3485" s="4235">
        <f>SUM(D3486:D3500)</f>
        <v>16064060000</v>
      </c>
      <c r="E3485" s="1473">
        <f>D3485/D3472*100</f>
        <v>11.701105183612484</v>
      </c>
      <c r="F3485" s="965"/>
      <c r="G3485" s="965"/>
      <c r="H3485" s="2442"/>
      <c r="I3485" s="803"/>
      <c r="J3485" s="965"/>
      <c r="K3485" s="965"/>
      <c r="L3485" s="2441"/>
      <c r="M3485" s="1706"/>
      <c r="N3485" s="535"/>
      <c r="P3485" s="500"/>
    </row>
    <row r="3486" spans="1:19" s="4099" customFormat="1" ht="14.25" customHeight="1" x14ac:dyDescent="0.25">
      <c r="A3486" s="4101"/>
      <c r="B3486" s="1242"/>
      <c r="C3486" s="3945" t="s">
        <v>5997</v>
      </c>
      <c r="D3486" s="666">
        <v>10946860000</v>
      </c>
      <c r="E3486" s="1474">
        <f>D3486/D3472*100</f>
        <v>7.9737227257791714</v>
      </c>
      <c r="F3486" s="971"/>
      <c r="G3486" s="1069"/>
      <c r="H3486" s="1074"/>
      <c r="I3486" s="802"/>
      <c r="J3486" s="1238"/>
      <c r="K3486" s="1069"/>
      <c r="L3486" s="1074"/>
      <c r="M3486" s="1648"/>
      <c r="N3486" s="535"/>
      <c r="P3486" s="500"/>
    </row>
    <row r="3487" spans="1:19" s="4099" customFormat="1" ht="14.25" customHeight="1" x14ac:dyDescent="0.25">
      <c r="A3487" s="4101"/>
      <c r="B3487" s="1242"/>
      <c r="C3487" s="3945" t="s">
        <v>5992</v>
      </c>
      <c r="D3487" s="4184">
        <v>100000000</v>
      </c>
      <c r="E3487" s="1474">
        <f>D3487/D3472*100</f>
        <v>7.2840273153937943E-2</v>
      </c>
      <c r="F3487" s="963"/>
      <c r="G3487" s="1069"/>
      <c r="H3487" s="1074"/>
      <c r="I3487" s="802"/>
      <c r="J3487" s="963"/>
      <c r="K3487" s="2420"/>
      <c r="L3487" s="1074"/>
      <c r="M3487" s="1648"/>
      <c r="N3487" s="535"/>
      <c r="P3487" s="500"/>
    </row>
    <row r="3488" spans="1:19" s="4099" customFormat="1" ht="14.25" customHeight="1" x14ac:dyDescent="0.25">
      <c r="A3488" s="4101"/>
      <c r="B3488" s="1242"/>
      <c r="C3488" s="3945" t="s">
        <v>5993</v>
      </c>
      <c r="D3488" s="4184">
        <v>200000000</v>
      </c>
      <c r="E3488" s="1474">
        <f>D3488/D3472*100</f>
        <v>0.14568054630787589</v>
      </c>
      <c r="F3488" s="963"/>
      <c r="G3488" s="1069"/>
      <c r="H3488" s="1074"/>
      <c r="I3488" s="802"/>
      <c r="J3488" s="963"/>
      <c r="K3488" s="963"/>
      <c r="L3488" s="1074"/>
      <c r="M3488" s="1648"/>
      <c r="N3488" s="535"/>
      <c r="P3488" s="500"/>
    </row>
    <row r="3489" spans="1:16" s="4099" customFormat="1" ht="14.25" customHeight="1" x14ac:dyDescent="0.25">
      <c r="A3489" s="4101"/>
      <c r="B3489" s="1242"/>
      <c r="C3489" s="3945" t="s">
        <v>5994</v>
      </c>
      <c r="D3489" s="2711">
        <v>398550000</v>
      </c>
      <c r="E3489" s="1474">
        <f>D3489/D3472*100</f>
        <v>0.29030490865501968</v>
      </c>
      <c r="F3489" s="963"/>
      <c r="G3489" s="1069"/>
      <c r="H3489" s="1074"/>
      <c r="I3489" s="802"/>
      <c r="J3489" s="963"/>
      <c r="K3489" s="1069"/>
      <c r="L3489" s="1074"/>
      <c r="M3489" s="1648"/>
      <c r="N3489" s="535"/>
      <c r="P3489" s="500"/>
    </row>
    <row r="3490" spans="1:16" s="4099" customFormat="1" ht="14.25" customHeight="1" x14ac:dyDescent="0.25">
      <c r="A3490" s="4101"/>
      <c r="B3490" s="1242"/>
      <c r="C3490" s="3945" t="s">
        <v>5995</v>
      </c>
      <c r="D3490" s="4184">
        <v>250000000</v>
      </c>
      <c r="E3490" s="1474">
        <f>D3490/D3472*100</f>
        <v>0.18210068288484485</v>
      </c>
      <c r="F3490" s="963"/>
      <c r="G3490" s="1069"/>
      <c r="H3490" s="1074"/>
      <c r="I3490" s="802"/>
      <c r="J3490" s="963"/>
      <c r="K3490" s="1069"/>
      <c r="L3490" s="1074"/>
      <c r="M3490" s="1648"/>
      <c r="N3490" s="535"/>
      <c r="P3490" s="500"/>
    </row>
    <row r="3491" spans="1:16" s="4099" customFormat="1" ht="14.25" customHeight="1" x14ac:dyDescent="0.25">
      <c r="A3491" s="4101"/>
      <c r="B3491" s="1242"/>
      <c r="C3491" s="3945" t="s">
        <v>5996</v>
      </c>
      <c r="D3491" s="4184">
        <v>200000000</v>
      </c>
      <c r="E3491" s="1474">
        <f>D3491/D3472*100</f>
        <v>0.14568054630787589</v>
      </c>
      <c r="F3491" s="963"/>
      <c r="G3491" s="1069"/>
      <c r="H3491" s="1074"/>
      <c r="I3491" s="802"/>
      <c r="J3491" s="963"/>
      <c r="K3491" s="1069"/>
      <c r="L3491" s="1074"/>
      <c r="M3491" s="1648"/>
      <c r="N3491" s="535"/>
      <c r="P3491" s="500"/>
    </row>
    <row r="3492" spans="1:16" s="4099" customFormat="1" ht="14.25" customHeight="1" x14ac:dyDescent="0.25">
      <c r="A3492" s="4101"/>
      <c r="B3492" s="1242"/>
      <c r="C3492" s="3945" t="s">
        <v>5998</v>
      </c>
      <c r="D3492" s="4184">
        <v>200000000</v>
      </c>
      <c r="E3492" s="1474">
        <f>D3492/D3472*100</f>
        <v>0.14568054630787589</v>
      </c>
      <c r="F3492" s="963"/>
      <c r="G3492" s="1069"/>
      <c r="H3492" s="1074"/>
      <c r="I3492" s="802"/>
      <c r="J3492" s="963"/>
      <c r="K3492" s="1069"/>
      <c r="L3492" s="1074"/>
      <c r="M3492" s="1648"/>
      <c r="N3492" s="535"/>
      <c r="P3492" s="500"/>
    </row>
    <row r="3493" spans="1:16" s="4099" customFormat="1" ht="14.25" customHeight="1" x14ac:dyDescent="0.25">
      <c r="A3493" s="4101"/>
      <c r="B3493" s="1242"/>
      <c r="C3493" s="3945" t="s">
        <v>5999</v>
      </c>
      <c r="D3493" s="4184">
        <v>200000000</v>
      </c>
      <c r="E3493" s="1474">
        <f>D3493/D3472*100</f>
        <v>0.14568054630787589</v>
      </c>
      <c r="F3493" s="963"/>
      <c r="G3493" s="1069"/>
      <c r="H3493" s="1074"/>
      <c r="I3493" s="802"/>
      <c r="J3493" s="963"/>
      <c r="K3493" s="1069"/>
      <c r="L3493" s="937"/>
      <c r="M3493" s="937"/>
      <c r="N3493" s="535"/>
      <c r="P3493" s="500"/>
    </row>
    <row r="3494" spans="1:16" s="4099" customFormat="1" ht="14.25" customHeight="1" x14ac:dyDescent="0.25">
      <c r="A3494" s="4101"/>
      <c r="B3494" s="1242"/>
      <c r="C3494" s="3945" t="s">
        <v>6000</v>
      </c>
      <c r="D3494" s="4184">
        <v>650000000</v>
      </c>
      <c r="E3494" s="1474">
        <f>D3494/D3472*100</f>
        <v>0.47346177550059659</v>
      </c>
      <c r="F3494" s="963"/>
      <c r="G3494" s="1069"/>
      <c r="H3494" s="1074"/>
      <c r="I3494" s="802"/>
      <c r="J3494" s="963"/>
      <c r="K3494" s="1069"/>
      <c r="L3494" s="1074"/>
      <c r="M3494" s="1648"/>
      <c r="N3494" s="535"/>
      <c r="P3494" s="500"/>
    </row>
    <row r="3495" spans="1:16" s="4099" customFormat="1" ht="14.25" customHeight="1" x14ac:dyDescent="0.25">
      <c r="A3495" s="4101"/>
      <c r="B3495" s="1242"/>
      <c r="C3495" s="3945" t="s">
        <v>6001</v>
      </c>
      <c r="D3495" s="4184">
        <v>200000000</v>
      </c>
      <c r="E3495" s="1474">
        <f>D3495/D3472*100</f>
        <v>0.14568054630787589</v>
      </c>
      <c r="F3495" s="963"/>
      <c r="G3495" s="1069"/>
      <c r="H3495" s="1074"/>
      <c r="I3495" s="802"/>
      <c r="J3495" s="963"/>
      <c r="K3495" s="1069"/>
      <c r="L3495" s="1074"/>
      <c r="M3495" s="1648"/>
      <c r="N3495" s="535"/>
      <c r="P3495" s="500"/>
    </row>
    <row r="3496" spans="1:16" s="4099" customFormat="1" ht="14.25" customHeight="1" x14ac:dyDescent="0.25">
      <c r="A3496" s="4101"/>
      <c r="B3496" s="1242"/>
      <c r="C3496" s="3945" t="s">
        <v>6002</v>
      </c>
      <c r="D3496" s="4184">
        <v>1200000000</v>
      </c>
      <c r="E3496" s="1474">
        <f>D3496/D3472*100</f>
        <v>0.87408327784725526</v>
      </c>
      <c r="F3496" s="963"/>
      <c r="G3496" s="1069"/>
      <c r="H3496" s="1074"/>
      <c r="I3496" s="802"/>
      <c r="J3496" s="963"/>
      <c r="K3496" s="1069"/>
      <c r="L3496" s="1074"/>
      <c r="M3496" s="1648"/>
      <c r="N3496" s="535"/>
      <c r="P3496" s="500"/>
    </row>
    <row r="3497" spans="1:16" s="4099" customFormat="1" ht="14.25" customHeight="1" x14ac:dyDescent="0.25">
      <c r="A3497" s="4101"/>
      <c r="B3497" s="1242"/>
      <c r="C3497" s="3945" t="s">
        <v>6003</v>
      </c>
      <c r="D3497" s="4184">
        <v>150000000</v>
      </c>
      <c r="E3497" s="1474">
        <f>D3497/D3472*100</f>
        <v>0.10926040973090691</v>
      </c>
      <c r="F3497" s="963"/>
      <c r="G3497" s="937"/>
      <c r="H3497" s="937"/>
      <c r="I3497" s="937"/>
      <c r="J3497" s="963"/>
      <c r="K3497" s="1975"/>
      <c r="L3497" s="937"/>
      <c r="M3497" s="937"/>
      <c r="N3497" s="535"/>
      <c r="P3497" s="500"/>
    </row>
    <row r="3498" spans="1:16" s="4099" customFormat="1" ht="14.25" customHeight="1" x14ac:dyDescent="0.25">
      <c r="A3498" s="4101"/>
      <c r="B3498" s="1242"/>
      <c r="C3498" s="3945" t="s">
        <v>6004</v>
      </c>
      <c r="D3498" s="4184">
        <v>500000000</v>
      </c>
      <c r="E3498" s="1474">
        <f>D3498/D3472*100</f>
        <v>0.3642013657696897</v>
      </c>
      <c r="F3498" s="963"/>
      <c r="G3498" s="937"/>
      <c r="H3498" s="937"/>
      <c r="I3498" s="937"/>
      <c r="J3498" s="963"/>
      <c r="K3498" s="1975"/>
      <c r="L3498" s="937"/>
      <c r="M3498" s="937"/>
      <c r="N3498" s="535"/>
      <c r="P3498" s="500"/>
    </row>
    <row r="3499" spans="1:16" s="4099" customFormat="1" ht="14.25" customHeight="1" x14ac:dyDescent="0.25">
      <c r="A3499" s="4101"/>
      <c r="B3499" s="1242"/>
      <c r="C3499" s="3945" t="s">
        <v>6005</v>
      </c>
      <c r="D3499" s="4184">
        <v>600000000</v>
      </c>
      <c r="E3499" s="1474">
        <f>D3499/D3472*100</f>
        <v>0.43704163892362763</v>
      </c>
      <c r="F3499" s="963"/>
      <c r="G3499" s="937"/>
      <c r="H3499" s="937"/>
      <c r="I3499" s="937"/>
      <c r="J3499" s="963"/>
      <c r="K3499" s="1975"/>
      <c r="L3499" s="937"/>
      <c r="M3499" s="937"/>
      <c r="N3499" s="535"/>
      <c r="P3499" s="500"/>
    </row>
    <row r="3500" spans="1:16" s="4099" customFormat="1" ht="14.25" customHeight="1" x14ac:dyDescent="0.25">
      <c r="A3500" s="4101"/>
      <c r="B3500" s="1242"/>
      <c r="C3500" s="3945" t="s">
        <v>6006</v>
      </c>
      <c r="D3500" s="4184">
        <v>268650000</v>
      </c>
      <c r="E3500" s="1474">
        <f>D3500/D3473*100</f>
        <v>0.58395699607217466</v>
      </c>
      <c r="F3500" s="963"/>
      <c r="G3500" s="1069"/>
      <c r="H3500" s="1074"/>
      <c r="I3500" s="802"/>
      <c r="J3500" s="963"/>
      <c r="K3500" s="1069"/>
      <c r="L3500" s="1074"/>
      <c r="M3500" s="1648"/>
      <c r="N3500" s="535"/>
      <c r="P3500" s="500"/>
    </row>
    <row r="3501" spans="1:16" s="4099" customFormat="1" ht="12" customHeight="1" x14ac:dyDescent="0.25">
      <c r="A3501" s="4101"/>
      <c r="B3501" s="1242"/>
      <c r="C3501" s="4038"/>
      <c r="D3501" s="671"/>
      <c r="E3501" s="1474"/>
      <c r="F3501" s="1038"/>
      <c r="G3501" s="1028"/>
      <c r="H3501" s="782"/>
      <c r="I3501" s="802"/>
      <c r="J3501" s="1928"/>
      <c r="K3501" s="2443"/>
      <c r="L3501" s="1716"/>
      <c r="M3501" s="1648"/>
      <c r="N3501" s="535"/>
      <c r="P3501" s="500"/>
    </row>
    <row r="3502" spans="1:16" s="4099" customFormat="1" ht="16.5" customHeight="1" x14ac:dyDescent="0.25">
      <c r="A3502" s="4101"/>
      <c r="B3502" s="1242"/>
      <c r="C3502" s="3930" t="s">
        <v>6007</v>
      </c>
      <c r="D3502" s="4235">
        <f>SUM(D3503)</f>
        <v>500000000</v>
      </c>
      <c r="E3502" s="1473">
        <f>D3502/D3472*100</f>
        <v>0.3642013657696897</v>
      </c>
      <c r="F3502" s="965"/>
      <c r="G3502" s="1012"/>
      <c r="H3502" s="1012"/>
      <c r="I3502" s="1012"/>
      <c r="J3502" s="965"/>
      <c r="K3502" s="965"/>
      <c r="L3502" s="2441"/>
      <c r="M3502" s="1706"/>
      <c r="N3502" s="535"/>
      <c r="P3502" s="500"/>
    </row>
    <row r="3503" spans="1:16" s="4099" customFormat="1" ht="14.25" customHeight="1" x14ac:dyDescent="0.25">
      <c r="A3503" s="4101"/>
      <c r="B3503" s="1242"/>
      <c r="C3503" s="3945" t="s">
        <v>6008</v>
      </c>
      <c r="D3503" s="4184">
        <v>500000000</v>
      </c>
      <c r="E3503" s="1474">
        <f>D3503/D3472*100</f>
        <v>0.3642013657696897</v>
      </c>
      <c r="F3503" s="963"/>
      <c r="G3503" s="937"/>
      <c r="H3503" s="937"/>
      <c r="I3503" s="937"/>
      <c r="J3503" s="963"/>
      <c r="K3503" s="963"/>
      <c r="L3503" s="1074"/>
      <c r="M3503" s="1648"/>
      <c r="N3503" s="535"/>
      <c r="P3503" s="500"/>
    </row>
    <row r="3504" spans="1:16" s="4099" customFormat="1" ht="12" customHeight="1" x14ac:dyDescent="0.25">
      <c r="A3504" s="4101"/>
      <c r="B3504" s="1242"/>
      <c r="C3504" s="4033"/>
      <c r="D3504" s="671"/>
      <c r="E3504" s="1126"/>
      <c r="F3504" s="1038"/>
      <c r="G3504" s="755"/>
      <c r="H3504" s="755"/>
      <c r="I3504" s="802"/>
      <c r="J3504" s="1928"/>
      <c r="K3504" s="1753"/>
      <c r="L3504" s="1716"/>
      <c r="M3504" s="1648"/>
      <c r="N3504" s="535"/>
      <c r="P3504" s="500"/>
    </row>
    <row r="3505" spans="1:16" s="4099" customFormat="1" ht="14.25" customHeight="1" x14ac:dyDescent="0.25">
      <c r="A3505" s="4101"/>
      <c r="B3505" s="1242"/>
      <c r="C3505" s="4039" t="s">
        <v>5712</v>
      </c>
      <c r="D3505" s="4235">
        <f>SUM(D3506:D3518)</f>
        <v>3348884000</v>
      </c>
      <c r="E3505" s="1447">
        <f>D3505/D3472*100</f>
        <v>2.439336253208523</v>
      </c>
      <c r="F3505" s="965"/>
      <c r="G3505" s="965"/>
      <c r="H3505" s="2442"/>
      <c r="I3505" s="803"/>
      <c r="J3505" s="965"/>
      <c r="K3505" s="965"/>
      <c r="L3505" s="2441"/>
      <c r="M3505" s="1706"/>
      <c r="N3505" s="535"/>
      <c r="P3505" s="500"/>
    </row>
    <row r="3506" spans="1:16" s="4099" customFormat="1" ht="14.25" customHeight="1" x14ac:dyDescent="0.25">
      <c r="A3506" s="4101"/>
      <c r="B3506" s="1242"/>
      <c r="C3506" s="3945" t="s">
        <v>6009</v>
      </c>
      <c r="D3506" s="4184">
        <v>200000000</v>
      </c>
      <c r="E3506" s="1126">
        <f>D3506/D3472*100</f>
        <v>0.14568054630787589</v>
      </c>
      <c r="F3506" s="963"/>
      <c r="G3506" s="1076"/>
      <c r="H3506" s="1074"/>
      <c r="I3506" s="802"/>
      <c r="J3506" s="963"/>
      <c r="K3506" s="1069"/>
      <c r="L3506" s="1074"/>
      <c r="M3506" s="1648"/>
      <c r="N3506" s="535"/>
      <c r="P3506" s="500"/>
    </row>
    <row r="3507" spans="1:16" s="4099" customFormat="1" ht="14.25" customHeight="1" x14ac:dyDescent="0.25">
      <c r="A3507" s="4101"/>
      <c r="B3507" s="1242"/>
      <c r="C3507" s="3945" t="s">
        <v>6010</v>
      </c>
      <c r="D3507" s="4184">
        <v>250000000</v>
      </c>
      <c r="E3507" s="1126">
        <f>D3507/D3472*100</f>
        <v>0.18210068288484485</v>
      </c>
      <c r="F3507" s="963"/>
      <c r="G3507" s="1069"/>
      <c r="H3507" s="1074"/>
      <c r="I3507" s="802"/>
      <c r="J3507" s="963"/>
      <c r="K3507" s="1069"/>
      <c r="L3507" s="1074"/>
      <c r="M3507" s="1648"/>
      <c r="N3507" s="535"/>
      <c r="P3507" s="500"/>
    </row>
    <row r="3508" spans="1:16" s="4099" customFormat="1" ht="14.25" customHeight="1" x14ac:dyDescent="0.25">
      <c r="A3508" s="4101"/>
      <c r="B3508" s="1242"/>
      <c r="C3508" s="3945" t="s">
        <v>6011</v>
      </c>
      <c r="D3508" s="4184">
        <v>300000000</v>
      </c>
      <c r="E3508" s="1126">
        <f>D3508/D3472*100</f>
        <v>0.21852081946181381</v>
      </c>
      <c r="F3508" s="963"/>
      <c r="G3508" s="937"/>
      <c r="H3508" s="937"/>
      <c r="I3508" s="937"/>
      <c r="J3508" s="963"/>
      <c r="K3508" s="1975"/>
      <c r="L3508" s="937"/>
      <c r="M3508" s="937"/>
      <c r="N3508" s="535"/>
      <c r="P3508" s="500"/>
    </row>
    <row r="3509" spans="1:16" s="4099" customFormat="1" ht="14.25" customHeight="1" x14ac:dyDescent="0.25">
      <c r="A3509" s="4101"/>
      <c r="B3509" s="1242"/>
      <c r="C3509" s="3945" t="s">
        <v>6012</v>
      </c>
      <c r="D3509" s="4184">
        <v>210000000</v>
      </c>
      <c r="E3509" s="1126">
        <f>D3509/D3472*100</f>
        <v>0.15296457362326965</v>
      </c>
      <c r="F3509" s="963"/>
      <c r="G3509" s="937"/>
      <c r="H3509" s="937"/>
      <c r="I3509" s="937"/>
      <c r="J3509" s="963"/>
      <c r="K3509" s="1975"/>
      <c r="L3509" s="937"/>
      <c r="M3509" s="937"/>
      <c r="N3509" s="535"/>
      <c r="P3509" s="500"/>
    </row>
    <row r="3510" spans="1:16" s="4099" customFormat="1" ht="14.25" customHeight="1" x14ac:dyDescent="0.25">
      <c r="A3510" s="4101"/>
      <c r="B3510" s="1242"/>
      <c r="C3510" s="3945" t="s">
        <v>6013</v>
      </c>
      <c r="D3510" s="4184">
        <v>200000000</v>
      </c>
      <c r="E3510" s="1126">
        <f>D3510/D3472*100</f>
        <v>0.14568054630787589</v>
      </c>
      <c r="F3510" s="963"/>
      <c r="G3510" s="937"/>
      <c r="H3510" s="937"/>
      <c r="I3510" s="937"/>
      <c r="J3510" s="963"/>
      <c r="K3510" s="1975"/>
      <c r="L3510" s="937"/>
      <c r="M3510" s="937"/>
      <c r="N3510" s="535"/>
      <c r="P3510" s="500"/>
    </row>
    <row r="3511" spans="1:16" s="4099" customFormat="1" ht="14.25" customHeight="1" x14ac:dyDescent="0.25">
      <c r="A3511" s="4101"/>
      <c r="B3511" s="1242"/>
      <c r="C3511" s="3945" t="s">
        <v>6014</v>
      </c>
      <c r="D3511" s="4184">
        <v>300000000</v>
      </c>
      <c r="E3511" s="1126">
        <f>D3511/D3472*100</f>
        <v>0.21852081946181381</v>
      </c>
      <c r="F3511" s="963"/>
      <c r="G3511" s="937"/>
      <c r="H3511" s="937"/>
      <c r="I3511" s="937"/>
      <c r="J3511" s="963"/>
      <c r="K3511" s="1975"/>
      <c r="L3511" s="937"/>
      <c r="M3511" s="937"/>
      <c r="N3511" s="535"/>
      <c r="P3511" s="500"/>
    </row>
    <row r="3512" spans="1:16" s="4099" customFormat="1" ht="14.25" customHeight="1" x14ac:dyDescent="0.25">
      <c r="A3512" s="4101"/>
      <c r="B3512" s="1242"/>
      <c r="C3512" s="3945" t="s">
        <v>6015</v>
      </c>
      <c r="D3512" s="4184">
        <v>250000000</v>
      </c>
      <c r="E3512" s="1126">
        <f>D3512/D3472*100</f>
        <v>0.18210068288484485</v>
      </c>
      <c r="F3512" s="963"/>
      <c r="G3512" s="937"/>
      <c r="H3512" s="937"/>
      <c r="I3512" s="937"/>
      <c r="J3512" s="963"/>
      <c r="K3512" s="2420"/>
      <c r="L3512" s="1074"/>
      <c r="M3512" s="1648"/>
      <c r="N3512" s="535"/>
      <c r="P3512" s="500"/>
    </row>
    <row r="3513" spans="1:16" s="4099" customFormat="1" ht="14.25" customHeight="1" x14ac:dyDescent="0.25">
      <c r="A3513" s="4101"/>
      <c r="B3513" s="1242"/>
      <c r="C3513" s="3945" t="s">
        <v>6016</v>
      </c>
      <c r="D3513" s="4184">
        <v>200000000</v>
      </c>
      <c r="E3513" s="1126">
        <f>D3513/D3472*100</f>
        <v>0.14568054630787589</v>
      </c>
      <c r="F3513" s="963"/>
      <c r="G3513" s="937"/>
      <c r="H3513" s="937"/>
      <c r="I3513" s="937"/>
      <c r="J3513" s="963"/>
      <c r="K3513" s="1975"/>
      <c r="L3513" s="937"/>
      <c r="M3513" s="937"/>
      <c r="N3513" s="535"/>
      <c r="P3513" s="500"/>
    </row>
    <row r="3514" spans="1:16" s="4099" customFormat="1" ht="14.25" customHeight="1" x14ac:dyDescent="0.25">
      <c r="A3514" s="4101"/>
      <c r="B3514" s="1242"/>
      <c r="C3514" s="4025" t="s">
        <v>6017</v>
      </c>
      <c r="D3514" s="1855">
        <v>300000000</v>
      </c>
      <c r="E3514" s="1126">
        <f>D3514/D3472*100</f>
        <v>0.21852081946181381</v>
      </c>
      <c r="F3514" s="1070"/>
      <c r="G3514" s="1027"/>
      <c r="H3514" s="782"/>
      <c r="I3514" s="782"/>
      <c r="J3514" s="1929"/>
      <c r="K3514" s="2420"/>
      <c r="L3514" s="1716"/>
      <c r="M3514" s="1648"/>
      <c r="N3514" s="535"/>
      <c r="P3514" s="500"/>
    </row>
    <row r="3515" spans="1:16" s="4099" customFormat="1" ht="14.25" customHeight="1" x14ac:dyDescent="0.25">
      <c r="A3515" s="4101"/>
      <c r="B3515" s="4119"/>
      <c r="C3515" s="4033" t="s">
        <v>6018</v>
      </c>
      <c r="D3515" s="671">
        <v>200000000</v>
      </c>
      <c r="E3515" s="1126">
        <f>D3515/D3472*100</f>
        <v>0.14568054630787589</v>
      </c>
      <c r="F3515" s="1038"/>
      <c r="G3515" s="4380"/>
      <c r="H3515" s="937"/>
      <c r="I3515" s="937"/>
      <c r="J3515" s="1928"/>
      <c r="K3515" s="4381"/>
      <c r="L3515" s="1670"/>
      <c r="M3515" s="1670"/>
      <c r="N3515" s="4109"/>
      <c r="P3515" s="500"/>
    </row>
    <row r="3516" spans="1:16" s="4099" customFormat="1" ht="14.25" customHeight="1" x14ac:dyDescent="0.25">
      <c r="A3516" s="4101"/>
      <c r="B3516" s="4119"/>
      <c r="C3516" s="3940" t="s">
        <v>6019</v>
      </c>
      <c r="D3516" s="666">
        <v>338884000</v>
      </c>
      <c r="E3516" s="1126">
        <f>D3516/D3472*100</f>
        <v>0.24684403127499102</v>
      </c>
      <c r="F3516" s="4113"/>
      <c r="G3516" s="4380"/>
      <c r="H3516" s="937"/>
      <c r="I3516" s="937"/>
      <c r="J3516" s="1928"/>
      <c r="K3516" s="4381"/>
      <c r="L3516" s="1670"/>
      <c r="M3516" s="1670"/>
      <c r="N3516" s="4109"/>
      <c r="P3516" s="500"/>
    </row>
    <row r="3517" spans="1:16" s="4099" customFormat="1" ht="14.25" customHeight="1" x14ac:dyDescent="0.25">
      <c r="A3517" s="4101"/>
      <c r="B3517" s="4119"/>
      <c r="C3517" s="3940" t="s">
        <v>6020</v>
      </c>
      <c r="D3517" s="666">
        <v>300000000</v>
      </c>
      <c r="E3517" s="1126">
        <f>D3517/D3472*100</f>
        <v>0.21852081946181381</v>
      </c>
      <c r="F3517" s="4113"/>
      <c r="G3517" s="4380"/>
      <c r="H3517" s="937"/>
      <c r="I3517" s="937"/>
      <c r="J3517" s="1928"/>
      <c r="K3517" s="4381"/>
      <c r="L3517" s="1670"/>
      <c r="M3517" s="1670"/>
      <c r="N3517" s="4109"/>
      <c r="P3517" s="500"/>
    </row>
    <row r="3518" spans="1:16" s="4099" customFormat="1" ht="14.25" customHeight="1" x14ac:dyDescent="0.25">
      <c r="A3518" s="4101"/>
      <c r="B3518" s="4119"/>
      <c r="C3518" s="3940" t="s">
        <v>6021</v>
      </c>
      <c r="D3518" s="666">
        <v>300000000</v>
      </c>
      <c r="E3518" s="1126">
        <f>D3518/D3472*100</f>
        <v>0.21852081946181381</v>
      </c>
      <c r="F3518" s="4113"/>
      <c r="G3518" s="4380"/>
      <c r="H3518" s="937"/>
      <c r="I3518" s="937"/>
      <c r="J3518" s="1928"/>
      <c r="K3518" s="4381"/>
      <c r="L3518" s="1670"/>
      <c r="M3518" s="1670"/>
      <c r="N3518" s="4109"/>
      <c r="P3518" s="500"/>
    </row>
    <row r="3519" spans="1:16" s="4099" customFormat="1" ht="9.75" customHeight="1" x14ac:dyDescent="0.25">
      <c r="A3519" s="4101"/>
      <c r="B3519" s="4119"/>
      <c r="C3519" s="4033"/>
      <c r="D3519" s="671"/>
      <c r="E3519" s="1126"/>
      <c r="F3519" s="1038"/>
      <c r="G3519" s="4389"/>
      <c r="H3519" s="937"/>
      <c r="I3519" s="937"/>
      <c r="J3519" s="1928"/>
      <c r="K3519" s="4381"/>
      <c r="L3519" s="1670"/>
      <c r="M3519" s="1670"/>
      <c r="N3519" s="4109"/>
      <c r="P3519" s="500"/>
    </row>
    <row r="3520" spans="1:16" s="4099" customFormat="1" ht="14.25" customHeight="1" x14ac:dyDescent="0.25">
      <c r="A3520" s="4101"/>
      <c r="B3520" s="4119"/>
      <c r="C3520" s="3942" t="s">
        <v>6022</v>
      </c>
      <c r="D3520" s="673">
        <f>D3521</f>
        <v>500000000</v>
      </c>
      <c r="E3520" s="1447">
        <f>D3520/D3472*100</f>
        <v>0.3642013657696897</v>
      </c>
      <c r="F3520" s="4114"/>
      <c r="G3520" s="1037"/>
      <c r="H3520" s="3641"/>
      <c r="I3520" s="3641"/>
      <c r="J3520" s="4386"/>
      <c r="K3520" s="4387"/>
      <c r="L3520" s="2118"/>
      <c r="M3520" s="2118"/>
      <c r="N3520" s="3592"/>
      <c r="P3520" s="500"/>
    </row>
    <row r="3521" spans="1:16" s="4099" customFormat="1" ht="14.25" customHeight="1" x14ac:dyDescent="0.25">
      <c r="A3521" s="4101"/>
      <c r="B3521" s="4119"/>
      <c r="C3521" s="3940" t="s">
        <v>6023</v>
      </c>
      <c r="D3521" s="666">
        <v>500000000</v>
      </c>
      <c r="E3521" s="1126">
        <f>D3521/D3472*100</f>
        <v>0.3642013657696897</v>
      </c>
      <c r="F3521" s="4113"/>
      <c r="G3521" s="1024"/>
      <c r="H3521" s="937"/>
      <c r="I3521" s="937"/>
      <c r="J3521" s="1928"/>
      <c r="K3521" s="4381"/>
      <c r="L3521" s="1670"/>
      <c r="M3521" s="1670"/>
      <c r="N3521" s="4109"/>
      <c r="P3521" s="500"/>
    </row>
    <row r="3522" spans="1:16" s="4099" customFormat="1" ht="11.25" customHeight="1" x14ac:dyDescent="0.25">
      <c r="A3522" s="4101"/>
      <c r="B3522" s="4119"/>
      <c r="C3522" s="4033"/>
      <c r="D3522" s="671"/>
      <c r="E3522" s="1450"/>
      <c r="F3522" s="1038"/>
      <c r="G3522" s="4380"/>
      <c r="H3522" s="937"/>
      <c r="I3522" s="937"/>
      <c r="J3522" s="1928"/>
      <c r="K3522" s="4381"/>
      <c r="L3522" s="1670"/>
      <c r="M3522" s="1670"/>
      <c r="N3522" s="4109"/>
      <c r="P3522" s="500"/>
    </row>
    <row r="3523" spans="1:16" s="4099" customFormat="1" ht="14.25" customHeight="1" x14ac:dyDescent="0.25">
      <c r="A3523" s="4101"/>
      <c r="B3523" s="2908"/>
      <c r="C3523" s="4385" t="s">
        <v>6024</v>
      </c>
      <c r="D3523" s="768">
        <f>SUM(D3524:D3533)</f>
        <v>15094000000</v>
      </c>
      <c r="E3523" s="1447">
        <f>D3523/D3472*100</f>
        <v>10.994510829855392</v>
      </c>
      <c r="F3523" s="3629"/>
      <c r="G3523" s="1012"/>
      <c r="H3523" s="1012"/>
      <c r="I3523" s="1012"/>
      <c r="J3523" s="1771"/>
      <c r="K3523" s="1903"/>
      <c r="L3523" s="1012"/>
      <c r="M3523" s="1012"/>
      <c r="N3523" s="1239"/>
      <c r="P3523" s="500"/>
    </row>
    <row r="3524" spans="1:16" s="4099" customFormat="1" ht="14.25" customHeight="1" x14ac:dyDescent="0.25">
      <c r="A3524" s="4101"/>
      <c r="B3524" s="2908"/>
      <c r="C3524" s="4066" t="s">
        <v>6025</v>
      </c>
      <c r="D3524" s="780">
        <v>500000000</v>
      </c>
      <c r="E3524" s="1126">
        <f>D3524/D3472*100</f>
        <v>0.3642013657696897</v>
      </c>
      <c r="F3524" s="755"/>
      <c r="G3524" s="937"/>
      <c r="H3524" s="937"/>
      <c r="I3524" s="937"/>
      <c r="J3524" s="1014"/>
      <c r="K3524" s="1975"/>
      <c r="L3524" s="937"/>
      <c r="M3524" s="937"/>
      <c r="N3524" s="1239"/>
      <c r="P3524" s="500"/>
    </row>
    <row r="3525" spans="1:16" s="4099" customFormat="1" ht="14.25" customHeight="1" x14ac:dyDescent="0.25">
      <c r="A3525" s="4101"/>
      <c r="B3525" s="2908"/>
      <c r="C3525" s="4066" t="s">
        <v>6026</v>
      </c>
      <c r="D3525" s="780">
        <v>700000000</v>
      </c>
      <c r="E3525" s="1126">
        <f>D3525/D3472*100</f>
        <v>0.50988191207756561</v>
      </c>
      <c r="F3525" s="755"/>
      <c r="G3525" s="937"/>
      <c r="H3525" s="937"/>
      <c r="I3525" s="937"/>
      <c r="J3525" s="1014"/>
      <c r="K3525" s="1975"/>
      <c r="L3525" s="937"/>
      <c r="M3525" s="937"/>
      <c r="N3525" s="1239"/>
      <c r="P3525" s="500"/>
    </row>
    <row r="3526" spans="1:16" s="4099" customFormat="1" ht="14.25" customHeight="1" x14ac:dyDescent="0.25">
      <c r="A3526" s="4101"/>
      <c r="B3526" s="2908"/>
      <c r="C3526" s="4382" t="s">
        <v>6027</v>
      </c>
      <c r="D3526" s="660">
        <v>4740000000</v>
      </c>
      <c r="E3526" s="1126">
        <f>D3526/D3472*100</f>
        <v>3.4526289474966583</v>
      </c>
      <c r="F3526" s="798"/>
      <c r="G3526" s="804"/>
      <c r="H3526" s="804"/>
      <c r="I3526" s="804"/>
      <c r="J3526" s="1927"/>
      <c r="K3526" s="2258"/>
      <c r="L3526" s="804"/>
      <c r="M3526" s="804"/>
      <c r="N3526" s="1239"/>
      <c r="P3526" s="500"/>
    </row>
    <row r="3527" spans="1:16" s="4099" customFormat="1" ht="14.25" customHeight="1" x14ac:dyDescent="0.25">
      <c r="A3527" s="4101"/>
      <c r="B3527" s="2908"/>
      <c r="C3527" s="4382" t="s">
        <v>6028</v>
      </c>
      <c r="D3527" s="660">
        <v>6354000000</v>
      </c>
      <c r="E3527" s="1126">
        <f>D3527/D3472*100</f>
        <v>4.6282709562012165</v>
      </c>
      <c r="F3527" s="798"/>
      <c r="G3527" s="798"/>
      <c r="H3527" s="798"/>
      <c r="I3527" s="798"/>
      <c r="J3527" s="865"/>
      <c r="K3527" s="865"/>
      <c r="L3527" s="798"/>
      <c r="M3527" s="798"/>
      <c r="N3527" s="1239"/>
      <c r="P3527" s="500"/>
    </row>
    <row r="3528" spans="1:16" s="4099" customFormat="1" ht="14.25" customHeight="1" x14ac:dyDescent="0.25">
      <c r="A3528" s="4101"/>
      <c r="B3528" s="2908"/>
      <c r="C3528" s="4382" t="s">
        <v>6029</v>
      </c>
      <c r="D3528" s="660">
        <v>200000000</v>
      </c>
      <c r="E3528" s="1126">
        <f>D3528/D3472*100</f>
        <v>0.14568054630787589</v>
      </c>
      <c r="F3528" s="798"/>
      <c r="G3528" s="3630"/>
      <c r="H3528" s="3630"/>
      <c r="I3528" s="3630"/>
      <c r="J3528" s="3879"/>
      <c r="K3528" s="3879"/>
      <c r="L3528" s="3630"/>
      <c r="M3528" s="3630"/>
      <c r="N3528" s="1239"/>
      <c r="P3528" s="500"/>
    </row>
    <row r="3529" spans="1:16" s="4099" customFormat="1" ht="14.25" customHeight="1" x14ac:dyDescent="0.25">
      <c r="A3529" s="4101"/>
      <c r="B3529" s="2908"/>
      <c r="C3529" s="4382" t="s">
        <v>6030</v>
      </c>
      <c r="D3529" s="660">
        <v>500000000</v>
      </c>
      <c r="E3529" s="1126">
        <f>D3529/D3472*100</f>
        <v>0.3642013657696897</v>
      </c>
      <c r="F3529" s="798"/>
      <c r="G3529" s="3630"/>
      <c r="H3529" s="3630"/>
      <c r="I3529" s="3630"/>
      <c r="J3529" s="3879"/>
      <c r="K3529" s="3879"/>
      <c r="L3529" s="3630"/>
      <c r="M3529" s="3630"/>
      <c r="N3529" s="1239"/>
      <c r="P3529" s="500"/>
    </row>
    <row r="3530" spans="1:16" s="4099" customFormat="1" ht="14.25" customHeight="1" x14ac:dyDescent="0.25">
      <c r="A3530" s="4101"/>
      <c r="B3530" s="2908"/>
      <c r="C3530" s="4382" t="s">
        <v>6031</v>
      </c>
      <c r="D3530" s="660">
        <v>500000000</v>
      </c>
      <c r="E3530" s="1126">
        <f>D3530/D3472*100</f>
        <v>0.3642013657696897</v>
      </c>
      <c r="F3530" s="798"/>
      <c r="G3530" s="3630"/>
      <c r="H3530" s="3630"/>
      <c r="I3530" s="3630"/>
      <c r="J3530" s="3879"/>
      <c r="K3530" s="3879"/>
      <c r="L3530" s="3630"/>
      <c r="M3530" s="3630"/>
      <c r="N3530" s="1239"/>
      <c r="P3530" s="500"/>
    </row>
    <row r="3531" spans="1:16" s="4099" customFormat="1" ht="14.25" customHeight="1" x14ac:dyDescent="0.25">
      <c r="A3531" s="4101"/>
      <c r="B3531" s="2908"/>
      <c r="C3531" s="4382" t="s">
        <v>6032</v>
      </c>
      <c r="D3531" s="660">
        <v>700000000</v>
      </c>
      <c r="E3531" s="1126">
        <f>D3531/D3472*100</f>
        <v>0.50988191207756561</v>
      </c>
      <c r="F3531" s="798"/>
      <c r="G3531" s="3630"/>
      <c r="H3531" s="3630"/>
      <c r="I3531" s="3630"/>
      <c r="J3531" s="3879"/>
      <c r="K3531" s="3879"/>
      <c r="L3531" s="3630"/>
      <c r="M3531" s="3630"/>
      <c r="N3531" s="1239"/>
      <c r="P3531" s="500"/>
    </row>
    <row r="3532" spans="1:16" s="4099" customFormat="1" ht="14.25" customHeight="1" x14ac:dyDescent="0.25">
      <c r="A3532" s="4101"/>
      <c r="B3532" s="2908"/>
      <c r="C3532" s="4382" t="s">
        <v>6033</v>
      </c>
      <c r="D3532" s="660">
        <v>300000000</v>
      </c>
      <c r="E3532" s="1126">
        <f>D3532/D3472*100</f>
        <v>0.21852081946181381</v>
      </c>
      <c r="F3532" s="798"/>
      <c r="G3532" s="3630"/>
      <c r="H3532" s="3630"/>
      <c r="I3532" s="3630"/>
      <c r="J3532" s="3879"/>
      <c r="K3532" s="3879"/>
      <c r="L3532" s="3630"/>
      <c r="M3532" s="3630"/>
      <c r="N3532" s="1239"/>
      <c r="P3532" s="500"/>
    </row>
    <row r="3533" spans="1:16" s="4099" customFormat="1" ht="14.25" customHeight="1" x14ac:dyDescent="0.25">
      <c r="A3533" s="4101"/>
      <c r="B3533" s="2908"/>
      <c r="C3533" s="4382" t="s">
        <v>6034</v>
      </c>
      <c r="D3533" s="660">
        <v>600000000</v>
      </c>
      <c r="E3533" s="1126">
        <f>D3533/D3472*100</f>
        <v>0.43704163892362763</v>
      </c>
      <c r="F3533" s="798"/>
      <c r="G3533" s="3630"/>
      <c r="H3533" s="3630"/>
      <c r="I3533" s="3630"/>
      <c r="J3533" s="3879"/>
      <c r="K3533" s="3879"/>
      <c r="L3533" s="3630"/>
      <c r="M3533" s="3630"/>
      <c r="N3533" s="1239"/>
      <c r="P3533" s="500"/>
    </row>
    <row r="3534" spans="1:16" s="4099" customFormat="1" ht="9.75" customHeight="1" x14ac:dyDescent="0.25">
      <c r="A3534" s="4101"/>
      <c r="B3534" s="2908"/>
      <c r="C3534" s="4382"/>
      <c r="D3534" s="660"/>
      <c r="E3534" s="1126"/>
      <c r="F3534" s="798"/>
      <c r="G3534" s="3630"/>
      <c r="H3534" s="3630"/>
      <c r="I3534" s="3630"/>
      <c r="J3534" s="3879"/>
      <c r="K3534" s="3879"/>
      <c r="L3534" s="3630"/>
      <c r="M3534" s="3630"/>
      <c r="N3534" s="1239"/>
      <c r="P3534" s="500"/>
    </row>
    <row r="3535" spans="1:16" s="4099" customFormat="1" ht="18" customHeight="1" x14ac:dyDescent="0.25">
      <c r="A3535" s="4101"/>
      <c r="B3535" s="2908"/>
      <c r="C3535" s="4384" t="s">
        <v>6035</v>
      </c>
      <c r="D3535" s="2280">
        <f>D3536</f>
        <v>200000000</v>
      </c>
      <c r="E3535" s="1447">
        <f>D3535/D3472*100</f>
        <v>0.14568054630787589</v>
      </c>
      <c r="F3535" s="857"/>
      <c r="G3535" s="3629"/>
      <c r="H3535" s="3629"/>
      <c r="I3535" s="3629"/>
      <c r="J3535" s="4056"/>
      <c r="K3535" s="4056"/>
      <c r="L3535" s="3629"/>
      <c r="M3535" s="3629"/>
      <c r="N3535" s="4383"/>
      <c r="P3535" s="500"/>
    </row>
    <row r="3536" spans="1:16" s="4099" customFormat="1" ht="17.25" customHeight="1" x14ac:dyDescent="0.25">
      <c r="A3536" s="4101"/>
      <c r="B3536" s="2908"/>
      <c r="C3536" s="4382" t="s">
        <v>6036</v>
      </c>
      <c r="D3536" s="660">
        <v>200000000</v>
      </c>
      <c r="E3536" s="1126">
        <f>D3536/D3472*100</f>
        <v>0.14568054630787589</v>
      </c>
      <c r="F3536" s="798"/>
      <c r="G3536" s="3630"/>
      <c r="H3536" s="3630"/>
      <c r="I3536" s="3630"/>
      <c r="J3536" s="3879"/>
      <c r="K3536" s="3879"/>
      <c r="L3536" s="3630"/>
      <c r="M3536" s="3630"/>
      <c r="N3536" s="1239"/>
      <c r="P3536" s="500"/>
    </row>
    <row r="3537" spans="1:16" s="4099" customFormat="1" ht="9.75" customHeight="1" x14ac:dyDescent="0.25">
      <c r="A3537" s="4101"/>
      <c r="B3537" s="2908"/>
      <c r="C3537" s="4382"/>
      <c r="D3537" s="660"/>
      <c r="E3537" s="1126"/>
      <c r="F3537" s="798"/>
      <c r="G3537" s="3630"/>
      <c r="H3537" s="3630"/>
      <c r="I3537" s="3630"/>
      <c r="J3537" s="3879"/>
      <c r="K3537" s="3879"/>
      <c r="L3537" s="3630"/>
      <c r="M3537" s="3630"/>
      <c r="N3537" s="1239"/>
      <c r="P3537" s="500"/>
    </row>
    <row r="3538" spans="1:16" s="4099" customFormat="1" ht="18" customHeight="1" x14ac:dyDescent="0.25">
      <c r="A3538" s="4101"/>
      <c r="B3538" s="2908"/>
      <c r="C3538" s="4384" t="s">
        <v>1074</v>
      </c>
      <c r="D3538" s="2280">
        <f>SUM(D3539:D3548)</f>
        <v>4538787500</v>
      </c>
      <c r="E3538" s="1447">
        <f>D3538/D3472*100</f>
        <v>3.3060652128767911</v>
      </c>
      <c r="F3538" s="857"/>
      <c r="G3538" s="3629"/>
      <c r="H3538" s="3629"/>
      <c r="I3538" s="3629"/>
      <c r="J3538" s="4056"/>
      <c r="K3538" s="4056"/>
      <c r="L3538" s="3629"/>
      <c r="M3538" s="3629"/>
      <c r="N3538" s="4383"/>
      <c r="P3538" s="500"/>
    </row>
    <row r="3539" spans="1:16" s="4099" customFormat="1" ht="14.25" customHeight="1" x14ac:dyDescent="0.25">
      <c r="A3539" s="4101"/>
      <c r="B3539" s="2908"/>
      <c r="C3539" s="4382" t="s">
        <v>6037</v>
      </c>
      <c r="D3539" s="660">
        <v>400000000</v>
      </c>
      <c r="E3539" s="1126">
        <f>D3539/D3472*100</f>
        <v>0.29136109261575177</v>
      </c>
      <c r="F3539" s="798"/>
      <c r="G3539" s="3630"/>
      <c r="H3539" s="3630"/>
      <c r="I3539" s="3630"/>
      <c r="J3539" s="3879"/>
      <c r="K3539" s="3879"/>
      <c r="L3539" s="3630"/>
      <c r="M3539" s="3630"/>
      <c r="N3539" s="1239"/>
      <c r="P3539" s="500"/>
    </row>
    <row r="3540" spans="1:16" s="4099" customFormat="1" ht="14.25" customHeight="1" x14ac:dyDescent="0.25">
      <c r="A3540" s="4101"/>
      <c r="B3540" s="2908"/>
      <c r="C3540" s="4382" t="s">
        <v>6038</v>
      </c>
      <c r="D3540" s="660">
        <v>500000000</v>
      </c>
      <c r="E3540" s="1126">
        <f>D3540/D3472*100</f>
        <v>0.3642013657696897</v>
      </c>
      <c r="F3540" s="798"/>
      <c r="G3540" s="3630"/>
      <c r="H3540" s="3630"/>
      <c r="I3540" s="3630"/>
      <c r="J3540" s="3879"/>
      <c r="K3540" s="3879"/>
      <c r="L3540" s="3630"/>
      <c r="M3540" s="3630"/>
      <c r="N3540" s="1239"/>
      <c r="P3540" s="500"/>
    </row>
    <row r="3541" spans="1:16" s="4099" customFormat="1" ht="14.25" customHeight="1" x14ac:dyDescent="0.25">
      <c r="A3541" s="4101"/>
      <c r="B3541" s="2908"/>
      <c r="C3541" s="4382" t="s">
        <v>6039</v>
      </c>
      <c r="D3541" s="660">
        <v>360000000</v>
      </c>
      <c r="E3541" s="1126">
        <f>D3541/D3472*100</f>
        <v>0.26222498335417654</v>
      </c>
      <c r="F3541" s="798"/>
      <c r="G3541" s="3630"/>
      <c r="H3541" s="3630"/>
      <c r="I3541" s="3630"/>
      <c r="J3541" s="3879"/>
      <c r="K3541" s="3879"/>
      <c r="L3541" s="3630"/>
      <c r="M3541" s="3630"/>
      <c r="N3541" s="1239"/>
      <c r="P3541" s="500"/>
    </row>
    <row r="3542" spans="1:16" s="4099" customFormat="1" ht="14.25" customHeight="1" x14ac:dyDescent="0.25">
      <c r="A3542" s="4101"/>
      <c r="B3542" s="2908"/>
      <c r="C3542" s="4382" t="s">
        <v>6040</v>
      </c>
      <c r="D3542" s="660">
        <v>728787500</v>
      </c>
      <c r="E3542" s="1126">
        <f>D3542/D3472*100</f>
        <v>0.53085080571175547</v>
      </c>
      <c r="F3542" s="798"/>
      <c r="G3542" s="3630"/>
      <c r="H3542" s="3630"/>
      <c r="I3542" s="3630"/>
      <c r="J3542" s="3879"/>
      <c r="K3542" s="3879"/>
      <c r="L3542" s="3630"/>
      <c r="M3542" s="3630"/>
      <c r="N3542" s="1239"/>
      <c r="P3542" s="500"/>
    </row>
    <row r="3543" spans="1:16" s="4099" customFormat="1" ht="14.25" customHeight="1" x14ac:dyDescent="0.25">
      <c r="A3543" s="4101"/>
      <c r="B3543" s="2908"/>
      <c r="C3543" s="4382" t="s">
        <v>6041</v>
      </c>
      <c r="D3543" s="660">
        <v>150000000</v>
      </c>
      <c r="E3543" s="1126">
        <f>D3543/D3472*100</f>
        <v>0.10926040973090691</v>
      </c>
      <c r="F3543" s="798"/>
      <c r="G3543" s="3630"/>
      <c r="H3543" s="3630"/>
      <c r="I3543" s="3630"/>
      <c r="J3543" s="3879"/>
      <c r="K3543" s="3879"/>
      <c r="L3543" s="3630"/>
      <c r="M3543" s="3630"/>
      <c r="N3543" s="1239"/>
      <c r="P3543" s="500"/>
    </row>
    <row r="3544" spans="1:16" s="4099" customFormat="1" ht="14.25" customHeight="1" x14ac:dyDescent="0.25">
      <c r="A3544" s="4101"/>
      <c r="B3544" s="2908"/>
      <c r="C3544" s="4382" t="s">
        <v>6042</v>
      </c>
      <c r="D3544" s="660">
        <v>200000000</v>
      </c>
      <c r="E3544" s="1126">
        <f>D3544/D3472*100</f>
        <v>0.14568054630787589</v>
      </c>
      <c r="F3544" s="798"/>
      <c r="G3544" s="3630"/>
      <c r="H3544" s="3630"/>
      <c r="I3544" s="3630"/>
      <c r="J3544" s="3879"/>
      <c r="K3544" s="3879"/>
      <c r="L3544" s="3630"/>
      <c r="M3544" s="3630"/>
      <c r="N3544" s="1239"/>
      <c r="P3544" s="500"/>
    </row>
    <row r="3545" spans="1:16" s="4099" customFormat="1" ht="14.25" customHeight="1" x14ac:dyDescent="0.25">
      <c r="A3545" s="4101"/>
      <c r="B3545" s="2908"/>
      <c r="C3545" s="4382" t="s">
        <v>6043</v>
      </c>
      <c r="D3545" s="660">
        <v>700000000</v>
      </c>
      <c r="E3545" s="1126">
        <f>D3545/D3472*100</f>
        <v>0.50988191207756561</v>
      </c>
      <c r="F3545" s="798"/>
      <c r="G3545" s="3630"/>
      <c r="H3545" s="3630"/>
      <c r="I3545" s="3630"/>
      <c r="J3545" s="3879"/>
      <c r="K3545" s="3879"/>
      <c r="L3545" s="3630"/>
      <c r="M3545" s="3630"/>
      <c r="N3545" s="1239"/>
      <c r="P3545" s="500"/>
    </row>
    <row r="3546" spans="1:16" s="4099" customFormat="1" ht="14.25" customHeight="1" x14ac:dyDescent="0.25">
      <c r="A3546" s="4101"/>
      <c r="B3546" s="2908"/>
      <c r="C3546" s="4382" t="s">
        <v>6044</v>
      </c>
      <c r="D3546" s="660">
        <v>500000000</v>
      </c>
      <c r="E3546" s="1126">
        <f>D3546/D3472*100</f>
        <v>0.3642013657696897</v>
      </c>
      <c r="F3546" s="798"/>
      <c r="G3546" s="3630"/>
      <c r="H3546" s="3630"/>
      <c r="I3546" s="3630"/>
      <c r="J3546" s="3879"/>
      <c r="K3546" s="3879"/>
      <c r="L3546" s="3630"/>
      <c r="M3546" s="3630"/>
      <c r="N3546" s="1239"/>
      <c r="P3546" s="500"/>
    </row>
    <row r="3547" spans="1:16" s="4099" customFormat="1" ht="14.25" customHeight="1" x14ac:dyDescent="0.25">
      <c r="A3547" s="4101"/>
      <c r="B3547" s="2908"/>
      <c r="C3547" s="4382" t="s">
        <v>6045</v>
      </c>
      <c r="D3547" s="660">
        <v>600000000</v>
      </c>
      <c r="E3547" s="1126">
        <f>D3547/D3472*100</f>
        <v>0.43704163892362763</v>
      </c>
      <c r="F3547" s="798"/>
      <c r="G3547" s="3630"/>
      <c r="H3547" s="3630"/>
      <c r="I3547" s="3630"/>
      <c r="J3547" s="3879"/>
      <c r="K3547" s="3879"/>
      <c r="L3547" s="3630"/>
      <c r="M3547" s="3630"/>
      <c r="N3547" s="1239"/>
      <c r="P3547" s="500"/>
    </row>
    <row r="3548" spans="1:16" s="4099" customFormat="1" ht="14.25" customHeight="1" x14ac:dyDescent="0.25">
      <c r="A3548" s="4101"/>
      <c r="B3548" s="2908"/>
      <c r="C3548" s="4382" t="s">
        <v>6046</v>
      </c>
      <c r="D3548" s="660">
        <v>400000000</v>
      </c>
      <c r="E3548" s="1126">
        <f>D3548/D3472*100</f>
        <v>0.29136109261575177</v>
      </c>
      <c r="F3548" s="798"/>
      <c r="G3548" s="3630"/>
      <c r="H3548" s="3630"/>
      <c r="I3548" s="3630"/>
      <c r="J3548" s="3879"/>
      <c r="K3548" s="3879"/>
      <c r="L3548" s="3630"/>
      <c r="M3548" s="3630"/>
      <c r="N3548" s="1239"/>
      <c r="P3548" s="500"/>
    </row>
    <row r="3549" spans="1:16" s="4099" customFormat="1" ht="9.75" customHeight="1" x14ac:dyDescent="0.25">
      <c r="A3549" s="4101"/>
      <c r="B3549" s="2908"/>
      <c r="C3549" s="4382"/>
      <c r="D3549" s="660"/>
      <c r="E3549" s="1126"/>
      <c r="F3549" s="798"/>
      <c r="G3549" s="3630"/>
      <c r="H3549" s="3630"/>
      <c r="I3549" s="3630"/>
      <c r="J3549" s="3879"/>
      <c r="K3549" s="3879"/>
      <c r="L3549" s="3630"/>
      <c r="M3549" s="3630"/>
      <c r="N3549" s="1239"/>
      <c r="P3549" s="500"/>
    </row>
    <row r="3550" spans="1:16" s="4099" customFormat="1" ht="14.25" customHeight="1" x14ac:dyDescent="0.25">
      <c r="A3550" s="4101"/>
      <c r="B3550" s="2908"/>
      <c r="C3550" s="4384" t="s">
        <v>6047</v>
      </c>
      <c r="D3550" s="2280">
        <f>D3551</f>
        <v>250000000</v>
      </c>
      <c r="E3550" s="1447">
        <f>D3550/D3472*100</f>
        <v>0.18210068288484485</v>
      </c>
      <c r="F3550" s="857"/>
      <c r="G3550" s="3629"/>
      <c r="H3550" s="3629"/>
      <c r="I3550" s="3629"/>
      <c r="J3550" s="4056"/>
      <c r="K3550" s="4056"/>
      <c r="L3550" s="3629"/>
      <c r="M3550" s="3629"/>
      <c r="N3550" s="4383"/>
      <c r="P3550" s="500"/>
    </row>
    <row r="3551" spans="1:16" s="4099" customFormat="1" ht="14.25" customHeight="1" x14ac:dyDescent="0.25">
      <c r="A3551" s="4101"/>
      <c r="B3551" s="2908"/>
      <c r="C3551" s="4382" t="s">
        <v>6048</v>
      </c>
      <c r="D3551" s="660">
        <v>250000000</v>
      </c>
      <c r="E3551" s="1126">
        <f>D3551/D3472*100</f>
        <v>0.18210068288484485</v>
      </c>
      <c r="F3551" s="798"/>
      <c r="G3551" s="3630"/>
      <c r="H3551" s="3630"/>
      <c r="I3551" s="3630"/>
      <c r="J3551" s="3879"/>
      <c r="K3551" s="3879"/>
      <c r="L3551" s="3630"/>
      <c r="M3551" s="3630"/>
      <c r="N3551" s="1239"/>
      <c r="P3551" s="500"/>
    </row>
    <row r="3552" spans="1:16" s="4099" customFormat="1" ht="14.25" customHeight="1" x14ac:dyDescent="0.25">
      <c r="A3552" s="4101"/>
      <c r="B3552" s="1242"/>
      <c r="C3552" s="4040"/>
      <c r="D3552" s="1094"/>
      <c r="E3552" s="1326"/>
      <c r="F3552" s="1071"/>
      <c r="G3552" s="1072"/>
      <c r="H3552" s="853"/>
      <c r="I3552" s="853"/>
      <c r="J3552" s="2416"/>
      <c r="K3552" s="2444"/>
      <c r="L3552" s="2445"/>
      <c r="M3552" s="2277"/>
      <c r="N3552" s="535"/>
      <c r="P3552" s="500"/>
    </row>
    <row r="3553" spans="1:16" s="4099" customFormat="1" ht="14.25" customHeight="1" x14ac:dyDescent="0.25">
      <c r="A3553" s="4101"/>
      <c r="B3553" s="1305"/>
      <c r="C3553" s="4041" t="s">
        <v>248</v>
      </c>
      <c r="D3553" s="2659">
        <f>SUM(D3554+D3560+D3576+D3592+D3600+D3620+D3628+D3632+D3636)</f>
        <v>23002600000</v>
      </c>
      <c r="E3553" s="1445">
        <f>D3553/D3472*100</f>
        <v>16.755156672507727</v>
      </c>
      <c r="F3553" s="765"/>
      <c r="G3553" s="765"/>
      <c r="H3553" s="765"/>
      <c r="I3553" s="765"/>
      <c r="J3553" s="1773"/>
      <c r="K3553" s="1773"/>
      <c r="L3553" s="765"/>
      <c r="M3553" s="1726"/>
      <c r="N3553" s="535"/>
      <c r="P3553" s="500"/>
    </row>
    <row r="3554" spans="1:16" s="4099" customFormat="1" ht="14.25" customHeight="1" x14ac:dyDescent="0.25">
      <c r="A3554" s="4101"/>
      <c r="B3554" s="1242"/>
      <c r="C3554" s="3927" t="s">
        <v>242</v>
      </c>
      <c r="D3554" s="4240">
        <f>SUM(D3555:D3558)</f>
        <v>474537900</v>
      </c>
      <c r="E3554" s="1469">
        <f>D3554/D3472*100</f>
        <v>0.34565470257896086</v>
      </c>
      <c r="F3554" s="975"/>
      <c r="G3554" s="986"/>
      <c r="H3554" s="2442"/>
      <c r="I3554" s="793"/>
      <c r="J3554" s="975"/>
      <c r="K3554" s="975"/>
      <c r="L3554" s="2442"/>
      <c r="M3554" s="2273"/>
      <c r="N3554" s="535"/>
      <c r="P3554" s="500"/>
    </row>
    <row r="3555" spans="1:16" s="4099" customFormat="1" ht="14.25" customHeight="1" x14ac:dyDescent="0.25">
      <c r="A3555" s="4101"/>
      <c r="B3555" s="1242"/>
      <c r="C3555" s="3945" t="s">
        <v>6049</v>
      </c>
      <c r="D3555" s="4184">
        <v>109038700</v>
      </c>
      <c r="E3555" s="1126">
        <f>D3555/D3472*100</f>
        <v>7.9424086923502932E-2</v>
      </c>
      <c r="F3555" s="963"/>
      <c r="G3555" s="1073"/>
      <c r="H3555" s="1074"/>
      <c r="I3555" s="802"/>
      <c r="J3555" s="963"/>
      <c r="K3555" s="1068"/>
      <c r="L3555" s="1074"/>
      <c r="M3555" s="1648"/>
      <c r="N3555" s="535"/>
      <c r="P3555" s="500"/>
    </row>
    <row r="3556" spans="1:16" s="4099" customFormat="1" ht="14.25" customHeight="1" x14ac:dyDescent="0.25">
      <c r="A3556" s="4101"/>
      <c r="B3556" s="1242"/>
      <c r="C3556" s="4033" t="s">
        <v>6050</v>
      </c>
      <c r="D3556" s="671">
        <v>100814750</v>
      </c>
      <c r="E3556" s="864">
        <f>D3556/D3472*100</f>
        <v>7.3433739279459648E-2</v>
      </c>
      <c r="F3556" s="1038"/>
      <c r="G3556" s="1042"/>
      <c r="H3556" s="804"/>
      <c r="I3556" s="804"/>
      <c r="J3556" s="1928"/>
      <c r="K3556" s="4390"/>
      <c r="L3556" s="1649"/>
      <c r="M3556" s="1649"/>
      <c r="N3556" s="535"/>
      <c r="P3556" s="500"/>
    </row>
    <row r="3557" spans="1:16" s="4099" customFormat="1" ht="14.25" customHeight="1" x14ac:dyDescent="0.25">
      <c r="A3557" s="4101"/>
      <c r="B3557" s="4119"/>
      <c r="C3557" s="3940" t="s">
        <v>6051</v>
      </c>
      <c r="D3557" s="666">
        <v>158645750</v>
      </c>
      <c r="E3557" s="1126">
        <f>D3557/D3472*100</f>
        <v>0.1155579976471135</v>
      </c>
      <c r="F3557" s="4113"/>
      <c r="G3557" s="3497"/>
      <c r="H3557" s="3630"/>
      <c r="I3557" s="3630"/>
      <c r="J3557" s="4058"/>
      <c r="K3557" s="2443"/>
      <c r="L3557" s="3648"/>
      <c r="M3557" s="3648"/>
      <c r="N3557" s="4109"/>
      <c r="P3557" s="500"/>
    </row>
    <row r="3558" spans="1:16" s="4099" customFormat="1" ht="14.25" customHeight="1" x14ac:dyDescent="0.25">
      <c r="A3558" s="4101"/>
      <c r="B3558" s="4119"/>
      <c r="C3558" s="3940" t="s">
        <v>6052</v>
      </c>
      <c r="D3558" s="666">
        <v>106038700</v>
      </c>
      <c r="E3558" s="1126">
        <f>D3558/D3472*100</f>
        <v>7.7238878728884783E-2</v>
      </c>
      <c r="F3558" s="4113"/>
      <c r="G3558" s="3497"/>
      <c r="H3558" s="3630"/>
      <c r="I3558" s="3630"/>
      <c r="J3558" s="4058"/>
      <c r="K3558" s="2443"/>
      <c r="L3558" s="3648"/>
      <c r="M3558" s="3648"/>
      <c r="N3558" s="4109"/>
      <c r="P3558" s="500"/>
    </row>
    <row r="3559" spans="1:16" s="4099" customFormat="1" ht="9" customHeight="1" x14ac:dyDescent="0.25">
      <c r="A3559" s="4101"/>
      <c r="B3559" s="4119"/>
      <c r="C3559" s="4033"/>
      <c r="D3559" s="671"/>
      <c r="E3559" s="1126"/>
      <c r="F3559" s="1038"/>
      <c r="G3559" s="1028"/>
      <c r="H3559" s="804"/>
      <c r="I3559" s="804"/>
      <c r="J3559" s="1928"/>
      <c r="K3559" s="2446"/>
      <c r="L3559" s="1649"/>
      <c r="M3559" s="1649"/>
      <c r="N3559" s="4109"/>
      <c r="P3559" s="500"/>
    </row>
    <row r="3560" spans="1:16" s="4099" customFormat="1" ht="14.25" customHeight="1" x14ac:dyDescent="0.25">
      <c r="A3560" s="4101"/>
      <c r="B3560" s="1242"/>
      <c r="C3560" s="3946" t="s">
        <v>283</v>
      </c>
      <c r="D3560" s="4235">
        <f>SUM(D3561:D3574)</f>
        <v>6286792100</v>
      </c>
      <c r="E3560" s="1447">
        <f>D3560/D3472*100</f>
        <v>4.5793165382601915</v>
      </c>
      <c r="F3560" s="965"/>
      <c r="G3560" s="965"/>
      <c r="H3560" s="2442"/>
      <c r="I3560" s="803"/>
      <c r="J3560" s="965"/>
      <c r="K3560" s="965"/>
      <c r="L3560" s="2442"/>
      <c r="M3560" s="1706"/>
      <c r="N3560" s="535"/>
      <c r="P3560" s="500"/>
    </row>
    <row r="3561" spans="1:16" s="4099" customFormat="1" ht="14.25" customHeight="1" x14ac:dyDescent="0.25">
      <c r="A3561" s="4101"/>
      <c r="B3561" s="1242"/>
      <c r="C3561" s="3947" t="s">
        <v>6053</v>
      </c>
      <c r="D3561" s="4184">
        <v>225000000</v>
      </c>
      <c r="E3561" s="1126">
        <f>D3561/D3472*100</f>
        <v>0.16389061459636037</v>
      </c>
      <c r="F3561" s="963"/>
      <c r="G3561" s="1074"/>
      <c r="H3561" s="1074"/>
      <c r="I3561" s="802"/>
      <c r="J3561" s="963"/>
      <c r="K3561" s="1069"/>
      <c r="L3561" s="1074"/>
      <c r="M3561" s="1648"/>
      <c r="N3561" s="535"/>
      <c r="P3561" s="500"/>
    </row>
    <row r="3562" spans="1:16" s="4099" customFormat="1" ht="14.25" customHeight="1" x14ac:dyDescent="0.25">
      <c r="A3562" s="4101"/>
      <c r="B3562" s="1242"/>
      <c r="C3562" s="3947" t="s">
        <v>6054</v>
      </c>
      <c r="D3562" s="4184">
        <v>150000000</v>
      </c>
      <c r="E3562" s="1126">
        <f>D3562/D3472*100</f>
        <v>0.10926040973090691</v>
      </c>
      <c r="F3562" s="963"/>
      <c r="G3562" s="1074"/>
      <c r="H3562" s="1074"/>
      <c r="I3562" s="802"/>
      <c r="J3562" s="963"/>
      <c r="K3562" s="1069"/>
      <c r="L3562" s="1074"/>
      <c r="M3562" s="1648"/>
      <c r="N3562" s="535"/>
      <c r="P3562" s="500"/>
    </row>
    <row r="3563" spans="1:16" s="4099" customFormat="1" ht="14.25" customHeight="1" x14ac:dyDescent="0.25">
      <c r="A3563" s="4101"/>
      <c r="B3563" s="1242"/>
      <c r="C3563" s="3947" t="s">
        <v>6055</v>
      </c>
      <c r="D3563" s="4184">
        <v>125000000</v>
      </c>
      <c r="E3563" s="1126">
        <f>D3563/D3472*100</f>
        <v>9.1050341442422425E-2</v>
      </c>
      <c r="F3563" s="963"/>
      <c r="G3563" s="937"/>
      <c r="H3563" s="937"/>
      <c r="I3563" s="937"/>
      <c r="J3563" s="963"/>
      <c r="K3563" s="1975"/>
      <c r="L3563" s="937"/>
      <c r="M3563" s="937"/>
      <c r="N3563" s="535"/>
      <c r="P3563" s="500"/>
    </row>
    <row r="3564" spans="1:16" s="4099" customFormat="1" ht="14.25" customHeight="1" x14ac:dyDescent="0.25">
      <c r="A3564" s="4101"/>
      <c r="B3564" s="1242"/>
      <c r="C3564" s="3947" t="s">
        <v>6056</v>
      </c>
      <c r="D3564" s="4184">
        <v>100000000</v>
      </c>
      <c r="E3564" s="1126">
        <f>D3564/D3472*100</f>
        <v>7.2840273153937943E-2</v>
      </c>
      <c r="F3564" s="963"/>
      <c r="G3564" s="1074"/>
      <c r="H3564" s="1074"/>
      <c r="I3564" s="802"/>
      <c r="J3564" s="963"/>
      <c r="K3564" s="1069"/>
      <c r="L3564" s="1074"/>
      <c r="M3564" s="1648"/>
      <c r="N3564" s="535"/>
      <c r="P3564" s="500"/>
    </row>
    <row r="3565" spans="1:16" s="4099" customFormat="1" ht="14.25" customHeight="1" x14ac:dyDescent="0.25">
      <c r="A3565" s="4101"/>
      <c r="B3565" s="1242"/>
      <c r="C3565" s="3947" t="s">
        <v>6057</v>
      </c>
      <c r="D3565" s="4184">
        <v>1150000000</v>
      </c>
      <c r="E3565" s="1126">
        <f>D3565/D3472*100</f>
        <v>0.83766314127028618</v>
      </c>
      <c r="F3565" s="963"/>
      <c r="G3565" s="1074"/>
      <c r="H3565" s="1074"/>
      <c r="I3565" s="802"/>
      <c r="J3565" s="963"/>
      <c r="K3565" s="1069"/>
      <c r="L3565" s="1074"/>
      <c r="M3565" s="1648"/>
      <c r="N3565" s="535"/>
      <c r="P3565" s="500"/>
    </row>
    <row r="3566" spans="1:16" s="4099" customFormat="1" ht="14.25" customHeight="1" x14ac:dyDescent="0.25">
      <c r="A3566" s="4101"/>
      <c r="B3566" s="1242"/>
      <c r="C3566" s="3947" t="s">
        <v>6058</v>
      </c>
      <c r="D3566" s="4184">
        <v>300000000</v>
      </c>
      <c r="E3566" s="1126">
        <f>D3566/D3472*100</f>
        <v>0.21852081946181381</v>
      </c>
      <c r="F3566" s="963"/>
      <c r="G3566" s="1074"/>
      <c r="H3566" s="1074"/>
      <c r="I3566" s="802"/>
      <c r="J3566" s="963"/>
      <c r="K3566" s="1069"/>
      <c r="L3566" s="1074"/>
      <c r="M3566" s="1648"/>
      <c r="N3566" s="535"/>
      <c r="P3566" s="500"/>
    </row>
    <row r="3567" spans="1:16" s="4099" customFormat="1" ht="14.25" customHeight="1" x14ac:dyDescent="0.25">
      <c r="A3567" s="4101"/>
      <c r="B3567" s="1242"/>
      <c r="C3567" s="3947" t="s">
        <v>6059</v>
      </c>
      <c r="D3567" s="4184">
        <v>1302230000</v>
      </c>
      <c r="E3567" s="1126">
        <f>D3567/D3472*100</f>
        <v>0.94854788909252608</v>
      </c>
      <c r="F3567" s="963"/>
      <c r="G3567" s="1074"/>
      <c r="H3567" s="1074"/>
      <c r="I3567" s="802"/>
      <c r="J3567" s="963"/>
      <c r="K3567" s="1069"/>
      <c r="L3567" s="1074"/>
      <c r="M3567" s="1648"/>
      <c r="N3567" s="535"/>
      <c r="P3567" s="500"/>
    </row>
    <row r="3568" spans="1:16" s="4099" customFormat="1" ht="14.25" customHeight="1" x14ac:dyDescent="0.25">
      <c r="A3568" s="4101"/>
      <c r="B3568" s="1242"/>
      <c r="C3568" s="3947" t="s">
        <v>6060</v>
      </c>
      <c r="D3568" s="4184">
        <v>200000000</v>
      </c>
      <c r="E3568" s="1126">
        <f>D3568/D3472*100</f>
        <v>0.14568054630787589</v>
      </c>
      <c r="F3568" s="963"/>
      <c r="G3568" s="1074"/>
      <c r="H3568" s="1074"/>
      <c r="I3568" s="802"/>
      <c r="J3568" s="963"/>
      <c r="K3568" s="1069"/>
      <c r="L3568" s="1074"/>
      <c r="M3568" s="1648"/>
      <c r="N3568" s="535"/>
      <c r="P3568" s="500"/>
    </row>
    <row r="3569" spans="1:16" s="4099" customFormat="1" ht="14.25" customHeight="1" x14ac:dyDescent="0.25">
      <c r="A3569" s="4101"/>
      <c r="B3569" s="1242"/>
      <c r="C3569" s="3947" t="s">
        <v>6061</v>
      </c>
      <c r="D3569" s="4184">
        <v>180300000</v>
      </c>
      <c r="E3569" s="1126">
        <f>D3569/D3472*100</f>
        <v>0.1313310124965501</v>
      </c>
      <c r="F3569" s="963"/>
      <c r="G3569" s="1074"/>
      <c r="H3569" s="1074"/>
      <c r="I3569" s="802"/>
      <c r="J3569" s="963"/>
      <c r="K3569" s="1069"/>
      <c r="L3569" s="1074"/>
      <c r="M3569" s="1648"/>
      <c r="N3569" s="535"/>
      <c r="P3569" s="500"/>
    </row>
    <row r="3570" spans="1:16" s="4099" customFormat="1" ht="14.25" customHeight="1" x14ac:dyDescent="0.25">
      <c r="A3570" s="4101"/>
      <c r="B3570" s="1242"/>
      <c r="C3570" s="3947" t="s">
        <v>6062</v>
      </c>
      <c r="D3570" s="4184">
        <v>140820000</v>
      </c>
      <c r="E3570" s="1126">
        <f>D3570/D3472*100</f>
        <v>0.1025736726553754</v>
      </c>
      <c r="F3570" s="963"/>
      <c r="G3570" s="1074"/>
      <c r="H3570" s="1074"/>
      <c r="I3570" s="802"/>
      <c r="J3570" s="963"/>
      <c r="K3570" s="2420"/>
      <c r="L3570" s="1074"/>
      <c r="M3570" s="1648"/>
      <c r="N3570" s="535"/>
      <c r="P3570" s="500"/>
    </row>
    <row r="3571" spans="1:16" s="4099" customFormat="1" ht="14.25" customHeight="1" x14ac:dyDescent="0.25">
      <c r="A3571" s="4101"/>
      <c r="B3571" s="1242"/>
      <c r="C3571" s="3947" t="s">
        <v>6063</v>
      </c>
      <c r="D3571" s="4184">
        <v>355742100</v>
      </c>
      <c r="E3571" s="1126">
        <f>D3571/D3472*100</f>
        <v>0.25912351736355504</v>
      </c>
      <c r="F3571" s="963"/>
      <c r="G3571" s="1074"/>
      <c r="H3571" s="1074"/>
      <c r="I3571" s="802"/>
      <c r="J3571" s="963"/>
      <c r="K3571" s="1069"/>
      <c r="L3571" s="1074"/>
      <c r="M3571" s="1648"/>
      <c r="N3571" s="535"/>
      <c r="P3571" s="500"/>
    </row>
    <row r="3572" spans="1:16" s="4099" customFormat="1" ht="14.25" customHeight="1" x14ac:dyDescent="0.25">
      <c r="A3572" s="4101"/>
      <c r="B3572" s="1242"/>
      <c r="C3572" s="3947" t="s">
        <v>6064</v>
      </c>
      <c r="D3572" s="4184">
        <v>500000000</v>
      </c>
      <c r="E3572" s="1126">
        <f>D3572/D3472*100</f>
        <v>0.3642013657696897</v>
      </c>
      <c r="F3572" s="963"/>
      <c r="G3572" s="937"/>
      <c r="H3572" s="937"/>
      <c r="I3572" s="937"/>
      <c r="J3572" s="963"/>
      <c r="K3572" s="1975"/>
      <c r="L3572" s="937"/>
      <c r="M3572" s="937"/>
      <c r="N3572" s="535"/>
      <c r="P3572" s="500"/>
    </row>
    <row r="3573" spans="1:16" s="4099" customFormat="1" ht="14.25" customHeight="1" x14ac:dyDescent="0.25">
      <c r="A3573" s="4101"/>
      <c r="B3573" s="1242"/>
      <c r="C3573" s="3940" t="s">
        <v>6065</v>
      </c>
      <c r="D3573" s="666">
        <v>143600000</v>
      </c>
      <c r="E3573" s="1126">
        <f>D3573/D3472*100</f>
        <v>0.10459863224905488</v>
      </c>
      <c r="F3573" s="4113"/>
      <c r="G3573" s="1024"/>
      <c r="H3573" s="755"/>
      <c r="I3573" s="802"/>
      <c r="J3573" s="1928"/>
      <c r="K3573" s="2420"/>
      <c r="L3573" s="1716"/>
      <c r="M3573" s="1648"/>
      <c r="N3573" s="535"/>
      <c r="P3573" s="500"/>
    </row>
    <row r="3574" spans="1:16" s="4099" customFormat="1" ht="14.25" customHeight="1" x14ac:dyDescent="0.25">
      <c r="A3574" s="4101"/>
      <c r="B3574" s="4119"/>
      <c r="C3574" s="3940" t="s">
        <v>6066</v>
      </c>
      <c r="D3574" s="666">
        <v>1414100000</v>
      </c>
      <c r="E3574" s="1126">
        <f>D3574/D3472*100</f>
        <v>1.0300343026698364</v>
      </c>
      <c r="F3574" s="4113"/>
      <c r="G3574" s="1024"/>
      <c r="H3574" s="3630"/>
      <c r="I3574" s="3620"/>
      <c r="J3574" s="1928"/>
      <c r="K3574" s="4391"/>
      <c r="L3574" s="3648"/>
      <c r="M3574" s="1648"/>
      <c r="N3574" s="4109"/>
      <c r="P3574" s="500"/>
    </row>
    <row r="3575" spans="1:16" s="4099" customFormat="1" ht="9.75" customHeight="1" x14ac:dyDescent="0.25">
      <c r="A3575" s="4101"/>
      <c r="B3575" s="4119"/>
      <c r="C3575" s="4033"/>
      <c r="D3575" s="671"/>
      <c r="E3575" s="1470"/>
      <c r="F3575" s="1038"/>
      <c r="G3575" s="4389"/>
      <c r="H3575" s="3630"/>
      <c r="I3575" s="3620"/>
      <c r="J3575" s="1928"/>
      <c r="K3575" s="4391"/>
      <c r="L3575" s="3648"/>
      <c r="M3575" s="1648"/>
      <c r="N3575" s="4109"/>
      <c r="P3575" s="500"/>
    </row>
    <row r="3576" spans="1:16" s="4099" customFormat="1" ht="14.25" customHeight="1" x14ac:dyDescent="0.25">
      <c r="A3576" s="4101"/>
      <c r="B3576" s="1242"/>
      <c r="C3576" s="3946" t="s">
        <v>565</v>
      </c>
      <c r="D3576" s="4235">
        <f>SUM(D3577:D3590)</f>
        <v>3079120000</v>
      </c>
      <c r="E3576" s="1447">
        <f>D3576/D3472*100</f>
        <v>2.242839418737534</v>
      </c>
      <c r="F3576" s="965"/>
      <c r="G3576" s="793"/>
      <c r="H3576" s="753"/>
      <c r="I3576" s="753"/>
      <c r="J3576" s="965"/>
      <c r="K3576" s="790"/>
      <c r="L3576" s="753"/>
      <c r="M3576" s="753"/>
      <c r="N3576" s="535"/>
      <c r="P3576" s="500"/>
    </row>
    <row r="3577" spans="1:16" s="4099" customFormat="1" ht="14.25" customHeight="1" x14ac:dyDescent="0.25">
      <c r="A3577" s="4101"/>
      <c r="B3577" s="1242"/>
      <c r="C3577" s="3947" t="s">
        <v>6069</v>
      </c>
      <c r="D3577" s="4184">
        <v>700000000</v>
      </c>
      <c r="E3577" s="1126">
        <f>D3577/D3472*100</f>
        <v>0.50988191207756561</v>
      </c>
      <c r="F3577" s="963"/>
      <c r="G3577" s="755"/>
      <c r="H3577" s="755"/>
      <c r="I3577" s="755"/>
      <c r="J3577" s="963"/>
      <c r="K3577" s="1014"/>
      <c r="L3577" s="755"/>
      <c r="M3577" s="755"/>
      <c r="N3577" s="535"/>
      <c r="P3577" s="500"/>
    </row>
    <row r="3578" spans="1:16" s="4099" customFormat="1" ht="14.25" customHeight="1" x14ac:dyDescent="0.25">
      <c r="A3578" s="4101"/>
      <c r="B3578" s="1242"/>
      <c r="C3578" s="3947" t="s">
        <v>6067</v>
      </c>
      <c r="D3578" s="4184">
        <v>50000000</v>
      </c>
      <c r="E3578" s="1126">
        <f>D3578/D3472*100</f>
        <v>3.6420136576968971E-2</v>
      </c>
      <c r="F3578" s="963"/>
      <c r="G3578" s="755"/>
      <c r="H3578" s="755"/>
      <c r="I3578" s="755"/>
      <c r="J3578" s="963"/>
      <c r="K3578" s="1014"/>
      <c r="L3578" s="755"/>
      <c r="M3578" s="755"/>
      <c r="N3578" s="535"/>
      <c r="P3578" s="500"/>
    </row>
    <row r="3579" spans="1:16" s="4099" customFormat="1" ht="14.25" customHeight="1" x14ac:dyDescent="0.25">
      <c r="A3579" s="4101"/>
      <c r="B3579" s="1242"/>
      <c r="C3579" s="3947" t="s">
        <v>6068</v>
      </c>
      <c r="D3579" s="4184">
        <v>100000000</v>
      </c>
      <c r="E3579" s="1126">
        <f>D3579/D3472*100</f>
        <v>7.2840273153937943E-2</v>
      </c>
      <c r="F3579" s="963"/>
      <c r="G3579" s="755"/>
      <c r="H3579" s="755"/>
      <c r="I3579" s="755"/>
      <c r="J3579" s="963"/>
      <c r="K3579" s="1753"/>
      <c r="L3579" s="1716"/>
      <c r="M3579" s="1648"/>
      <c r="N3579" s="535"/>
      <c r="P3579" s="500"/>
    </row>
    <row r="3580" spans="1:16" s="4099" customFormat="1" ht="14.25" customHeight="1" x14ac:dyDescent="0.25">
      <c r="A3580" s="4101"/>
      <c r="B3580" s="4119"/>
      <c r="C3580" s="3947" t="s">
        <v>6070</v>
      </c>
      <c r="D3580" s="4184">
        <v>44500000</v>
      </c>
      <c r="E3580" s="1126">
        <f>D3580/D3472*100</f>
        <v>3.2413921553502381E-2</v>
      </c>
      <c r="F3580" s="3768"/>
      <c r="G3580" s="3630"/>
      <c r="H3580" s="3630"/>
      <c r="I3580" s="3630"/>
      <c r="J3580" s="3768"/>
      <c r="K3580" s="1753"/>
      <c r="L3580" s="3648"/>
      <c r="M3580" s="1648"/>
      <c r="N3580" s="4109"/>
      <c r="P3580" s="500"/>
    </row>
    <row r="3581" spans="1:16" s="4099" customFormat="1" ht="14.25" customHeight="1" x14ac:dyDescent="0.25">
      <c r="A3581" s="4101"/>
      <c r="B3581" s="4119"/>
      <c r="C3581" s="3947" t="s">
        <v>6071</v>
      </c>
      <c r="D3581" s="4184">
        <v>55500000</v>
      </c>
      <c r="E3581" s="1126">
        <f>D3581/D3472*100</f>
        <v>4.0426351600435555E-2</v>
      </c>
      <c r="F3581" s="3768"/>
      <c r="G3581" s="3630"/>
      <c r="H3581" s="3630"/>
      <c r="I3581" s="3630"/>
      <c r="J3581" s="3768"/>
      <c r="K3581" s="1753"/>
      <c r="L3581" s="3648"/>
      <c r="M3581" s="1648"/>
      <c r="N3581" s="4109"/>
      <c r="P3581" s="500"/>
    </row>
    <row r="3582" spans="1:16" s="4099" customFormat="1" ht="14.25" customHeight="1" x14ac:dyDescent="0.25">
      <c r="A3582" s="4101"/>
      <c r="B3582" s="4119"/>
      <c r="C3582" s="3947" t="s">
        <v>6072</v>
      </c>
      <c r="D3582" s="4184">
        <v>100000000</v>
      </c>
      <c r="E3582" s="1126">
        <f>D3582/D3472*100</f>
        <v>7.2840273153937943E-2</v>
      </c>
      <c r="F3582" s="3768"/>
      <c r="G3582" s="3630"/>
      <c r="H3582" s="3630"/>
      <c r="I3582" s="3630"/>
      <c r="J3582" s="3768"/>
      <c r="K3582" s="1753"/>
      <c r="L3582" s="3648"/>
      <c r="M3582" s="1648"/>
      <c r="N3582" s="4109"/>
      <c r="P3582" s="500"/>
    </row>
    <row r="3583" spans="1:16" s="4099" customFormat="1" ht="14.25" customHeight="1" x14ac:dyDescent="0.25">
      <c r="A3583" s="4101"/>
      <c r="B3583" s="4119"/>
      <c r="C3583" s="3947" t="s">
        <v>6073</v>
      </c>
      <c r="D3583" s="4184">
        <v>100000000</v>
      </c>
      <c r="E3583" s="1126">
        <f>D3583/D3472*100</f>
        <v>7.2840273153937943E-2</v>
      </c>
      <c r="F3583" s="3768"/>
      <c r="G3583" s="3630"/>
      <c r="H3583" s="3630"/>
      <c r="I3583" s="3630"/>
      <c r="J3583" s="3768"/>
      <c r="K3583" s="1753"/>
      <c r="L3583" s="3648"/>
      <c r="M3583" s="1648"/>
      <c r="N3583" s="4109"/>
      <c r="P3583" s="500"/>
    </row>
    <row r="3584" spans="1:16" s="4099" customFormat="1" ht="14.25" customHeight="1" x14ac:dyDescent="0.25">
      <c r="A3584" s="4101"/>
      <c r="B3584" s="4119"/>
      <c r="C3584" s="3947" t="s">
        <v>6074</v>
      </c>
      <c r="D3584" s="4184">
        <v>100000000</v>
      </c>
      <c r="E3584" s="1126">
        <f>D3584/D3472*100</f>
        <v>7.2840273153937943E-2</v>
      </c>
      <c r="F3584" s="3768"/>
      <c r="G3584" s="3630"/>
      <c r="H3584" s="3630"/>
      <c r="I3584" s="3630"/>
      <c r="J3584" s="3768"/>
      <c r="K3584" s="1753"/>
      <c r="L3584" s="3648"/>
      <c r="M3584" s="1648"/>
      <c r="N3584" s="4109"/>
      <c r="P3584" s="500"/>
    </row>
    <row r="3585" spans="1:16" s="4099" customFormat="1" ht="14.25" customHeight="1" x14ac:dyDescent="0.25">
      <c r="A3585" s="4101"/>
      <c r="B3585" s="4119"/>
      <c r="C3585" s="3947" t="s">
        <v>6075</v>
      </c>
      <c r="D3585" s="4184">
        <v>250000000</v>
      </c>
      <c r="E3585" s="1126">
        <f>D3585/D3472*100</f>
        <v>0.18210068288484485</v>
      </c>
      <c r="F3585" s="3768"/>
      <c r="G3585" s="3630"/>
      <c r="H3585" s="3630"/>
      <c r="I3585" s="3630"/>
      <c r="J3585" s="3768"/>
      <c r="K3585" s="1753"/>
      <c r="L3585" s="3648"/>
      <c r="M3585" s="1648"/>
      <c r="N3585" s="4109"/>
      <c r="P3585" s="500"/>
    </row>
    <row r="3586" spans="1:16" s="4099" customFormat="1" ht="14.25" customHeight="1" x14ac:dyDescent="0.25">
      <c r="A3586" s="4101"/>
      <c r="B3586" s="4119"/>
      <c r="C3586" s="3947" t="s">
        <v>6076</v>
      </c>
      <c r="D3586" s="4184">
        <v>959120000</v>
      </c>
      <c r="E3586" s="1126">
        <f>D3586/D3472*100</f>
        <v>0.69862562787404958</v>
      </c>
      <c r="F3586" s="3768"/>
      <c r="G3586" s="3630"/>
      <c r="H3586" s="3630"/>
      <c r="I3586" s="3630"/>
      <c r="J3586" s="3768"/>
      <c r="K3586" s="1753"/>
      <c r="L3586" s="3648"/>
      <c r="M3586" s="1648"/>
      <c r="N3586" s="4109"/>
      <c r="P3586" s="500"/>
    </row>
    <row r="3587" spans="1:16" s="4099" customFormat="1" ht="14.25" customHeight="1" x14ac:dyDescent="0.25">
      <c r="A3587" s="4101"/>
      <c r="B3587" s="4119"/>
      <c r="C3587" s="3947" t="s">
        <v>6077</v>
      </c>
      <c r="D3587" s="4184">
        <v>150000000</v>
      </c>
      <c r="E3587" s="1126">
        <f>D3587/D3472*100</f>
        <v>0.10926040973090691</v>
      </c>
      <c r="F3587" s="3768"/>
      <c r="G3587" s="3630"/>
      <c r="H3587" s="3630"/>
      <c r="I3587" s="3630"/>
      <c r="J3587" s="3768"/>
      <c r="K3587" s="1753"/>
      <c r="L3587" s="3648"/>
      <c r="M3587" s="1648"/>
      <c r="N3587" s="4109"/>
      <c r="P3587" s="500"/>
    </row>
    <row r="3588" spans="1:16" s="4099" customFormat="1" ht="14.25" customHeight="1" x14ac:dyDescent="0.25">
      <c r="A3588" s="4101"/>
      <c r="B3588" s="4119"/>
      <c r="C3588" s="3947" t="s">
        <v>6078</v>
      </c>
      <c r="D3588" s="4184">
        <v>250000000</v>
      </c>
      <c r="E3588" s="1126">
        <f>D3588/D3472*100</f>
        <v>0.18210068288484485</v>
      </c>
      <c r="F3588" s="3768"/>
      <c r="G3588" s="3630"/>
      <c r="H3588" s="3630"/>
      <c r="I3588" s="3630"/>
      <c r="J3588" s="3768"/>
      <c r="K3588" s="1753"/>
      <c r="L3588" s="3648"/>
      <c r="M3588" s="1648"/>
      <c r="N3588" s="4109"/>
      <c r="P3588" s="500"/>
    </row>
    <row r="3589" spans="1:16" s="4099" customFormat="1" ht="14.25" customHeight="1" x14ac:dyDescent="0.25">
      <c r="A3589" s="4101"/>
      <c r="B3589" s="4119"/>
      <c r="C3589" s="3947" t="s">
        <v>6079</v>
      </c>
      <c r="D3589" s="4184">
        <v>150000000</v>
      </c>
      <c r="E3589" s="1126">
        <f>D3589/D3472*100</f>
        <v>0.10926040973090691</v>
      </c>
      <c r="F3589" s="3768"/>
      <c r="G3589" s="3630"/>
      <c r="H3589" s="3630"/>
      <c r="I3589" s="3630"/>
      <c r="J3589" s="3768"/>
      <c r="K3589" s="1753"/>
      <c r="L3589" s="3648"/>
      <c r="M3589" s="1648"/>
      <c r="N3589" s="4109"/>
      <c r="P3589" s="500"/>
    </row>
    <row r="3590" spans="1:16" s="4099" customFormat="1" ht="14.25" customHeight="1" x14ac:dyDescent="0.25">
      <c r="A3590" s="4101"/>
      <c r="B3590" s="4119"/>
      <c r="C3590" s="3947" t="s">
        <v>6080</v>
      </c>
      <c r="D3590" s="4184">
        <v>70000000</v>
      </c>
      <c r="E3590" s="1126">
        <f>D3590/D3472*100</f>
        <v>5.0988191207756564E-2</v>
      </c>
      <c r="F3590" s="3768"/>
      <c r="G3590" s="3630"/>
      <c r="H3590" s="3630"/>
      <c r="I3590" s="3630"/>
      <c r="J3590" s="3768"/>
      <c r="K3590" s="1753"/>
      <c r="L3590" s="3648"/>
      <c r="M3590" s="1648"/>
      <c r="N3590" s="4109"/>
      <c r="P3590" s="500"/>
    </row>
    <row r="3591" spans="1:16" s="4099" customFormat="1" ht="7.5" customHeight="1" x14ac:dyDescent="0.25">
      <c r="A3591" s="4101"/>
      <c r="B3591" s="4119"/>
      <c r="C3591" s="3947"/>
      <c r="D3591" s="4184"/>
      <c r="E3591" s="1126"/>
      <c r="F3591" s="3768"/>
      <c r="G3591" s="3630"/>
      <c r="H3591" s="3630"/>
      <c r="I3591" s="3630"/>
      <c r="J3591" s="3768"/>
      <c r="K3591" s="1753"/>
      <c r="L3591" s="3648"/>
      <c r="M3591" s="1648"/>
      <c r="N3591" s="4109"/>
      <c r="P3591" s="500"/>
    </row>
    <row r="3592" spans="1:16" s="4099" customFormat="1" ht="14.25" customHeight="1" x14ac:dyDescent="0.25">
      <c r="A3592" s="4101"/>
      <c r="B3592" s="1242"/>
      <c r="C3592" s="3946" t="s">
        <v>273</v>
      </c>
      <c r="D3592" s="4235">
        <f>SUM(D3593:D3598)</f>
        <v>830000000</v>
      </c>
      <c r="E3592" s="1447">
        <f>D3592/D3472*100</f>
        <v>0.60457426717768492</v>
      </c>
      <c r="F3592" s="965"/>
      <c r="G3592" s="753"/>
      <c r="H3592" s="753"/>
      <c r="I3592" s="753"/>
      <c r="J3592" s="965"/>
      <c r="K3592" s="1772"/>
      <c r="L3592" s="753"/>
      <c r="M3592" s="753"/>
      <c r="N3592" s="535"/>
      <c r="P3592" s="500"/>
    </row>
    <row r="3593" spans="1:16" s="4099" customFormat="1" ht="14.25" customHeight="1" x14ac:dyDescent="0.25">
      <c r="A3593" s="4101"/>
      <c r="B3593" s="1242"/>
      <c r="C3593" s="3947" t="s">
        <v>6081</v>
      </c>
      <c r="D3593" s="4184">
        <v>80000000</v>
      </c>
      <c r="E3593" s="1126">
        <f>D3593/D3472*100</f>
        <v>5.8272218523150343E-2</v>
      </c>
      <c r="F3593" s="963"/>
      <c r="G3593" s="755"/>
      <c r="H3593" s="755"/>
      <c r="I3593" s="755"/>
      <c r="J3593" s="963"/>
      <c r="K3593" s="1014"/>
      <c r="L3593" s="755"/>
      <c r="M3593" s="755"/>
      <c r="N3593" s="535"/>
      <c r="P3593" s="500"/>
    </row>
    <row r="3594" spans="1:16" s="4099" customFormat="1" ht="14.25" customHeight="1" x14ac:dyDescent="0.25">
      <c r="A3594" s="4101"/>
      <c r="B3594" s="1242"/>
      <c r="C3594" s="3947" t="s">
        <v>6082</v>
      </c>
      <c r="D3594" s="4184">
        <v>70000000</v>
      </c>
      <c r="E3594" s="1126">
        <f>D3594/D3472*100</f>
        <v>5.0988191207756564E-2</v>
      </c>
      <c r="F3594" s="963"/>
      <c r="G3594" s="755"/>
      <c r="H3594" s="755"/>
      <c r="I3594" s="755"/>
      <c r="J3594" s="963"/>
      <c r="K3594" s="1014"/>
      <c r="L3594" s="755"/>
      <c r="M3594" s="755"/>
      <c r="N3594" s="535"/>
      <c r="P3594" s="500"/>
    </row>
    <row r="3595" spans="1:16" s="4099" customFormat="1" ht="14.25" customHeight="1" x14ac:dyDescent="0.25">
      <c r="A3595" s="4101"/>
      <c r="B3595" s="1242"/>
      <c r="C3595" s="3947" t="s">
        <v>6083</v>
      </c>
      <c r="D3595" s="4184">
        <v>300000000</v>
      </c>
      <c r="E3595" s="1126">
        <f>D3595/D3472*100</f>
        <v>0.21852081946181381</v>
      </c>
      <c r="F3595" s="963"/>
      <c r="G3595" s="755"/>
      <c r="H3595" s="755"/>
      <c r="I3595" s="755"/>
      <c r="J3595" s="963"/>
      <c r="K3595" s="1014"/>
      <c r="L3595" s="755"/>
      <c r="M3595" s="755"/>
      <c r="N3595" s="535"/>
      <c r="P3595" s="500"/>
    </row>
    <row r="3596" spans="1:16" s="4099" customFormat="1" ht="14.25" customHeight="1" x14ac:dyDescent="0.25">
      <c r="A3596" s="4101"/>
      <c r="B3596" s="1242"/>
      <c r="C3596" s="3947" t="s">
        <v>6084</v>
      </c>
      <c r="D3596" s="4184">
        <v>150000000</v>
      </c>
      <c r="E3596" s="1126">
        <f>D3596/D3472*100</f>
        <v>0.10926040973090691</v>
      </c>
      <c r="F3596" s="963"/>
      <c r="G3596" s="755"/>
      <c r="H3596" s="755"/>
      <c r="I3596" s="755"/>
      <c r="J3596" s="963"/>
      <c r="K3596" s="1014"/>
      <c r="L3596" s="755"/>
      <c r="M3596" s="755"/>
      <c r="N3596" s="535"/>
      <c r="P3596" s="500"/>
    </row>
    <row r="3597" spans="1:16" s="4099" customFormat="1" ht="14.25" customHeight="1" x14ac:dyDescent="0.25">
      <c r="A3597" s="4101"/>
      <c r="B3597" s="3604"/>
      <c r="C3597" s="4025" t="s">
        <v>6085</v>
      </c>
      <c r="D3597" s="1855">
        <v>130000000</v>
      </c>
      <c r="E3597" s="1126">
        <f>D3597/D3472*100</f>
        <v>9.4692355100119308E-2</v>
      </c>
      <c r="F3597" s="1070"/>
      <c r="G3597" s="3630"/>
      <c r="H3597" s="3630"/>
      <c r="I3597" s="3630"/>
      <c r="J3597" s="1929"/>
      <c r="K3597" s="2270"/>
      <c r="L3597" s="1649"/>
      <c r="M3597" s="1649"/>
      <c r="N3597" s="3590"/>
      <c r="P3597" s="500"/>
    </row>
    <row r="3598" spans="1:16" s="4099" customFormat="1" ht="14.25" customHeight="1" x14ac:dyDescent="0.25">
      <c r="A3598" s="4101"/>
      <c r="B3598" s="3604"/>
      <c r="C3598" s="4025" t="s">
        <v>6086</v>
      </c>
      <c r="D3598" s="1855">
        <v>100000000</v>
      </c>
      <c r="E3598" s="1126">
        <f>D3598/D3472*100</f>
        <v>7.2840273153937943E-2</v>
      </c>
      <c r="F3598" s="1070"/>
      <c r="G3598" s="3630"/>
      <c r="H3598" s="3630"/>
      <c r="I3598" s="3630"/>
      <c r="J3598" s="1929"/>
      <c r="K3598" s="2270"/>
      <c r="L3598" s="1649"/>
      <c r="M3598" s="1649"/>
      <c r="N3598" s="3590"/>
      <c r="P3598" s="500"/>
    </row>
    <row r="3599" spans="1:16" s="4099" customFormat="1" ht="10.5" customHeight="1" x14ac:dyDescent="0.25">
      <c r="A3599" s="4101"/>
      <c r="B3599" s="4119"/>
      <c r="C3599" s="3943"/>
      <c r="D3599" s="889"/>
      <c r="E3599" s="1475"/>
      <c r="F3599" s="1023"/>
      <c r="G3599" s="3630"/>
      <c r="H3599" s="3630"/>
      <c r="I3599" s="3630"/>
      <c r="J3599" s="1908"/>
      <c r="K3599" s="2241"/>
      <c r="L3599" s="2264"/>
      <c r="M3599" s="2264"/>
      <c r="N3599" s="4109"/>
      <c r="P3599" s="500"/>
    </row>
    <row r="3600" spans="1:16" s="4099" customFormat="1" ht="14.25" customHeight="1" x14ac:dyDescent="0.25">
      <c r="A3600" s="4101"/>
      <c r="B3600" s="1242"/>
      <c r="C3600" s="3946" t="s">
        <v>6087</v>
      </c>
      <c r="D3600" s="4235">
        <f>SUM(D3601:D3618)</f>
        <v>2350000000</v>
      </c>
      <c r="E3600" s="1447">
        <f>D3600/D3472*100</f>
        <v>1.7117464191175416</v>
      </c>
      <c r="F3600" s="965"/>
      <c r="G3600" s="753"/>
      <c r="H3600" s="753"/>
      <c r="I3600" s="753"/>
      <c r="J3600" s="965"/>
      <c r="K3600" s="1772"/>
      <c r="L3600" s="753"/>
      <c r="M3600" s="753"/>
      <c r="N3600" s="535"/>
      <c r="P3600" s="500"/>
    </row>
    <row r="3601" spans="1:16" s="4099" customFormat="1" ht="14.25" customHeight="1" x14ac:dyDescent="0.25">
      <c r="A3601" s="4101"/>
      <c r="B3601" s="1242"/>
      <c r="C3601" s="3947" t="s">
        <v>6088</v>
      </c>
      <c r="D3601" s="666">
        <v>50000000</v>
      </c>
      <c r="E3601" s="1126">
        <f>D3601/D3472*100</f>
        <v>3.6420136576968971E-2</v>
      </c>
      <c r="F3601" s="1238"/>
      <c r="G3601" s="755"/>
      <c r="H3601" s="755"/>
      <c r="I3601" s="755"/>
      <c r="J3601" s="1238"/>
      <c r="K3601" s="1014"/>
      <c r="L3601" s="755"/>
      <c r="M3601" s="755"/>
      <c r="N3601" s="535"/>
      <c r="P3601" s="500"/>
    </row>
    <row r="3602" spans="1:16" s="4099" customFormat="1" ht="14.25" customHeight="1" x14ac:dyDescent="0.25">
      <c r="A3602" s="4101"/>
      <c r="B3602" s="1242"/>
      <c r="C3602" s="3947" t="s">
        <v>6089</v>
      </c>
      <c r="D3602" s="666">
        <v>150000000</v>
      </c>
      <c r="E3602" s="1126">
        <f>D3602/D3472*100</f>
        <v>0.10926040973090691</v>
      </c>
      <c r="F3602" s="1238"/>
      <c r="G3602" s="755"/>
      <c r="H3602" s="755"/>
      <c r="I3602" s="755"/>
      <c r="J3602" s="1238"/>
      <c r="K3602" s="1014"/>
      <c r="L3602" s="755"/>
      <c r="M3602" s="755"/>
      <c r="N3602" s="535"/>
      <c r="P3602" s="500"/>
    </row>
    <row r="3603" spans="1:16" s="4099" customFormat="1" ht="14.25" customHeight="1" x14ac:dyDescent="0.25">
      <c r="A3603" s="4101"/>
      <c r="B3603" s="1242"/>
      <c r="C3603" s="3947" t="s">
        <v>6090</v>
      </c>
      <c r="D3603" s="666">
        <v>50000000</v>
      </c>
      <c r="E3603" s="1126">
        <f>D3603/D3472*100</f>
        <v>3.6420136576968971E-2</v>
      </c>
      <c r="F3603" s="1238"/>
      <c r="G3603" s="755"/>
      <c r="H3603" s="755"/>
      <c r="I3603" s="755"/>
      <c r="J3603" s="1238"/>
      <c r="K3603" s="1014"/>
      <c r="L3603" s="755"/>
      <c r="M3603" s="755"/>
      <c r="N3603" s="535"/>
      <c r="P3603" s="500"/>
    </row>
    <row r="3604" spans="1:16" s="4099" customFormat="1" ht="14.25" customHeight="1" x14ac:dyDescent="0.25">
      <c r="A3604" s="4101"/>
      <c r="B3604" s="1242"/>
      <c r="C3604" s="3947" t="s">
        <v>6091</v>
      </c>
      <c r="D3604" s="666">
        <v>150000000</v>
      </c>
      <c r="E3604" s="1126">
        <f>D3604/D3472*100</f>
        <v>0.10926040973090691</v>
      </c>
      <c r="F3604" s="1238"/>
      <c r="G3604" s="755"/>
      <c r="H3604" s="755"/>
      <c r="I3604" s="755"/>
      <c r="J3604" s="1238"/>
      <c r="K3604" s="1014"/>
      <c r="L3604" s="755"/>
      <c r="M3604" s="755"/>
      <c r="N3604" s="535"/>
      <c r="P3604" s="500"/>
    </row>
    <row r="3605" spans="1:16" s="4099" customFormat="1" ht="14.25" customHeight="1" x14ac:dyDescent="0.25">
      <c r="A3605" s="4101"/>
      <c r="B3605" s="1242"/>
      <c r="C3605" s="3947" t="s">
        <v>6092</v>
      </c>
      <c r="D3605" s="4184">
        <v>150000000</v>
      </c>
      <c r="E3605" s="1126">
        <f>D3605/D3472*100</f>
        <v>0.10926040973090691</v>
      </c>
      <c r="F3605" s="963"/>
      <c r="G3605" s="755"/>
      <c r="H3605" s="755"/>
      <c r="I3605" s="755"/>
      <c r="J3605" s="963"/>
      <c r="K3605" s="1014"/>
      <c r="L3605" s="755"/>
      <c r="M3605" s="755"/>
      <c r="N3605" s="535"/>
      <c r="P3605" s="500"/>
    </row>
    <row r="3606" spans="1:16" s="4099" customFormat="1" ht="14.25" customHeight="1" x14ac:dyDescent="0.25">
      <c r="A3606" s="4101"/>
      <c r="B3606" s="1242"/>
      <c r="C3606" s="3947" t="s">
        <v>6093</v>
      </c>
      <c r="D3606" s="4184">
        <v>120000000</v>
      </c>
      <c r="E3606" s="1126">
        <f>D3606/D3472*100</f>
        <v>8.7408327784725529E-2</v>
      </c>
      <c r="F3606" s="963"/>
      <c r="G3606" s="755"/>
      <c r="H3606" s="755"/>
      <c r="I3606" s="755"/>
      <c r="J3606" s="963"/>
      <c r="K3606" s="1014"/>
      <c r="L3606" s="755"/>
      <c r="M3606" s="755"/>
      <c r="N3606" s="535"/>
      <c r="P3606" s="500"/>
    </row>
    <row r="3607" spans="1:16" s="4099" customFormat="1" ht="14.25" customHeight="1" x14ac:dyDescent="0.25">
      <c r="A3607" s="4101"/>
      <c r="B3607" s="1242"/>
      <c r="C3607" s="3947" t="s">
        <v>6094</v>
      </c>
      <c r="D3607" s="666">
        <v>80000000</v>
      </c>
      <c r="E3607" s="1126">
        <f>D3607/D3472*100</f>
        <v>5.8272218523150343E-2</v>
      </c>
      <c r="F3607" s="1238"/>
      <c r="G3607" s="755"/>
      <c r="H3607" s="755"/>
      <c r="I3607" s="755"/>
      <c r="J3607" s="1238"/>
      <c r="K3607" s="1014"/>
      <c r="L3607" s="755"/>
      <c r="M3607" s="755"/>
      <c r="N3607" s="535"/>
      <c r="P3607" s="500"/>
    </row>
    <row r="3608" spans="1:16" s="4099" customFormat="1" ht="14.25" customHeight="1" x14ac:dyDescent="0.25">
      <c r="A3608" s="4101"/>
      <c r="B3608" s="1242"/>
      <c r="C3608" s="3947" t="s">
        <v>6095</v>
      </c>
      <c r="D3608" s="4184">
        <v>100000000</v>
      </c>
      <c r="E3608" s="1126">
        <f>D3608/D3472*100</f>
        <v>7.2840273153937943E-2</v>
      </c>
      <c r="F3608" s="963"/>
      <c r="G3608" s="755"/>
      <c r="H3608" s="755"/>
      <c r="I3608" s="755"/>
      <c r="J3608" s="963"/>
      <c r="K3608" s="1014"/>
      <c r="L3608" s="755"/>
      <c r="M3608" s="755"/>
      <c r="N3608" s="535"/>
      <c r="P3608" s="500"/>
    </row>
    <row r="3609" spans="1:16" s="4099" customFormat="1" ht="14.25" customHeight="1" x14ac:dyDescent="0.25">
      <c r="A3609" s="4101"/>
      <c r="B3609" s="1242"/>
      <c r="C3609" s="4033" t="s">
        <v>6096</v>
      </c>
      <c r="D3609" s="671">
        <v>80000000</v>
      </c>
      <c r="E3609" s="1126">
        <f>D3609/D3472*100</f>
        <v>5.8272218523150343E-2</v>
      </c>
      <c r="F3609" s="1038"/>
      <c r="G3609" s="1040"/>
      <c r="H3609" s="755"/>
      <c r="I3609" s="802"/>
      <c r="J3609" s="1928"/>
      <c r="K3609" s="2420"/>
      <c r="L3609" s="1716"/>
      <c r="M3609" s="1648"/>
      <c r="N3609" s="535"/>
      <c r="P3609" s="500"/>
    </row>
    <row r="3610" spans="1:16" s="4099" customFormat="1" ht="14.25" customHeight="1" x14ac:dyDescent="0.25">
      <c r="A3610" s="4101"/>
      <c r="B3610" s="4119"/>
      <c r="C3610" s="3940" t="s">
        <v>6097</v>
      </c>
      <c r="D3610" s="666">
        <v>80000000</v>
      </c>
      <c r="E3610" s="1126">
        <f>D3610/D3472*100</f>
        <v>5.8272218523150343E-2</v>
      </c>
      <c r="F3610" s="4113"/>
      <c r="G3610" s="1024"/>
      <c r="H3610" s="3630"/>
      <c r="I3610" s="3620"/>
      <c r="J3610" s="1928"/>
      <c r="K3610" s="2420"/>
      <c r="L3610" s="3648"/>
      <c r="M3610" s="1648"/>
      <c r="N3610" s="4109"/>
      <c r="P3610" s="500"/>
    </row>
    <row r="3611" spans="1:16" s="4099" customFormat="1" ht="16.5" customHeight="1" x14ac:dyDescent="0.25">
      <c r="A3611" s="4101"/>
      <c r="B3611" s="4119"/>
      <c r="C3611" s="3940" t="s">
        <v>6098</v>
      </c>
      <c r="D3611" s="666">
        <v>100000000</v>
      </c>
      <c r="E3611" s="1126">
        <f>D3611/D3472*100</f>
        <v>7.2840273153937943E-2</v>
      </c>
      <c r="F3611" s="4113"/>
      <c r="G3611" s="1024"/>
      <c r="H3611" s="3630"/>
      <c r="I3611" s="3620"/>
      <c r="J3611" s="1928"/>
      <c r="K3611" s="2420"/>
      <c r="L3611" s="3648"/>
      <c r="M3611" s="1648"/>
      <c r="N3611" s="4109"/>
      <c r="P3611" s="500"/>
    </row>
    <row r="3612" spans="1:16" s="4099" customFormat="1" ht="14.25" customHeight="1" x14ac:dyDescent="0.25">
      <c r="A3612" s="4101"/>
      <c r="B3612" s="4119"/>
      <c r="C3612" s="3940" t="s">
        <v>6100</v>
      </c>
      <c r="D3612" s="666">
        <v>160000000</v>
      </c>
      <c r="E3612" s="1126">
        <f>D3612/D3472*100</f>
        <v>0.11654443704630069</v>
      </c>
      <c r="F3612" s="4113"/>
      <c r="G3612" s="1024"/>
      <c r="H3612" s="3630"/>
      <c r="I3612" s="3620"/>
      <c r="J3612" s="1928"/>
      <c r="K3612" s="2420"/>
      <c r="L3612" s="3648"/>
      <c r="M3612" s="1648"/>
      <c r="N3612" s="4109"/>
      <c r="P3612" s="500"/>
    </row>
    <row r="3613" spans="1:16" s="4099" customFormat="1" ht="14.25" customHeight="1" x14ac:dyDescent="0.25">
      <c r="A3613" s="4101"/>
      <c r="B3613" s="4119"/>
      <c r="C3613" s="3940" t="s">
        <v>6101</v>
      </c>
      <c r="D3613" s="666">
        <v>100000000</v>
      </c>
      <c r="E3613" s="1126">
        <f>D3613/D3472*100</f>
        <v>7.2840273153937943E-2</v>
      </c>
      <c r="F3613" s="4113"/>
      <c r="G3613" s="1024"/>
      <c r="H3613" s="3630"/>
      <c r="I3613" s="3620"/>
      <c r="J3613" s="1928"/>
      <c r="K3613" s="2420"/>
      <c r="L3613" s="3648"/>
      <c r="M3613" s="1648"/>
      <c r="N3613" s="4109"/>
      <c r="P3613" s="500"/>
    </row>
    <row r="3614" spans="1:16" s="4099" customFormat="1" ht="14.25" customHeight="1" x14ac:dyDescent="0.25">
      <c r="A3614" s="4101"/>
      <c r="B3614" s="4119"/>
      <c r="C3614" s="3940" t="s">
        <v>6099</v>
      </c>
      <c r="D3614" s="666">
        <v>250000000</v>
      </c>
      <c r="E3614" s="1126">
        <f>D3614/D3472*100</f>
        <v>0.18210068288484485</v>
      </c>
      <c r="F3614" s="4113"/>
      <c r="G3614" s="1024"/>
      <c r="H3614" s="3630"/>
      <c r="I3614" s="3620"/>
      <c r="J3614" s="1928"/>
      <c r="K3614" s="2420"/>
      <c r="L3614" s="3648"/>
      <c r="M3614" s="1648"/>
      <c r="N3614" s="4109"/>
      <c r="P3614" s="500"/>
    </row>
    <row r="3615" spans="1:16" s="4099" customFormat="1" ht="14.25" customHeight="1" x14ac:dyDescent="0.25">
      <c r="A3615" s="4101"/>
      <c r="B3615" s="4119"/>
      <c r="C3615" s="3940" t="s">
        <v>6102</v>
      </c>
      <c r="D3615" s="666">
        <v>150000000</v>
      </c>
      <c r="E3615" s="1126">
        <f>D3615/D3472*100</f>
        <v>0.10926040973090691</v>
      </c>
      <c r="F3615" s="4113"/>
      <c r="G3615" s="1024"/>
      <c r="H3615" s="3630"/>
      <c r="I3615" s="3620"/>
      <c r="J3615" s="1928"/>
      <c r="K3615" s="2420"/>
      <c r="L3615" s="3648"/>
      <c r="M3615" s="1648"/>
      <c r="N3615" s="4109"/>
      <c r="P3615" s="500"/>
    </row>
    <row r="3616" spans="1:16" s="4099" customFormat="1" ht="14.25" customHeight="1" x14ac:dyDescent="0.25">
      <c r="A3616" s="4101"/>
      <c r="B3616" s="4119"/>
      <c r="C3616" s="3940" t="s">
        <v>6103</v>
      </c>
      <c r="D3616" s="666">
        <v>80000000</v>
      </c>
      <c r="E3616" s="1126">
        <f>D3616/D3472*100</f>
        <v>5.8272218523150343E-2</v>
      </c>
      <c r="F3616" s="4113"/>
      <c r="G3616" s="1024"/>
      <c r="H3616" s="3630"/>
      <c r="I3616" s="3620"/>
      <c r="J3616" s="1928"/>
      <c r="K3616" s="2420"/>
      <c r="L3616" s="3648"/>
      <c r="M3616" s="1648"/>
      <c r="N3616" s="4109"/>
      <c r="P3616" s="500"/>
    </row>
    <row r="3617" spans="1:16" s="4099" customFormat="1" ht="14.25" customHeight="1" x14ac:dyDescent="0.25">
      <c r="A3617" s="4101"/>
      <c r="B3617" s="4119"/>
      <c r="C3617" s="3940" t="s">
        <v>6104</v>
      </c>
      <c r="D3617" s="666">
        <v>250000000</v>
      </c>
      <c r="E3617" s="1126">
        <f>D3617/D3472*100</f>
        <v>0.18210068288484485</v>
      </c>
      <c r="F3617" s="4113"/>
      <c r="G3617" s="1024"/>
      <c r="H3617" s="3630"/>
      <c r="I3617" s="3620"/>
      <c r="J3617" s="1928"/>
      <c r="K3617" s="2420"/>
      <c r="L3617" s="3648"/>
      <c r="M3617" s="1648"/>
      <c r="N3617" s="4109"/>
      <c r="P3617" s="500"/>
    </row>
    <row r="3618" spans="1:16" s="4099" customFormat="1" ht="14.25" customHeight="1" x14ac:dyDescent="0.25">
      <c r="A3618" s="4101"/>
      <c r="B3618" s="4119"/>
      <c r="C3618" s="3940" t="s">
        <v>6105</v>
      </c>
      <c r="D3618" s="666">
        <v>250000000</v>
      </c>
      <c r="E3618" s="1126">
        <f>D3618/D3472*100</f>
        <v>0.18210068288484485</v>
      </c>
      <c r="F3618" s="4113"/>
      <c r="G3618" s="1024"/>
      <c r="H3618" s="3630"/>
      <c r="I3618" s="3620"/>
      <c r="J3618" s="1928"/>
      <c r="K3618" s="2420"/>
      <c r="L3618" s="3648"/>
      <c r="M3618" s="1648"/>
      <c r="N3618" s="4109"/>
      <c r="P3618" s="500"/>
    </row>
    <row r="3619" spans="1:16" s="4099" customFormat="1" ht="9.75" customHeight="1" x14ac:dyDescent="0.25">
      <c r="A3619" s="4101"/>
      <c r="B3619" s="4119"/>
      <c r="C3619" s="3940"/>
      <c r="D3619" s="666"/>
      <c r="E3619" s="1126"/>
      <c r="F3619" s="4113"/>
      <c r="G3619" s="1024"/>
      <c r="H3619" s="3630"/>
      <c r="I3619" s="3620"/>
      <c r="J3619" s="1928"/>
      <c r="K3619" s="2420"/>
      <c r="L3619" s="3648"/>
      <c r="M3619" s="1648"/>
      <c r="N3619" s="4109"/>
      <c r="P3619" s="500"/>
    </row>
    <row r="3620" spans="1:16" s="4099" customFormat="1" ht="30" customHeight="1" x14ac:dyDescent="0.25">
      <c r="A3620" s="4101"/>
      <c r="B3620" s="1242"/>
      <c r="C3620" s="4014" t="s">
        <v>571</v>
      </c>
      <c r="D3620" s="722">
        <f>SUM(D3621:D3626)</f>
        <v>3566550000</v>
      </c>
      <c r="E3620" s="1469">
        <f>D3620/D3472*100</f>
        <v>2.5978847621717738</v>
      </c>
      <c r="F3620" s="722"/>
      <c r="G3620" s="4393"/>
      <c r="H3620" s="753"/>
      <c r="I3620" s="803"/>
      <c r="J3620" s="673"/>
      <c r="K3620" s="673"/>
      <c r="L3620" s="753"/>
      <c r="M3620" s="1706"/>
      <c r="N3620" s="535"/>
      <c r="P3620" s="500"/>
    </row>
    <row r="3621" spans="1:16" s="4099" customFormat="1" ht="17.25" customHeight="1" x14ac:dyDescent="0.25">
      <c r="A3621" s="4101"/>
      <c r="B3621" s="1242"/>
      <c r="C3621" s="3947" t="s">
        <v>6106</v>
      </c>
      <c r="D3621" s="4184">
        <v>500000000</v>
      </c>
      <c r="E3621" s="1126">
        <f>D3621/D3472*100</f>
        <v>0.3642013657696897</v>
      </c>
      <c r="F3621" s="963"/>
      <c r="G3621" s="755"/>
      <c r="H3621" s="755"/>
      <c r="I3621" s="755"/>
      <c r="J3621" s="963"/>
      <c r="K3621" s="1014"/>
      <c r="L3621" s="755"/>
      <c r="M3621" s="755"/>
      <c r="N3621" s="535"/>
      <c r="P3621" s="500"/>
    </row>
    <row r="3622" spans="1:16" s="4099" customFormat="1" ht="14.25" customHeight="1" x14ac:dyDescent="0.25">
      <c r="A3622" s="4101"/>
      <c r="B3622" s="1242"/>
      <c r="C3622" s="3947" t="s">
        <v>6107</v>
      </c>
      <c r="D3622" s="4184">
        <v>167950000</v>
      </c>
      <c r="E3622" s="1126">
        <f>D3622/D3472*100</f>
        <v>0.12233523876203876</v>
      </c>
      <c r="F3622" s="963"/>
      <c r="G3622" s="755"/>
      <c r="H3622" s="755"/>
      <c r="I3622" s="755"/>
      <c r="J3622" s="963"/>
      <c r="K3622" s="2420"/>
      <c r="L3622" s="1074"/>
      <c r="M3622" s="1648"/>
      <c r="N3622" s="535"/>
      <c r="P3622" s="500"/>
    </row>
    <row r="3623" spans="1:16" s="4099" customFormat="1" ht="14.25" customHeight="1" x14ac:dyDescent="0.25">
      <c r="A3623" s="4101"/>
      <c r="B3623" s="1242"/>
      <c r="C3623" s="3947" t="s">
        <v>6108</v>
      </c>
      <c r="D3623" s="4184">
        <v>167950000</v>
      </c>
      <c r="E3623" s="1126">
        <f>D3623/D3472*100</f>
        <v>0.12233523876203876</v>
      </c>
      <c r="F3623" s="963"/>
      <c r="G3623" s="755"/>
      <c r="H3623" s="755"/>
      <c r="I3623" s="755"/>
      <c r="J3623" s="963"/>
      <c r="K3623" s="1014"/>
      <c r="L3623" s="755"/>
      <c r="M3623" s="755"/>
      <c r="N3623" s="535"/>
      <c r="P3623" s="500"/>
    </row>
    <row r="3624" spans="1:16" s="4099" customFormat="1" ht="14.25" customHeight="1" x14ac:dyDescent="0.25">
      <c r="A3624" s="4101"/>
      <c r="B3624" s="1242"/>
      <c r="C3624" s="3947" t="s">
        <v>6109</v>
      </c>
      <c r="D3624" s="4184">
        <v>337950000</v>
      </c>
      <c r="E3624" s="1126">
        <f>D3624/D3472*100</f>
        <v>0.24616370312373326</v>
      </c>
      <c r="F3624" s="963"/>
      <c r="G3624" s="755"/>
      <c r="H3624" s="755"/>
      <c r="I3624" s="755"/>
      <c r="J3624" s="963"/>
      <c r="K3624" s="1014"/>
      <c r="L3624" s="755"/>
      <c r="M3624" s="755"/>
      <c r="N3624" s="535"/>
      <c r="P3624" s="500"/>
    </row>
    <row r="3625" spans="1:16" s="4099" customFormat="1" ht="14.25" customHeight="1" x14ac:dyDescent="0.25">
      <c r="A3625" s="4101"/>
      <c r="B3625" s="1242"/>
      <c r="C3625" s="3947" t="s">
        <v>6110</v>
      </c>
      <c r="D3625" s="4184">
        <v>1272700000</v>
      </c>
      <c r="E3625" s="1126">
        <f>D3625/D3472*100</f>
        <v>0.92703815643016807</v>
      </c>
      <c r="F3625" s="963"/>
      <c r="G3625" s="755"/>
      <c r="H3625" s="755"/>
      <c r="I3625" s="755"/>
      <c r="J3625" s="963"/>
      <c r="K3625" s="1014"/>
      <c r="L3625" s="755"/>
      <c r="M3625" s="755"/>
      <c r="N3625" s="535"/>
      <c r="P3625" s="500"/>
    </row>
    <row r="3626" spans="1:16" s="4099" customFormat="1" ht="14.25" customHeight="1" x14ac:dyDescent="0.25">
      <c r="A3626" s="4101"/>
      <c r="B3626" s="1242"/>
      <c r="C3626" s="3947" t="s">
        <v>6111</v>
      </c>
      <c r="D3626" s="4184">
        <v>1120000000</v>
      </c>
      <c r="E3626" s="1126">
        <f>D3626/D3472*100</f>
        <v>0.81581105932410503</v>
      </c>
      <c r="F3626" s="963"/>
      <c r="G3626" s="1069"/>
      <c r="H3626" s="1074"/>
      <c r="I3626" s="802"/>
      <c r="J3626" s="963"/>
      <c r="K3626" s="2420"/>
      <c r="L3626" s="1074"/>
      <c r="M3626" s="1648"/>
      <c r="N3626" s="535"/>
      <c r="P3626" s="500"/>
    </row>
    <row r="3627" spans="1:16" s="4099" customFormat="1" ht="11.25" customHeight="1" x14ac:dyDescent="0.25">
      <c r="A3627" s="4101"/>
      <c r="B3627" s="1242"/>
      <c r="C3627" s="4033"/>
      <c r="D3627" s="671"/>
      <c r="E3627" s="1126"/>
      <c r="F3627" s="1038"/>
      <c r="G3627" s="1024"/>
      <c r="H3627" s="755"/>
      <c r="I3627" s="802"/>
      <c r="J3627" s="1928"/>
      <c r="K3627" s="2420"/>
      <c r="L3627" s="1716"/>
      <c r="M3627" s="1648"/>
      <c r="N3627" s="535"/>
      <c r="P3627" s="500"/>
    </row>
    <row r="3628" spans="1:16" s="4099" customFormat="1" ht="14.25" customHeight="1" x14ac:dyDescent="0.25">
      <c r="A3628" s="4101"/>
      <c r="B3628" s="4119"/>
      <c r="C3628" s="3946" t="s">
        <v>6112</v>
      </c>
      <c r="D3628" s="4235">
        <f>SUM(D3629:D3630)</f>
        <v>5660600000</v>
      </c>
      <c r="E3628" s="1447">
        <f>D3628/D3472*100</f>
        <v>4.1231965021518109</v>
      </c>
      <c r="F3628" s="3769"/>
      <c r="G3628" s="3629"/>
      <c r="H3628" s="3629"/>
      <c r="I3628" s="3629"/>
      <c r="J3628" s="3769"/>
      <c r="K3628" s="4056"/>
      <c r="L3628" s="3629"/>
      <c r="M3628" s="3629"/>
      <c r="N3628" s="4109"/>
      <c r="P3628" s="500"/>
    </row>
    <row r="3629" spans="1:16" s="4099" customFormat="1" ht="14.25" customHeight="1" x14ac:dyDescent="0.25">
      <c r="A3629" s="4101"/>
      <c r="B3629" s="4119"/>
      <c r="C3629" s="3947" t="s">
        <v>6113</v>
      </c>
      <c r="D3629" s="4184">
        <v>4575250000</v>
      </c>
      <c r="E3629" s="1126">
        <f>D3629/D3472*100</f>
        <v>3.3326245974755455</v>
      </c>
      <c r="F3629" s="1044"/>
      <c r="G3629" s="849"/>
      <c r="H3629" s="849"/>
      <c r="I3629" s="849"/>
      <c r="J3629" s="1044"/>
      <c r="K3629" s="4388"/>
      <c r="L3629" s="849"/>
      <c r="M3629" s="849"/>
      <c r="N3629" s="4109"/>
      <c r="P3629" s="500"/>
    </row>
    <row r="3630" spans="1:16" s="4099" customFormat="1" ht="14.25" customHeight="1" x14ac:dyDescent="0.25">
      <c r="A3630" s="4101"/>
      <c r="B3630" s="4119"/>
      <c r="C3630" s="3947" t="s">
        <v>6114</v>
      </c>
      <c r="D3630" s="4184">
        <v>1085350000</v>
      </c>
      <c r="E3630" s="1126">
        <f>D3630/D3472*100</f>
        <v>0.79057190467626548</v>
      </c>
      <c r="F3630" s="1044"/>
      <c r="G3630" s="849"/>
      <c r="H3630" s="849"/>
      <c r="I3630" s="1122"/>
      <c r="J3630" s="1044"/>
      <c r="K3630" s="4388"/>
      <c r="L3630" s="849"/>
      <c r="M3630" s="1122"/>
      <c r="N3630" s="4109"/>
      <c r="P3630" s="500"/>
    </row>
    <row r="3631" spans="1:16" s="4099" customFormat="1" ht="10.5" customHeight="1" x14ac:dyDescent="0.25">
      <c r="A3631" s="4101"/>
      <c r="B3631" s="4119"/>
      <c r="C3631" s="3947"/>
      <c r="D3631" s="4184"/>
      <c r="E3631" s="1126"/>
      <c r="F3631" s="1044"/>
      <c r="G3631" s="4394"/>
      <c r="H3631" s="849"/>
      <c r="I3631" s="1122"/>
      <c r="J3631" s="1044"/>
      <c r="K3631" s="2443"/>
      <c r="L3631" s="2508"/>
      <c r="M3631" s="2555"/>
      <c r="N3631" s="4109"/>
      <c r="P3631" s="500"/>
    </row>
    <row r="3632" spans="1:16" s="4099" customFormat="1" ht="14.25" customHeight="1" x14ac:dyDescent="0.25">
      <c r="A3632" s="4101"/>
      <c r="B3632" s="4119"/>
      <c r="C3632" s="3946" t="s">
        <v>6115</v>
      </c>
      <c r="D3632" s="4235">
        <f>SUM(D3633:D3634)</f>
        <v>405000000</v>
      </c>
      <c r="E3632" s="1447">
        <f>D3632/D3472*100</f>
        <v>0.29500310627344867</v>
      </c>
      <c r="F3632" s="3769"/>
      <c r="G3632" s="3769"/>
      <c r="H3632" s="2442"/>
      <c r="I3632" s="3621"/>
      <c r="J3632" s="3769"/>
      <c r="K3632" s="3769"/>
      <c r="L3632" s="3629"/>
      <c r="M3632" s="1706"/>
      <c r="N3632" s="4109"/>
      <c r="P3632" s="500"/>
    </row>
    <row r="3633" spans="1:16" s="4099" customFormat="1" ht="14.25" customHeight="1" x14ac:dyDescent="0.25">
      <c r="A3633" s="4101"/>
      <c r="B3633" s="1242"/>
      <c r="C3633" s="3947" t="s">
        <v>6116</v>
      </c>
      <c r="D3633" s="4184">
        <v>180000000</v>
      </c>
      <c r="E3633" s="1126">
        <f>D3633/D3472*100</f>
        <v>0.13111249167708827</v>
      </c>
      <c r="F3633" s="963"/>
      <c r="G3633" s="1069"/>
      <c r="H3633" s="1074"/>
      <c r="I3633" s="802"/>
      <c r="J3633" s="963"/>
      <c r="K3633" s="2270"/>
      <c r="L3633" s="1074"/>
      <c r="M3633" s="1648"/>
      <c r="N3633" s="535"/>
      <c r="P3633" s="500"/>
    </row>
    <row r="3634" spans="1:16" s="4099" customFormat="1" ht="14.25" customHeight="1" x14ac:dyDescent="0.25">
      <c r="A3634" s="4101"/>
      <c r="B3634" s="1242"/>
      <c r="C3634" s="3947" t="s">
        <v>6117</v>
      </c>
      <c r="D3634" s="4184">
        <v>225000000</v>
      </c>
      <c r="E3634" s="1126">
        <f>D3634/D3472*100</f>
        <v>0.16389061459636037</v>
      </c>
      <c r="F3634" s="963"/>
      <c r="G3634" s="1069"/>
      <c r="H3634" s="1074"/>
      <c r="I3634" s="802"/>
      <c r="J3634" s="963"/>
      <c r="K3634" s="1753"/>
      <c r="L3634" s="1074"/>
      <c r="M3634" s="1648"/>
      <c r="N3634" s="535"/>
      <c r="P3634" s="500"/>
    </row>
    <row r="3635" spans="1:16" s="4099" customFormat="1" ht="9" customHeight="1" x14ac:dyDescent="0.25">
      <c r="A3635" s="4101"/>
      <c r="B3635" s="1242"/>
      <c r="C3635" s="3852"/>
      <c r="D3635" s="1858"/>
      <c r="E3635" s="1126"/>
      <c r="F3635" s="651"/>
      <c r="G3635" s="533"/>
      <c r="H3635" s="804"/>
      <c r="I3635" s="804"/>
      <c r="J3635" s="2447"/>
      <c r="K3635" s="1962"/>
      <c r="L3635" s="1649"/>
      <c r="M3635" s="1649"/>
      <c r="N3635" s="535"/>
      <c r="P3635" s="500"/>
    </row>
    <row r="3636" spans="1:16" s="4099" customFormat="1" ht="14.25" customHeight="1" x14ac:dyDescent="0.25">
      <c r="A3636" s="4101"/>
      <c r="B3636" s="4119"/>
      <c r="C3636" s="4103" t="s">
        <v>7301</v>
      </c>
      <c r="D3636" s="673">
        <f>SUM(D3637:D3638)</f>
        <v>350000000</v>
      </c>
      <c r="E3636" s="1447">
        <f>D3636/D3472*100</f>
        <v>0.25494095603878281</v>
      </c>
      <c r="F3636" s="4353"/>
      <c r="G3636" s="4353"/>
      <c r="H3636" s="4392"/>
      <c r="I3636" s="4392"/>
      <c r="J3636" s="4395"/>
      <c r="K3636" s="4395"/>
      <c r="L3636" s="2545"/>
      <c r="M3636" s="2545"/>
      <c r="N3636" s="3592"/>
      <c r="P3636" s="500"/>
    </row>
    <row r="3637" spans="1:16" s="4099" customFormat="1" ht="14.25" customHeight="1" x14ac:dyDescent="0.25">
      <c r="A3637" s="4101"/>
      <c r="B3637" s="2910"/>
      <c r="C3637" s="3856" t="s">
        <v>7303</v>
      </c>
      <c r="D3637" s="1846">
        <v>150000000</v>
      </c>
      <c r="E3637" s="1126">
        <f>D3637/D3472*100</f>
        <v>0.10926040973090691</v>
      </c>
      <c r="F3637" s="3681"/>
      <c r="G3637" s="3681"/>
      <c r="H3637" s="3630"/>
      <c r="I3637" s="3630"/>
      <c r="J3637" s="1753"/>
      <c r="K3637" s="1753"/>
      <c r="L3637" s="3648"/>
      <c r="M3637" s="3648"/>
      <c r="N3637" s="3590"/>
      <c r="P3637" s="500"/>
    </row>
    <row r="3638" spans="1:16" s="4099" customFormat="1" ht="14.25" customHeight="1" x14ac:dyDescent="0.25">
      <c r="A3638" s="4101"/>
      <c r="B3638" s="2910"/>
      <c r="C3638" s="3856" t="s">
        <v>7302</v>
      </c>
      <c r="D3638" s="1846">
        <v>200000000</v>
      </c>
      <c r="E3638" s="1126">
        <f>D3638/D3472*100</f>
        <v>0.14568054630787589</v>
      </c>
      <c r="F3638" s="3681"/>
      <c r="G3638" s="3681"/>
      <c r="H3638" s="3630"/>
      <c r="I3638" s="3630"/>
      <c r="J3638" s="1753"/>
      <c r="K3638" s="1753"/>
      <c r="L3638" s="3648"/>
      <c r="M3638" s="3648"/>
      <c r="N3638" s="3590"/>
      <c r="P3638" s="500"/>
    </row>
    <row r="3639" spans="1:16" s="4099" customFormat="1" ht="14.25" customHeight="1" x14ac:dyDescent="0.25">
      <c r="A3639" s="4101"/>
      <c r="B3639" s="4119"/>
      <c r="C3639" s="3852"/>
      <c r="D3639" s="4084"/>
      <c r="E3639" s="1450"/>
      <c r="F3639" s="4108"/>
      <c r="G3639" s="4108"/>
      <c r="H3639" s="804"/>
      <c r="I3639" s="804"/>
      <c r="J3639" s="2447"/>
      <c r="K3639" s="1961"/>
      <c r="L3639" s="1649"/>
      <c r="M3639" s="1649"/>
      <c r="N3639" s="4109"/>
      <c r="P3639" s="500"/>
    </row>
    <row r="3640" spans="1:16" s="4099" customFormat="1" ht="14.25" customHeight="1" x14ac:dyDescent="0.25">
      <c r="A3640" s="4101"/>
      <c r="B3640" s="1305"/>
      <c r="C3640" s="3994" t="s">
        <v>243</v>
      </c>
      <c r="D3640" s="1853">
        <f>SUM(D3641+D3648+D3651+D3654)</f>
        <v>39337700000</v>
      </c>
      <c r="E3640" s="1445">
        <f>D3640/D3472*100</f>
        <v>28.653688132476645</v>
      </c>
      <c r="F3640" s="388"/>
      <c r="G3640" s="388"/>
      <c r="H3640" s="807"/>
      <c r="I3640" s="1645"/>
      <c r="J3640" s="1853"/>
      <c r="K3640" s="1853"/>
      <c r="L3640" s="807"/>
      <c r="M3640" s="1307"/>
      <c r="N3640" s="535"/>
      <c r="P3640" s="500"/>
    </row>
    <row r="3641" spans="1:16" s="4099" customFormat="1" ht="14.25" customHeight="1" x14ac:dyDescent="0.25">
      <c r="A3641" s="4101"/>
      <c r="B3641" s="4119"/>
      <c r="C3641" s="4102" t="s">
        <v>582</v>
      </c>
      <c r="D3641" s="4241">
        <f>SUM(D3642:D3646)</f>
        <v>29991560000</v>
      </c>
      <c r="E3641" s="1446">
        <f>D3641/D3472*100</f>
        <v>21.845934227127188</v>
      </c>
      <c r="F3641" s="994"/>
      <c r="G3641" s="994"/>
      <c r="H3641" s="2442"/>
      <c r="I3641" s="1309"/>
      <c r="J3641" s="994"/>
      <c r="K3641" s="994"/>
      <c r="L3641" s="2442"/>
      <c r="M3641" s="1659"/>
      <c r="N3641" s="3592"/>
      <c r="P3641" s="500"/>
    </row>
    <row r="3642" spans="1:16" s="4099" customFormat="1" ht="14.25" customHeight="1" x14ac:dyDescent="0.25">
      <c r="A3642" s="4101"/>
      <c r="B3642" s="1242"/>
      <c r="C3642" s="4374" t="s">
        <v>6118</v>
      </c>
      <c r="D3642" s="868">
        <v>500000000</v>
      </c>
      <c r="E3642" s="864">
        <f>D3642/D3472*100</f>
        <v>0.3642013657696897</v>
      </c>
      <c r="F3642" s="3538"/>
      <c r="G3642" s="4375"/>
      <c r="H3642" s="4375"/>
      <c r="I3642" s="804"/>
      <c r="J3642" s="4396"/>
      <c r="K3642" s="2270"/>
      <c r="L3642" s="4375"/>
      <c r="M3642" s="1649"/>
      <c r="N3642" s="535"/>
      <c r="P3642" s="500"/>
    </row>
    <row r="3643" spans="1:16" s="4099" customFormat="1" ht="14.25" customHeight="1" x14ac:dyDescent="0.25">
      <c r="A3643" s="4101"/>
      <c r="B3643" s="4119"/>
      <c r="C3643" s="3947" t="s">
        <v>6119</v>
      </c>
      <c r="D3643" s="666">
        <v>2035250000</v>
      </c>
      <c r="E3643" s="864">
        <f>D3643/D3472*100</f>
        <v>1.4824816593655219</v>
      </c>
      <c r="F3643" s="971"/>
      <c r="G3643" s="1074"/>
      <c r="H3643" s="1074"/>
      <c r="I3643" s="3630"/>
      <c r="J3643" s="1238"/>
      <c r="K3643" s="1753"/>
      <c r="L3643" s="1074"/>
      <c r="M3643" s="3648"/>
      <c r="N3643" s="4109"/>
      <c r="P3643" s="500"/>
    </row>
    <row r="3644" spans="1:16" s="4099" customFormat="1" ht="14.25" customHeight="1" x14ac:dyDescent="0.25">
      <c r="A3644" s="4101"/>
      <c r="B3644" s="4119"/>
      <c r="C3644" s="3947" t="s">
        <v>6120</v>
      </c>
      <c r="D3644" s="666">
        <v>4463190000</v>
      </c>
      <c r="E3644" s="864">
        <f>D3644/D3472*100</f>
        <v>3.2509997873792424</v>
      </c>
      <c r="F3644" s="971"/>
      <c r="G3644" s="1074"/>
      <c r="H3644" s="1074"/>
      <c r="I3644" s="3630"/>
      <c r="J3644" s="1238"/>
      <c r="K3644" s="1753"/>
      <c r="L3644" s="1074"/>
      <c r="M3644" s="3648"/>
      <c r="N3644" s="4109"/>
      <c r="P3644" s="500"/>
    </row>
    <row r="3645" spans="1:16" s="4099" customFormat="1" ht="14.25" customHeight="1" x14ac:dyDescent="0.25">
      <c r="A3645" s="4101"/>
      <c r="B3645" s="4119"/>
      <c r="C3645" s="3947" t="s">
        <v>6121</v>
      </c>
      <c r="D3645" s="666">
        <v>10621430000</v>
      </c>
      <c r="E3645" s="864">
        <f>D3645/D3472*100</f>
        <v>7.7366786248543109</v>
      </c>
      <c r="F3645" s="971"/>
      <c r="G3645" s="1074"/>
      <c r="H3645" s="1074"/>
      <c r="I3645" s="3630"/>
      <c r="J3645" s="1238"/>
      <c r="K3645" s="1753"/>
      <c r="L3645" s="1074"/>
      <c r="M3645" s="3648"/>
      <c r="N3645" s="4109"/>
      <c r="P3645" s="500"/>
    </row>
    <row r="3646" spans="1:16" s="4099" customFormat="1" ht="14.25" customHeight="1" x14ac:dyDescent="0.25">
      <c r="A3646" s="4101"/>
      <c r="B3646" s="4119"/>
      <c r="C3646" s="3947" t="s">
        <v>6122</v>
      </c>
      <c r="D3646" s="666">
        <v>12371690000</v>
      </c>
      <c r="E3646" s="864">
        <f>D3646/D3472*100</f>
        <v>9.011572789758425</v>
      </c>
      <c r="F3646" s="971"/>
      <c r="G3646" s="1074"/>
      <c r="H3646" s="1074"/>
      <c r="I3646" s="3630"/>
      <c r="J3646" s="1238"/>
      <c r="K3646" s="1753"/>
      <c r="L3646" s="1074"/>
      <c r="M3646" s="3648"/>
      <c r="N3646" s="4109"/>
      <c r="P3646" s="500"/>
    </row>
    <row r="3647" spans="1:16" s="4099" customFormat="1" ht="11.25" customHeight="1" x14ac:dyDescent="0.25">
      <c r="A3647" s="4101"/>
      <c r="B3647" s="1242"/>
      <c r="C3647" s="4033"/>
      <c r="D3647" s="671"/>
      <c r="E3647" s="1126"/>
      <c r="F3647" s="1038"/>
      <c r="G3647" s="1027"/>
      <c r="H3647" s="782"/>
      <c r="I3647" s="1314"/>
      <c r="J3647" s="1928"/>
      <c r="K3647" s="2420"/>
      <c r="L3647" s="1716"/>
      <c r="M3647" s="1311"/>
      <c r="N3647" s="535"/>
      <c r="P3647" s="500"/>
    </row>
    <row r="3648" spans="1:16" s="4099" customFormat="1" ht="14.25" customHeight="1" x14ac:dyDescent="0.25">
      <c r="A3648" s="4101"/>
      <c r="B3648" s="1242"/>
      <c r="C3648" s="3946" t="s">
        <v>6123</v>
      </c>
      <c r="D3648" s="4235">
        <f>D3649</f>
        <v>500000000</v>
      </c>
      <c r="E3648" s="1447">
        <f>D3648/D3472*100</f>
        <v>0.3642013657696897</v>
      </c>
      <c r="F3648" s="965"/>
      <c r="G3648" s="965"/>
      <c r="H3648" s="2442"/>
      <c r="I3648" s="1316"/>
      <c r="J3648" s="965"/>
      <c r="K3648" s="965"/>
      <c r="L3648" s="2442"/>
      <c r="M3648" s="1650"/>
      <c r="N3648" s="535"/>
      <c r="P3648" s="500"/>
    </row>
    <row r="3649" spans="1:16" s="4099" customFormat="1" ht="14.25" customHeight="1" x14ac:dyDescent="0.25">
      <c r="A3649" s="4101"/>
      <c r="B3649" s="1242"/>
      <c r="C3649" s="3947" t="s">
        <v>6124</v>
      </c>
      <c r="D3649" s="4184">
        <v>500000000</v>
      </c>
      <c r="E3649" s="1126">
        <f>D3649/D3472*100</f>
        <v>0.3642013657696897</v>
      </c>
      <c r="F3649" s="963"/>
      <c r="G3649" s="755"/>
      <c r="H3649" s="755"/>
      <c r="I3649" s="755"/>
      <c r="J3649" s="963"/>
      <c r="K3649" s="1014"/>
      <c r="L3649" s="755"/>
      <c r="M3649" s="755"/>
      <c r="N3649" s="535"/>
      <c r="P3649" s="500"/>
    </row>
    <row r="3650" spans="1:16" s="4099" customFormat="1" ht="9.75" customHeight="1" x14ac:dyDescent="0.25">
      <c r="A3650" s="4101"/>
      <c r="B3650" s="1242"/>
      <c r="C3650" s="4033"/>
      <c r="D3650" s="671"/>
      <c r="E3650" s="1126"/>
      <c r="F3650" s="1038"/>
      <c r="G3650" s="755"/>
      <c r="H3650" s="755"/>
      <c r="I3650" s="804"/>
      <c r="J3650" s="1928"/>
      <c r="K3650" s="1753"/>
      <c r="L3650" s="1716"/>
      <c r="M3650" s="1649"/>
      <c r="N3650" s="535"/>
      <c r="P3650" s="500"/>
    </row>
    <row r="3651" spans="1:16" s="4099" customFormat="1" ht="14.25" customHeight="1" x14ac:dyDescent="0.25">
      <c r="A3651" s="4101"/>
      <c r="B3651" s="4119"/>
      <c r="C3651" s="3946" t="s">
        <v>6125</v>
      </c>
      <c r="D3651" s="1017">
        <v>3227900000</v>
      </c>
      <c r="E3651" s="1447">
        <f>D3651/D3472*100</f>
        <v>2.3512111771359629</v>
      </c>
      <c r="F3651" s="3769"/>
      <c r="G3651" s="3629"/>
      <c r="H3651" s="3629"/>
      <c r="I3651" s="3629"/>
      <c r="J3651" s="3769"/>
      <c r="K3651" s="3769"/>
      <c r="L3651" s="2442"/>
      <c r="M3651" s="1650"/>
      <c r="N3651" s="4109"/>
      <c r="P3651" s="500"/>
    </row>
    <row r="3652" spans="1:16" s="4099" customFormat="1" ht="14.25" customHeight="1" x14ac:dyDescent="0.25">
      <c r="A3652" s="4101"/>
      <c r="B3652" s="1242"/>
      <c r="C3652" s="3947" t="s">
        <v>6126</v>
      </c>
      <c r="D3652" s="4184">
        <v>3227900000</v>
      </c>
      <c r="E3652" s="1126">
        <f>D3652/D3472*100</f>
        <v>2.3512111771359629</v>
      </c>
      <c r="F3652" s="963"/>
      <c r="G3652" s="755"/>
      <c r="H3652" s="755"/>
      <c r="I3652" s="755"/>
      <c r="J3652" s="963"/>
      <c r="K3652" s="2420"/>
      <c r="L3652" s="1074"/>
      <c r="M3652" s="1312"/>
      <c r="N3652" s="535"/>
      <c r="P3652" s="500"/>
    </row>
    <row r="3653" spans="1:16" s="4099" customFormat="1" ht="9" customHeight="1" x14ac:dyDescent="0.25">
      <c r="A3653" s="4101"/>
      <c r="B3653" s="4119"/>
      <c r="C3653" s="3947"/>
      <c r="D3653" s="4184"/>
      <c r="E3653" s="1126"/>
      <c r="F3653" s="3768"/>
      <c r="G3653" s="3630"/>
      <c r="H3653" s="3630"/>
      <c r="I3653" s="3630"/>
      <c r="J3653" s="3768"/>
      <c r="K3653" s="2420"/>
      <c r="L3653" s="1074"/>
      <c r="M3653" s="1312"/>
      <c r="N3653" s="4109"/>
      <c r="P3653" s="500"/>
    </row>
    <row r="3654" spans="1:16" s="4099" customFormat="1" ht="14.25" customHeight="1" x14ac:dyDescent="0.25">
      <c r="A3654" s="4101"/>
      <c r="B3654" s="4119"/>
      <c r="C3654" s="3946" t="s">
        <v>6127</v>
      </c>
      <c r="D3654" s="4235">
        <f>SUM(D3655:D3656)</f>
        <v>5618240000</v>
      </c>
      <c r="E3654" s="1126">
        <f>D3654/D3472*100</f>
        <v>4.0923413624438032</v>
      </c>
      <c r="F3654" s="3769"/>
      <c r="G3654" s="3629"/>
      <c r="H3654" s="3629"/>
      <c r="I3654" s="3629"/>
      <c r="J3654" s="3769"/>
      <c r="K3654" s="4397"/>
      <c r="L3654" s="2442"/>
      <c r="M3654" s="1650"/>
      <c r="N3654" s="3592"/>
      <c r="P3654" s="500"/>
    </row>
    <row r="3655" spans="1:16" s="4099" customFormat="1" ht="14.25" customHeight="1" x14ac:dyDescent="0.25">
      <c r="A3655" s="4101"/>
      <c r="B3655" s="4119"/>
      <c r="C3655" s="3947" t="s">
        <v>6128</v>
      </c>
      <c r="D3655" s="4184">
        <v>701200000</v>
      </c>
      <c r="E3655" s="1447">
        <f>D3655/D3472*100</f>
        <v>0.51075599535541283</v>
      </c>
      <c r="F3655" s="3768"/>
      <c r="G3655" s="3630"/>
      <c r="H3655" s="3630"/>
      <c r="I3655" s="3630"/>
      <c r="J3655" s="3768"/>
      <c r="K3655" s="2420"/>
      <c r="L3655" s="1074"/>
      <c r="M3655" s="1312"/>
      <c r="N3655" s="4109"/>
      <c r="P3655" s="500"/>
    </row>
    <row r="3656" spans="1:16" s="4099" customFormat="1" ht="14.25" customHeight="1" x14ac:dyDescent="0.25">
      <c r="A3656" s="4101"/>
      <c r="B3656" s="4119"/>
      <c r="C3656" s="3947" t="s">
        <v>6129</v>
      </c>
      <c r="D3656" s="4184">
        <v>4917040000</v>
      </c>
      <c r="E3656" s="1126">
        <f>D3656/D3472*100</f>
        <v>3.5815853670883899</v>
      </c>
      <c r="F3656" s="3768"/>
      <c r="G3656" s="3630"/>
      <c r="H3656" s="3630"/>
      <c r="I3656" s="3630"/>
      <c r="J3656" s="3768"/>
      <c r="K3656" s="2420"/>
      <c r="L3656" s="1074"/>
      <c r="M3656" s="1312"/>
      <c r="N3656" s="4109"/>
      <c r="P3656" s="500"/>
    </row>
    <row r="3657" spans="1:16" s="4099" customFormat="1" ht="14.25" customHeight="1" x14ac:dyDescent="0.25">
      <c r="A3657" s="4101"/>
      <c r="B3657" s="1242"/>
      <c r="C3657" s="4001"/>
      <c r="D3657" s="1806"/>
      <c r="E3657" s="1450"/>
      <c r="F3657" s="500"/>
      <c r="G3657" s="864"/>
      <c r="H3657" s="804"/>
      <c r="I3657" s="1651"/>
      <c r="J3657" s="2396"/>
      <c r="K3657" s="781"/>
      <c r="L3657" s="1649"/>
      <c r="M3657" s="2175"/>
      <c r="N3657" s="535"/>
      <c r="P3657" s="500"/>
    </row>
    <row r="3658" spans="1:16" s="4099" customFormat="1" ht="14.25" customHeight="1" x14ac:dyDescent="0.25">
      <c r="A3658" s="4101"/>
      <c r="B3658" s="1305"/>
      <c r="C3658" s="4041" t="s">
        <v>274</v>
      </c>
      <c r="D3658" s="2659">
        <f>SUM(D3659)</f>
        <v>10734500000</v>
      </c>
      <c r="E3658" s="1445">
        <f>D3658/D3472*100</f>
        <v>7.8190391217094675</v>
      </c>
      <c r="F3658" s="765"/>
      <c r="G3658" s="765"/>
      <c r="H3658" s="765"/>
      <c r="I3658" s="765"/>
      <c r="J3658" s="1773"/>
      <c r="K3658" s="1773"/>
      <c r="L3658" s="765"/>
      <c r="M3658" s="765"/>
      <c r="N3658" s="535"/>
      <c r="P3658" s="500"/>
    </row>
    <row r="3659" spans="1:16" s="4099" customFormat="1" ht="14.25" customHeight="1" x14ac:dyDescent="0.25">
      <c r="A3659" s="4101"/>
      <c r="B3659" s="1242"/>
      <c r="C3659" s="4014" t="s">
        <v>275</v>
      </c>
      <c r="D3659" s="4241">
        <f>SUM(D3660:D3663)</f>
        <v>10734500000</v>
      </c>
      <c r="E3659" s="1446">
        <f>D3659/D3472*100</f>
        <v>7.8190391217094675</v>
      </c>
      <c r="F3659" s="994"/>
      <c r="G3659" s="782"/>
      <c r="H3659" s="782"/>
      <c r="I3659" s="782"/>
      <c r="J3659" s="994"/>
      <c r="K3659" s="1891"/>
      <c r="L3659" s="782"/>
      <c r="M3659" s="782"/>
      <c r="N3659" s="535"/>
      <c r="P3659" s="500"/>
    </row>
    <row r="3660" spans="1:16" s="4099" customFormat="1" ht="14.25" customHeight="1" x14ac:dyDescent="0.25">
      <c r="A3660" s="4101"/>
      <c r="B3660" s="2910"/>
      <c r="C3660" s="3947" t="s">
        <v>6130</v>
      </c>
      <c r="D3660" s="4184">
        <v>1904025000</v>
      </c>
      <c r="E3660" s="1126">
        <f>D3660/D3472*100</f>
        <v>1.3868970109192669</v>
      </c>
      <c r="F3660" s="3768"/>
      <c r="G3660" s="3557"/>
      <c r="H3660" s="3557"/>
      <c r="I3660" s="3557"/>
      <c r="J3660" s="3768"/>
      <c r="K3660" s="1891"/>
      <c r="L3660" s="3557"/>
      <c r="M3660" s="3557"/>
      <c r="N3660" s="3590"/>
      <c r="P3660" s="500"/>
    </row>
    <row r="3661" spans="1:16" s="4099" customFormat="1" ht="14.25" customHeight="1" x14ac:dyDescent="0.25">
      <c r="A3661" s="4101"/>
      <c r="B3661" s="2910"/>
      <c r="C3661" s="4111" t="s">
        <v>6131</v>
      </c>
      <c r="D3661" s="1856">
        <v>2350425000</v>
      </c>
      <c r="E3661" s="1126">
        <f>D3661/D3472*100</f>
        <v>1.7120559902784458</v>
      </c>
      <c r="F3661" s="4294"/>
      <c r="G3661" s="864"/>
      <c r="H3661" s="804"/>
      <c r="I3661" s="804"/>
      <c r="J3661" s="3624"/>
      <c r="K3661" s="781"/>
      <c r="L3661" s="1649"/>
      <c r="M3661" s="1323"/>
      <c r="N3661" s="4152"/>
      <c r="P3661" s="500"/>
    </row>
    <row r="3662" spans="1:16" s="4099" customFormat="1" ht="14.25" customHeight="1" x14ac:dyDescent="0.25">
      <c r="A3662" s="4101"/>
      <c r="B3662" s="4154"/>
      <c r="C3662" s="3856" t="s">
        <v>6132</v>
      </c>
      <c r="D3662" s="1846">
        <v>4242025000</v>
      </c>
      <c r="E3662" s="1126">
        <f>D3662/D3472*100</f>
        <v>3.0899025972583356</v>
      </c>
      <c r="F3662" s="3681"/>
      <c r="G3662" s="1126"/>
      <c r="H3662" s="3630"/>
      <c r="I3662" s="3630"/>
      <c r="J3662" s="3564"/>
      <c r="K3662" s="771"/>
      <c r="L3662" s="3648"/>
      <c r="M3662" s="1717"/>
      <c r="N3662" s="4290"/>
      <c r="P3662" s="500"/>
    </row>
    <row r="3663" spans="1:16" s="4099" customFormat="1" ht="14.25" customHeight="1" x14ac:dyDescent="0.25">
      <c r="A3663" s="4101"/>
      <c r="B3663" s="4154"/>
      <c r="C3663" s="3856" t="s">
        <v>6133</v>
      </c>
      <c r="D3663" s="1846">
        <v>2238025000</v>
      </c>
      <c r="E3663" s="1126">
        <f>D3663/D3472*100</f>
        <v>1.6301835232534194</v>
      </c>
      <c r="F3663" s="3681"/>
      <c r="G3663" s="1126"/>
      <c r="H3663" s="3630"/>
      <c r="I3663" s="3630"/>
      <c r="J3663" s="3564"/>
      <c r="K3663" s="771"/>
      <c r="L3663" s="3648"/>
      <c r="M3663" s="1717"/>
      <c r="N3663" s="4290"/>
      <c r="P3663" s="500"/>
    </row>
    <row r="3664" spans="1:16" s="4099" customFormat="1" ht="14.25" customHeight="1" x14ac:dyDescent="0.25">
      <c r="A3664" s="4101"/>
      <c r="B3664" s="4399"/>
      <c r="C3664" s="4048"/>
      <c r="D3664" s="4083"/>
      <c r="E3664" s="1326"/>
      <c r="F3664" s="653"/>
      <c r="G3664" s="1326"/>
      <c r="H3664" s="853"/>
      <c r="I3664" s="853"/>
      <c r="J3664" s="3613"/>
      <c r="K3664" s="2330"/>
      <c r="L3664" s="2445"/>
      <c r="M3664" s="2282"/>
      <c r="N3664" s="4398"/>
      <c r="P3664" s="500"/>
    </row>
    <row r="3665" spans="1:16" s="4099" customFormat="1" ht="14.25" customHeight="1" x14ac:dyDescent="0.25">
      <c r="A3665" s="4101"/>
      <c r="B3665" s="4050"/>
      <c r="C3665" s="3858" t="s">
        <v>7261</v>
      </c>
      <c r="D3665" s="4243">
        <f>D3666+D3672+D3675+D3678</f>
        <v>2300270180</v>
      </c>
      <c r="E3665" s="1445">
        <f>D3665/D3472*100</f>
        <v>1.6755230823905798</v>
      </c>
      <c r="F3665" s="980"/>
      <c r="G3665" s="4404"/>
      <c r="H3665" s="1571"/>
      <c r="I3665" s="669"/>
      <c r="J3665" s="2811"/>
      <c r="K3665" s="2356"/>
      <c r="L3665" s="1726"/>
      <c r="M3665" s="2356"/>
      <c r="N3665" s="4403"/>
      <c r="P3665" s="500"/>
    </row>
    <row r="3666" spans="1:16" s="4099" customFormat="1" ht="14.25" customHeight="1" x14ac:dyDescent="0.25">
      <c r="A3666" s="4101"/>
      <c r="B3666" s="2901"/>
      <c r="C3666" s="3881" t="s">
        <v>7262</v>
      </c>
      <c r="D3666" s="4241">
        <f>SUM(D3667:D3670)</f>
        <v>1657171980</v>
      </c>
      <c r="E3666" s="1447">
        <f>D3666/D3472*100</f>
        <v>1.2070885968625218</v>
      </c>
      <c r="F3666" s="994"/>
      <c r="G3666" s="4405"/>
      <c r="H3666" s="1613"/>
      <c r="I3666" s="889"/>
      <c r="J3666" s="2376"/>
      <c r="K3666" s="2562"/>
      <c r="L3666" s="3554"/>
      <c r="M3666" s="2562"/>
      <c r="N3666" s="4403"/>
      <c r="P3666" s="500"/>
    </row>
    <row r="3667" spans="1:16" s="4099" customFormat="1" ht="14.25" customHeight="1" x14ac:dyDescent="0.25">
      <c r="A3667" s="4101"/>
      <c r="B3667" s="2907"/>
      <c r="C3667" s="4104" t="s">
        <v>7263</v>
      </c>
      <c r="D3667" s="4184">
        <v>400000000</v>
      </c>
      <c r="E3667" s="1126">
        <f>D3667/D3472*100</f>
        <v>0.29136109261575177</v>
      </c>
      <c r="F3667" s="3768"/>
      <c r="G3667" s="4401"/>
      <c r="H3667" s="730"/>
      <c r="I3667" s="894"/>
      <c r="J3667" s="3798"/>
      <c r="K3667" s="1717"/>
      <c r="L3667" s="3648"/>
      <c r="M3667" s="1315"/>
      <c r="N3667" s="3330"/>
      <c r="P3667" s="500"/>
    </row>
    <row r="3668" spans="1:16" s="4099" customFormat="1" ht="14.25" customHeight="1" x14ac:dyDescent="0.25">
      <c r="A3668" s="4101"/>
      <c r="B3668" s="2907"/>
      <c r="C3668" s="4104" t="s">
        <v>7264</v>
      </c>
      <c r="D3668" s="4184">
        <f>500000000-42828020</f>
        <v>457171980</v>
      </c>
      <c r="E3668" s="1126">
        <f>D3668/D3472*100</f>
        <v>0.33300531901526653</v>
      </c>
      <c r="F3668" s="3768"/>
      <c r="G3668" s="4401"/>
      <c r="H3668" s="730"/>
      <c r="I3668" s="894"/>
      <c r="J3668" s="3798"/>
      <c r="K3668" s="1717"/>
      <c r="L3668" s="3648"/>
      <c r="M3668" s="1315"/>
      <c r="N3668" s="3330"/>
      <c r="P3668" s="500"/>
    </row>
    <row r="3669" spans="1:16" s="4099" customFormat="1" ht="14.25" customHeight="1" x14ac:dyDescent="0.25">
      <c r="A3669" s="4101"/>
      <c r="B3669" s="2907"/>
      <c r="C3669" s="4104" t="s">
        <v>7265</v>
      </c>
      <c r="D3669" s="4184">
        <v>400000000</v>
      </c>
      <c r="E3669" s="1126">
        <f>D3669/D3472*100</f>
        <v>0.29136109261575177</v>
      </c>
      <c r="F3669" s="3768"/>
      <c r="G3669" s="4401"/>
      <c r="H3669" s="730"/>
      <c r="I3669" s="894"/>
      <c r="J3669" s="3798"/>
      <c r="K3669" s="1717"/>
      <c r="L3669" s="3648"/>
      <c r="M3669" s="1315"/>
      <c r="N3669" s="3330"/>
      <c r="P3669" s="500"/>
    </row>
    <row r="3670" spans="1:16" s="4099" customFormat="1" ht="14.25" customHeight="1" x14ac:dyDescent="0.25">
      <c r="A3670" s="4101"/>
      <c r="B3670" s="2907"/>
      <c r="C3670" s="4104" t="s">
        <v>7266</v>
      </c>
      <c r="D3670" s="4184">
        <v>400000000</v>
      </c>
      <c r="E3670" s="1126">
        <f>D3670/D3472*100</f>
        <v>0.29136109261575177</v>
      </c>
      <c r="F3670" s="3768"/>
      <c r="G3670" s="4401"/>
      <c r="H3670" s="730"/>
      <c r="I3670" s="894"/>
      <c r="J3670" s="3798"/>
      <c r="K3670" s="1717"/>
      <c r="L3670" s="3648"/>
      <c r="M3670" s="1315"/>
      <c r="N3670" s="3330"/>
      <c r="P3670" s="500"/>
    </row>
    <row r="3671" spans="1:16" s="4099" customFormat="1" ht="8.25" customHeight="1" x14ac:dyDescent="0.25">
      <c r="A3671" s="4101"/>
      <c r="B3671" s="2907"/>
      <c r="C3671" s="4104"/>
      <c r="D3671" s="4184"/>
      <c r="E3671" s="1126"/>
      <c r="F3671" s="3768"/>
      <c r="G3671" s="4401"/>
      <c r="H3671" s="730"/>
      <c r="I3671" s="894"/>
      <c r="J3671" s="3798"/>
      <c r="K3671" s="1717"/>
      <c r="L3671" s="3648"/>
      <c r="M3671" s="1315"/>
      <c r="N3671" s="3330"/>
      <c r="P3671" s="500"/>
    </row>
    <row r="3672" spans="1:16" s="4099" customFormat="1" ht="14.25" customHeight="1" x14ac:dyDescent="0.25">
      <c r="A3672" s="4101"/>
      <c r="B3672" s="2907"/>
      <c r="C3672" s="4116" t="s">
        <v>7267</v>
      </c>
      <c r="D3672" s="4235">
        <f>D3673</f>
        <v>300000000</v>
      </c>
      <c r="E3672" s="1447">
        <f>D3672/D3472*100</f>
        <v>0.21852081946181381</v>
      </c>
      <c r="F3672" s="3769"/>
      <c r="G3672" s="2168"/>
      <c r="H3672" s="1416"/>
      <c r="I3672" s="673"/>
      <c r="J3672" s="2377"/>
      <c r="K3672" s="2261"/>
      <c r="L3672" s="3600"/>
      <c r="M3672" s="2261"/>
      <c r="N3672" s="4403"/>
      <c r="P3672" s="500"/>
    </row>
    <row r="3673" spans="1:16" s="4099" customFormat="1" ht="14.25" customHeight="1" x14ac:dyDescent="0.25">
      <c r="A3673" s="4101"/>
      <c r="B3673" s="2907"/>
      <c r="C3673" s="4104" t="s">
        <v>7268</v>
      </c>
      <c r="D3673" s="4184">
        <v>300000000</v>
      </c>
      <c r="E3673" s="1126">
        <f>D3673/D3472*100</f>
        <v>0.21852081946181381</v>
      </c>
      <c r="F3673" s="3768"/>
      <c r="G3673" s="4401"/>
      <c r="H3673" s="730"/>
      <c r="I3673" s="894"/>
      <c r="J3673" s="3798"/>
      <c r="K3673" s="1717"/>
      <c r="L3673" s="3648"/>
      <c r="M3673" s="1315"/>
      <c r="N3673" s="3330"/>
      <c r="P3673" s="500"/>
    </row>
    <row r="3674" spans="1:16" s="4099" customFormat="1" ht="9.75" customHeight="1" x14ac:dyDescent="0.25">
      <c r="A3674" s="4101"/>
      <c r="B3674" s="2907"/>
      <c r="C3674" s="4104"/>
      <c r="D3674" s="4184"/>
      <c r="E3674" s="1126"/>
      <c r="F3674" s="3768"/>
      <c r="G3674" s="4401"/>
      <c r="H3674" s="730"/>
      <c r="I3674" s="894"/>
      <c r="J3674" s="3798"/>
      <c r="K3674" s="1717"/>
      <c r="L3674" s="3648"/>
      <c r="M3674" s="1315"/>
      <c r="N3674" s="3330"/>
      <c r="P3674" s="500"/>
    </row>
    <row r="3675" spans="1:16" s="4099" customFormat="1" ht="14.25" customHeight="1" x14ac:dyDescent="0.25">
      <c r="A3675" s="4101"/>
      <c r="B3675" s="2907"/>
      <c r="C3675" s="4116" t="s">
        <v>7269</v>
      </c>
      <c r="D3675" s="4235">
        <f>D3676</f>
        <v>143098200</v>
      </c>
      <c r="E3675" s="1447">
        <f>D3675/D3472*100</f>
        <v>0.10423311975836841</v>
      </c>
      <c r="F3675" s="3769"/>
      <c r="G3675" s="2168"/>
      <c r="H3675" s="1416"/>
      <c r="I3675" s="673"/>
      <c r="J3675" s="2377"/>
      <c r="K3675" s="2261"/>
      <c r="L3675" s="3600"/>
      <c r="M3675" s="2261"/>
      <c r="N3675" s="4403"/>
      <c r="P3675" s="500"/>
    </row>
    <row r="3676" spans="1:16" s="4099" customFormat="1" ht="14.25" customHeight="1" x14ac:dyDescent="0.25">
      <c r="A3676" s="4101"/>
      <c r="B3676" s="2907"/>
      <c r="C3676" s="4104" t="s">
        <v>7270</v>
      </c>
      <c r="D3676" s="4184">
        <v>143098200</v>
      </c>
      <c r="E3676" s="1126">
        <f>D3676/D3472*100</f>
        <v>0.10423311975836841</v>
      </c>
      <c r="F3676" s="3768"/>
      <c r="G3676" s="4401"/>
      <c r="H3676" s="730"/>
      <c r="I3676" s="894"/>
      <c r="J3676" s="3798"/>
      <c r="K3676" s="1717"/>
      <c r="L3676" s="3648"/>
      <c r="M3676" s="1315"/>
      <c r="N3676" s="3330"/>
      <c r="P3676" s="500"/>
    </row>
    <row r="3677" spans="1:16" s="4099" customFormat="1" ht="6.75" customHeight="1" x14ac:dyDescent="0.25">
      <c r="A3677" s="4101"/>
      <c r="B3677" s="2907"/>
      <c r="C3677" s="4104"/>
      <c r="D3677" s="4184"/>
      <c r="E3677" s="1126"/>
      <c r="F3677" s="3768"/>
      <c r="G3677" s="4401"/>
      <c r="H3677" s="730"/>
      <c r="I3677" s="894"/>
      <c r="J3677" s="3798"/>
      <c r="K3677" s="1717"/>
      <c r="L3677" s="3648"/>
      <c r="M3677" s="1315"/>
      <c r="N3677" s="3330"/>
      <c r="P3677" s="500"/>
    </row>
    <row r="3678" spans="1:16" s="4099" customFormat="1" ht="14.25" customHeight="1" x14ac:dyDescent="0.25">
      <c r="A3678" s="4101"/>
      <c r="B3678" s="2907"/>
      <c r="C3678" s="4116" t="s">
        <v>7271</v>
      </c>
      <c r="D3678" s="4235">
        <f>D3679</f>
        <v>200000000</v>
      </c>
      <c r="E3678" s="1447">
        <f>D3678/D3472*100</f>
        <v>0.14568054630787589</v>
      </c>
      <c r="F3678" s="3769"/>
      <c r="G3678" s="2168"/>
      <c r="H3678" s="1416"/>
      <c r="I3678" s="673"/>
      <c r="J3678" s="2377"/>
      <c r="K3678" s="2261"/>
      <c r="L3678" s="3600"/>
      <c r="M3678" s="2261"/>
      <c r="N3678" s="4403"/>
      <c r="P3678" s="500"/>
    </row>
    <row r="3679" spans="1:16" s="4099" customFormat="1" ht="14.25" customHeight="1" x14ac:dyDescent="0.25">
      <c r="A3679" s="4101"/>
      <c r="B3679" s="2907"/>
      <c r="C3679" s="4104" t="s">
        <v>7272</v>
      </c>
      <c r="D3679" s="4184">
        <v>200000000</v>
      </c>
      <c r="E3679" s="1126">
        <f>D3679/D3472*100</f>
        <v>0.14568054630787589</v>
      </c>
      <c r="F3679" s="3768"/>
      <c r="G3679" s="4401"/>
      <c r="H3679" s="730"/>
      <c r="I3679" s="894"/>
      <c r="J3679" s="3798"/>
      <c r="K3679" s="1717"/>
      <c r="L3679" s="3648"/>
      <c r="M3679" s="1315"/>
      <c r="N3679" s="3330"/>
      <c r="P3679" s="500"/>
    </row>
    <row r="3680" spans="1:16" s="4099" customFormat="1" ht="14.25" customHeight="1" x14ac:dyDescent="0.25">
      <c r="A3680" s="4101"/>
      <c r="B3680" s="2904"/>
      <c r="C3680" s="3861"/>
      <c r="D3680" s="976"/>
      <c r="E3680" s="864"/>
      <c r="F3680" s="982"/>
      <c r="G3680" s="4406"/>
      <c r="H3680" s="1576"/>
      <c r="I3680" s="788"/>
      <c r="J3680" s="2369"/>
      <c r="K3680" s="2281"/>
      <c r="L3680" s="3553"/>
      <c r="M3680" s="2285"/>
      <c r="N3680" s="3330"/>
      <c r="P3680" s="500"/>
    </row>
    <row r="3681" spans="1:16" s="4099" customFormat="1" ht="14.25" customHeight="1" x14ac:dyDescent="0.25">
      <c r="A3681" s="4101"/>
      <c r="B3681" s="4050"/>
      <c r="C3681" s="3858" t="s">
        <v>7273</v>
      </c>
      <c r="D3681" s="4243">
        <f>SUM(D3682+D3686)</f>
        <v>1840200000</v>
      </c>
      <c r="E3681" s="1445">
        <f>D3681/D3472*100</f>
        <v>1.3404067065787659</v>
      </c>
      <c r="F3681" s="980"/>
      <c r="G3681" s="4404"/>
      <c r="H3681" s="1571"/>
      <c r="I3681" s="669"/>
      <c r="J3681" s="2811"/>
      <c r="K3681" s="2356"/>
      <c r="L3681" s="1726"/>
      <c r="M3681" s="2356"/>
      <c r="N3681" s="4403"/>
      <c r="P3681" s="500"/>
    </row>
    <row r="3682" spans="1:16" s="4099" customFormat="1" ht="14.25" customHeight="1" x14ac:dyDescent="0.25">
      <c r="A3682" s="4101"/>
      <c r="B3682" s="2901"/>
      <c r="C3682" s="3881" t="s">
        <v>7274</v>
      </c>
      <c r="D3682" s="4241">
        <f>SUM(D3683:D3684)</f>
        <v>1323475000</v>
      </c>
      <c r="E3682" s="1447">
        <f>D3682/D3472*100</f>
        <v>0.96402280512408001</v>
      </c>
      <c r="F3682" s="994"/>
      <c r="G3682" s="4405"/>
      <c r="H3682" s="1613"/>
      <c r="I3682" s="889"/>
      <c r="J3682" s="2376"/>
      <c r="K3682" s="2562"/>
      <c r="L3682" s="3554"/>
      <c r="M3682" s="2562"/>
      <c r="N3682" s="4403"/>
      <c r="P3682" s="500"/>
    </row>
    <row r="3683" spans="1:16" s="4099" customFormat="1" ht="14.25" customHeight="1" x14ac:dyDescent="0.25">
      <c r="A3683" s="4101"/>
      <c r="B3683" s="2907"/>
      <c r="C3683" s="4104" t="s">
        <v>7275</v>
      </c>
      <c r="D3683" s="4184">
        <v>448825000</v>
      </c>
      <c r="E3683" s="1126">
        <f>D3683/D3472*100</f>
        <v>0.32692535598316197</v>
      </c>
      <c r="F3683" s="3768"/>
      <c r="G3683" s="4401"/>
      <c r="H3683" s="730"/>
      <c r="I3683" s="894"/>
      <c r="J3683" s="3798"/>
      <c r="K3683" s="1717"/>
      <c r="L3683" s="3648"/>
      <c r="M3683" s="1315"/>
      <c r="N3683" s="3330"/>
      <c r="P3683" s="500"/>
    </row>
    <row r="3684" spans="1:16" s="4099" customFormat="1" ht="14.25" customHeight="1" x14ac:dyDescent="0.25">
      <c r="A3684" s="4101"/>
      <c r="B3684" s="2907"/>
      <c r="C3684" s="4104" t="s">
        <v>7276</v>
      </c>
      <c r="D3684" s="4184">
        <v>874650000</v>
      </c>
      <c r="E3684" s="1126">
        <f>D3684/D3472*100</f>
        <v>0.63709744914091826</v>
      </c>
      <c r="F3684" s="3768"/>
      <c r="G3684" s="4401"/>
      <c r="H3684" s="730"/>
      <c r="I3684" s="894"/>
      <c r="J3684" s="3798"/>
      <c r="K3684" s="1717"/>
      <c r="L3684" s="3648"/>
      <c r="M3684" s="1315"/>
      <c r="N3684" s="3330"/>
      <c r="P3684" s="500"/>
    </row>
    <row r="3685" spans="1:16" s="4099" customFormat="1" ht="9.75" customHeight="1" x14ac:dyDescent="0.25">
      <c r="A3685" s="4101"/>
      <c r="B3685" s="2907"/>
      <c r="C3685" s="4104"/>
      <c r="D3685" s="4184"/>
      <c r="E3685" s="1126"/>
      <c r="F3685" s="3768"/>
      <c r="G3685" s="4401"/>
      <c r="H3685" s="730"/>
      <c r="I3685" s="894"/>
      <c r="J3685" s="3798"/>
      <c r="K3685" s="1717"/>
      <c r="L3685" s="3648"/>
      <c r="M3685" s="1315"/>
      <c r="N3685" s="3330"/>
      <c r="P3685" s="500"/>
    </row>
    <row r="3686" spans="1:16" s="4099" customFormat="1" ht="14.25" customHeight="1" x14ac:dyDescent="0.25">
      <c r="A3686" s="4101"/>
      <c r="B3686" s="2907"/>
      <c r="C3686" s="4116" t="s">
        <v>7277</v>
      </c>
      <c r="D3686" s="4235">
        <f>D3687</f>
        <v>516725000</v>
      </c>
      <c r="E3686" s="1447">
        <f>D3686/D3472*100</f>
        <v>0.37638390145468581</v>
      </c>
      <c r="F3686" s="3769"/>
      <c r="G3686" s="2168"/>
      <c r="H3686" s="1416"/>
      <c r="I3686" s="673"/>
      <c r="J3686" s="2377"/>
      <c r="K3686" s="2261"/>
      <c r="L3686" s="3600"/>
      <c r="M3686" s="2261"/>
      <c r="N3686" s="4403"/>
      <c r="P3686" s="500"/>
    </row>
    <row r="3687" spans="1:16" s="4099" customFormat="1" ht="14.25" customHeight="1" x14ac:dyDescent="0.25">
      <c r="A3687" s="4101"/>
      <c r="B3687" s="2907"/>
      <c r="C3687" s="4104" t="s">
        <v>7278</v>
      </c>
      <c r="D3687" s="4184">
        <v>516725000</v>
      </c>
      <c r="E3687" s="1126">
        <f>D3687/D3472*100</f>
        <v>0.37638390145468581</v>
      </c>
      <c r="F3687" s="3768"/>
      <c r="G3687" s="4401"/>
      <c r="H3687" s="730"/>
      <c r="I3687" s="894"/>
      <c r="J3687" s="3798"/>
      <c r="K3687" s="1717"/>
      <c r="L3687" s="3648"/>
      <c r="M3687" s="1315"/>
      <c r="N3687" s="3330"/>
      <c r="P3687" s="500"/>
    </row>
    <row r="3688" spans="1:16" s="4099" customFormat="1" ht="14.25" customHeight="1" x14ac:dyDescent="0.25">
      <c r="A3688" s="4101"/>
      <c r="B3688" s="2904"/>
      <c r="C3688" s="3861"/>
      <c r="D3688" s="976"/>
      <c r="E3688" s="864"/>
      <c r="F3688" s="982"/>
      <c r="G3688" s="4406"/>
      <c r="H3688" s="1576"/>
      <c r="I3688" s="788"/>
      <c r="J3688" s="2369"/>
      <c r="K3688" s="2281"/>
      <c r="L3688" s="3553"/>
      <c r="M3688" s="2285"/>
      <c r="N3688" s="3330"/>
      <c r="P3688" s="500"/>
    </row>
    <row r="3689" spans="1:16" s="4099" customFormat="1" ht="14.25" customHeight="1" x14ac:dyDescent="0.25">
      <c r="A3689" s="4101"/>
      <c r="B3689" s="4050"/>
      <c r="C3689" s="3858" t="s">
        <v>7279</v>
      </c>
      <c r="D3689" s="4243">
        <f>SUM(D3690+D3696)</f>
        <v>920163000</v>
      </c>
      <c r="E3689" s="1445">
        <f>D3689/D3472*100</f>
        <v>0.6702492426614699</v>
      </c>
      <c r="F3689" s="980"/>
      <c r="G3689" s="4404"/>
      <c r="H3689" s="1571"/>
      <c r="I3689" s="669"/>
      <c r="J3689" s="2811"/>
      <c r="K3689" s="2356"/>
      <c r="L3689" s="1726"/>
      <c r="M3689" s="2356"/>
      <c r="N3689" s="4403"/>
      <c r="P3689" s="500"/>
    </row>
    <row r="3690" spans="1:16" s="4099" customFormat="1" ht="14.25" customHeight="1" x14ac:dyDescent="0.25">
      <c r="A3690" s="4101"/>
      <c r="B3690" s="2901"/>
      <c r="C3690" s="3881" t="s">
        <v>7280</v>
      </c>
      <c r="D3690" s="889">
        <f>SUM(D3691:D3694)</f>
        <v>852663000</v>
      </c>
      <c r="E3690" s="1447">
        <f>D3690/D3472*100</f>
        <v>0.6210820582825618</v>
      </c>
      <c r="F3690" s="994"/>
      <c r="G3690" s="4405"/>
      <c r="H3690" s="1613"/>
      <c r="I3690" s="889"/>
      <c r="J3690" s="2376"/>
      <c r="K3690" s="2562"/>
      <c r="L3690" s="3554"/>
      <c r="M3690" s="2562"/>
      <c r="N3690" s="4403"/>
      <c r="P3690" s="500"/>
    </row>
    <row r="3691" spans="1:16" s="4099" customFormat="1" ht="14.25" customHeight="1" x14ac:dyDescent="0.25">
      <c r="A3691" s="4101"/>
      <c r="B3691" s="2907"/>
      <c r="C3691" s="4104" t="s">
        <v>7281</v>
      </c>
      <c r="D3691" s="4184">
        <v>61745000</v>
      </c>
      <c r="E3691" s="1126">
        <f>D3691/D3472*100</f>
        <v>4.4975226658898977E-2</v>
      </c>
      <c r="F3691" s="3768"/>
      <c r="G3691" s="4401"/>
      <c r="H3691" s="730"/>
      <c r="I3691" s="894"/>
      <c r="J3691" s="3798"/>
      <c r="K3691" s="1717"/>
      <c r="L3691" s="3648"/>
      <c r="M3691" s="1315"/>
      <c r="N3691" s="3330"/>
      <c r="P3691" s="500"/>
    </row>
    <row r="3692" spans="1:16" s="4099" customFormat="1" ht="14.25" customHeight="1" x14ac:dyDescent="0.25">
      <c r="A3692" s="4101"/>
      <c r="B3692" s="2907"/>
      <c r="C3692" s="4104" t="s">
        <v>7282</v>
      </c>
      <c r="D3692" s="4184">
        <v>141000000</v>
      </c>
      <c r="E3692" s="1126">
        <f>D3692/D3472*100</f>
        <v>0.10270478514705249</v>
      </c>
      <c r="F3692" s="3768"/>
      <c r="G3692" s="4401"/>
      <c r="H3692" s="730"/>
      <c r="I3692" s="894"/>
      <c r="J3692" s="3798"/>
      <c r="K3692" s="1717"/>
      <c r="L3692" s="3648"/>
      <c r="M3692" s="1315"/>
      <c r="N3692" s="3330"/>
      <c r="P3692" s="500"/>
    </row>
    <row r="3693" spans="1:16" s="4099" customFormat="1" ht="14.25" customHeight="1" x14ac:dyDescent="0.25">
      <c r="A3693" s="4101"/>
      <c r="B3693" s="2907"/>
      <c r="C3693" s="4104" t="s">
        <v>7283</v>
      </c>
      <c r="D3693" s="4184">
        <v>75681000</v>
      </c>
      <c r="E3693" s="1126">
        <f>D3693/D3472*100</f>
        <v>5.5126247125631765E-2</v>
      </c>
      <c r="F3693" s="3768"/>
      <c r="G3693" s="4401"/>
      <c r="H3693" s="730"/>
      <c r="I3693" s="894"/>
      <c r="J3693" s="3798"/>
      <c r="K3693" s="1717"/>
      <c r="L3693" s="3648"/>
      <c r="M3693" s="1315"/>
      <c r="N3693" s="3330"/>
      <c r="P3693" s="500"/>
    </row>
    <row r="3694" spans="1:16" s="4099" customFormat="1" ht="14.25" customHeight="1" x14ac:dyDescent="0.25">
      <c r="A3694" s="4101"/>
      <c r="B3694" s="2907"/>
      <c r="C3694" s="4104" t="s">
        <v>7284</v>
      </c>
      <c r="D3694" s="4184">
        <v>574237000</v>
      </c>
      <c r="E3694" s="1126">
        <f>D3694/D3472*100</f>
        <v>0.41827579935097864</v>
      </c>
      <c r="F3694" s="3768"/>
      <c r="G3694" s="4401"/>
      <c r="H3694" s="730"/>
      <c r="I3694" s="894"/>
      <c r="J3694" s="3798"/>
      <c r="K3694" s="1717"/>
      <c r="L3694" s="3648"/>
      <c r="M3694" s="1315"/>
      <c r="N3694" s="3330"/>
      <c r="P3694" s="500"/>
    </row>
    <row r="3695" spans="1:16" s="4099" customFormat="1" ht="10.5" customHeight="1" x14ac:dyDescent="0.25">
      <c r="A3695" s="4101"/>
      <c r="B3695" s="2907"/>
      <c r="C3695" s="4104"/>
      <c r="D3695" s="4184"/>
      <c r="E3695" s="1126"/>
      <c r="F3695" s="3768"/>
      <c r="G3695" s="4401"/>
      <c r="H3695" s="730"/>
      <c r="I3695" s="894"/>
      <c r="J3695" s="3798"/>
      <c r="K3695" s="1717"/>
      <c r="L3695" s="3648"/>
      <c r="M3695" s="1315"/>
      <c r="N3695" s="3330"/>
      <c r="P3695" s="500"/>
    </row>
    <row r="3696" spans="1:16" s="4099" customFormat="1" ht="14.25" customHeight="1" x14ac:dyDescent="0.25">
      <c r="A3696" s="4101"/>
      <c r="B3696" s="4119"/>
      <c r="C3696" s="4116" t="s">
        <v>7285</v>
      </c>
      <c r="D3696" s="673">
        <f>D3697</f>
        <v>67500000</v>
      </c>
      <c r="E3696" s="1447">
        <f>D3696/D3472*100</f>
        <v>4.9167184378908109E-2</v>
      </c>
      <c r="F3696" s="3769"/>
      <c r="G3696" s="2168"/>
      <c r="H3696" s="1416"/>
      <c r="I3696" s="673"/>
      <c r="J3696" s="2377"/>
      <c r="K3696" s="2261"/>
      <c r="L3696" s="3600"/>
      <c r="M3696" s="2261"/>
      <c r="N3696" s="4403"/>
      <c r="P3696" s="500"/>
    </row>
    <row r="3697" spans="1:16" s="4099" customFormat="1" ht="14.25" customHeight="1" x14ac:dyDescent="0.25">
      <c r="A3697" s="4101"/>
      <c r="B3697" s="4119"/>
      <c r="C3697" s="4104" t="s">
        <v>7286</v>
      </c>
      <c r="D3697" s="4184">
        <v>67500000</v>
      </c>
      <c r="E3697" s="1126">
        <f>D3697/D3472*100</f>
        <v>4.9167184378908109E-2</v>
      </c>
      <c r="F3697" s="3768"/>
      <c r="G3697" s="4401"/>
      <c r="H3697" s="730"/>
      <c r="I3697" s="894"/>
      <c r="J3697" s="3798"/>
      <c r="K3697" s="1717"/>
      <c r="L3697" s="3648"/>
      <c r="M3697" s="1315"/>
      <c r="N3697" s="3330"/>
      <c r="P3697" s="500"/>
    </row>
    <row r="3698" spans="1:16" s="4099" customFormat="1" ht="14.25" customHeight="1" x14ac:dyDescent="0.25">
      <c r="A3698" s="4101"/>
      <c r="B3698" s="4119"/>
      <c r="C3698" s="3892"/>
      <c r="D3698" s="4238"/>
      <c r="E3698" s="1450"/>
      <c r="F3698" s="979"/>
      <c r="G3698" s="4402"/>
      <c r="H3698" s="1313"/>
      <c r="I3698" s="791"/>
      <c r="J3698" s="3375"/>
      <c r="K3698" s="2265"/>
      <c r="L3698" s="1649"/>
      <c r="M3698" s="2182"/>
      <c r="N3698" s="4110"/>
      <c r="P3698" s="500"/>
    </row>
    <row r="3699" spans="1:16" s="4099" customFormat="1" ht="14.25" customHeight="1" x14ac:dyDescent="0.25">
      <c r="A3699" s="4101"/>
      <c r="B3699" s="4050"/>
      <c r="C3699" s="3858" t="s">
        <v>7287</v>
      </c>
      <c r="D3699" s="4243">
        <f>D3700</f>
        <v>760300000</v>
      </c>
      <c r="E3699" s="1445">
        <f>D3699/D3472*100</f>
        <v>0.55380459678939009</v>
      </c>
      <c r="F3699" s="980"/>
      <c r="G3699" s="4404"/>
      <c r="H3699" s="1571"/>
      <c r="I3699" s="669"/>
      <c r="J3699" s="2811"/>
      <c r="K3699" s="2356"/>
      <c r="L3699" s="1726"/>
      <c r="M3699" s="2356"/>
      <c r="N3699" s="551"/>
      <c r="P3699" s="500"/>
    </row>
    <row r="3700" spans="1:16" s="4099" customFormat="1" ht="14.25" customHeight="1" x14ac:dyDescent="0.25">
      <c r="A3700" s="4101"/>
      <c r="B3700" s="4119"/>
      <c r="C3700" s="3893" t="s">
        <v>7288</v>
      </c>
      <c r="D3700" s="4253">
        <f>D3701</f>
        <v>760300000</v>
      </c>
      <c r="E3700" s="1453">
        <f>D3700/D3472*100</f>
        <v>0.55380459678939009</v>
      </c>
      <c r="F3700" s="1894"/>
      <c r="G3700" s="4400"/>
      <c r="H3700" s="1417"/>
      <c r="I3700" s="2409"/>
      <c r="J3700" s="4407"/>
      <c r="K3700" s="3691"/>
      <c r="L3700" s="2264"/>
      <c r="M3700" s="1671"/>
      <c r="N3700" s="551"/>
      <c r="P3700" s="500"/>
    </row>
    <row r="3701" spans="1:16" s="4099" customFormat="1" ht="14.25" customHeight="1" x14ac:dyDescent="0.25">
      <c r="A3701" s="4101"/>
      <c r="B3701" s="4119"/>
      <c r="C3701" s="3861" t="s">
        <v>7289</v>
      </c>
      <c r="D3701" s="976">
        <v>760300000</v>
      </c>
      <c r="E3701" s="864">
        <f>D3701/D3472*100</f>
        <v>0.55380459678939009</v>
      </c>
      <c r="F3701" s="982"/>
      <c r="G3701" s="4406"/>
      <c r="H3701" s="1576"/>
      <c r="I3701" s="788"/>
      <c r="J3701" s="2369"/>
      <c r="K3701" s="2281"/>
      <c r="L3701" s="3553"/>
      <c r="M3701" s="2285"/>
      <c r="N3701" s="4110"/>
      <c r="P3701" s="500"/>
    </row>
    <row r="3702" spans="1:16" s="4099" customFormat="1" ht="14.25" customHeight="1" x14ac:dyDescent="0.25">
      <c r="A3702" s="4101"/>
      <c r="B3702" s="4119"/>
      <c r="C3702" s="3894"/>
      <c r="D3702" s="4250"/>
      <c r="E3702" s="1326"/>
      <c r="F3702" s="1251"/>
      <c r="G3702" s="5263"/>
      <c r="H3702" s="1573"/>
      <c r="I3702" s="973"/>
      <c r="J3702" s="5264"/>
      <c r="K3702" s="2283"/>
      <c r="L3702" s="2445"/>
      <c r="M3702" s="2282"/>
      <c r="N3702" s="4110"/>
      <c r="P3702" s="500"/>
    </row>
    <row r="3703" spans="1:16" s="4099" customFormat="1" ht="14.25" customHeight="1" x14ac:dyDescent="0.25">
      <c r="A3703" s="4101"/>
      <c r="B3703" s="4050"/>
      <c r="C3703" s="3858" t="s">
        <v>7290</v>
      </c>
      <c r="D3703" s="4243">
        <f>SUM(D3704+D3707)</f>
        <v>1000000000</v>
      </c>
      <c r="E3703" s="1445">
        <f>D3703/D3472*100</f>
        <v>0.7284027315393794</v>
      </c>
      <c r="F3703" s="980"/>
      <c r="G3703" s="4404"/>
      <c r="H3703" s="1571"/>
      <c r="I3703" s="669"/>
      <c r="J3703" s="2811"/>
      <c r="K3703" s="2356"/>
      <c r="L3703" s="1726"/>
      <c r="M3703" s="2356"/>
      <c r="N3703" s="551"/>
      <c r="P3703" s="500"/>
    </row>
    <row r="3704" spans="1:16" s="4099" customFormat="1" ht="14.25" customHeight="1" x14ac:dyDescent="0.25">
      <c r="A3704" s="4101"/>
      <c r="B3704" s="4119"/>
      <c r="C3704" s="3893" t="s">
        <v>7291</v>
      </c>
      <c r="D3704" s="4253">
        <f>D3705</f>
        <v>450000000</v>
      </c>
      <c r="E3704" s="1453">
        <f>D3704/D3472*100</f>
        <v>0.32778122919272074</v>
      </c>
      <c r="F3704" s="1894"/>
      <c r="G3704" s="4400"/>
      <c r="H3704" s="1417"/>
      <c r="I3704" s="2409"/>
      <c r="J3704" s="4407"/>
      <c r="K3704" s="3691"/>
      <c r="L3704" s="2264"/>
      <c r="M3704" s="1671"/>
      <c r="N3704" s="551"/>
      <c r="P3704" s="500"/>
    </row>
    <row r="3705" spans="1:16" s="4099" customFormat="1" ht="14.25" customHeight="1" x14ac:dyDescent="0.25">
      <c r="A3705" s="4101"/>
      <c r="B3705" s="4119"/>
      <c r="C3705" s="4104" t="s">
        <v>7292</v>
      </c>
      <c r="D3705" s="4184">
        <v>450000000</v>
      </c>
      <c r="E3705" s="1126">
        <f>D3705/D3472*100</f>
        <v>0.32778122919272074</v>
      </c>
      <c r="F3705" s="3768"/>
      <c r="G3705" s="4401"/>
      <c r="H3705" s="730"/>
      <c r="I3705" s="894"/>
      <c r="J3705" s="3798"/>
      <c r="K3705" s="1717"/>
      <c r="L3705" s="3648"/>
      <c r="M3705" s="1315"/>
      <c r="N3705" s="4110"/>
      <c r="P3705" s="500"/>
    </row>
    <row r="3706" spans="1:16" s="4099" customFormat="1" ht="8.25" customHeight="1" x14ac:dyDescent="0.25">
      <c r="A3706" s="4101"/>
      <c r="B3706" s="4119"/>
      <c r="C3706" s="4104"/>
      <c r="D3706" s="4184"/>
      <c r="E3706" s="1126"/>
      <c r="F3706" s="3768"/>
      <c r="G3706" s="4401"/>
      <c r="H3706" s="730"/>
      <c r="I3706" s="894"/>
      <c r="J3706" s="3798"/>
      <c r="K3706" s="1717"/>
      <c r="L3706" s="3648"/>
      <c r="M3706" s="1315"/>
      <c r="N3706" s="4110"/>
      <c r="P3706" s="500"/>
    </row>
    <row r="3707" spans="1:16" s="4099" customFormat="1" ht="14.25" customHeight="1" x14ac:dyDescent="0.25">
      <c r="A3707" s="4101"/>
      <c r="B3707" s="4119"/>
      <c r="C3707" s="4116" t="s">
        <v>7293</v>
      </c>
      <c r="D3707" s="673">
        <f>D3708</f>
        <v>550000000</v>
      </c>
      <c r="E3707" s="1447">
        <f>D3707/D3472*100</f>
        <v>0.40062150234665866</v>
      </c>
      <c r="F3707" s="3769"/>
      <c r="G3707" s="2168"/>
      <c r="H3707" s="1416"/>
      <c r="I3707" s="673"/>
      <c r="J3707" s="2377"/>
      <c r="K3707" s="2261"/>
      <c r="L3707" s="3600"/>
      <c r="M3707" s="2261"/>
      <c r="N3707" s="551"/>
      <c r="P3707" s="500"/>
    </row>
    <row r="3708" spans="1:16" s="4099" customFormat="1" ht="14.25" customHeight="1" x14ac:dyDescent="0.25">
      <c r="A3708" s="4101"/>
      <c r="B3708" s="4119"/>
      <c r="C3708" s="4104" t="s">
        <v>7294</v>
      </c>
      <c r="D3708" s="4184">
        <v>550000000</v>
      </c>
      <c r="E3708" s="1126">
        <f>D3708/D3472*100</f>
        <v>0.40062150234665866</v>
      </c>
      <c r="F3708" s="3768"/>
      <c r="G3708" s="4401"/>
      <c r="H3708" s="730"/>
      <c r="I3708" s="894"/>
      <c r="J3708" s="3798"/>
      <c r="K3708" s="1717"/>
      <c r="L3708" s="3648"/>
      <c r="M3708" s="1315"/>
      <c r="N3708" s="4110"/>
      <c r="P3708" s="500"/>
    </row>
    <row r="3709" spans="1:16" s="4099" customFormat="1" ht="14.25" customHeight="1" x14ac:dyDescent="0.25">
      <c r="A3709" s="4101"/>
      <c r="B3709" s="4119"/>
      <c r="C3709" s="3892"/>
      <c r="D3709" s="4238"/>
      <c r="E3709" s="1450"/>
      <c r="F3709" s="979"/>
      <c r="G3709" s="4402"/>
      <c r="H3709" s="1313"/>
      <c r="I3709" s="791"/>
      <c r="J3709" s="3375"/>
      <c r="K3709" s="2265"/>
      <c r="L3709" s="1649"/>
      <c r="M3709" s="2182"/>
      <c r="N3709" s="4110"/>
      <c r="P3709" s="500"/>
    </row>
    <row r="3710" spans="1:16" s="4099" customFormat="1" ht="14.25" customHeight="1" x14ac:dyDescent="0.25">
      <c r="A3710" s="4101"/>
      <c r="B3710" s="4050"/>
      <c r="C3710" s="4041" t="s">
        <v>7295</v>
      </c>
      <c r="D3710" s="669">
        <f>SUM(D3711+D3714)</f>
        <v>11385856820</v>
      </c>
      <c r="E3710" s="1445">
        <f>D3710/D3472*100</f>
        <v>8.2934892086042726</v>
      </c>
      <c r="F3710" s="1050"/>
      <c r="G3710" s="1050"/>
      <c r="H3710" s="3631"/>
      <c r="I3710" s="669"/>
      <c r="J3710" s="1107"/>
      <c r="K3710" s="1107"/>
      <c r="L3710" s="3631"/>
      <c r="M3710" s="2356"/>
      <c r="N3710" s="4110"/>
      <c r="P3710" s="500"/>
    </row>
    <row r="3711" spans="1:16" s="4099" customFormat="1" ht="14.25" customHeight="1" x14ac:dyDescent="0.25">
      <c r="A3711" s="4101"/>
      <c r="B3711" s="1242"/>
      <c r="C3711" s="4028" t="s">
        <v>7296</v>
      </c>
      <c r="D3711" s="667">
        <f>D3712</f>
        <v>8420540000</v>
      </c>
      <c r="E3711" s="1447">
        <f>D3711/D3472*100</f>
        <v>6.1335443370366054</v>
      </c>
      <c r="F3711" s="1051"/>
      <c r="G3711" s="1051"/>
      <c r="H3711" s="2442"/>
      <c r="I3711" s="1309"/>
      <c r="J3711" s="1930"/>
      <c r="K3711" s="1930"/>
      <c r="L3711" s="2442"/>
      <c r="M3711" s="1659"/>
      <c r="N3711" s="535"/>
      <c r="P3711" s="500"/>
    </row>
    <row r="3712" spans="1:16" s="4099" customFormat="1" ht="14.25" customHeight="1" x14ac:dyDescent="0.25">
      <c r="A3712" s="4101"/>
      <c r="B3712" s="1242"/>
      <c r="C3712" s="4408" t="s">
        <v>7297</v>
      </c>
      <c r="D3712" s="4409">
        <v>8420540000</v>
      </c>
      <c r="E3712" s="1126">
        <f>D3712/D3472*100</f>
        <v>6.1335443370366054</v>
      </c>
      <c r="F3712" s="1053"/>
      <c r="G3712" s="1074"/>
      <c r="H3712" s="1074"/>
      <c r="I3712" s="1111"/>
      <c r="J3712" s="1916"/>
      <c r="K3712" s="2450"/>
      <c r="L3712" s="1074"/>
      <c r="M3712" s="1312"/>
      <c r="N3712" s="535"/>
      <c r="P3712" s="500"/>
    </row>
    <row r="3713" spans="1:16" s="4099" customFormat="1" ht="9.75" customHeight="1" x14ac:dyDescent="0.25">
      <c r="A3713" s="4101"/>
      <c r="B3713" s="1242"/>
      <c r="C3713" s="4028"/>
      <c r="D3713" s="667"/>
      <c r="E3713" s="1447"/>
      <c r="F3713" s="1047"/>
      <c r="G3713" s="303"/>
      <c r="H3713" s="782"/>
      <c r="I3713" s="1314"/>
      <c r="J3713" s="1931"/>
      <c r="K3713" s="2450"/>
      <c r="L3713" s="1716"/>
      <c r="M3713" s="1311"/>
      <c r="N3713" s="535"/>
      <c r="P3713" s="500"/>
    </row>
    <row r="3714" spans="1:16" s="4099" customFormat="1" ht="14.25" customHeight="1" x14ac:dyDescent="0.25">
      <c r="A3714" s="4101"/>
      <c r="B3714" s="1242"/>
      <c r="C3714" s="4029" t="s">
        <v>7298</v>
      </c>
      <c r="D3714" s="3701">
        <f>D3715</f>
        <v>2965316820</v>
      </c>
      <c r="E3714" s="1453">
        <f>D3714/D3472*100</f>
        <v>2.1599448715676659</v>
      </c>
      <c r="F3714" s="1047"/>
      <c r="G3714" s="1047"/>
      <c r="H3714" s="2442"/>
      <c r="I3714" s="753"/>
      <c r="J3714" s="1931"/>
      <c r="K3714" s="1931"/>
      <c r="L3714" s="2442"/>
      <c r="M3714" s="1729"/>
      <c r="N3714" s="535"/>
      <c r="P3714" s="500"/>
    </row>
    <row r="3715" spans="1:16" s="4099" customFormat="1" ht="14.25" customHeight="1" x14ac:dyDescent="0.25">
      <c r="A3715" s="4101"/>
      <c r="B3715" s="1242"/>
      <c r="C3715" s="3856" t="s">
        <v>7299</v>
      </c>
      <c r="D3715" s="666">
        <v>2965316820</v>
      </c>
      <c r="E3715" s="4412">
        <f>D3715/D3472*100</f>
        <v>2.1599448715676659</v>
      </c>
      <c r="F3715" s="666"/>
      <c r="G3715" s="1732"/>
      <c r="H3715" s="1074"/>
      <c r="I3715" s="798"/>
      <c r="J3715" s="671"/>
      <c r="K3715" s="1962"/>
      <c r="L3715" s="1074"/>
      <c r="M3715" s="1722"/>
      <c r="N3715" s="535"/>
      <c r="P3715" s="500"/>
    </row>
    <row r="3716" spans="1:16" s="4099" customFormat="1" ht="14.25" customHeight="1" x14ac:dyDescent="0.25">
      <c r="A3716" s="4101"/>
      <c r="B3716" s="4119"/>
      <c r="C3716" s="4017"/>
      <c r="D3716" s="4287"/>
      <c r="E3716" s="1611"/>
      <c r="F3716" s="686"/>
      <c r="G3716" s="3409"/>
      <c r="H3716" s="2255"/>
      <c r="I3716" s="2459"/>
      <c r="J3716" s="2182"/>
      <c r="K3716" s="2182"/>
      <c r="L3716" s="2182"/>
      <c r="M3716" s="2182"/>
      <c r="N3716" s="4109"/>
      <c r="P3716" s="500"/>
    </row>
    <row r="3717" spans="1:16" ht="18.75" customHeight="1" x14ac:dyDescent="0.25">
      <c r="B3717" s="2916"/>
      <c r="C3717" s="4037" t="s">
        <v>608</v>
      </c>
      <c r="D3717" s="2530">
        <f>SUM(D3719+D3751+D3783+D3800+D3807+D3811+D3815+D3820+D3824+D3834+D3856+D3860+D3873+D3880+D3890+D3899+D3906+D3919+D3927)</f>
        <v>128915048140</v>
      </c>
      <c r="E3717" s="1491">
        <f>SUM(D3717/2507241496000*100)</f>
        <v>5.1417084610983164</v>
      </c>
      <c r="F3717" s="3692"/>
      <c r="G3717" s="1612"/>
      <c r="H3717" s="2505"/>
      <c r="I3717" s="2506"/>
      <c r="J3717" s="1943"/>
      <c r="K3717" s="1943"/>
      <c r="L3717" s="2505"/>
      <c r="M3717" s="2507"/>
      <c r="N3717" s="535"/>
      <c r="P3717" s="4609"/>
    </row>
    <row r="3718" spans="1:16" ht="8.25" customHeight="1" x14ac:dyDescent="0.25">
      <c r="B3718" s="1242"/>
      <c r="C3718" s="3893"/>
      <c r="D3718" s="2024"/>
      <c r="E3718" s="811"/>
      <c r="F3718" s="836"/>
      <c r="G3718" s="836"/>
      <c r="H3718" s="2238"/>
      <c r="I3718" s="2409"/>
      <c r="J3718" s="1950"/>
      <c r="K3718" s="1950"/>
      <c r="L3718" s="1671"/>
      <c r="M3718" s="1671"/>
      <c r="N3718" s="535"/>
    </row>
    <row r="3719" spans="1:16" ht="17.25" customHeight="1" x14ac:dyDescent="0.25">
      <c r="B3719" s="1305"/>
      <c r="C3719" s="3858" t="s">
        <v>287</v>
      </c>
      <c r="D3719" s="669">
        <f>SUM(D3720+D3723+D3728+D3748)</f>
        <v>27644160800</v>
      </c>
      <c r="E3719" s="1462">
        <f>SUM(D3719/D3717*100)</f>
        <v>21.443703585308999</v>
      </c>
      <c r="F3719" s="832"/>
      <c r="G3719" s="832"/>
      <c r="H3719" s="1306"/>
      <c r="I3719" s="1645"/>
      <c r="J3719" s="1813"/>
      <c r="K3719" s="1813"/>
      <c r="L3719" s="1306"/>
      <c r="M3719" s="1307"/>
      <c r="N3719" s="535"/>
      <c r="P3719" s="104"/>
    </row>
    <row r="3720" spans="1:16" ht="16.5" customHeight="1" x14ac:dyDescent="0.25">
      <c r="B3720" s="1242"/>
      <c r="C3720" s="3881" t="s">
        <v>702</v>
      </c>
      <c r="D3720" s="889">
        <f>D3721</f>
        <v>15737400000</v>
      </c>
      <c r="E3720" s="1461">
        <f>SUM(D3720/D3717*100)</f>
        <v>12.207574078481045</v>
      </c>
      <c r="F3720" s="854"/>
      <c r="G3720" s="1110"/>
      <c r="H3720" s="1646"/>
      <c r="I3720" s="1110"/>
      <c r="J3720" s="1944"/>
      <c r="K3720" s="1618"/>
      <c r="L3720" s="1646"/>
      <c r="M3720" s="1110"/>
      <c r="N3720" s="535"/>
    </row>
    <row r="3721" spans="1:16" ht="15.75" customHeight="1" x14ac:dyDescent="0.25">
      <c r="B3721" s="1242"/>
      <c r="C3721" s="3860" t="s">
        <v>785</v>
      </c>
      <c r="D3721" s="666">
        <v>15737400000</v>
      </c>
      <c r="E3721" s="880">
        <f>SUM(D3721/D3717*100)</f>
        <v>12.207574078481045</v>
      </c>
      <c r="F3721" s="838"/>
      <c r="G3721" s="1109"/>
      <c r="H3721" s="1647"/>
      <c r="I3721" s="1109"/>
      <c r="J3721" s="1616"/>
      <c r="K3721" s="1909"/>
      <c r="L3721" s="1647"/>
      <c r="M3721" s="1109"/>
      <c r="N3721" s="535"/>
    </row>
    <row r="3722" spans="1:16" ht="10.5" customHeight="1" x14ac:dyDescent="0.25">
      <c r="B3722" s="1242"/>
      <c r="C3722" s="3882"/>
      <c r="D3722" s="666"/>
      <c r="E3722" s="1463"/>
      <c r="F3722" s="838"/>
      <c r="G3722" s="894"/>
      <c r="H3722" s="2335"/>
      <c r="I3722" s="1314"/>
      <c r="J3722" s="2269"/>
      <c r="K3722" s="2269"/>
      <c r="L3722" s="1311"/>
      <c r="M3722" s="1311"/>
      <c r="N3722" s="535"/>
    </row>
    <row r="3723" spans="1:16" ht="13.5" customHeight="1" x14ac:dyDescent="0.25">
      <c r="B3723" s="1242"/>
      <c r="C3723" s="3854" t="s">
        <v>559</v>
      </c>
      <c r="D3723" s="3701">
        <f>SUM(D3724:D3726)</f>
        <v>1880016000</v>
      </c>
      <c r="E3723" s="1415">
        <f>SUM(D3723/D3717*100)</f>
        <v>1.4583371197738901</v>
      </c>
      <c r="F3723" s="843"/>
      <c r="G3723" s="843"/>
      <c r="H3723" s="1308"/>
      <c r="I3723" s="1316"/>
      <c r="J3723" s="1822"/>
      <c r="K3723" s="1822"/>
      <c r="L3723" s="1308"/>
      <c r="M3723" s="1650"/>
      <c r="N3723" s="535"/>
    </row>
    <row r="3724" spans="1:16" ht="17.25" customHeight="1" x14ac:dyDescent="0.25">
      <c r="B3724" s="1242"/>
      <c r="C3724" s="3860" t="s">
        <v>4525</v>
      </c>
      <c r="D3724" s="666">
        <v>792000000</v>
      </c>
      <c r="E3724" s="880">
        <f>SUM(D3724/D3717*100)</f>
        <v>0.61435806868713938</v>
      </c>
      <c r="F3724" s="939"/>
      <c r="G3724" s="612"/>
      <c r="H3724" s="755"/>
      <c r="I3724" s="802"/>
      <c r="J3724" s="1619"/>
      <c r="K3724" s="1619"/>
      <c r="L3724" s="755"/>
      <c r="M3724" s="1648"/>
      <c r="N3724" s="535"/>
    </row>
    <row r="3725" spans="1:16" ht="17.25" customHeight="1" x14ac:dyDescent="0.25">
      <c r="B3725" s="1242"/>
      <c r="C3725" s="3860" t="s">
        <v>4387</v>
      </c>
      <c r="D3725" s="666">
        <v>265000000</v>
      </c>
      <c r="E3725" s="880">
        <f>SUM(D3725/D3717*100)</f>
        <v>0.20556172752789387</v>
      </c>
      <c r="F3725" s="939"/>
      <c r="G3725" s="612"/>
      <c r="H3725" s="755"/>
      <c r="I3725" s="802"/>
      <c r="J3725" s="1619"/>
      <c r="K3725" s="1619"/>
      <c r="L3725" s="755"/>
      <c r="M3725" s="1648"/>
      <c r="N3725" s="535"/>
    </row>
    <row r="3726" spans="1:16" ht="12.75" customHeight="1" x14ac:dyDescent="0.25">
      <c r="B3726" s="1242"/>
      <c r="C3726" s="3860" t="s">
        <v>4388</v>
      </c>
      <c r="D3726" s="666">
        <v>823016000</v>
      </c>
      <c r="E3726" s="880">
        <f>SUM(D3726/D3717*100)</f>
        <v>0.63841732355885694</v>
      </c>
      <c r="F3726" s="939"/>
      <c r="G3726" s="1109"/>
      <c r="H3726" s="1647"/>
      <c r="I3726" s="1109"/>
      <c r="J3726" s="1619"/>
      <c r="K3726" s="1619"/>
      <c r="L3726" s="755"/>
      <c r="M3726" s="1648"/>
      <c r="N3726" s="535"/>
    </row>
    <row r="3727" spans="1:16" ht="12" customHeight="1" x14ac:dyDescent="0.25">
      <c r="B3727" s="1242"/>
      <c r="C3727" s="3861"/>
      <c r="D3727" s="868"/>
      <c r="E3727" s="1463"/>
      <c r="F3727" s="838"/>
      <c r="G3727" s="894"/>
      <c r="H3727" s="1463"/>
      <c r="I3727" s="1314"/>
      <c r="J3727" s="1948"/>
      <c r="K3727" s="2269"/>
      <c r="L3727" s="1315"/>
      <c r="M3727" s="1311"/>
      <c r="N3727" s="535"/>
    </row>
    <row r="3728" spans="1:16" ht="16.5" customHeight="1" x14ac:dyDescent="0.25">
      <c r="B3728" s="1242"/>
      <c r="C3728" s="3667" t="s">
        <v>4389</v>
      </c>
      <c r="D3728" s="4284">
        <f>SUM(D3729:D3746)</f>
        <v>9910894800</v>
      </c>
      <c r="E3728" s="1415">
        <f>D3728/D3717*100</f>
        <v>7.6879270054159248</v>
      </c>
      <c r="F3728" s="839"/>
      <c r="G3728" s="839"/>
      <c r="H3728" s="1308"/>
      <c r="I3728" s="803"/>
      <c r="J3728" s="1822"/>
      <c r="K3728" s="1822"/>
      <c r="L3728" s="1308"/>
      <c r="M3728" s="1706"/>
      <c r="N3728" s="535"/>
    </row>
    <row r="3729" spans="2:14" ht="15.75" customHeight="1" x14ac:dyDescent="0.25">
      <c r="B3729" s="1242"/>
      <c r="C3729" s="3819" t="s">
        <v>4390</v>
      </c>
      <c r="D3729" s="4285">
        <v>258000000</v>
      </c>
      <c r="E3729" s="880">
        <f>SUM(D3729/D3717*100)</f>
        <v>0.20013179510262874</v>
      </c>
      <c r="F3729" s="939"/>
      <c r="G3729" s="939"/>
      <c r="H3729" s="755"/>
      <c r="I3729" s="802"/>
      <c r="J3729" s="1620"/>
      <c r="K3729" s="1620"/>
      <c r="L3729" s="755"/>
      <c r="M3729" s="1648"/>
      <c r="N3729" s="535"/>
    </row>
    <row r="3730" spans="2:14" ht="15.75" customHeight="1" x14ac:dyDescent="0.25">
      <c r="B3730" s="1242"/>
      <c r="C3730" s="3819" t="s">
        <v>4391</v>
      </c>
      <c r="D3730" s="4285">
        <v>103200300</v>
      </c>
      <c r="E3730" s="880">
        <f>D3730/D3717*100</f>
        <v>8.0052950752441149E-2</v>
      </c>
      <c r="F3730" s="939"/>
      <c r="G3730" s="939"/>
      <c r="H3730" s="755"/>
      <c r="I3730" s="802"/>
      <c r="J3730" s="1620"/>
      <c r="K3730" s="1620"/>
      <c r="L3730" s="755"/>
      <c r="M3730" s="1648"/>
      <c r="N3730" s="535"/>
    </row>
    <row r="3731" spans="2:14" ht="17.25" customHeight="1" x14ac:dyDescent="0.25">
      <c r="B3731" s="1242"/>
      <c r="C3731" s="3814" t="s">
        <v>4392</v>
      </c>
      <c r="D3731" s="4286">
        <v>900000000</v>
      </c>
      <c r="E3731" s="880">
        <f>D3731/D3717*100</f>
        <v>0.69813416896265834</v>
      </c>
      <c r="F3731" s="939"/>
      <c r="G3731" s="939"/>
      <c r="H3731" s="755"/>
      <c r="I3731" s="802"/>
      <c r="J3731" s="1620"/>
      <c r="K3731" s="1620"/>
      <c r="L3731" s="755"/>
      <c r="M3731" s="1648"/>
      <c r="N3731" s="535"/>
    </row>
    <row r="3732" spans="2:14" ht="17.25" customHeight="1" x14ac:dyDescent="0.25">
      <c r="B3732" s="1242"/>
      <c r="C3732" s="3819" t="s">
        <v>4393</v>
      </c>
      <c r="D3732" s="4285">
        <v>675000000</v>
      </c>
      <c r="E3732" s="880">
        <f>D3732/D3717*100</f>
        <v>0.52360062672199381</v>
      </c>
      <c r="F3732" s="939"/>
      <c r="G3732" s="389"/>
      <c r="H3732" s="755"/>
      <c r="I3732" s="802"/>
      <c r="J3732" s="1620"/>
      <c r="K3732" s="1620"/>
      <c r="L3732" s="755"/>
      <c r="M3732" s="1648"/>
      <c r="N3732" s="535"/>
    </row>
    <row r="3733" spans="2:14" ht="15" customHeight="1" x14ac:dyDescent="0.25">
      <c r="B3733" s="1242"/>
      <c r="C3733" s="3819" t="s">
        <v>4394</v>
      </c>
      <c r="D3733" s="4285">
        <v>71750200</v>
      </c>
      <c r="E3733" s="880">
        <f>D3733/D3717*100</f>
        <v>5.5656962499893922E-2</v>
      </c>
      <c r="F3733" s="939"/>
      <c r="G3733" s="1109"/>
      <c r="H3733" s="1647"/>
      <c r="I3733" s="1109"/>
      <c r="J3733" s="1620"/>
      <c r="K3733" s="1109"/>
      <c r="L3733" s="1647"/>
      <c r="M3733" s="1647"/>
      <c r="N3733" s="535"/>
    </row>
    <row r="3734" spans="2:14" ht="16.5" customHeight="1" x14ac:dyDescent="0.25">
      <c r="B3734" s="1242"/>
      <c r="C3734" s="3819" t="s">
        <v>4395</v>
      </c>
      <c r="D3734" s="4285">
        <v>682550000</v>
      </c>
      <c r="E3734" s="880">
        <f>D3734/D3717*100</f>
        <v>0.52945719669495839</v>
      </c>
      <c r="F3734" s="939"/>
      <c r="G3734" s="386"/>
      <c r="H3734" s="755"/>
      <c r="I3734" s="802"/>
      <c r="J3734" s="1620"/>
      <c r="K3734" s="1620"/>
      <c r="L3734" s="755"/>
      <c r="M3734" s="1648"/>
      <c r="N3734" s="535"/>
    </row>
    <row r="3735" spans="2:14" ht="13.5" customHeight="1" x14ac:dyDescent="0.25">
      <c r="B3735" s="1242"/>
      <c r="C3735" s="3819" t="s">
        <v>4396</v>
      </c>
      <c r="D3735" s="4285">
        <v>425025500</v>
      </c>
      <c r="E3735" s="880">
        <f>D3735/D3717*100</f>
        <v>0.32969424914493151</v>
      </c>
      <c r="F3735" s="939"/>
      <c r="G3735" s="1109"/>
      <c r="H3735" s="1647"/>
      <c r="I3735" s="1109"/>
      <c r="J3735" s="1620"/>
      <c r="K3735" s="1620"/>
      <c r="L3735" s="755"/>
      <c r="M3735" s="1648"/>
      <c r="N3735" s="535"/>
    </row>
    <row r="3736" spans="2:14" x14ac:dyDescent="0.25">
      <c r="B3736" s="1242"/>
      <c r="C3736" s="3819" t="s">
        <v>4397</v>
      </c>
      <c r="D3736" s="4285">
        <v>488925500</v>
      </c>
      <c r="E3736" s="880">
        <f>D3736/D3717*100</f>
        <v>0.37926177514128023</v>
      </c>
      <c r="F3736" s="939"/>
      <c r="G3736" s="1109"/>
      <c r="H3736" s="1647"/>
      <c r="I3736" s="1109"/>
      <c r="J3736" s="1620"/>
      <c r="K3736" s="1109"/>
      <c r="L3736" s="1647"/>
      <c r="M3736" s="1647"/>
      <c r="N3736" s="535"/>
    </row>
    <row r="3737" spans="2:14" ht="16.5" customHeight="1" x14ac:dyDescent="0.25">
      <c r="B3737" s="1242"/>
      <c r="C3737" s="3819" t="s">
        <v>4402</v>
      </c>
      <c r="D3737" s="4285">
        <v>246000000</v>
      </c>
      <c r="E3737" s="880">
        <f>D3737/D3717*100</f>
        <v>0.19082333951645997</v>
      </c>
      <c r="F3737" s="939"/>
      <c r="G3737" s="1109"/>
      <c r="H3737" s="1647"/>
      <c r="I3737" s="1109"/>
      <c r="J3737" s="1620"/>
      <c r="K3737" s="1109"/>
      <c r="L3737" s="1647"/>
      <c r="M3737" s="1647"/>
      <c r="N3737" s="535"/>
    </row>
    <row r="3738" spans="2:14" ht="14.25" customHeight="1" x14ac:dyDescent="0.25">
      <c r="B3738" s="1242"/>
      <c r="C3738" s="3819" t="s">
        <v>4398</v>
      </c>
      <c r="D3738" s="4285">
        <v>205000000</v>
      </c>
      <c r="E3738" s="880">
        <f>D3738/D3717*100</f>
        <v>0.15901944959704997</v>
      </c>
      <c r="F3738" s="939"/>
      <c r="G3738" s="939"/>
      <c r="H3738" s="755"/>
      <c r="I3738" s="802"/>
      <c r="J3738" s="1620"/>
      <c r="K3738" s="1620"/>
      <c r="L3738" s="755"/>
      <c r="M3738" s="1648"/>
      <c r="N3738" s="535"/>
    </row>
    <row r="3739" spans="2:14" x14ac:dyDescent="0.25">
      <c r="B3739" s="1242"/>
      <c r="C3739" s="3819" t="s">
        <v>4403</v>
      </c>
      <c r="D3739" s="4285">
        <v>151600000</v>
      </c>
      <c r="E3739" s="880">
        <f>D3739/D3717*100</f>
        <v>0.11759682223859891</v>
      </c>
      <c r="F3739" s="939"/>
      <c r="G3739" s="386"/>
      <c r="H3739" s="755"/>
      <c r="I3739" s="802"/>
      <c r="J3739" s="1620"/>
      <c r="K3739" s="1620"/>
      <c r="L3739" s="755"/>
      <c r="M3739" s="1648"/>
      <c r="N3739" s="535"/>
    </row>
    <row r="3740" spans="2:14" ht="14.25" customHeight="1" x14ac:dyDescent="0.25">
      <c r="B3740" s="1242"/>
      <c r="C3740" s="3819" t="s">
        <v>4399</v>
      </c>
      <c r="D3740" s="4285">
        <v>52400000</v>
      </c>
      <c r="E3740" s="880">
        <f>D3740/D3717*100</f>
        <v>4.0646922726270338E-2</v>
      </c>
      <c r="F3740" s="939"/>
      <c r="G3740" s="386"/>
      <c r="H3740" s="755"/>
      <c r="I3740" s="802"/>
      <c r="J3740" s="1620"/>
      <c r="K3740" s="1620"/>
      <c r="L3740" s="755"/>
      <c r="M3740" s="1648"/>
      <c r="N3740" s="535"/>
    </row>
    <row r="3741" spans="2:14" ht="14.25" customHeight="1" x14ac:dyDescent="0.25">
      <c r="B3741" s="1242"/>
      <c r="C3741" s="3819" t="s">
        <v>4400</v>
      </c>
      <c r="D3741" s="4285">
        <v>121900000</v>
      </c>
      <c r="E3741" s="880">
        <f>D3741/D3717*100</f>
        <v>9.4558394662831169E-2</v>
      </c>
      <c r="F3741" s="939"/>
      <c r="G3741" s="939"/>
      <c r="H3741" s="755"/>
      <c r="I3741" s="802"/>
      <c r="J3741" s="1620"/>
      <c r="K3741" s="1620"/>
      <c r="L3741" s="755"/>
      <c r="M3741" s="1648"/>
      <c r="N3741" s="535"/>
    </row>
    <row r="3742" spans="2:14" ht="14.25" customHeight="1" x14ac:dyDescent="0.25">
      <c r="B3742" s="1242"/>
      <c r="C3742" s="3819" t="s">
        <v>4404</v>
      </c>
      <c r="D3742" s="4285">
        <v>90200000</v>
      </c>
      <c r="E3742" s="880">
        <f>D3742/D3717*100</f>
        <v>6.9968557822701991E-2</v>
      </c>
      <c r="F3742" s="939"/>
      <c r="G3742" s="939"/>
      <c r="H3742" s="755"/>
      <c r="I3742" s="802"/>
      <c r="J3742" s="1620"/>
      <c r="K3742" s="1620"/>
      <c r="L3742" s="755"/>
      <c r="M3742" s="1648"/>
      <c r="N3742" s="535"/>
    </row>
    <row r="3743" spans="2:14" ht="14.25" customHeight="1" x14ac:dyDescent="0.25">
      <c r="B3743" s="1242"/>
      <c r="C3743" s="3819" t="s">
        <v>4405</v>
      </c>
      <c r="D3743" s="4285">
        <v>38500000</v>
      </c>
      <c r="E3743" s="880">
        <f>D3743/D3717*100</f>
        <v>2.9864628338958161E-2</v>
      </c>
      <c r="F3743" s="939"/>
      <c r="G3743" s="1109"/>
      <c r="H3743" s="1647"/>
      <c r="I3743" s="1109"/>
      <c r="J3743" s="1620"/>
      <c r="K3743" s="1620"/>
      <c r="L3743" s="755"/>
      <c r="M3743" s="1648"/>
      <c r="N3743" s="535"/>
    </row>
    <row r="3744" spans="2:14" ht="14.25" customHeight="1" x14ac:dyDescent="0.25">
      <c r="B3744" s="1242"/>
      <c r="C3744" s="3819" t="s">
        <v>4406</v>
      </c>
      <c r="D3744" s="4285">
        <v>223307000</v>
      </c>
      <c r="E3744" s="880">
        <f>D3744/D3717*100</f>
        <v>0.1732202742983826</v>
      </c>
      <c r="F3744" s="939"/>
      <c r="G3744" s="1109"/>
      <c r="H3744" s="1647"/>
      <c r="I3744" s="1109"/>
      <c r="J3744" s="1620"/>
      <c r="K3744" s="1620"/>
      <c r="L3744" s="755"/>
      <c r="M3744" s="1648"/>
      <c r="N3744" s="535"/>
    </row>
    <row r="3745" spans="1:16" ht="15.75" customHeight="1" x14ac:dyDescent="0.25">
      <c r="B3745" s="1242"/>
      <c r="C3745" s="3819" t="s">
        <v>4407</v>
      </c>
      <c r="D3745" s="4285">
        <v>179460100</v>
      </c>
      <c r="E3745" s="880">
        <f>D3745/D3717*100</f>
        <v>0.13920803086161729</v>
      </c>
      <c r="F3745" s="939"/>
      <c r="G3745" s="1109"/>
      <c r="H3745" s="1647"/>
      <c r="I3745" s="1109"/>
      <c r="J3745" s="1620"/>
      <c r="K3745" s="1620"/>
      <c r="L3745" s="755"/>
      <c r="M3745" s="1648"/>
      <c r="N3745" s="535"/>
    </row>
    <row r="3746" spans="1:16" ht="18.75" customHeight="1" x14ac:dyDescent="0.25">
      <c r="B3746" s="1242"/>
      <c r="C3746" s="3819" t="s">
        <v>4401</v>
      </c>
      <c r="D3746" s="4285">
        <v>4998076200</v>
      </c>
      <c r="E3746" s="880">
        <f>D3746/D3717*100</f>
        <v>3.8770308603322685</v>
      </c>
      <c r="F3746" s="838"/>
      <c r="G3746" s="389"/>
      <c r="H3746" s="730"/>
      <c r="I3746" s="389"/>
      <c r="J3746" s="1948"/>
      <c r="K3746" s="1987"/>
      <c r="L3746" s="2508"/>
      <c r="M3746" s="1648"/>
      <c r="N3746" s="535"/>
    </row>
    <row r="3747" spans="1:16" s="3627" customFormat="1" ht="12.75" customHeight="1" x14ac:dyDescent="0.25">
      <c r="A3747" s="3618"/>
      <c r="B3747" s="3623"/>
      <c r="C3747" s="3860"/>
      <c r="D3747" s="666"/>
      <c r="E3747" s="880"/>
      <c r="F3747" s="838"/>
      <c r="G3747" s="3665"/>
      <c r="H3747" s="3666"/>
      <c r="I3747" s="3665"/>
      <c r="J3747" s="2340"/>
      <c r="K3747" s="1953"/>
      <c r="L3747" s="2555"/>
      <c r="M3747" s="1648"/>
      <c r="N3747" s="3619"/>
      <c r="P3747" s="500"/>
    </row>
    <row r="3748" spans="1:16" ht="15.75" customHeight="1" x14ac:dyDescent="0.25">
      <c r="B3748" s="1242"/>
      <c r="C3748" s="3882" t="s">
        <v>809</v>
      </c>
      <c r="D3748" s="768">
        <f>SUM(D3749:D3749)</f>
        <v>115850000</v>
      </c>
      <c r="E3748" s="1415">
        <f>D3748/D3717*100</f>
        <v>8.9865381638137745E-2</v>
      </c>
      <c r="F3748" s="753"/>
      <c r="G3748" s="1110"/>
      <c r="H3748" s="1646"/>
      <c r="I3748" s="1110"/>
      <c r="J3748" s="1945"/>
      <c r="K3748" s="1945"/>
      <c r="L3748" s="1308"/>
      <c r="M3748" s="1706"/>
      <c r="N3748" s="535"/>
    </row>
    <row r="3749" spans="1:16" ht="15.75" customHeight="1" x14ac:dyDescent="0.25">
      <c r="B3749" s="1242"/>
      <c r="C3749" s="3860" t="s">
        <v>4408</v>
      </c>
      <c r="D3749" s="666">
        <v>115850000</v>
      </c>
      <c r="E3749" s="880">
        <f>D3749/D3717*100</f>
        <v>8.9865381638137745E-2</v>
      </c>
      <c r="F3749" s="939"/>
      <c r="G3749" s="1109"/>
      <c r="H3749" s="1647"/>
      <c r="I3749" s="1109"/>
      <c r="J3749" s="1621"/>
      <c r="K3749" s="1621"/>
      <c r="L3749" s="755"/>
      <c r="M3749" s="1648"/>
      <c r="N3749" s="535"/>
    </row>
    <row r="3750" spans="1:16" ht="12" customHeight="1" x14ac:dyDescent="0.25">
      <c r="B3750" s="1242"/>
      <c r="C3750" s="3861"/>
      <c r="D3750" s="868"/>
      <c r="E3750" s="1443"/>
      <c r="F3750" s="835"/>
      <c r="G3750" s="788"/>
      <c r="H3750" s="2234"/>
      <c r="I3750" s="1651"/>
      <c r="J3750" s="2340"/>
      <c r="K3750" s="2279"/>
      <c r="L3750" s="2175"/>
      <c r="M3750" s="2175"/>
      <c r="N3750" s="535"/>
    </row>
    <row r="3751" spans="1:16" ht="16.5" customHeight="1" x14ac:dyDescent="0.25">
      <c r="B3751" s="1305"/>
      <c r="C3751" s="3858" t="s">
        <v>248</v>
      </c>
      <c r="D3751" s="669">
        <f>SUM(D3752+D3755+D3758+D3763+D3766+D3770+D3773+D3777+D3780)</f>
        <v>14050363139</v>
      </c>
      <c r="E3751" s="1462">
        <f>D3751/D3717*100</f>
        <v>10.898931770743705</v>
      </c>
      <c r="F3751" s="832"/>
      <c r="G3751" s="832"/>
      <c r="H3751" s="1306"/>
      <c r="I3751" s="1645"/>
      <c r="J3751" s="1813"/>
      <c r="K3751" s="1813"/>
      <c r="L3751" s="1306"/>
      <c r="M3751" s="1307"/>
      <c r="N3751" s="535"/>
    </row>
    <row r="3752" spans="1:16" ht="18" customHeight="1" x14ac:dyDescent="0.25">
      <c r="B3752" s="1242"/>
      <c r="C3752" s="3854" t="s">
        <v>810</v>
      </c>
      <c r="D3752" s="3143">
        <f>SUM(D3753)</f>
        <v>10557150000</v>
      </c>
      <c r="E3752" s="1461">
        <f>D3752/D3717*100</f>
        <v>8.1892301576268096</v>
      </c>
      <c r="F3752" s="1115"/>
      <c r="G3752" s="1115"/>
      <c r="H3752" s="1308"/>
      <c r="I3752" s="1309"/>
      <c r="J3752" s="1946"/>
      <c r="K3752" s="1946"/>
      <c r="L3752" s="1308"/>
      <c r="M3752" s="1659"/>
      <c r="N3752" s="535"/>
    </row>
    <row r="3753" spans="1:16" ht="15.75" customHeight="1" x14ac:dyDescent="0.25">
      <c r="B3753" s="1242"/>
      <c r="C3753" s="3860" t="s">
        <v>811</v>
      </c>
      <c r="D3753" s="666">
        <v>10557150000</v>
      </c>
      <c r="E3753" s="880">
        <f>D3753/D3717*100</f>
        <v>8.1892301576268096</v>
      </c>
      <c r="F3753" s="939"/>
      <c r="G3753" s="666"/>
      <c r="H3753" s="755"/>
      <c r="I3753" s="1111"/>
      <c r="J3753" s="1625"/>
      <c r="K3753" s="1625"/>
      <c r="L3753" s="755"/>
      <c r="M3753" s="1312"/>
      <c r="N3753" s="535"/>
    </row>
    <row r="3754" spans="1:16" ht="12" customHeight="1" x14ac:dyDescent="0.25">
      <c r="B3754" s="1242"/>
      <c r="C3754" s="3860"/>
      <c r="D3754" s="666"/>
      <c r="E3754" s="1463"/>
      <c r="F3754" s="838"/>
      <c r="G3754" s="894"/>
      <c r="H3754" s="755"/>
      <c r="I3754" s="1314"/>
      <c r="J3754" s="1948"/>
      <c r="K3754" s="2269"/>
      <c r="L3754" s="1311"/>
      <c r="M3754" s="1311"/>
      <c r="N3754" s="535"/>
    </row>
    <row r="3755" spans="1:16" ht="14.25" customHeight="1" x14ac:dyDescent="0.25">
      <c r="B3755" s="1242"/>
      <c r="C3755" s="3882" t="s">
        <v>290</v>
      </c>
      <c r="D3755" s="673">
        <f>SUM(D3756:D3756)</f>
        <v>899992139</v>
      </c>
      <c r="E3755" s="1415">
        <f>D3755/D3717*100</f>
        <v>0.6981280711485448</v>
      </c>
      <c r="F3755" s="839"/>
      <c r="G3755" s="839"/>
      <c r="H3755" s="753"/>
      <c r="I3755" s="1316"/>
      <c r="J3755" s="1822"/>
      <c r="K3755" s="1822"/>
      <c r="L3755" s="1308"/>
      <c r="M3755" s="1650"/>
      <c r="N3755" s="535"/>
    </row>
    <row r="3756" spans="1:16" ht="15" customHeight="1" x14ac:dyDescent="0.25">
      <c r="B3756" s="1242"/>
      <c r="C3756" s="3860" t="s">
        <v>4409</v>
      </c>
      <c r="D3756" s="666">
        <v>899992139</v>
      </c>
      <c r="E3756" s="880">
        <f>D3756/D3717*100</f>
        <v>0.6981280711485448</v>
      </c>
      <c r="F3756" s="939"/>
      <c r="G3756" s="939"/>
      <c r="H3756" s="755"/>
      <c r="I3756" s="804"/>
      <c r="J3756" s="1626"/>
      <c r="K3756" s="1626"/>
      <c r="L3756" s="755"/>
      <c r="M3756" s="1649"/>
      <c r="N3756" s="535"/>
    </row>
    <row r="3757" spans="1:16" ht="10.5" customHeight="1" x14ac:dyDescent="0.25">
      <c r="B3757" s="1242"/>
      <c r="C3757" s="3860"/>
      <c r="D3757" s="666"/>
      <c r="E3757" s="1463"/>
      <c r="F3757" s="838"/>
      <c r="G3757" s="894"/>
      <c r="H3757" s="2335"/>
      <c r="I3757" s="1314"/>
      <c r="J3757" s="1948"/>
      <c r="K3757" s="2269"/>
      <c r="L3757" s="1311"/>
      <c r="M3757" s="1311"/>
      <c r="N3757" s="535"/>
    </row>
    <row r="3758" spans="1:16" ht="14.25" customHeight="1" x14ac:dyDescent="0.25">
      <c r="B3758" s="1242"/>
      <c r="C3758" s="3938" t="s">
        <v>813</v>
      </c>
      <c r="D3758" s="768">
        <f>SUM(D3759:D3761)</f>
        <v>576550000</v>
      </c>
      <c r="E3758" s="1415">
        <f>D3758/D3717*100</f>
        <v>0.44723250568380074</v>
      </c>
      <c r="F3758" s="753"/>
      <c r="G3758" s="753"/>
      <c r="H3758" s="753"/>
      <c r="I3758" s="1316"/>
      <c r="J3758" s="1772"/>
      <c r="K3758" s="1772"/>
      <c r="L3758" s="1308"/>
      <c r="M3758" s="1650"/>
      <c r="N3758" s="535"/>
    </row>
    <row r="3759" spans="1:16" ht="15.75" customHeight="1" x14ac:dyDescent="0.25">
      <c r="B3759" s="1242"/>
      <c r="C3759" s="3860" t="s">
        <v>814</v>
      </c>
      <c r="D3759" s="666">
        <v>166000000</v>
      </c>
      <c r="E3759" s="880">
        <f>D3759/D3717*100</f>
        <v>0.12876696894200143</v>
      </c>
      <c r="F3759" s="939"/>
      <c r="G3759" s="838"/>
      <c r="H3759" s="755"/>
      <c r="I3759" s="1111"/>
      <c r="J3759" s="1627"/>
      <c r="K3759" s="1627"/>
      <c r="L3759" s="755"/>
      <c r="M3759" s="1312"/>
      <c r="N3759" s="535"/>
    </row>
    <row r="3760" spans="1:16" ht="17.25" customHeight="1" x14ac:dyDescent="0.25">
      <c r="B3760" s="1242"/>
      <c r="C3760" s="3874" t="s">
        <v>4410</v>
      </c>
      <c r="D3760" s="1846">
        <v>73050000</v>
      </c>
      <c r="E3760" s="880">
        <f>D3760/D3717*100</f>
        <v>5.6665223380802446E-2</v>
      </c>
      <c r="F3760" s="386"/>
      <c r="G3760" s="666"/>
      <c r="H3760" s="755"/>
      <c r="I3760" s="1111"/>
      <c r="J3760" s="1627"/>
      <c r="K3760" s="1627"/>
      <c r="L3760" s="755"/>
      <c r="M3760" s="1312"/>
      <c r="N3760" s="535"/>
    </row>
    <row r="3761" spans="1:16" ht="15.75" customHeight="1" x14ac:dyDescent="0.25">
      <c r="B3761" s="1242"/>
      <c r="C3761" s="3860" t="s">
        <v>815</v>
      </c>
      <c r="D3761" s="666">
        <v>337500000</v>
      </c>
      <c r="E3761" s="880">
        <f>D3761/D3717*100</f>
        <v>0.26180031336099691</v>
      </c>
      <c r="F3761" s="838"/>
      <c r="G3761" s="894"/>
      <c r="H3761" s="2335"/>
      <c r="I3761" s="1314"/>
      <c r="J3761" s="1948"/>
      <c r="K3761" s="2269"/>
      <c r="L3761" s="1311"/>
      <c r="M3761" s="1311"/>
      <c r="N3761" s="535"/>
    </row>
    <row r="3762" spans="1:16" s="3627" customFormat="1" ht="12" customHeight="1" x14ac:dyDescent="0.25">
      <c r="A3762" s="3618"/>
      <c r="B3762" s="3623"/>
      <c r="C3762" s="3860"/>
      <c r="D3762" s="666"/>
      <c r="E3762" s="1463"/>
      <c r="F3762" s="838"/>
      <c r="G3762" s="894"/>
      <c r="H3762" s="2335"/>
      <c r="I3762" s="1314"/>
      <c r="J3762" s="1948"/>
      <c r="K3762" s="2269"/>
      <c r="L3762" s="1311"/>
      <c r="M3762" s="1311"/>
      <c r="N3762" s="3619"/>
      <c r="P3762" s="500"/>
    </row>
    <row r="3763" spans="1:16" ht="15.75" customHeight="1" x14ac:dyDescent="0.25">
      <c r="B3763" s="1242"/>
      <c r="C3763" s="3882" t="s">
        <v>4411</v>
      </c>
      <c r="D3763" s="673">
        <f>D3764</f>
        <v>366400000</v>
      </c>
      <c r="E3763" s="1415">
        <f>D3763/D3717*100</f>
        <v>0.28421817723102</v>
      </c>
      <c r="F3763" s="839"/>
      <c r="G3763" s="839"/>
      <c r="H3763" s="753"/>
      <c r="I3763" s="1316"/>
      <c r="J3763" s="1381"/>
      <c r="K3763" s="1381"/>
      <c r="L3763" s="1308"/>
      <c r="M3763" s="1308"/>
      <c r="N3763" s="535"/>
    </row>
    <row r="3764" spans="1:16" ht="16.5" customHeight="1" x14ac:dyDescent="0.25">
      <c r="B3764" s="1242"/>
      <c r="C3764" s="3860" t="s">
        <v>4412</v>
      </c>
      <c r="D3764" s="666">
        <v>366400000</v>
      </c>
      <c r="E3764" s="880">
        <f>D3764/D3717*100</f>
        <v>0.28421817723102</v>
      </c>
      <c r="F3764" s="939"/>
      <c r="G3764" s="939"/>
      <c r="H3764" s="755"/>
      <c r="I3764" s="1111"/>
      <c r="J3764" s="1628"/>
      <c r="K3764" s="1628"/>
      <c r="L3764" s="755"/>
      <c r="M3764" s="755"/>
      <c r="N3764" s="535"/>
    </row>
    <row r="3765" spans="1:16" ht="10.5" customHeight="1" x14ac:dyDescent="0.25">
      <c r="B3765" s="1242"/>
      <c r="C3765" s="3882"/>
      <c r="D3765" s="666"/>
      <c r="E3765" s="1463"/>
      <c r="F3765" s="838"/>
      <c r="G3765" s="894"/>
      <c r="H3765" s="1310"/>
      <c r="I3765" s="1111"/>
      <c r="J3765" s="2269"/>
      <c r="K3765" s="2269"/>
      <c r="L3765" s="1312"/>
      <c r="M3765" s="1312"/>
      <c r="N3765" s="535"/>
    </row>
    <row r="3766" spans="1:16" ht="17.25" customHeight="1" x14ac:dyDescent="0.25">
      <c r="B3766" s="1242"/>
      <c r="C3766" s="3938" t="s">
        <v>817</v>
      </c>
      <c r="D3766" s="768">
        <f>SUM(D3767:D3768)</f>
        <v>444215000</v>
      </c>
      <c r="E3766" s="1415">
        <f>D3766/D3717*100</f>
        <v>0.34457963318416368</v>
      </c>
      <c r="F3766" s="753"/>
      <c r="G3766" s="753"/>
      <c r="H3766" s="753"/>
      <c r="I3766" s="1316"/>
      <c r="J3766" s="1772"/>
      <c r="K3766" s="1772"/>
      <c r="L3766" s="1308"/>
      <c r="M3766" s="1308"/>
      <c r="N3766" s="535"/>
    </row>
    <row r="3767" spans="1:16" ht="14.25" customHeight="1" x14ac:dyDescent="0.25">
      <c r="B3767" s="1242"/>
      <c r="C3767" s="3860" t="s">
        <v>4413</v>
      </c>
      <c r="D3767" s="666">
        <v>71550000</v>
      </c>
      <c r="E3767" s="880">
        <f>D3767/D3717*100</f>
        <v>5.5501666432531335E-2</v>
      </c>
      <c r="F3767" s="939"/>
      <c r="G3767" s="666"/>
      <c r="H3767" s="755"/>
      <c r="I3767" s="1111"/>
      <c r="J3767" s="1629"/>
      <c r="K3767" s="1629"/>
      <c r="L3767" s="755"/>
      <c r="M3767" s="755"/>
      <c r="N3767" s="535"/>
    </row>
    <row r="3768" spans="1:16" ht="13.5" customHeight="1" x14ac:dyDescent="0.25">
      <c r="B3768" s="1242"/>
      <c r="C3768" s="3860" t="s">
        <v>819</v>
      </c>
      <c r="D3768" s="666">
        <v>372665000</v>
      </c>
      <c r="E3768" s="880">
        <f>D3768/D3717*100</f>
        <v>0.28907796675163233</v>
      </c>
      <c r="F3768" s="939"/>
      <c r="G3768" s="666"/>
      <c r="H3768" s="755"/>
      <c r="I3768" s="1111"/>
      <c r="J3768" s="1629"/>
      <c r="K3768" s="1629"/>
      <c r="L3768" s="755"/>
      <c r="M3768" s="755"/>
      <c r="N3768" s="535"/>
    </row>
    <row r="3769" spans="1:16" ht="11.25" customHeight="1" x14ac:dyDescent="0.25">
      <c r="B3769" s="1242"/>
      <c r="C3769" s="3860"/>
      <c r="D3769" s="666"/>
      <c r="E3769" s="1463"/>
      <c r="F3769" s="939"/>
      <c r="G3769" s="666"/>
      <c r="H3769" s="1310"/>
      <c r="I3769" s="1111"/>
      <c r="J3769" s="1948"/>
      <c r="K3769" s="2373"/>
      <c r="L3769" s="1312"/>
      <c r="M3769" s="1312"/>
      <c r="N3769" s="535"/>
    </row>
    <row r="3770" spans="1:16" ht="18" customHeight="1" x14ac:dyDescent="0.25">
      <c r="B3770" s="1242"/>
      <c r="C3770" s="3938" t="s">
        <v>4385</v>
      </c>
      <c r="D3770" s="768">
        <f>SUM(D3771:D3771)</f>
        <v>238200000</v>
      </c>
      <c r="E3770" s="1415">
        <f>D3770/D3717*100</f>
        <v>0.18477284338545025</v>
      </c>
      <c r="F3770" s="753"/>
      <c r="G3770" s="1110"/>
      <c r="H3770" s="1646"/>
      <c r="I3770" s="1110"/>
      <c r="J3770" s="1110"/>
      <c r="K3770" s="1110"/>
      <c r="L3770" s="1110"/>
      <c r="M3770" s="1110"/>
      <c r="N3770" s="535"/>
    </row>
    <row r="3771" spans="1:16" ht="13.5" customHeight="1" x14ac:dyDescent="0.25">
      <c r="B3771" s="1242"/>
      <c r="C3771" s="3917" t="s">
        <v>4386</v>
      </c>
      <c r="D3771" s="780">
        <v>238200000</v>
      </c>
      <c r="E3771" s="880">
        <f>D3771/D3717*100</f>
        <v>0.18477284338545025</v>
      </c>
      <c r="F3771" s="755"/>
      <c r="G3771" s="1109"/>
      <c r="H3771" s="1647"/>
      <c r="I3771" s="1109"/>
      <c r="J3771" s="1109"/>
      <c r="K3771" s="1109"/>
      <c r="L3771" s="1109"/>
      <c r="M3771" s="1109"/>
      <c r="N3771" s="535"/>
    </row>
    <row r="3772" spans="1:16" ht="10.5" customHeight="1" x14ac:dyDescent="0.25">
      <c r="B3772" s="1242"/>
      <c r="C3772" s="3860"/>
      <c r="D3772" s="666"/>
      <c r="E3772" s="1415"/>
      <c r="F3772" s="939"/>
      <c r="G3772" s="533"/>
      <c r="H3772" s="731"/>
      <c r="I3772" s="533"/>
      <c r="J3772" s="1988"/>
      <c r="K3772" s="2509"/>
      <c r="L3772" s="2264"/>
      <c r="M3772" s="2264"/>
      <c r="N3772" s="535"/>
    </row>
    <row r="3773" spans="1:16" ht="14.25" customHeight="1" x14ac:dyDescent="0.25">
      <c r="B3773" s="1242"/>
      <c r="C3773" s="3938" t="s">
        <v>4414</v>
      </c>
      <c r="D3773" s="768">
        <f>SUM(D3774:D3775)</f>
        <v>596481000</v>
      </c>
      <c r="E3773" s="1415">
        <f>D3773/D3717*100</f>
        <v>0.46269307470779497</v>
      </c>
      <c r="F3773" s="753"/>
      <c r="G3773" s="1110"/>
      <c r="H3773" s="1646"/>
      <c r="I3773" s="1110"/>
      <c r="J3773" s="1772"/>
      <c r="K3773" s="1772"/>
      <c r="L3773" s="1308"/>
      <c r="M3773" s="2264"/>
      <c r="N3773" s="535"/>
    </row>
    <row r="3774" spans="1:16" ht="14.25" customHeight="1" x14ac:dyDescent="0.25">
      <c r="B3774" s="1242"/>
      <c r="C3774" s="3860" t="s">
        <v>4415</v>
      </c>
      <c r="D3774" s="666">
        <v>241385000</v>
      </c>
      <c r="E3774" s="880">
        <f>D3774/D3717*100</f>
        <v>0.1872434626389459</v>
      </c>
      <c r="F3774" s="939"/>
      <c r="G3774" s="1109"/>
      <c r="H3774" s="1647"/>
      <c r="I3774" s="1109"/>
      <c r="J3774" s="1630"/>
      <c r="K3774" s="1630"/>
      <c r="L3774" s="755"/>
      <c r="M3774" s="1649"/>
      <c r="N3774" s="535"/>
    </row>
    <row r="3775" spans="1:16" ht="15.75" customHeight="1" x14ac:dyDescent="0.25">
      <c r="B3775" s="1242"/>
      <c r="C3775" s="3860" t="s">
        <v>4416</v>
      </c>
      <c r="D3775" s="666">
        <v>355096000</v>
      </c>
      <c r="E3775" s="880">
        <f>D3775/D3717*100</f>
        <v>0.27544961206884905</v>
      </c>
      <c r="F3775" s="939"/>
      <c r="G3775" s="1109"/>
      <c r="H3775" s="1647"/>
      <c r="I3775" s="1109"/>
      <c r="J3775" s="1109"/>
      <c r="K3775" s="1109"/>
      <c r="L3775" s="1109"/>
      <c r="M3775" s="1109"/>
      <c r="N3775" s="535"/>
    </row>
    <row r="3776" spans="1:16" ht="12" customHeight="1" x14ac:dyDescent="0.25">
      <c r="B3776" s="1242"/>
      <c r="C3776" s="3893"/>
      <c r="D3776" s="671"/>
      <c r="E3776" s="880"/>
      <c r="F3776" s="788"/>
      <c r="G3776" s="788"/>
      <c r="H3776" s="2234"/>
      <c r="I3776" s="1651"/>
      <c r="J3776" s="2285"/>
      <c r="K3776" s="2285"/>
      <c r="L3776" s="2175"/>
      <c r="M3776" s="2175"/>
      <c r="N3776" s="535"/>
    </row>
    <row r="3777" spans="1:16" s="3627" customFormat="1" ht="19.5" customHeight="1" x14ac:dyDescent="0.25">
      <c r="A3777" s="3618"/>
      <c r="B3777" s="3623"/>
      <c r="C3777" s="3882" t="s">
        <v>4417</v>
      </c>
      <c r="D3777" s="673">
        <f>D3778</f>
        <v>239615000</v>
      </c>
      <c r="E3777" s="1415">
        <f>D3777/D3717*100</f>
        <v>0.18587046543998598</v>
      </c>
      <c r="F3777" s="894"/>
      <c r="G3777" s="894"/>
      <c r="H3777" s="1463"/>
      <c r="I3777" s="894"/>
      <c r="J3777" s="1315"/>
      <c r="K3777" s="1315"/>
      <c r="L3777" s="1315"/>
      <c r="M3777" s="1315"/>
      <c r="N3777" s="3619"/>
      <c r="P3777" s="500"/>
    </row>
    <row r="3778" spans="1:16" s="3627" customFormat="1" ht="12.75" customHeight="1" x14ac:dyDescent="0.25">
      <c r="A3778" s="3618"/>
      <c r="B3778" s="3623"/>
      <c r="C3778" s="3860" t="s">
        <v>4418</v>
      </c>
      <c r="D3778" s="666">
        <v>239615000</v>
      </c>
      <c r="E3778" s="880">
        <f>D3778/D3717*100</f>
        <v>0.18587046543998598</v>
      </c>
      <c r="F3778" s="894"/>
      <c r="G3778" s="894"/>
      <c r="H3778" s="1463"/>
      <c r="I3778" s="894"/>
      <c r="J3778" s="1315"/>
      <c r="K3778" s="1315"/>
      <c r="L3778" s="1315"/>
      <c r="M3778" s="1315"/>
      <c r="N3778" s="3619"/>
      <c r="P3778" s="500"/>
    </row>
    <row r="3779" spans="1:16" s="3627" customFormat="1" ht="12" customHeight="1" x14ac:dyDescent="0.25">
      <c r="A3779" s="3618"/>
      <c r="B3779" s="3623"/>
      <c r="C3779" s="3882"/>
      <c r="D3779" s="666"/>
      <c r="E3779" s="880"/>
      <c r="F3779" s="894"/>
      <c r="G3779" s="894"/>
      <c r="H3779" s="1463"/>
      <c r="I3779" s="894"/>
      <c r="J3779" s="1315"/>
      <c r="K3779" s="1315"/>
      <c r="L3779" s="1315"/>
      <c r="M3779" s="1315"/>
      <c r="N3779" s="3619"/>
      <c r="P3779" s="500"/>
    </row>
    <row r="3780" spans="1:16" s="3627" customFormat="1" ht="20.25" customHeight="1" x14ac:dyDescent="0.25">
      <c r="A3780" s="3618"/>
      <c r="B3780" s="3623"/>
      <c r="C3780" s="3882" t="s">
        <v>4419</v>
      </c>
      <c r="D3780" s="673">
        <f>D3781</f>
        <v>131760000</v>
      </c>
      <c r="E3780" s="1415">
        <f>D3780/D3717*100</f>
        <v>0.10220684233613318</v>
      </c>
      <c r="F3780" s="894"/>
      <c r="G3780" s="894"/>
      <c r="H3780" s="1463"/>
      <c r="I3780" s="894"/>
      <c r="J3780" s="1315"/>
      <c r="K3780" s="1315"/>
      <c r="L3780" s="1315"/>
      <c r="M3780" s="1315"/>
      <c r="N3780" s="3619"/>
      <c r="P3780" s="500"/>
    </row>
    <row r="3781" spans="1:16" s="3627" customFormat="1" ht="27" customHeight="1" x14ac:dyDescent="0.25">
      <c r="A3781" s="3618"/>
      <c r="B3781" s="3623"/>
      <c r="C3781" s="3860" t="s">
        <v>4420</v>
      </c>
      <c r="D3781" s="666">
        <v>131760000</v>
      </c>
      <c r="E3781" s="880">
        <f>D3781/D3717*100</f>
        <v>0.10220684233613318</v>
      </c>
      <c r="F3781" s="894"/>
      <c r="G3781" s="894"/>
      <c r="H3781" s="1463"/>
      <c r="I3781" s="894"/>
      <c r="J3781" s="1315"/>
      <c r="K3781" s="1315"/>
      <c r="L3781" s="1315"/>
      <c r="M3781" s="1315"/>
      <c r="N3781" s="3619"/>
      <c r="P3781" s="500"/>
    </row>
    <row r="3782" spans="1:16" s="3627" customFormat="1" ht="12" customHeight="1" x14ac:dyDescent="0.25">
      <c r="A3782" s="3618"/>
      <c r="B3782" s="3623"/>
      <c r="C3782" s="3668"/>
      <c r="D3782" s="671"/>
      <c r="E3782" s="1393"/>
      <c r="F3782" s="969"/>
      <c r="G3782" s="969"/>
      <c r="H3782" s="2346"/>
      <c r="I3782" s="791"/>
      <c r="J3782" s="2279"/>
      <c r="K3782" s="2279"/>
      <c r="L3782" s="2182"/>
      <c r="M3782" s="2182"/>
      <c r="N3782" s="3619"/>
      <c r="P3782" s="500"/>
    </row>
    <row r="3783" spans="1:16" ht="18" customHeight="1" x14ac:dyDescent="0.25">
      <c r="B3783" s="1305"/>
      <c r="C3783" s="4043" t="s">
        <v>243</v>
      </c>
      <c r="D3783" s="669">
        <f>SUM(D3784+D3787+D3790+D3793+D3797)</f>
        <v>14018250710</v>
      </c>
      <c r="E3783" s="1462">
        <f>D3783/D3717*100</f>
        <v>10.874022010817828</v>
      </c>
      <c r="F3783" s="3529"/>
      <c r="G3783" s="832"/>
      <c r="H3783" s="1306"/>
      <c r="I3783" s="807"/>
      <c r="J3783" s="1813"/>
      <c r="K3783" s="1813"/>
      <c r="L3783" s="1306"/>
      <c r="M3783" s="1656"/>
      <c r="N3783" s="535"/>
    </row>
    <row r="3784" spans="1:16" ht="16.5" customHeight="1" x14ac:dyDescent="0.25">
      <c r="B3784" s="1242"/>
      <c r="C3784" s="3854" t="s">
        <v>4421</v>
      </c>
      <c r="D3784" s="3143">
        <f>D3785</f>
        <v>4830000000</v>
      </c>
      <c r="E3784" s="1461">
        <f>D3784/D3717*100</f>
        <v>3.7466533734329337</v>
      </c>
      <c r="F3784" s="1115"/>
      <c r="G3784" s="1115"/>
      <c r="H3784" s="1308"/>
      <c r="I3784" s="793"/>
      <c r="J3784" s="1947"/>
      <c r="K3784" s="1947"/>
      <c r="L3784" s="1308"/>
      <c r="M3784" s="2264"/>
      <c r="N3784" s="535"/>
    </row>
    <row r="3785" spans="1:16" ht="31.5" customHeight="1" x14ac:dyDescent="0.25">
      <c r="B3785" s="1242"/>
      <c r="C3785" s="3874" t="s">
        <v>4422</v>
      </c>
      <c r="D3785" s="1846">
        <v>4830000000</v>
      </c>
      <c r="E3785" s="880">
        <f>D3785/D3717*100</f>
        <v>3.7466533734329337</v>
      </c>
      <c r="F3785" s="389"/>
      <c r="G3785" s="386"/>
      <c r="H3785" s="755"/>
      <c r="I3785" s="755"/>
      <c r="J3785" s="1631"/>
      <c r="K3785" s="1631"/>
      <c r="L3785" s="755"/>
      <c r="M3785" s="1649"/>
      <c r="N3785" s="535"/>
    </row>
    <row r="3786" spans="1:16" ht="11.25" customHeight="1" x14ac:dyDescent="0.25">
      <c r="B3786" s="1242"/>
      <c r="C3786" s="3991"/>
      <c r="D3786" s="1849"/>
      <c r="E3786" s="880"/>
      <c r="F3786" s="532"/>
      <c r="G3786" s="389"/>
      <c r="H3786" s="755"/>
      <c r="I3786" s="755"/>
      <c r="J3786" s="1948"/>
      <c r="K3786" s="2510"/>
      <c r="L3786" s="2508"/>
      <c r="M3786" s="1649"/>
      <c r="N3786" s="535"/>
    </row>
    <row r="3787" spans="1:16" ht="15.75" customHeight="1" x14ac:dyDescent="0.25">
      <c r="B3787" s="1242"/>
      <c r="C3787" s="3854" t="s">
        <v>4423</v>
      </c>
      <c r="D3787" s="768">
        <f>SUM(D3788:D3788)</f>
        <v>230660710</v>
      </c>
      <c r="E3787" s="1415">
        <f>D3787/D3717*100</f>
        <v>0.17892458120909638</v>
      </c>
      <c r="F3787" s="753"/>
      <c r="G3787" s="753"/>
      <c r="H3787" s="1308"/>
      <c r="I3787" s="1415"/>
      <c r="J3787" s="1772"/>
      <c r="K3787" s="1772"/>
      <c r="L3787" s="1308"/>
      <c r="M3787" s="1704"/>
      <c r="N3787" s="535"/>
    </row>
    <row r="3788" spans="1:16" ht="27.75" customHeight="1" x14ac:dyDescent="0.25">
      <c r="B3788" s="1242"/>
      <c r="C3788" s="3856" t="s">
        <v>4424</v>
      </c>
      <c r="D3788" s="1856">
        <v>230660710</v>
      </c>
      <c r="E3788" s="880">
        <f>D3788/D3717*100</f>
        <v>0.17892458120909638</v>
      </c>
      <c r="F3788" s="668"/>
      <c r="G3788" s="386"/>
      <c r="H3788" s="755"/>
      <c r="I3788" s="755"/>
      <c r="J3788" s="1632"/>
      <c r="K3788" s="1632"/>
      <c r="L3788" s="755"/>
      <c r="M3788" s="1649"/>
      <c r="N3788" s="535"/>
    </row>
    <row r="3789" spans="1:16" ht="11.25" customHeight="1" x14ac:dyDescent="0.25">
      <c r="B3789" s="1242"/>
      <c r="C3789" s="3986"/>
      <c r="D3789" s="809"/>
      <c r="E3789" s="1463"/>
      <c r="F3789" s="849"/>
      <c r="G3789" s="389"/>
      <c r="H3789" s="755"/>
      <c r="I3789" s="755"/>
      <c r="J3789" s="2510"/>
      <c r="K3789" s="2510"/>
      <c r="L3789" s="1716"/>
      <c r="M3789" s="1649"/>
      <c r="N3789" s="535"/>
    </row>
    <row r="3790" spans="1:16" ht="14.25" customHeight="1" x14ac:dyDescent="0.25">
      <c r="B3790" s="1242"/>
      <c r="C3790" s="3854" t="s">
        <v>1884</v>
      </c>
      <c r="D3790" s="768">
        <f>D3791</f>
        <v>2053480000</v>
      </c>
      <c r="E3790" s="1415">
        <f>D3790/D3717*100</f>
        <v>1.5928939480904885</v>
      </c>
      <c r="F3790" s="753"/>
      <c r="G3790" s="753"/>
      <c r="H3790" s="1308"/>
      <c r="I3790" s="1415"/>
      <c r="J3790" s="1772"/>
      <c r="K3790" s="1772"/>
      <c r="L3790" s="1308"/>
      <c r="M3790" s="1704"/>
      <c r="N3790" s="535"/>
    </row>
    <row r="3791" spans="1:16" ht="16.5" customHeight="1" x14ac:dyDescent="0.25">
      <c r="B3791" s="1242"/>
      <c r="C3791" s="3856" t="s">
        <v>5838</v>
      </c>
      <c r="D3791" s="1852">
        <v>2053480000</v>
      </c>
      <c r="E3791" s="880">
        <f>D3791/D3717*100</f>
        <v>1.5928939480904885</v>
      </c>
      <c r="F3791" s="611"/>
      <c r="G3791" s="386"/>
      <c r="H3791" s="755"/>
      <c r="I3791" s="755"/>
      <c r="J3791" s="1633"/>
      <c r="K3791" s="1633"/>
      <c r="L3791" s="755"/>
      <c r="M3791" s="1649"/>
      <c r="N3791" s="535"/>
    </row>
    <row r="3792" spans="1:16" ht="10.5" customHeight="1" x14ac:dyDescent="0.25">
      <c r="B3792" s="1242"/>
      <c r="C3792" s="3986"/>
      <c r="D3792" s="1849"/>
      <c r="E3792" s="1415"/>
      <c r="F3792" s="532"/>
      <c r="G3792" s="389"/>
      <c r="H3792" s="753"/>
      <c r="I3792" s="753"/>
      <c r="J3792" s="1949"/>
      <c r="K3792" s="2511"/>
      <c r="L3792" s="1729"/>
      <c r="M3792" s="2264"/>
      <c r="N3792" s="535"/>
    </row>
    <row r="3793" spans="1:16" ht="15.75" customHeight="1" x14ac:dyDescent="0.25">
      <c r="B3793" s="1242"/>
      <c r="C3793" s="3854" t="s">
        <v>4425</v>
      </c>
      <c r="D3793" s="768">
        <f>SUM(D3794:D3795)</f>
        <v>6079110000</v>
      </c>
      <c r="E3793" s="1415">
        <f>D3793/D3717*100</f>
        <v>4.715593786536207</v>
      </c>
      <c r="F3793" s="753"/>
      <c r="G3793" s="753"/>
      <c r="H3793" s="1308"/>
      <c r="I3793" s="753"/>
      <c r="J3793" s="1772"/>
      <c r="K3793" s="1772"/>
      <c r="L3793" s="1308"/>
      <c r="M3793" s="2264"/>
      <c r="N3793" s="535"/>
    </row>
    <row r="3794" spans="1:16" ht="16.5" customHeight="1" x14ac:dyDescent="0.25">
      <c r="B3794" s="1242"/>
      <c r="C3794" s="3669" t="s">
        <v>4426</v>
      </c>
      <c r="D3794" s="4093">
        <v>4787770000</v>
      </c>
      <c r="E3794" s="880">
        <f>D3794/D3717*100</f>
        <v>3.7138953668159411</v>
      </c>
      <c r="F3794" s="611"/>
      <c r="G3794" s="868"/>
      <c r="H3794" s="798"/>
      <c r="I3794" s="868"/>
      <c r="J3794" s="3670"/>
      <c r="K3794" s="3670"/>
      <c r="L3794" s="798"/>
      <c r="M3794" s="1323"/>
      <c r="N3794" s="535"/>
    </row>
    <row r="3795" spans="1:16" ht="18.75" customHeight="1" x14ac:dyDescent="0.25">
      <c r="B3795" s="1242"/>
      <c r="C3795" s="3669" t="s">
        <v>4427</v>
      </c>
      <c r="D3795" s="1324">
        <v>1291340000</v>
      </c>
      <c r="E3795" s="880">
        <f>D3795/D3717*100</f>
        <v>1.0016984197202659</v>
      </c>
      <c r="F3795" s="894"/>
      <c r="G3795" s="894"/>
      <c r="H3795" s="1463"/>
      <c r="I3795" s="894"/>
      <c r="J3795" s="1315"/>
      <c r="K3795" s="1315"/>
      <c r="L3795" s="1315"/>
      <c r="M3795" s="1315"/>
      <c r="N3795" s="535"/>
    </row>
    <row r="3796" spans="1:16" s="3627" customFormat="1" ht="12" customHeight="1" x14ac:dyDescent="0.25">
      <c r="A3796" s="3618"/>
      <c r="B3796" s="3623"/>
      <c r="C3796" s="3991"/>
      <c r="D3796" s="1324"/>
      <c r="E3796" s="2346"/>
      <c r="F3796" s="791"/>
      <c r="G3796" s="791"/>
      <c r="H3796" s="2346"/>
      <c r="I3796" s="791"/>
      <c r="J3796" s="2279"/>
      <c r="K3796" s="2182"/>
      <c r="L3796" s="2182"/>
      <c r="M3796" s="2182"/>
      <c r="N3796" s="3619"/>
      <c r="P3796" s="500"/>
    </row>
    <row r="3797" spans="1:16" s="1634" customFormat="1" ht="16.5" customHeight="1" x14ac:dyDescent="0.25">
      <c r="A3797" s="352"/>
      <c r="B3797" s="1242"/>
      <c r="C3797" s="3938" t="s">
        <v>4428</v>
      </c>
      <c r="D3797" s="1316">
        <f>D3798</f>
        <v>825000000</v>
      </c>
      <c r="E3797" s="1415">
        <f>D3797/D3717*100</f>
        <v>0.63995632154910354</v>
      </c>
      <c r="F3797" s="1110"/>
      <c r="G3797" s="1110"/>
      <c r="H3797" s="1646"/>
      <c r="I3797" s="1110"/>
      <c r="J3797" s="2512"/>
      <c r="K3797" s="1110"/>
      <c r="L3797" s="1110"/>
      <c r="M3797" s="1110"/>
      <c r="N3797" s="535"/>
      <c r="P3797" s="500"/>
    </row>
    <row r="3798" spans="1:16" s="1634" customFormat="1" ht="18.75" customHeight="1" x14ac:dyDescent="0.25">
      <c r="A3798" s="352"/>
      <c r="B3798" s="1242"/>
      <c r="C3798" s="3860" t="s">
        <v>4429</v>
      </c>
      <c r="D3798" s="1111">
        <v>825000000</v>
      </c>
      <c r="E3798" s="880">
        <f>D3798/D3717*100</f>
        <v>0.63995632154910354</v>
      </c>
      <c r="F3798" s="1109"/>
      <c r="G3798" s="1109"/>
      <c r="H3798" s="1647"/>
      <c r="I3798" s="1109"/>
      <c r="J3798" s="1636"/>
      <c r="K3798" s="1109"/>
      <c r="L3798" s="1109"/>
      <c r="M3798" s="1109"/>
      <c r="N3798" s="535"/>
      <c r="P3798" s="500"/>
    </row>
    <row r="3799" spans="1:16" s="1634" customFormat="1" ht="12" customHeight="1" x14ac:dyDescent="0.25">
      <c r="A3799" s="352"/>
      <c r="B3799" s="1242"/>
      <c r="C3799" s="3847"/>
      <c r="D3799" s="671"/>
      <c r="E3799" s="1393"/>
      <c r="F3799" s="969"/>
      <c r="G3799" s="969"/>
      <c r="H3799" s="2346"/>
      <c r="I3799" s="791"/>
      <c r="J3799" s="2279"/>
      <c r="K3799" s="2279"/>
      <c r="L3799" s="2182"/>
      <c r="M3799" s="2182"/>
      <c r="N3799" s="535"/>
      <c r="P3799" s="500"/>
    </row>
    <row r="3800" spans="1:16" s="303" customFormat="1" ht="18.75" customHeight="1" x14ac:dyDescent="0.25">
      <c r="A3800" s="1383"/>
      <c r="B3800" s="1305"/>
      <c r="C3800" s="4044" t="s">
        <v>293</v>
      </c>
      <c r="D3800" s="1853">
        <f>SUM(D3801+D3805)</f>
        <v>12671150000</v>
      </c>
      <c r="E3800" s="1462">
        <f>D3800/D3717*100</f>
        <v>9.8290697500568758</v>
      </c>
      <c r="F3800" s="388"/>
      <c r="G3800" s="388"/>
      <c r="H3800" s="1306"/>
      <c r="I3800" s="1645"/>
      <c r="J3800" s="1853"/>
      <c r="K3800" s="1853"/>
      <c r="L3800" s="1306"/>
      <c r="M3800" s="1307"/>
      <c r="N3800" s="554"/>
      <c r="P3800" s="500"/>
    </row>
    <row r="3801" spans="1:16" s="303" customFormat="1" ht="30.75" customHeight="1" x14ac:dyDescent="0.25">
      <c r="A3801" s="1383"/>
      <c r="B3801" s="1242"/>
      <c r="C3801" s="3854" t="s">
        <v>1811</v>
      </c>
      <c r="D3801" s="667">
        <f>SUM(D3802)</f>
        <v>12484800000</v>
      </c>
      <c r="E3801" s="1461">
        <f>D3801/D3717*100</f>
        <v>9.6845171918499986</v>
      </c>
      <c r="F3801" s="688"/>
      <c r="G3801" s="1110"/>
      <c r="H3801" s="1646"/>
      <c r="I3801" s="1110"/>
      <c r="J3801" s="667"/>
      <c r="K3801" s="1110"/>
      <c r="L3801" s="1646"/>
      <c r="M3801" s="1110"/>
      <c r="N3801" s="554"/>
      <c r="P3801" s="500"/>
    </row>
    <row r="3802" spans="1:16" s="303" customFormat="1" ht="19.5" customHeight="1" x14ac:dyDescent="0.25">
      <c r="A3802" s="1383"/>
      <c r="B3802" s="1242"/>
      <c r="C3802" s="3856" t="s">
        <v>7329</v>
      </c>
      <c r="D3802" s="780">
        <v>12484800000</v>
      </c>
      <c r="E3802" s="880">
        <f>D3802/D3717*100</f>
        <v>9.6845171918499986</v>
      </c>
      <c r="F3802" s="755"/>
      <c r="G3802" s="1109"/>
      <c r="H3802" s="1647"/>
      <c r="I3802" s="1109"/>
      <c r="J3802" s="1652"/>
      <c r="K3802" s="1109"/>
      <c r="L3802" s="1647"/>
      <c r="M3802" s="1109"/>
      <c r="N3802" s="554"/>
      <c r="P3802" s="500"/>
    </row>
    <row r="3803" spans="1:16" s="3628" customFormat="1" ht="11.25" customHeight="1" x14ac:dyDescent="0.25">
      <c r="A3803" s="3559"/>
      <c r="B3803" s="3623"/>
      <c r="C3803" s="3874"/>
      <c r="D3803" s="780"/>
      <c r="E3803" s="880"/>
      <c r="F3803" s="3630"/>
      <c r="G3803" s="1108"/>
      <c r="H3803" s="2497"/>
      <c r="I3803" s="1108"/>
      <c r="J3803" s="3671"/>
      <c r="K3803" s="1108"/>
      <c r="L3803" s="2504"/>
      <c r="M3803" s="2339"/>
      <c r="N3803" s="554"/>
      <c r="P3803" s="500"/>
    </row>
    <row r="3804" spans="1:16" s="303" customFormat="1" ht="21" customHeight="1" x14ac:dyDescent="0.25">
      <c r="A3804" s="1383"/>
      <c r="B3804" s="1242"/>
      <c r="C3804" s="3878" t="s">
        <v>829</v>
      </c>
      <c r="D3804" s="768">
        <f>D3805</f>
        <v>186350000</v>
      </c>
      <c r="E3804" s="1415">
        <f>D3804/D3717*100</f>
        <v>0.14455255820687932</v>
      </c>
      <c r="F3804" s="755"/>
      <c r="G3804" s="677"/>
      <c r="H3804" s="732"/>
      <c r="I3804" s="677"/>
      <c r="J3804" s="1948"/>
      <c r="K3804" s="1987"/>
      <c r="L3804" s="1649"/>
      <c r="M3804" s="1649"/>
      <c r="N3804" s="554"/>
      <c r="P3804" s="500"/>
    </row>
    <row r="3805" spans="1:16" s="303" customFormat="1" ht="30" customHeight="1" x14ac:dyDescent="0.25">
      <c r="A3805" s="1383"/>
      <c r="B3805" s="1242"/>
      <c r="C3805" s="3856" t="s">
        <v>4430</v>
      </c>
      <c r="D3805" s="666">
        <v>186350000</v>
      </c>
      <c r="E3805" s="880">
        <f>D3805/D3717*100</f>
        <v>0.14455255820687932</v>
      </c>
      <c r="F3805" s="390"/>
      <c r="G3805" s="1118"/>
      <c r="H3805" s="1052"/>
      <c r="I3805" s="1118"/>
      <c r="J3805" s="1851"/>
      <c r="K3805" s="1110"/>
      <c r="L3805" s="1646"/>
      <c r="M3805" s="1110"/>
      <c r="N3805" s="554"/>
      <c r="P3805" s="500"/>
    </row>
    <row r="3806" spans="1:16" s="1639" customFormat="1" ht="12" customHeight="1" x14ac:dyDescent="0.25">
      <c r="A3806" s="1637"/>
      <c r="B3806" s="3623"/>
      <c r="C3806" s="3847"/>
      <c r="D3806" s="671"/>
      <c r="E3806" s="1393"/>
      <c r="F3806" s="840"/>
      <c r="G3806" s="969"/>
      <c r="H3806" s="2346"/>
      <c r="I3806" s="791"/>
      <c r="J3806" s="2279"/>
      <c r="K3806" s="2279"/>
      <c r="L3806" s="2182"/>
      <c r="M3806" s="2182"/>
      <c r="N3806" s="1638"/>
      <c r="P3806" s="4588"/>
    </row>
    <row r="3807" spans="1:16" s="303" customFormat="1" ht="17.25" customHeight="1" x14ac:dyDescent="0.25">
      <c r="A3807" s="1383"/>
      <c r="B3807" s="1655"/>
      <c r="C3807" s="4044" t="s">
        <v>4431</v>
      </c>
      <c r="D3807" s="669">
        <f>SUM(D3808)</f>
        <v>1341430000</v>
      </c>
      <c r="E3807" s="1462">
        <f>D3807/D3717*100</f>
        <v>1.0405534647461987</v>
      </c>
      <c r="F3807" s="669"/>
      <c r="G3807" s="1107"/>
      <c r="H3807" s="1050"/>
      <c r="I3807" s="1107"/>
      <c r="J3807" s="669"/>
      <c r="K3807" s="669"/>
      <c r="L3807" s="1306"/>
      <c r="M3807" s="1656"/>
      <c r="N3807" s="554"/>
      <c r="P3807" s="500"/>
    </row>
    <row r="3808" spans="1:16" s="303" customFormat="1" ht="23.25" customHeight="1" x14ac:dyDescent="0.25">
      <c r="A3808" s="1383"/>
      <c r="B3808" s="1242"/>
      <c r="C3808" s="3854" t="s">
        <v>4432</v>
      </c>
      <c r="D3808" s="889">
        <f>D3809</f>
        <v>1341430000</v>
      </c>
      <c r="E3808" s="1461">
        <f>D3808/D3717*100</f>
        <v>1.0405534647461987</v>
      </c>
      <c r="F3808" s="889"/>
      <c r="G3808" s="1110"/>
      <c r="H3808" s="1646"/>
      <c r="I3808" s="1110"/>
      <c r="J3808" s="1950"/>
      <c r="K3808" s="1110"/>
      <c r="L3808" s="1646"/>
      <c r="M3808" s="1110"/>
      <c r="N3808" s="554"/>
      <c r="P3808" s="500"/>
    </row>
    <row r="3809" spans="1:16" s="303" customFormat="1" ht="17.25" customHeight="1" x14ac:dyDescent="0.25">
      <c r="A3809" s="1383"/>
      <c r="B3809" s="1242"/>
      <c r="C3809" s="3856" t="s">
        <v>4433</v>
      </c>
      <c r="D3809" s="780">
        <v>1341430000</v>
      </c>
      <c r="E3809" s="880">
        <f>D3809/D3717*100</f>
        <v>1.0405534647461987</v>
      </c>
      <c r="F3809" s="755"/>
      <c r="G3809" s="1109"/>
      <c r="H3809" s="1647"/>
      <c r="I3809" s="1109"/>
      <c r="J3809" s="1657"/>
      <c r="K3809" s="1109"/>
      <c r="L3809" s="1647"/>
      <c r="M3809" s="1109"/>
      <c r="N3809" s="554"/>
      <c r="P3809" s="500"/>
    </row>
    <row r="3810" spans="1:16" ht="12" customHeight="1" x14ac:dyDescent="0.25">
      <c r="B3810" s="1242"/>
      <c r="D3810" s="799"/>
      <c r="E3810" s="1443"/>
      <c r="F3810" s="1119"/>
      <c r="G3810" s="788"/>
      <c r="H3810" s="2234"/>
      <c r="I3810" s="1651"/>
      <c r="J3810" s="2279"/>
      <c r="K3810" s="2279"/>
      <c r="L3810" s="2175"/>
      <c r="M3810" s="2175"/>
      <c r="N3810" s="535"/>
    </row>
    <row r="3811" spans="1:16" ht="17.25" customHeight="1" x14ac:dyDescent="0.25">
      <c r="B3811" s="1305"/>
      <c r="C3811" s="3913" t="s">
        <v>4434</v>
      </c>
      <c r="D3811" s="2659">
        <f>SUM(D3812)</f>
        <v>250000000</v>
      </c>
      <c r="E3811" s="1462">
        <f>D3811/D3717*100</f>
        <v>0.19392615804518287</v>
      </c>
      <c r="F3811" s="765"/>
      <c r="G3811" s="765"/>
      <c r="H3811" s="1306"/>
      <c r="I3811" s="669"/>
      <c r="J3811" s="1773"/>
      <c r="K3811" s="1773"/>
      <c r="L3811" s="1306"/>
      <c r="M3811" s="2356"/>
      <c r="N3811" s="535"/>
    </row>
    <row r="3812" spans="1:16" ht="20.25" customHeight="1" x14ac:dyDescent="0.25">
      <c r="B3812" s="1242"/>
      <c r="C3812" s="3854" t="s">
        <v>4435</v>
      </c>
      <c r="D3812" s="1857">
        <f>SUM(D3813)</f>
        <v>250000000</v>
      </c>
      <c r="E3812" s="1461">
        <f>D3812/D3717*100</f>
        <v>0.19392615804518287</v>
      </c>
      <c r="F3812" s="392"/>
      <c r="G3812" s="392"/>
      <c r="H3812" s="1308"/>
      <c r="I3812" s="2409"/>
      <c r="J3812" s="1857"/>
      <c r="K3812" s="1857"/>
      <c r="L3812" s="1308"/>
      <c r="M3812" s="1671"/>
      <c r="N3812" s="535"/>
    </row>
    <row r="3813" spans="1:16" ht="23.25" customHeight="1" x14ac:dyDescent="0.25">
      <c r="B3813" s="1242"/>
      <c r="C3813" s="3917" t="s">
        <v>4436</v>
      </c>
      <c r="D3813" s="2249">
        <v>250000000</v>
      </c>
      <c r="E3813" s="880">
        <f>D3813/D3717*100</f>
        <v>0.19392615804518287</v>
      </c>
      <c r="F3813" s="802"/>
      <c r="G3813" s="894"/>
      <c r="H3813" s="755"/>
      <c r="I3813" s="1111"/>
      <c r="J3813" s="1641"/>
      <c r="K3813" s="1641"/>
      <c r="L3813" s="755"/>
      <c r="M3813" s="1703"/>
      <c r="N3813" s="535"/>
    </row>
    <row r="3814" spans="1:16" s="1642" customFormat="1" ht="12" customHeight="1" x14ac:dyDescent="0.25">
      <c r="A3814" s="352"/>
      <c r="B3814" s="1242"/>
      <c r="C3814" s="3852"/>
      <c r="D3814" s="799"/>
      <c r="E3814" s="886"/>
      <c r="F3814" s="808"/>
      <c r="G3814" s="1644"/>
      <c r="H3814" s="2513"/>
      <c r="I3814" s="2514"/>
      <c r="J3814" s="2515"/>
      <c r="K3814" s="2279"/>
      <c r="L3814" s="2182"/>
      <c r="M3814" s="2182"/>
      <c r="N3814" s="535"/>
      <c r="P3814" s="500"/>
    </row>
    <row r="3815" spans="1:16" s="303" customFormat="1" ht="18" customHeight="1" x14ac:dyDescent="0.25">
      <c r="A3815" s="1383"/>
      <c r="B3815" s="1305"/>
      <c r="C3815" s="3858" t="s">
        <v>294</v>
      </c>
      <c r="D3815" s="669">
        <f>D3816</f>
        <v>2041746200</v>
      </c>
      <c r="E3815" s="1462">
        <f>D3815/D3717*100</f>
        <v>1.5837919850774065</v>
      </c>
      <c r="F3815" s="832"/>
      <c r="G3815" s="832"/>
      <c r="H3815" s="1306"/>
      <c r="I3815" s="1645"/>
      <c r="J3815" s="1813"/>
      <c r="K3815" s="1813"/>
      <c r="L3815" s="1306"/>
      <c r="M3815" s="1307"/>
      <c r="N3815" s="554"/>
      <c r="P3815" s="500"/>
    </row>
    <row r="3816" spans="1:16" s="303" customFormat="1" ht="17.25" customHeight="1" x14ac:dyDescent="0.25">
      <c r="A3816" s="1383"/>
      <c r="B3816" s="1242"/>
      <c r="C3816" s="3854" t="s">
        <v>849</v>
      </c>
      <c r="D3816" s="3143">
        <f>SUM(D3817:D3818)</f>
        <v>2041746200</v>
      </c>
      <c r="E3816" s="1461">
        <f>D3816/D3717*100</f>
        <v>1.5837919850774065</v>
      </c>
      <c r="F3816" s="1115"/>
      <c r="G3816" s="1115"/>
      <c r="H3816" s="1308"/>
      <c r="I3816" s="1309"/>
      <c r="J3816" s="1947"/>
      <c r="K3816" s="1947"/>
      <c r="L3816" s="1308"/>
      <c r="M3816" s="1659"/>
      <c r="N3816" s="554"/>
      <c r="P3816" s="500"/>
    </row>
    <row r="3817" spans="1:16" s="303" customFormat="1" ht="17.25" customHeight="1" x14ac:dyDescent="0.25">
      <c r="A3817" s="1383"/>
      <c r="B3817" s="1242"/>
      <c r="C3817" s="3917" t="s">
        <v>4437</v>
      </c>
      <c r="D3817" s="2249">
        <v>1754175000</v>
      </c>
      <c r="E3817" s="885">
        <f>D3817/D3717*100</f>
        <v>1.3607216731556346</v>
      </c>
      <c r="F3817" s="802"/>
      <c r="G3817" s="854"/>
      <c r="H3817" s="755"/>
      <c r="I3817" s="1660"/>
      <c r="J3817" s="1663"/>
      <c r="K3817" s="1663"/>
      <c r="L3817" s="755"/>
      <c r="M3817" s="1705"/>
      <c r="N3817" s="554"/>
      <c r="P3817" s="500"/>
    </row>
    <row r="3818" spans="1:16" s="303" customFormat="1" ht="17.25" customHeight="1" x14ac:dyDescent="0.25">
      <c r="A3818" s="1383"/>
      <c r="B3818" s="1242"/>
      <c r="C3818" s="3917" t="s">
        <v>4438</v>
      </c>
      <c r="D3818" s="2249">
        <v>287571200</v>
      </c>
      <c r="E3818" s="885">
        <f>D3818/D3717*100</f>
        <v>0.22307031192177157</v>
      </c>
      <c r="F3818" s="802"/>
      <c r="G3818" s="854"/>
      <c r="H3818" s="1661"/>
      <c r="I3818" s="1309"/>
      <c r="J3818" s="1949"/>
      <c r="K3818" s="1949"/>
      <c r="L3818" s="1659"/>
      <c r="M3818" s="1659"/>
      <c r="N3818" s="554"/>
      <c r="P3818" s="500"/>
    </row>
    <row r="3819" spans="1:16" s="1639" customFormat="1" ht="12" customHeight="1" x14ac:dyDescent="0.25">
      <c r="A3819" s="1637"/>
      <c r="B3819" s="1242"/>
      <c r="C3819" s="3852"/>
      <c r="D3819" s="868"/>
      <c r="E3819" s="1443"/>
      <c r="F3819" s="835"/>
      <c r="G3819" s="788"/>
      <c r="H3819" s="1443"/>
      <c r="I3819" s="788"/>
      <c r="J3819" s="2279"/>
      <c r="K3819" s="2279"/>
      <c r="L3819" s="2175"/>
      <c r="M3819" s="2175"/>
      <c r="N3819" s="1638"/>
      <c r="P3819" s="4588"/>
    </row>
    <row r="3820" spans="1:16" s="303" customFormat="1" ht="18" customHeight="1" x14ac:dyDescent="0.25">
      <c r="A3820" s="1383"/>
      <c r="B3820" s="1305"/>
      <c r="C3820" s="3913" t="s">
        <v>295</v>
      </c>
      <c r="D3820" s="669">
        <f>D3821</f>
        <v>364625200</v>
      </c>
      <c r="E3820" s="1462">
        <f>D3820/D3717*100</f>
        <v>0.28284145664982568</v>
      </c>
      <c r="F3820" s="832"/>
      <c r="G3820" s="1107"/>
      <c r="H3820" s="1050"/>
      <c r="I3820" s="1107"/>
      <c r="J3820" s="1813"/>
      <c r="K3820" s="1813"/>
      <c r="L3820" s="1306"/>
      <c r="M3820" s="1307"/>
      <c r="N3820" s="554"/>
      <c r="P3820" s="500"/>
    </row>
    <row r="3821" spans="1:16" s="303" customFormat="1" ht="16.5" customHeight="1" x14ac:dyDescent="0.25">
      <c r="A3821" s="1383"/>
      <c r="B3821" s="1242"/>
      <c r="C3821" s="3968" t="s">
        <v>4439</v>
      </c>
      <c r="D3821" s="667">
        <f>D3822</f>
        <v>364625200</v>
      </c>
      <c r="E3821" s="811">
        <f>D3821/D3717*100</f>
        <v>0.28284145664982568</v>
      </c>
      <c r="F3821" s="836"/>
      <c r="G3821" s="1120"/>
      <c r="H3821" s="1662"/>
      <c r="I3821" s="1120"/>
      <c r="J3821" s="1816"/>
      <c r="K3821" s="1816"/>
      <c r="L3821" s="1308"/>
      <c r="M3821" s="1659"/>
      <c r="N3821" s="554"/>
      <c r="P3821" s="500"/>
    </row>
    <row r="3822" spans="1:16" s="303" customFormat="1" ht="15.75" customHeight="1" x14ac:dyDescent="0.25">
      <c r="A3822" s="1383"/>
      <c r="B3822" s="1242"/>
      <c r="C3822" s="3860" t="s">
        <v>853</v>
      </c>
      <c r="D3822" s="1846">
        <v>364625200</v>
      </c>
      <c r="E3822" s="880">
        <f>D3822/D3717*100</f>
        <v>0.28284145664982568</v>
      </c>
      <c r="F3822" s="386"/>
      <c r="G3822" s="1121"/>
      <c r="H3822" s="1162"/>
      <c r="I3822" s="1121"/>
      <c r="J3822" s="1846"/>
      <c r="K3822" s="2517"/>
      <c r="L3822" s="755"/>
      <c r="M3822" s="1312"/>
      <c r="N3822" s="554"/>
      <c r="P3822" s="500"/>
    </row>
    <row r="3823" spans="1:16" ht="12" customHeight="1" x14ac:dyDescent="0.25">
      <c r="B3823" s="1242"/>
      <c r="D3823" s="868"/>
      <c r="E3823" s="1443"/>
      <c r="F3823" s="835"/>
      <c r="G3823" s="788"/>
      <c r="H3823" s="1443"/>
      <c r="I3823" s="788"/>
      <c r="J3823" s="2279"/>
      <c r="K3823" s="2279"/>
      <c r="L3823" s="2175"/>
      <c r="M3823" s="2175"/>
      <c r="N3823" s="535"/>
    </row>
    <row r="3824" spans="1:16" s="1639" customFormat="1" ht="18" customHeight="1" x14ac:dyDescent="0.25">
      <c r="A3824" s="1637"/>
      <c r="B3824" s="1305"/>
      <c r="C3824" s="3913" t="s">
        <v>4440</v>
      </c>
      <c r="D3824" s="2239">
        <f>SUM(D3825+D3830)</f>
        <v>2302225000</v>
      </c>
      <c r="E3824" s="1462">
        <f>D3824/D3717*100</f>
        <v>1.7858465968222845</v>
      </c>
      <c r="F3824" s="807"/>
      <c r="G3824" s="1107"/>
      <c r="H3824" s="1050"/>
      <c r="I3824" s="1107"/>
      <c r="J3824" s="1107"/>
      <c r="K3824" s="1107"/>
      <c r="L3824" s="1107"/>
      <c r="M3824" s="1107"/>
      <c r="N3824" s="1638"/>
      <c r="P3824" s="4588"/>
    </row>
    <row r="3825" spans="1:16" s="1639" customFormat="1" ht="20.25" customHeight="1" x14ac:dyDescent="0.25">
      <c r="A3825" s="1637"/>
      <c r="B3825" s="1242"/>
      <c r="C3825" s="3854" t="s">
        <v>4317</v>
      </c>
      <c r="D3825" s="3143">
        <f>SUM(D3826:D3828)</f>
        <v>1651925000</v>
      </c>
      <c r="E3825" s="1461">
        <f>D3825/D3717*100</f>
        <v>1.2814058745151549</v>
      </c>
      <c r="F3825" s="1115"/>
      <c r="G3825" s="1120"/>
      <c r="H3825" s="1662"/>
      <c r="I3825" s="1120"/>
      <c r="J3825" s="1120"/>
      <c r="K3825" s="1120"/>
      <c r="L3825" s="1120"/>
      <c r="M3825" s="1120"/>
      <c r="N3825" s="1638"/>
      <c r="P3825" s="4588"/>
    </row>
    <row r="3826" spans="1:16" s="1639" customFormat="1" ht="16.5" customHeight="1" x14ac:dyDescent="0.25">
      <c r="A3826" s="1637"/>
      <c r="B3826" s="1242"/>
      <c r="C3826" s="3917" t="s">
        <v>4441</v>
      </c>
      <c r="D3826" s="2249">
        <v>716700000</v>
      </c>
      <c r="E3826" s="880">
        <f>D3826/D3717*100</f>
        <v>0.55594750988393027</v>
      </c>
      <c r="F3826" s="802"/>
      <c r="G3826" s="1121"/>
      <c r="H3826" s="1162"/>
      <c r="I3826" s="1121"/>
      <c r="J3826" s="1121"/>
      <c r="K3826" s="1121"/>
      <c r="L3826" s="1121"/>
      <c r="M3826" s="1121"/>
      <c r="N3826" s="1638"/>
      <c r="P3826" s="4588"/>
    </row>
    <row r="3827" spans="1:16" s="1639" customFormat="1" ht="16.5" customHeight="1" x14ac:dyDescent="0.25">
      <c r="A3827" s="1637"/>
      <c r="B3827" s="3623"/>
      <c r="C3827" s="3896" t="s">
        <v>4442</v>
      </c>
      <c r="D3827" s="2256">
        <v>893225000</v>
      </c>
      <c r="E3827" s="880">
        <f>D3827/D3717*100</f>
        <v>0.69287877007963394</v>
      </c>
      <c r="F3827" s="804"/>
      <c r="G3827" s="3672"/>
      <c r="H3827" s="2504"/>
      <c r="I3827" s="2339"/>
      <c r="J3827" s="2339"/>
      <c r="K3827" s="3672"/>
      <c r="L3827" s="2339"/>
      <c r="M3827" s="2339"/>
      <c r="N3827" s="1638"/>
      <c r="P3827" s="4588"/>
    </row>
    <row r="3828" spans="1:16" s="1639" customFormat="1" ht="16.5" customHeight="1" x14ac:dyDescent="0.25">
      <c r="A3828" s="1637"/>
      <c r="B3828" s="3623"/>
      <c r="C3828" s="3917" t="s">
        <v>4443</v>
      </c>
      <c r="D3828" s="780">
        <v>42000000</v>
      </c>
      <c r="E3828" s="880">
        <f>D3828/D3717*100</f>
        <v>3.2579594551590728E-2</v>
      </c>
      <c r="F3828" s="3630"/>
      <c r="G3828" s="1121"/>
      <c r="H3828" s="1162"/>
      <c r="I3828" s="1121"/>
      <c r="J3828" s="1121"/>
      <c r="K3828" s="1121"/>
      <c r="L3828" s="1121"/>
      <c r="M3828" s="1121"/>
      <c r="N3828" s="1638"/>
      <c r="P3828" s="4588"/>
    </row>
    <row r="3829" spans="1:16" s="1639" customFormat="1" ht="11.25" customHeight="1" x14ac:dyDescent="0.25">
      <c r="A3829" s="1637"/>
      <c r="B3829" s="3623"/>
      <c r="C3829" s="3917"/>
      <c r="D3829" s="780"/>
      <c r="E3829" s="880"/>
      <c r="F3829" s="3630"/>
      <c r="G3829" s="1121"/>
      <c r="H3829" s="1162"/>
      <c r="I3829" s="1121"/>
      <c r="J3829" s="1121"/>
      <c r="K3829" s="1121"/>
      <c r="L3829" s="1121"/>
      <c r="M3829" s="1121"/>
      <c r="N3829" s="1638"/>
      <c r="P3829" s="4588"/>
    </row>
    <row r="3830" spans="1:16" s="1639" customFormat="1" ht="16.5" customHeight="1" x14ac:dyDescent="0.25">
      <c r="A3830" s="1637"/>
      <c r="B3830" s="3623"/>
      <c r="C3830" s="3938" t="s">
        <v>4320</v>
      </c>
      <c r="D3830" s="768">
        <f>SUM(D3831:D3832)</f>
        <v>650300000</v>
      </c>
      <c r="E3830" s="1461">
        <f>D3830/D3717*100</f>
        <v>0.50444072230712977</v>
      </c>
      <c r="F3830" s="3630"/>
      <c r="G3830" s="1121"/>
      <c r="H3830" s="1162"/>
      <c r="I3830" s="1121"/>
      <c r="J3830" s="1121"/>
      <c r="K3830" s="1121"/>
      <c r="L3830" s="1121"/>
      <c r="M3830" s="1121"/>
      <c r="N3830" s="1638"/>
      <c r="P3830" s="4588"/>
    </row>
    <row r="3831" spans="1:16" s="1639" customFormat="1" ht="27" customHeight="1" x14ac:dyDescent="0.25">
      <c r="A3831" s="1637"/>
      <c r="B3831" s="3623"/>
      <c r="C3831" s="3917" t="s">
        <v>4444</v>
      </c>
      <c r="D3831" s="780">
        <v>280270000</v>
      </c>
      <c r="E3831" s="880">
        <f>D3831/D3717*100</f>
        <v>0.21740673726129361</v>
      </c>
      <c r="F3831" s="3630"/>
      <c r="G3831" s="1121"/>
      <c r="H3831" s="1162"/>
      <c r="I3831" s="1121"/>
      <c r="J3831" s="1121"/>
      <c r="K3831" s="1121"/>
      <c r="L3831" s="1121"/>
      <c r="M3831" s="1121"/>
      <c r="N3831" s="1638"/>
      <c r="P3831" s="4588"/>
    </row>
    <row r="3832" spans="1:16" s="1639" customFormat="1" ht="16.5" customHeight="1" x14ac:dyDescent="0.25">
      <c r="A3832" s="1637"/>
      <c r="B3832" s="3623"/>
      <c r="C3832" s="3917" t="s">
        <v>4445</v>
      </c>
      <c r="D3832" s="780">
        <v>370030000</v>
      </c>
      <c r="E3832" s="880">
        <f>D3832/D3717*100</f>
        <v>0.2870339850458361</v>
      </c>
      <c r="F3832" s="3630"/>
      <c r="G3832" s="1121"/>
      <c r="H3832" s="1162"/>
      <c r="I3832" s="1121"/>
      <c r="J3832" s="1121"/>
      <c r="K3832" s="1121"/>
      <c r="L3832" s="1121"/>
      <c r="M3832" s="1121"/>
      <c r="N3832" s="1638"/>
      <c r="P3832" s="4588"/>
    </row>
    <row r="3833" spans="1:16" ht="12" customHeight="1" x14ac:dyDescent="0.25">
      <c r="B3833" s="1242"/>
      <c r="C3833" s="3893"/>
      <c r="D3833" s="671"/>
      <c r="E3833" s="1393"/>
      <c r="F3833" s="969"/>
      <c r="G3833" s="969"/>
      <c r="H3833" s="2346"/>
      <c r="I3833" s="791"/>
      <c r="J3833" s="2182"/>
      <c r="K3833" s="2279"/>
      <c r="L3833" s="2182"/>
      <c r="M3833" s="2182"/>
      <c r="N3833" s="535"/>
    </row>
    <row r="3834" spans="1:16" ht="17.25" customHeight="1" x14ac:dyDescent="0.25">
      <c r="B3834" s="1305"/>
      <c r="C3834" s="3858" t="s">
        <v>4446</v>
      </c>
      <c r="D3834" s="669">
        <f>SUM(D3835+D3839+D3846+D3849+D3853)</f>
        <v>3738340000</v>
      </c>
      <c r="E3834" s="1462">
        <f>D3834/D3717*100</f>
        <v>2.899847654666516</v>
      </c>
      <c r="F3834" s="3688"/>
      <c r="G3834" s="832"/>
      <c r="H3834" s="1306"/>
      <c r="I3834" s="807"/>
      <c r="J3834" s="1813"/>
      <c r="K3834" s="1813"/>
      <c r="L3834" s="1306"/>
      <c r="M3834" s="1656"/>
      <c r="N3834" s="535"/>
    </row>
    <row r="3835" spans="1:16" ht="19.5" customHeight="1" x14ac:dyDescent="0.25">
      <c r="B3835" s="1242"/>
      <c r="C3835" s="3854" t="s">
        <v>4447</v>
      </c>
      <c r="D3835" s="3143">
        <v>599006000</v>
      </c>
      <c r="E3835" s="1461">
        <f>D3835/D3717*100</f>
        <v>0.46465172890405132</v>
      </c>
      <c r="F3835" s="3632"/>
      <c r="G3835" s="1115"/>
      <c r="H3835" s="1308"/>
      <c r="I3835" s="793"/>
      <c r="J3835" s="1947"/>
      <c r="K3835" s="1947"/>
      <c r="L3835" s="1308"/>
      <c r="M3835" s="2264"/>
      <c r="N3835" s="535"/>
    </row>
    <row r="3836" spans="1:16" ht="21" customHeight="1" x14ac:dyDescent="0.25">
      <c r="B3836" s="1242"/>
      <c r="C3836" s="3917" t="s">
        <v>4448</v>
      </c>
      <c r="D3836" s="2249">
        <v>507912000</v>
      </c>
      <c r="E3836" s="880">
        <f>D3836/D3717*100</f>
        <v>0.39398969114017968</v>
      </c>
      <c r="F3836" s="802"/>
      <c r="G3836" s="386"/>
      <c r="H3836" s="755"/>
      <c r="I3836" s="798"/>
      <c r="J3836" s="1664"/>
      <c r="K3836" s="1664"/>
      <c r="L3836" s="755"/>
      <c r="M3836" s="1649"/>
      <c r="N3836" s="535"/>
    </row>
    <row r="3837" spans="1:16" ht="26.25" customHeight="1" x14ac:dyDescent="0.25">
      <c r="B3837" s="1242"/>
      <c r="C3837" s="3917" t="s">
        <v>4449</v>
      </c>
      <c r="D3837" s="2249">
        <v>91094000</v>
      </c>
      <c r="E3837" s="880">
        <f>D3837/D3717*100</f>
        <v>7.066203776387156E-2</v>
      </c>
      <c r="F3837" s="802"/>
      <c r="G3837" s="1121"/>
      <c r="H3837" s="1162"/>
      <c r="I3837" s="1121"/>
      <c r="J3837" s="1664"/>
      <c r="K3837" s="1664"/>
      <c r="L3837" s="755"/>
      <c r="M3837" s="1510"/>
      <c r="N3837" s="535"/>
    </row>
    <row r="3838" spans="1:16" s="3627" customFormat="1" ht="11.25" customHeight="1" x14ac:dyDescent="0.25">
      <c r="A3838" s="3618"/>
      <c r="B3838" s="3623"/>
      <c r="C3838" s="3917"/>
      <c r="D3838" s="2249"/>
      <c r="E3838" s="880"/>
      <c r="F3838" s="3620"/>
      <c r="G3838" s="1121"/>
      <c r="H3838" s="1647"/>
      <c r="I3838" s="3672"/>
      <c r="J3838" s="3673"/>
      <c r="K3838" s="3674"/>
      <c r="L3838" s="804"/>
      <c r="M3838" s="2424"/>
      <c r="N3838" s="3619"/>
      <c r="P3838" s="500"/>
    </row>
    <row r="3839" spans="1:16" ht="15.75" customHeight="1" x14ac:dyDescent="0.25">
      <c r="B3839" s="1242"/>
      <c r="C3839" s="3938" t="s">
        <v>4450</v>
      </c>
      <c r="D3839" s="2243">
        <f>SUM(D3840:D3844)</f>
        <v>1978137000</v>
      </c>
      <c r="E3839" s="1415">
        <f>D3839/D3717*100</f>
        <v>1.5344500339880958</v>
      </c>
      <c r="F3839" s="802"/>
      <c r="G3839" s="389"/>
      <c r="H3839" s="2335"/>
      <c r="I3839" s="1393"/>
      <c r="J3839" s="2279"/>
      <c r="K3839" s="2182"/>
      <c r="L3839" s="2518"/>
      <c r="M3839" s="2518"/>
      <c r="N3839" s="535"/>
    </row>
    <row r="3840" spans="1:16" ht="16.5" customHeight="1" x14ac:dyDescent="0.25">
      <c r="B3840" s="3623"/>
      <c r="C3840" s="3917" t="s">
        <v>4451</v>
      </c>
      <c r="D3840" s="2249">
        <v>665820000</v>
      </c>
      <c r="E3840" s="880">
        <f>D3840/D3717*100</f>
        <v>0.51647965819857466</v>
      </c>
      <c r="F3840" s="803"/>
      <c r="G3840" s="1118"/>
      <c r="H3840" s="1052"/>
      <c r="I3840" s="1118"/>
      <c r="J3840" s="1952"/>
      <c r="K3840" s="1952"/>
      <c r="L3840" s="1308"/>
      <c r="M3840" s="2519"/>
      <c r="N3840" s="535"/>
    </row>
    <row r="3841" spans="1:16" ht="14.25" customHeight="1" x14ac:dyDescent="0.25">
      <c r="B3841" s="3623"/>
      <c r="C3841" s="3917" t="s">
        <v>4452</v>
      </c>
      <c r="D3841" s="2249">
        <v>206386000</v>
      </c>
      <c r="E3841" s="880">
        <f>D3841/D3717*100</f>
        <v>0.16009457621725245</v>
      </c>
      <c r="F3841" s="802"/>
      <c r="G3841" s="1109"/>
      <c r="H3841" s="1647"/>
      <c r="I3841" s="1109"/>
      <c r="J3841" s="1665"/>
      <c r="K3841" s="1665"/>
      <c r="L3841" s="755"/>
      <c r="M3841" s="2424"/>
      <c r="N3841" s="535"/>
    </row>
    <row r="3842" spans="1:16" ht="13.5" customHeight="1" x14ac:dyDescent="0.25">
      <c r="B3842" s="3623"/>
      <c r="C3842" s="3874" t="s">
        <v>4453</v>
      </c>
      <c r="D3842" s="868">
        <v>257502000</v>
      </c>
      <c r="E3842" s="880">
        <f>D3842/D3717*100</f>
        <v>0.19974549419580273</v>
      </c>
      <c r="F3842" s="835"/>
      <c r="G3842" s="533"/>
      <c r="H3842" s="731"/>
      <c r="I3842" s="533"/>
      <c r="J3842" s="2279"/>
      <c r="K3842" s="2182"/>
      <c r="L3842" s="2518"/>
      <c r="M3842" s="2518"/>
      <c r="N3842" s="535"/>
    </row>
    <row r="3843" spans="1:16" s="3627" customFormat="1" ht="13.5" customHeight="1" x14ac:dyDescent="0.25">
      <c r="A3843" s="3618"/>
      <c r="B3843" s="3623"/>
      <c r="C3843" s="3856" t="s">
        <v>4461</v>
      </c>
      <c r="D3843" s="666">
        <v>452010000</v>
      </c>
      <c r="E3843" s="880">
        <f>D3843/D3717*100</f>
        <v>0.35062625079201248</v>
      </c>
      <c r="F3843" s="838"/>
      <c r="G3843" s="532"/>
      <c r="H3843" s="729"/>
      <c r="I3843" s="532"/>
      <c r="J3843" s="1315"/>
      <c r="K3843" s="1315"/>
      <c r="L3843" s="2518"/>
      <c r="M3843" s="2518"/>
      <c r="N3843" s="3619"/>
      <c r="P3843" s="500"/>
    </row>
    <row r="3844" spans="1:16" s="3627" customFormat="1" ht="16.5" customHeight="1" x14ac:dyDescent="0.25">
      <c r="A3844" s="3618"/>
      <c r="B3844" s="3623"/>
      <c r="C3844" s="3856" t="s">
        <v>4454</v>
      </c>
      <c r="D3844" s="666">
        <v>396419000</v>
      </c>
      <c r="E3844" s="880">
        <f>D3844/D3717*100</f>
        <v>0.30750405458445346</v>
      </c>
      <c r="F3844" s="838"/>
      <c r="G3844" s="532"/>
      <c r="H3844" s="729"/>
      <c r="I3844" s="532"/>
      <c r="J3844" s="1315"/>
      <c r="K3844" s="1315"/>
      <c r="L3844" s="2518"/>
      <c r="M3844" s="2518"/>
      <c r="N3844" s="3619"/>
      <c r="P3844" s="500"/>
    </row>
    <row r="3845" spans="1:16" s="3627" customFormat="1" ht="12" customHeight="1" x14ac:dyDescent="0.25">
      <c r="A3845" s="3618"/>
      <c r="B3845" s="3623"/>
      <c r="C3845" s="3991"/>
      <c r="D3845" s="666"/>
      <c r="E3845" s="1463"/>
      <c r="F3845" s="838"/>
      <c r="G3845" s="532"/>
      <c r="H3845" s="729"/>
      <c r="I3845" s="532"/>
      <c r="J3845" s="1315"/>
      <c r="K3845" s="1315"/>
      <c r="L3845" s="2518"/>
      <c r="M3845" s="2518"/>
      <c r="N3845" s="3619"/>
      <c r="P3845" s="500"/>
    </row>
    <row r="3846" spans="1:16" s="3627" customFormat="1" ht="13.5" customHeight="1" x14ac:dyDescent="0.25">
      <c r="A3846" s="3618"/>
      <c r="B3846" s="3623"/>
      <c r="C3846" s="3855" t="s">
        <v>4455</v>
      </c>
      <c r="D3846" s="673">
        <v>208550000</v>
      </c>
      <c r="E3846" s="1415">
        <f>D3846/D3717*100</f>
        <v>0.16177320104129159</v>
      </c>
      <c r="F3846" s="838"/>
      <c r="G3846" s="532"/>
      <c r="H3846" s="729"/>
      <c r="I3846" s="532"/>
      <c r="J3846" s="1315"/>
      <c r="K3846" s="1315"/>
      <c r="L3846" s="2518"/>
      <c r="M3846" s="2518"/>
      <c r="N3846" s="3619"/>
      <c r="P3846" s="500"/>
    </row>
    <row r="3847" spans="1:16" s="3627" customFormat="1" ht="18" customHeight="1" x14ac:dyDescent="0.25">
      <c r="A3847" s="3618"/>
      <c r="B3847" s="3623"/>
      <c r="C3847" s="3856" t="s">
        <v>4456</v>
      </c>
      <c r="D3847" s="666">
        <v>208550000</v>
      </c>
      <c r="E3847" s="880">
        <f>D3847/D3717*100</f>
        <v>0.16177320104129159</v>
      </c>
      <c r="F3847" s="838"/>
      <c r="G3847" s="532"/>
      <c r="H3847" s="729"/>
      <c r="I3847" s="532"/>
      <c r="J3847" s="1315"/>
      <c r="K3847" s="1315"/>
      <c r="L3847" s="2518"/>
      <c r="M3847" s="2518"/>
      <c r="N3847" s="3619"/>
      <c r="P3847" s="500"/>
    </row>
    <row r="3848" spans="1:16" s="3627" customFormat="1" ht="12" customHeight="1" x14ac:dyDescent="0.25">
      <c r="A3848" s="3618"/>
      <c r="B3848" s="3623"/>
      <c r="C3848" s="3991"/>
      <c r="D3848" s="666"/>
      <c r="E3848" s="1463"/>
      <c r="F3848" s="838"/>
      <c r="G3848" s="532"/>
      <c r="H3848" s="729"/>
      <c r="I3848" s="532"/>
      <c r="J3848" s="1315"/>
      <c r="K3848" s="1315"/>
      <c r="L3848" s="2518"/>
      <c r="M3848" s="2518"/>
      <c r="N3848" s="3619"/>
      <c r="P3848" s="500"/>
    </row>
    <row r="3849" spans="1:16" s="3627" customFormat="1" ht="15.75" customHeight="1" x14ac:dyDescent="0.25">
      <c r="A3849" s="3618"/>
      <c r="B3849" s="3623"/>
      <c r="C3849" s="3855" t="s">
        <v>4457</v>
      </c>
      <c r="D3849" s="673">
        <f>SUM(D3850:D3851)</f>
        <v>756800000</v>
      </c>
      <c r="E3849" s="1415">
        <f>D3849/D3717*100</f>
        <v>0.58705326563437765</v>
      </c>
      <c r="F3849" s="838"/>
      <c r="G3849" s="532"/>
      <c r="H3849" s="729"/>
      <c r="I3849" s="532"/>
      <c r="J3849" s="1315"/>
      <c r="K3849" s="1315"/>
      <c r="L3849" s="2518"/>
      <c r="M3849" s="2518"/>
      <c r="N3849" s="3619"/>
      <c r="P3849" s="500"/>
    </row>
    <row r="3850" spans="1:16" s="3627" customFormat="1" ht="14.25" customHeight="1" x14ac:dyDescent="0.25">
      <c r="A3850" s="3618"/>
      <c r="B3850" s="3623"/>
      <c r="C3850" s="3856" t="s">
        <v>4458</v>
      </c>
      <c r="D3850" s="666">
        <v>272300000</v>
      </c>
      <c r="E3850" s="880">
        <f>D3850/D3717*100</f>
        <v>0.21122437134281319</v>
      </c>
      <c r="F3850" s="838"/>
      <c r="G3850" s="532"/>
      <c r="H3850" s="729"/>
      <c r="I3850" s="532"/>
      <c r="J3850" s="1315"/>
      <c r="K3850" s="1315"/>
      <c r="L3850" s="2518"/>
      <c r="M3850" s="2518"/>
      <c r="N3850" s="3619"/>
      <c r="P3850" s="500"/>
    </row>
    <row r="3851" spans="1:16" s="3627" customFormat="1" ht="15.75" customHeight="1" x14ac:dyDescent="0.25">
      <c r="A3851" s="3618"/>
      <c r="B3851" s="3623"/>
      <c r="C3851" s="3856" t="s">
        <v>4462</v>
      </c>
      <c r="D3851" s="666">
        <v>484500000</v>
      </c>
      <c r="E3851" s="880">
        <f>D3851/D3717*100</f>
        <v>0.37582889429156441</v>
      </c>
      <c r="F3851" s="838"/>
      <c r="G3851" s="532"/>
      <c r="H3851" s="729"/>
      <c r="I3851" s="532"/>
      <c r="J3851" s="1315"/>
      <c r="K3851" s="1315"/>
      <c r="L3851" s="2518"/>
      <c r="M3851" s="2518"/>
      <c r="N3851" s="3619"/>
      <c r="P3851" s="500"/>
    </row>
    <row r="3852" spans="1:16" s="3627" customFormat="1" ht="12" customHeight="1" x14ac:dyDescent="0.25">
      <c r="A3852" s="3618"/>
      <c r="B3852" s="3623"/>
      <c r="C3852" s="3991"/>
      <c r="D3852" s="666"/>
      <c r="E3852" s="1463"/>
      <c r="F3852" s="838"/>
      <c r="G3852" s="532"/>
      <c r="H3852" s="729"/>
      <c r="I3852" s="532"/>
      <c r="J3852" s="1315"/>
      <c r="K3852" s="1315"/>
      <c r="L3852" s="2518"/>
      <c r="M3852" s="2518"/>
      <c r="N3852" s="3619"/>
      <c r="P3852" s="500"/>
    </row>
    <row r="3853" spans="1:16" s="3627" customFormat="1" ht="27" customHeight="1" x14ac:dyDescent="0.25">
      <c r="A3853" s="3618"/>
      <c r="B3853" s="3623"/>
      <c r="C3853" s="3855" t="s">
        <v>4459</v>
      </c>
      <c r="D3853" s="673">
        <f>D3854</f>
        <v>195847000</v>
      </c>
      <c r="E3853" s="1415">
        <f>D3853/D3717*100</f>
        <v>0.15191942509869971</v>
      </c>
      <c r="F3853" s="838"/>
      <c r="G3853" s="532"/>
      <c r="H3853" s="729"/>
      <c r="I3853" s="532"/>
      <c r="J3853" s="1315"/>
      <c r="K3853" s="1315"/>
      <c r="L3853" s="2518"/>
      <c r="M3853" s="2518"/>
      <c r="N3853" s="3619"/>
      <c r="P3853" s="500"/>
    </row>
    <row r="3854" spans="1:16" s="3627" customFormat="1" ht="17.25" customHeight="1" x14ac:dyDescent="0.25">
      <c r="A3854" s="3618"/>
      <c r="B3854" s="3623"/>
      <c r="C3854" s="3856" t="s">
        <v>4460</v>
      </c>
      <c r="D3854" s="666">
        <v>195847000</v>
      </c>
      <c r="E3854" s="880">
        <f>D3854/D3717*100</f>
        <v>0.15191942509869971</v>
      </c>
      <c r="F3854" s="838"/>
      <c r="G3854" s="532"/>
      <c r="H3854" s="729"/>
      <c r="I3854" s="532"/>
      <c r="J3854" s="1315"/>
      <c r="K3854" s="1315"/>
      <c r="L3854" s="2518"/>
      <c r="M3854" s="2518"/>
      <c r="N3854" s="3619"/>
      <c r="P3854" s="500"/>
    </row>
    <row r="3855" spans="1:16" s="3627" customFormat="1" ht="12" customHeight="1" x14ac:dyDescent="0.25">
      <c r="A3855" s="3618"/>
      <c r="B3855" s="3623"/>
      <c r="C3855" s="3874"/>
      <c r="D3855" s="671"/>
      <c r="E3855" s="1393"/>
      <c r="F3855" s="840"/>
      <c r="G3855" s="533"/>
      <c r="H3855" s="731"/>
      <c r="I3855" s="533"/>
      <c r="J3855" s="2279"/>
      <c r="K3855" s="2182"/>
      <c r="L3855" s="2518"/>
      <c r="M3855" s="2518"/>
      <c r="N3855" s="3619"/>
      <c r="P3855" s="500"/>
    </row>
    <row r="3856" spans="1:16" ht="28.5" customHeight="1" x14ac:dyDescent="0.25">
      <c r="B3856" s="1305"/>
      <c r="C3856" s="3913" t="s">
        <v>4463</v>
      </c>
      <c r="D3856" s="669">
        <f>D3857</f>
        <v>337240000</v>
      </c>
      <c r="E3856" s="1462">
        <f>D3856/D3717*100</f>
        <v>0.26159863015662993</v>
      </c>
      <c r="F3856" s="832"/>
      <c r="G3856" s="1107"/>
      <c r="H3856" s="1050"/>
      <c r="I3856" s="1107"/>
      <c r="J3856" s="1813"/>
      <c r="K3856" s="1813"/>
      <c r="L3856" s="1306"/>
      <c r="M3856" s="1656"/>
      <c r="N3856" s="535"/>
    </row>
    <row r="3857" spans="1:16" ht="21.75" customHeight="1" x14ac:dyDescent="0.25">
      <c r="B3857" s="1242"/>
      <c r="C3857" s="4045" t="s">
        <v>4464</v>
      </c>
      <c r="D3857" s="1942">
        <f>D3858</f>
        <v>337240000</v>
      </c>
      <c r="E3857" s="1461">
        <f>D3857/D3717*100</f>
        <v>0.26159863015662993</v>
      </c>
      <c r="F3857" s="502"/>
      <c r="G3857" s="1120"/>
      <c r="H3857" s="1662"/>
      <c r="I3857" s="1120"/>
      <c r="J3857" s="1120"/>
      <c r="K3857" s="1120"/>
      <c r="L3857" s="1120"/>
      <c r="M3857" s="1120"/>
      <c r="N3857" s="535"/>
    </row>
    <row r="3858" spans="1:16" ht="16.5" customHeight="1" x14ac:dyDescent="0.25">
      <c r="B3858" s="1242"/>
      <c r="C3858" s="3959" t="s">
        <v>4465</v>
      </c>
      <c r="D3858" s="780">
        <v>337240000</v>
      </c>
      <c r="E3858" s="1463">
        <f>D3858/D3717*100</f>
        <v>0.26159863015662993</v>
      </c>
      <c r="F3858" s="755"/>
      <c r="G3858" s="1121"/>
      <c r="H3858" s="1162"/>
      <c r="I3858" s="1121"/>
      <c r="J3858" s="1121"/>
      <c r="K3858" s="1121"/>
      <c r="L3858" s="1121"/>
      <c r="M3858" s="1121"/>
      <c r="N3858" s="535"/>
    </row>
    <row r="3859" spans="1:16" s="3627" customFormat="1" ht="12" customHeight="1" x14ac:dyDescent="0.25">
      <c r="A3859" s="3618"/>
      <c r="B3859" s="3623"/>
      <c r="C3859" s="3852"/>
      <c r="D3859" s="4287"/>
      <c r="E3859" s="1393"/>
      <c r="F3859" s="686"/>
      <c r="G3859" s="969"/>
      <c r="H3859" s="2346"/>
      <c r="I3859" s="791"/>
      <c r="J3859" s="2279"/>
      <c r="K3859" s="2279"/>
      <c r="L3859" s="2182"/>
      <c r="M3859" s="2182"/>
      <c r="N3859" s="3619"/>
      <c r="P3859" s="500"/>
    </row>
    <row r="3860" spans="1:16" s="303" customFormat="1" ht="16.5" customHeight="1" x14ac:dyDescent="0.25">
      <c r="A3860" s="1383"/>
      <c r="B3860" s="1305"/>
      <c r="C3860" s="3858" t="s">
        <v>4466</v>
      </c>
      <c r="D3860" s="669">
        <f>SUM(D3861+D3864+D3867+D3870)</f>
        <v>160000000</v>
      </c>
      <c r="E3860" s="1462">
        <f>D3860/D3717*100</f>
        <v>0.12411274114891704</v>
      </c>
      <c r="F3860" s="1546"/>
      <c r="G3860" s="1546"/>
      <c r="H3860" s="1306"/>
      <c r="I3860" s="1645"/>
      <c r="J3860" s="1813"/>
      <c r="K3860" s="1813"/>
      <c r="L3860" s="1306"/>
      <c r="M3860" s="1307"/>
      <c r="N3860" s="554"/>
      <c r="P3860" s="500"/>
    </row>
    <row r="3861" spans="1:16" s="303" customFormat="1" ht="19.5" customHeight="1" x14ac:dyDescent="0.25">
      <c r="A3861" s="1383"/>
      <c r="B3861" s="1242"/>
      <c r="C3861" s="3854" t="s">
        <v>4467</v>
      </c>
      <c r="D3861" s="1857">
        <f>D3862</f>
        <v>100000000</v>
      </c>
      <c r="E3861" s="1461">
        <f>D3861/D3717*100</f>
        <v>7.7570463218073163E-2</v>
      </c>
      <c r="F3861" s="392"/>
      <c r="G3861" s="392"/>
      <c r="H3861" s="1308"/>
      <c r="I3861" s="1309"/>
      <c r="J3861" s="1857"/>
      <c r="K3861" s="1857"/>
      <c r="L3861" s="1308"/>
      <c r="M3861" s="1659"/>
      <c r="N3861" s="554"/>
      <c r="P3861" s="500"/>
    </row>
    <row r="3862" spans="1:16" s="303" customFormat="1" ht="15.75" customHeight="1" x14ac:dyDescent="0.25">
      <c r="A3862" s="1383"/>
      <c r="B3862" s="1242"/>
      <c r="C3862" s="3917" t="s">
        <v>4468</v>
      </c>
      <c r="D3862" s="2249">
        <v>100000000</v>
      </c>
      <c r="E3862" s="880">
        <f>D3862/D3717*100</f>
        <v>7.7570463218073163E-2</v>
      </c>
      <c r="F3862" s="802"/>
      <c r="G3862" s="1109"/>
      <c r="H3862" s="1647"/>
      <c r="I3862" s="1109"/>
      <c r="J3862" s="1669"/>
      <c r="K3862" s="1121"/>
      <c r="L3862" s="1162"/>
      <c r="M3862" s="1162"/>
      <c r="N3862" s="554"/>
      <c r="P3862" s="500"/>
    </row>
    <row r="3863" spans="1:16" s="3628" customFormat="1" ht="11.25" customHeight="1" x14ac:dyDescent="0.25">
      <c r="A3863" s="3559"/>
      <c r="B3863" s="3623"/>
      <c r="C3863" s="3917"/>
      <c r="D3863" s="2249"/>
      <c r="E3863" s="880"/>
      <c r="F3863" s="3620"/>
      <c r="G3863" s="3675"/>
      <c r="H3863" s="1162"/>
      <c r="I3863" s="1109"/>
      <c r="J3863" s="1669"/>
      <c r="K3863" s="1121"/>
      <c r="L3863" s="1162"/>
      <c r="M3863" s="2504"/>
      <c r="N3863" s="554"/>
      <c r="P3863" s="500"/>
    </row>
    <row r="3864" spans="1:16" s="303" customFormat="1" ht="18.75" customHeight="1" x14ac:dyDescent="0.25">
      <c r="A3864" s="1383"/>
      <c r="B3864" s="1242"/>
      <c r="C3864" s="3938" t="s">
        <v>4469</v>
      </c>
      <c r="D3864" s="2243">
        <f>D3865</f>
        <v>25000000</v>
      </c>
      <c r="E3864" s="1415">
        <f>D3864/D3717*100</f>
        <v>1.9392615804518291E-2</v>
      </c>
      <c r="F3864" s="802"/>
      <c r="G3864" s="689"/>
      <c r="H3864" s="755"/>
      <c r="I3864" s="802"/>
      <c r="J3864" s="1669"/>
      <c r="K3864" s="2520"/>
      <c r="L3864" s="755"/>
      <c r="M3864" s="1649"/>
      <c r="N3864" s="554"/>
      <c r="P3864" s="500"/>
    </row>
    <row r="3865" spans="1:16" s="303" customFormat="1" ht="17.25" customHeight="1" x14ac:dyDescent="0.25">
      <c r="A3865" s="1383"/>
      <c r="B3865" s="1242"/>
      <c r="C3865" s="3917" t="s">
        <v>4470</v>
      </c>
      <c r="D3865" s="2249">
        <v>25000000</v>
      </c>
      <c r="E3865" s="880">
        <f>D3865/D3717*100</f>
        <v>1.9392615804518291E-2</v>
      </c>
      <c r="F3865" s="802"/>
      <c r="G3865" s="1109"/>
      <c r="H3865" s="1647"/>
      <c r="I3865" s="1109"/>
      <c r="J3865" s="1669"/>
      <c r="K3865" s="2520"/>
      <c r="L3865" s="755"/>
      <c r="M3865" s="1648"/>
      <c r="N3865" s="554"/>
      <c r="P3865" s="500"/>
    </row>
    <row r="3866" spans="1:16" s="3628" customFormat="1" ht="8.25" customHeight="1" x14ac:dyDescent="0.25">
      <c r="A3866" s="3559"/>
      <c r="B3866" s="3623"/>
      <c r="C3866" s="4001"/>
      <c r="D3866" s="2249"/>
      <c r="E3866" s="880"/>
      <c r="F3866" s="3620"/>
      <c r="G3866" s="1109"/>
      <c r="H3866" s="1647"/>
      <c r="I3866" s="1109"/>
      <c r="J3866" s="1669"/>
      <c r="K3866" s="2520"/>
      <c r="L3866" s="3630"/>
      <c r="M3866" s="1648"/>
      <c r="N3866" s="554"/>
      <c r="P3866" s="500"/>
    </row>
    <row r="3867" spans="1:16" s="303" customFormat="1" ht="18" customHeight="1" x14ac:dyDescent="0.25">
      <c r="A3867" s="1383"/>
      <c r="B3867" s="1242"/>
      <c r="C3867" s="3972" t="s">
        <v>4471</v>
      </c>
      <c r="D3867" s="2243">
        <f>D3868</f>
        <v>15000000</v>
      </c>
      <c r="E3867" s="1415">
        <f>D3867/D3717*100</f>
        <v>1.1635569482710972E-2</v>
      </c>
      <c r="F3867" s="802"/>
      <c r="G3867" s="1109"/>
      <c r="H3867" s="1647"/>
      <c r="I3867" s="1109"/>
      <c r="J3867" s="1669"/>
      <c r="K3867" s="2520"/>
      <c r="L3867" s="755"/>
      <c r="M3867" s="1648"/>
      <c r="N3867" s="554"/>
      <c r="P3867" s="500"/>
    </row>
    <row r="3868" spans="1:16" s="303" customFormat="1" ht="14.25" customHeight="1" x14ac:dyDescent="0.25">
      <c r="A3868" s="1383"/>
      <c r="B3868" s="1242"/>
      <c r="C3868" s="3860" t="s">
        <v>4472</v>
      </c>
      <c r="D3868" s="1111">
        <v>15000000</v>
      </c>
      <c r="E3868" s="880">
        <f>D3868/D3717*100</f>
        <v>1.1635569482710972E-2</v>
      </c>
      <c r="F3868" s="1109"/>
      <c r="G3868" s="1109"/>
      <c r="H3868" s="1647"/>
      <c r="I3868" s="1109"/>
      <c r="J3868" s="1669"/>
      <c r="K3868" s="2520"/>
      <c r="L3868" s="755"/>
      <c r="M3868" s="1648"/>
      <c r="N3868" s="554"/>
      <c r="P3868" s="500"/>
    </row>
    <row r="3869" spans="1:16" s="3628" customFormat="1" ht="11.25" customHeight="1" x14ac:dyDescent="0.25">
      <c r="A3869" s="3559"/>
      <c r="B3869" s="3623"/>
      <c r="C3869" s="3860"/>
      <c r="D3869" s="1111"/>
      <c r="E3869" s="1647"/>
      <c r="F3869" s="1109"/>
      <c r="G3869" s="1109"/>
      <c r="H3869" s="1647"/>
      <c r="I3869" s="1109"/>
      <c r="J3869" s="1669"/>
      <c r="K3869" s="2520"/>
      <c r="L3869" s="3630"/>
      <c r="M3869" s="1648"/>
      <c r="N3869" s="554"/>
      <c r="P3869" s="500"/>
    </row>
    <row r="3870" spans="1:16" s="303" customFormat="1" ht="16.5" customHeight="1" x14ac:dyDescent="0.25">
      <c r="A3870" s="1383"/>
      <c r="B3870" s="1242"/>
      <c r="C3870" s="3882" t="s">
        <v>4473</v>
      </c>
      <c r="D3870" s="1316">
        <f>D3871</f>
        <v>20000000</v>
      </c>
      <c r="E3870" s="1415">
        <f>D3870/D3717*100</f>
        <v>1.5514092643614631E-2</v>
      </c>
      <c r="F3870" s="1109"/>
      <c r="G3870" s="1109"/>
      <c r="H3870" s="1647"/>
      <c r="I3870" s="1109"/>
      <c r="J3870" s="1669"/>
      <c r="K3870" s="1121"/>
      <c r="L3870" s="1162"/>
      <c r="M3870" s="1162"/>
      <c r="N3870" s="554"/>
      <c r="P3870" s="500"/>
    </row>
    <row r="3871" spans="1:16" s="303" customFormat="1" ht="15" customHeight="1" x14ac:dyDescent="0.25">
      <c r="A3871" s="1383"/>
      <c r="B3871" s="1242"/>
      <c r="C3871" s="3917" t="s">
        <v>4474</v>
      </c>
      <c r="D3871" s="2249">
        <v>20000000</v>
      </c>
      <c r="E3871" s="880">
        <f>D3871/D3717*100</f>
        <v>1.5514092643614631E-2</v>
      </c>
      <c r="F3871" s="1122"/>
      <c r="G3871" s="690"/>
      <c r="H3871" s="755"/>
      <c r="I3871" s="802"/>
      <c r="J3871" s="1953"/>
      <c r="K3871" s="1762"/>
      <c r="L3871" s="1670"/>
      <c r="M3871" s="1648"/>
      <c r="N3871" s="554"/>
      <c r="P3871" s="500"/>
    </row>
    <row r="3872" spans="1:16" s="1672" customFormat="1" ht="12" customHeight="1" x14ac:dyDescent="0.25">
      <c r="A3872" s="352"/>
      <c r="B3872" s="1242"/>
      <c r="C3872" s="3896"/>
      <c r="D3872" s="780"/>
      <c r="E3872" s="880"/>
      <c r="F3872" s="755"/>
      <c r="G3872" s="532"/>
      <c r="H3872" s="755"/>
      <c r="I3872" s="804"/>
      <c r="J3872" s="1953"/>
      <c r="K3872" s="2270"/>
      <c r="L3872" s="1649"/>
      <c r="M3872" s="1649"/>
      <c r="N3872" s="535"/>
      <c r="P3872" s="500"/>
    </row>
    <row r="3873" spans="1:16" ht="17.25" customHeight="1" x14ac:dyDescent="0.25">
      <c r="B3873" s="1305"/>
      <c r="C3873" s="3913" t="s">
        <v>4475</v>
      </c>
      <c r="D3873" s="2659">
        <f>SUM(D3874+D3877)</f>
        <v>325000000</v>
      </c>
      <c r="E3873" s="1462">
        <f>D3873/D3717*100</f>
        <v>0.25210400545873773</v>
      </c>
      <c r="F3873" s="765"/>
      <c r="G3873" s="765"/>
      <c r="H3873" s="1306"/>
      <c r="I3873" s="765"/>
      <c r="J3873" s="1773"/>
      <c r="K3873" s="1773"/>
      <c r="L3873" s="1306"/>
      <c r="M3873" s="1726"/>
      <c r="N3873" s="535"/>
    </row>
    <row r="3874" spans="1:16" ht="16.5" customHeight="1" x14ac:dyDescent="0.25">
      <c r="B3874" s="1242"/>
      <c r="C3874" s="3854" t="s">
        <v>4476</v>
      </c>
      <c r="D3874" s="3143">
        <f>SUM(D3875)</f>
        <v>145000000</v>
      </c>
      <c r="E3874" s="1461">
        <f>D3874/D3717*100</f>
        <v>0.11247717166620608</v>
      </c>
      <c r="F3874" s="1115"/>
      <c r="G3874" s="1115"/>
      <c r="H3874" s="1308"/>
      <c r="I3874" s="2409"/>
      <c r="J3874" s="1947"/>
      <c r="K3874" s="1947"/>
      <c r="L3874" s="1308"/>
      <c r="M3874" s="1671"/>
      <c r="N3874" s="535"/>
    </row>
    <row r="3875" spans="1:16" ht="14.25" customHeight="1" x14ac:dyDescent="0.25">
      <c r="B3875" s="1242"/>
      <c r="C3875" s="3917" t="s">
        <v>4478</v>
      </c>
      <c r="D3875" s="2249">
        <v>145000000</v>
      </c>
      <c r="E3875" s="880">
        <f>D3875/D3717*100</f>
        <v>0.11247717166620608</v>
      </c>
      <c r="F3875" s="802"/>
      <c r="G3875" s="386"/>
      <c r="H3875" s="755"/>
      <c r="I3875" s="802"/>
      <c r="J3875" s="1667"/>
      <c r="K3875" s="1667"/>
      <c r="L3875" s="755"/>
      <c r="M3875" s="1648"/>
      <c r="N3875" s="535"/>
    </row>
    <row r="3876" spans="1:16" s="3627" customFormat="1" ht="12" customHeight="1" x14ac:dyDescent="0.25">
      <c r="A3876" s="3618"/>
      <c r="B3876" s="3623"/>
      <c r="C3876" s="3917"/>
      <c r="D3876" s="2249"/>
      <c r="E3876" s="880"/>
      <c r="F3876" s="3620"/>
      <c r="G3876" s="386"/>
      <c r="H3876" s="3630"/>
      <c r="I3876" s="3620"/>
      <c r="J3876" s="1667"/>
      <c r="K3876" s="1667"/>
      <c r="L3876" s="3630"/>
      <c r="M3876" s="1648"/>
      <c r="N3876" s="3619"/>
      <c r="P3876" s="500"/>
    </row>
    <row r="3877" spans="1:16" ht="17.25" customHeight="1" x14ac:dyDescent="0.25">
      <c r="B3877" s="1242"/>
      <c r="C3877" s="3938" t="s">
        <v>4477</v>
      </c>
      <c r="D3877" s="2243">
        <f>D3878</f>
        <v>180000000</v>
      </c>
      <c r="E3877" s="1415">
        <f>D3877/D3717*100</f>
        <v>0.13962683379253168</v>
      </c>
      <c r="F3877" s="802"/>
      <c r="G3877" s="386"/>
      <c r="H3877" s="755"/>
      <c r="I3877" s="802"/>
      <c r="J3877" s="1667"/>
      <c r="K3877" s="1667"/>
      <c r="L3877" s="755"/>
      <c r="M3877" s="1648"/>
      <c r="N3877" s="535"/>
    </row>
    <row r="3878" spans="1:16" ht="14.25" customHeight="1" x14ac:dyDescent="0.25">
      <c r="B3878" s="1242"/>
      <c r="C3878" s="3856" t="s">
        <v>4479</v>
      </c>
      <c r="D3878" s="666">
        <v>180000000</v>
      </c>
      <c r="E3878" s="880">
        <f>D3878/D3717*100</f>
        <v>0.13962683379253168</v>
      </c>
      <c r="F3878" s="838"/>
      <c r="G3878" s="894"/>
      <c r="H3878" s="1463"/>
      <c r="I3878" s="894"/>
      <c r="J3878" s="1315"/>
      <c r="K3878" s="1315"/>
      <c r="L3878" s="1315"/>
      <c r="M3878" s="1315"/>
      <c r="N3878" s="535"/>
    </row>
    <row r="3879" spans="1:16" s="3627" customFormat="1" ht="12" customHeight="1" x14ac:dyDescent="0.25">
      <c r="A3879" s="3618"/>
      <c r="B3879" s="3623"/>
      <c r="C3879" s="3852"/>
      <c r="D3879" s="671"/>
      <c r="E3879" s="1393"/>
      <c r="F3879" s="840"/>
      <c r="G3879" s="969"/>
      <c r="H3879" s="2346"/>
      <c r="I3879" s="791"/>
      <c r="J3879" s="2279"/>
      <c r="K3879" s="2279"/>
      <c r="L3879" s="2182"/>
      <c r="M3879" s="2182"/>
      <c r="N3879" s="3619"/>
      <c r="P3879" s="500"/>
    </row>
    <row r="3880" spans="1:16" s="1678" customFormat="1" ht="18.75" customHeight="1" x14ac:dyDescent="0.25">
      <c r="A3880" s="352"/>
      <c r="B3880" s="1655"/>
      <c r="C3880" s="4044" t="s">
        <v>4480</v>
      </c>
      <c r="D3880" s="669">
        <f>SUM(D3881+D3884+D3887)</f>
        <v>233881451</v>
      </c>
      <c r="E3880" s="1462">
        <f>D3880/D3717*100</f>
        <v>0.1814229249218508</v>
      </c>
      <c r="F3880" s="1546"/>
      <c r="G3880" s="1546"/>
      <c r="H3880" s="1462"/>
      <c r="I3880" s="2523"/>
      <c r="J3880" s="1813"/>
      <c r="K3880" s="1813"/>
      <c r="L3880" s="1306"/>
      <c r="M3880" s="1307"/>
      <c r="N3880" s="535"/>
      <c r="P3880" s="500"/>
    </row>
    <row r="3881" spans="1:16" s="303" customFormat="1" ht="23.25" customHeight="1" x14ac:dyDescent="0.25">
      <c r="A3881" s="1383"/>
      <c r="B3881" s="1242"/>
      <c r="C3881" s="3854" t="s">
        <v>4481</v>
      </c>
      <c r="D3881" s="768">
        <f>SUM(D3882:D3882)</f>
        <v>130000000</v>
      </c>
      <c r="E3881" s="1415">
        <f>D3881/D3717*100</f>
        <v>0.1008416021834951</v>
      </c>
      <c r="F3881" s="753"/>
      <c r="G3881" s="753"/>
      <c r="H3881" s="1661"/>
      <c r="I3881" s="803"/>
      <c r="J3881" s="1772"/>
      <c r="K3881" s="1772"/>
      <c r="L3881" s="1308"/>
      <c r="M3881" s="1706"/>
      <c r="N3881" s="554"/>
      <c r="P3881" s="500"/>
    </row>
    <row r="3882" spans="1:16" s="303" customFormat="1" ht="18" customHeight="1" x14ac:dyDescent="0.25">
      <c r="A3882" s="1383"/>
      <c r="B3882" s="1242"/>
      <c r="C3882" s="3856" t="s">
        <v>4486</v>
      </c>
      <c r="D3882" s="780">
        <v>130000000</v>
      </c>
      <c r="E3882" s="880">
        <f>D3882/D3717*100</f>
        <v>0.1008416021834951</v>
      </c>
      <c r="F3882" s="755"/>
      <c r="G3882" s="1674"/>
      <c r="H3882" s="755"/>
      <c r="I3882" s="802"/>
      <c r="J3882" s="1679"/>
      <c r="K3882" s="1679"/>
      <c r="L3882" s="755"/>
      <c r="M3882" s="1648"/>
      <c r="N3882" s="554"/>
      <c r="P3882" s="500"/>
    </row>
    <row r="3883" spans="1:16" s="3628" customFormat="1" ht="12" customHeight="1" x14ac:dyDescent="0.25">
      <c r="A3883" s="3559"/>
      <c r="B3883" s="3623"/>
      <c r="C3883" s="4062"/>
      <c r="D3883" s="799"/>
      <c r="E3883" s="880"/>
      <c r="F3883" s="827"/>
      <c r="G3883" s="666"/>
      <c r="H3883" s="804"/>
      <c r="I3883" s="804"/>
      <c r="J3883" s="3676"/>
      <c r="K3883" s="3676"/>
      <c r="L3883" s="804"/>
      <c r="M3883" s="1649"/>
      <c r="N3883" s="554"/>
      <c r="P3883" s="500"/>
    </row>
    <row r="3884" spans="1:16" s="1678" customFormat="1" ht="14.25" customHeight="1" x14ac:dyDescent="0.25">
      <c r="A3884" s="352"/>
      <c r="B3884" s="1242"/>
      <c r="C3884" s="3855" t="s">
        <v>4482</v>
      </c>
      <c r="D3884" s="673">
        <f>D3885</f>
        <v>50000000</v>
      </c>
      <c r="E3884" s="1415">
        <f>D3884/D3717*100</f>
        <v>3.8785231609036581E-2</v>
      </c>
      <c r="F3884" s="838"/>
      <c r="G3884" s="894"/>
      <c r="H3884" s="1463"/>
      <c r="I3884" s="894"/>
      <c r="J3884" s="1315"/>
      <c r="K3884" s="1315"/>
      <c r="L3884" s="1315"/>
      <c r="M3884" s="1315"/>
      <c r="N3884" s="535"/>
      <c r="P3884" s="500"/>
    </row>
    <row r="3885" spans="1:16" s="1678" customFormat="1" ht="17.25" customHeight="1" x14ac:dyDescent="0.25">
      <c r="A3885" s="352"/>
      <c r="B3885" s="1242"/>
      <c r="C3885" s="3917" t="s">
        <v>4483</v>
      </c>
      <c r="D3885" s="666">
        <v>50000000</v>
      </c>
      <c r="E3885" s="880">
        <f>D3885/D3717*100</f>
        <v>3.8785231609036581E-2</v>
      </c>
      <c r="F3885" s="1118"/>
      <c r="G3885" s="1118"/>
      <c r="H3885" s="1052"/>
      <c r="I3885" s="1118"/>
      <c r="J3885" s="2261"/>
      <c r="K3885" s="2261"/>
      <c r="L3885" s="1415"/>
      <c r="M3885" s="2261"/>
      <c r="N3885" s="535"/>
      <c r="P3885" s="500"/>
    </row>
    <row r="3886" spans="1:16" s="3627" customFormat="1" ht="12.75" customHeight="1" x14ac:dyDescent="0.25">
      <c r="A3886" s="3618"/>
      <c r="B3886" s="3623"/>
      <c r="C3886" s="3938"/>
      <c r="D3886" s="673"/>
      <c r="E3886" s="880"/>
      <c r="F3886" s="1118"/>
      <c r="G3886" s="1118"/>
      <c r="H3886" s="1052"/>
      <c r="I3886" s="1118"/>
      <c r="J3886" s="2261"/>
      <c r="K3886" s="2261"/>
      <c r="L3886" s="1415"/>
      <c r="M3886" s="2261"/>
      <c r="N3886" s="3619"/>
      <c r="P3886" s="500"/>
    </row>
    <row r="3887" spans="1:16" s="1678" customFormat="1" ht="18" customHeight="1" x14ac:dyDescent="0.25">
      <c r="A3887" s="352"/>
      <c r="B3887" s="1242"/>
      <c r="C3887" s="3938" t="s">
        <v>4484</v>
      </c>
      <c r="D3887" s="673">
        <f>D3888</f>
        <v>53881451</v>
      </c>
      <c r="E3887" s="1415">
        <f>D3887/D3717*100</f>
        <v>4.1796091129319105E-2</v>
      </c>
      <c r="F3887" s="1121"/>
      <c r="G3887" s="1121"/>
      <c r="H3887" s="1162"/>
      <c r="I3887" s="1121"/>
      <c r="J3887" s="1680"/>
      <c r="K3887" s="1680"/>
      <c r="L3887" s="3630"/>
      <c r="M3887" s="1717"/>
      <c r="N3887" s="535"/>
      <c r="P3887" s="500"/>
    </row>
    <row r="3888" spans="1:16" s="1678" customFormat="1" ht="15.75" customHeight="1" x14ac:dyDescent="0.25">
      <c r="A3888" s="352"/>
      <c r="B3888" s="1242"/>
      <c r="C3888" s="3856" t="s">
        <v>4485</v>
      </c>
      <c r="D3888" s="666">
        <v>53881451</v>
      </c>
      <c r="E3888" s="880">
        <f>D3888/D3717*100</f>
        <v>4.1796091129319105E-2</v>
      </c>
      <c r="F3888" s="838"/>
      <c r="G3888" s="894"/>
      <c r="H3888" s="1463"/>
      <c r="I3888" s="894"/>
      <c r="J3888" s="1315"/>
      <c r="K3888" s="1315"/>
      <c r="L3888" s="1315"/>
      <c r="M3888" s="1315"/>
      <c r="N3888" s="535"/>
      <c r="P3888" s="500"/>
    </row>
    <row r="3889" spans="1:16" s="3627" customFormat="1" ht="12" customHeight="1" x14ac:dyDescent="0.25">
      <c r="A3889" s="3618"/>
      <c r="B3889" s="3623"/>
      <c r="C3889" s="3852"/>
      <c r="D3889" s="671"/>
      <c r="E3889" s="1393"/>
      <c r="F3889" s="840"/>
      <c r="G3889" s="969"/>
      <c r="H3889" s="2346"/>
      <c r="I3889" s="791"/>
      <c r="J3889" s="2279"/>
      <c r="K3889" s="2279"/>
      <c r="L3889" s="2182"/>
      <c r="M3889" s="2182"/>
      <c r="N3889" s="3619"/>
      <c r="P3889" s="500"/>
    </row>
    <row r="3890" spans="1:16" s="3627" customFormat="1" ht="15.75" customHeight="1" x14ac:dyDescent="0.25">
      <c r="A3890" s="3618"/>
      <c r="B3890" s="1655"/>
      <c r="C3890" s="3994" t="s">
        <v>4487</v>
      </c>
      <c r="D3890" s="669">
        <f>SUM(D3891+D3894)</f>
        <v>284470000</v>
      </c>
      <c r="E3890" s="1462">
        <f>D3890/D3717*100</f>
        <v>0.2206646967164527</v>
      </c>
      <c r="F3890" s="3382"/>
      <c r="G3890" s="3690"/>
      <c r="H3890" s="3689"/>
      <c r="I3890" s="3690"/>
      <c r="J3890" s="2533"/>
      <c r="K3890" s="2533"/>
      <c r="L3890" s="2533"/>
      <c r="M3890" s="2533"/>
      <c r="N3890" s="3619"/>
      <c r="P3890" s="500"/>
    </row>
    <row r="3891" spans="1:16" s="3598" customFormat="1" ht="16.5" customHeight="1" x14ac:dyDescent="0.25">
      <c r="A3891" s="3588"/>
      <c r="B3891" s="3623"/>
      <c r="C3891" s="3854" t="s">
        <v>4488</v>
      </c>
      <c r="D3891" s="1105">
        <f>D3892</f>
        <v>34500000</v>
      </c>
      <c r="E3891" s="1415">
        <f>D3891/D3717*100</f>
        <v>2.6761809810235238E-2</v>
      </c>
      <c r="F3891" s="3388"/>
      <c r="G3891" s="667"/>
      <c r="H3891" s="2238"/>
      <c r="I3891" s="2409"/>
      <c r="J3891" s="3691"/>
      <c r="K3891" s="3691"/>
      <c r="L3891" s="1671"/>
      <c r="M3891" s="1671"/>
      <c r="N3891" s="3592"/>
      <c r="P3891" s="4592"/>
    </row>
    <row r="3892" spans="1:16" s="3627" customFormat="1" ht="15.75" customHeight="1" x14ac:dyDescent="0.25">
      <c r="A3892" s="3618"/>
      <c r="B3892" s="3623"/>
      <c r="C3892" s="3856" t="s">
        <v>4524</v>
      </c>
      <c r="D3892" s="666">
        <v>34500000</v>
      </c>
      <c r="E3892" s="880">
        <f>D3892/D3717*100</f>
        <v>2.6761809810235238E-2</v>
      </c>
      <c r="F3892" s="838"/>
      <c r="G3892" s="894"/>
      <c r="H3892" s="1463"/>
      <c r="I3892" s="894"/>
      <c r="J3892" s="1315"/>
      <c r="K3892" s="1315"/>
      <c r="L3892" s="1315"/>
      <c r="M3892" s="1315"/>
      <c r="N3892" s="3619"/>
      <c r="P3892" s="500"/>
    </row>
    <row r="3893" spans="1:16" s="3627" customFormat="1" ht="9.75" customHeight="1" x14ac:dyDescent="0.25">
      <c r="A3893" s="3618"/>
      <c r="B3893" s="3623"/>
      <c r="C3893" s="3991"/>
      <c r="D3893" s="666"/>
      <c r="E3893" s="1463"/>
      <c r="F3893" s="838"/>
      <c r="G3893" s="894"/>
      <c r="H3893" s="1463"/>
      <c r="I3893" s="894"/>
      <c r="J3893" s="1315"/>
      <c r="K3893" s="1315"/>
      <c r="L3893" s="1315"/>
      <c r="M3893" s="1315"/>
      <c r="N3893" s="3619"/>
      <c r="P3893" s="500"/>
    </row>
    <row r="3894" spans="1:16" s="3627" customFormat="1" ht="15" customHeight="1" x14ac:dyDescent="0.25">
      <c r="A3894" s="3618"/>
      <c r="B3894" s="3623"/>
      <c r="C3894" s="3855" t="s">
        <v>4489</v>
      </c>
      <c r="D3894" s="673">
        <f>SUM(D3895:D3897)</f>
        <v>249970000</v>
      </c>
      <c r="E3894" s="1415">
        <f>D3894/D3717*100</f>
        <v>0.19390288690621746</v>
      </c>
      <c r="F3894" s="838"/>
      <c r="G3894" s="894"/>
      <c r="H3894" s="1463"/>
      <c r="I3894" s="894"/>
      <c r="J3894" s="1315"/>
      <c r="K3894" s="1315"/>
      <c r="L3894" s="1315"/>
      <c r="M3894" s="1315"/>
      <c r="N3894" s="3619"/>
      <c r="P3894" s="500"/>
    </row>
    <row r="3895" spans="1:16" s="3627" customFormat="1" ht="15.75" customHeight="1" x14ac:dyDescent="0.25">
      <c r="A3895" s="3618"/>
      <c r="B3895" s="3623"/>
      <c r="C3895" s="3856" t="s">
        <v>4490</v>
      </c>
      <c r="D3895" s="666">
        <v>14400000</v>
      </c>
      <c r="E3895" s="880">
        <f>D3895/D3717*100</f>
        <v>1.1170146703402533E-2</v>
      </c>
      <c r="F3895" s="838"/>
      <c r="G3895" s="894"/>
      <c r="H3895" s="1463"/>
      <c r="I3895" s="894"/>
      <c r="J3895" s="1315"/>
      <c r="K3895" s="1315"/>
      <c r="L3895" s="1315"/>
      <c r="M3895" s="1315"/>
      <c r="N3895" s="3619"/>
      <c r="P3895" s="500"/>
    </row>
    <row r="3896" spans="1:16" s="3627" customFormat="1" ht="16.5" customHeight="1" x14ac:dyDescent="0.25">
      <c r="A3896" s="3618"/>
      <c r="B3896" s="3623"/>
      <c r="C3896" s="3856" t="s">
        <v>4526</v>
      </c>
      <c r="D3896" s="666">
        <v>200570000</v>
      </c>
      <c r="E3896" s="880">
        <f>D3896/D3717*100</f>
        <v>0.15558307807648933</v>
      </c>
      <c r="F3896" s="838"/>
      <c r="G3896" s="894"/>
      <c r="H3896" s="1463"/>
      <c r="I3896" s="894"/>
      <c r="J3896" s="1315"/>
      <c r="K3896" s="1315"/>
      <c r="L3896" s="1315"/>
      <c r="M3896" s="1315"/>
      <c r="N3896" s="3619"/>
      <c r="P3896" s="500"/>
    </row>
    <row r="3897" spans="1:16" s="3627" customFormat="1" ht="15" customHeight="1" x14ac:dyDescent="0.25">
      <c r="A3897" s="3618"/>
      <c r="B3897" s="3623"/>
      <c r="C3897" s="3856" t="s">
        <v>4491</v>
      </c>
      <c r="D3897" s="666">
        <v>35000000</v>
      </c>
      <c r="E3897" s="880">
        <f>D3897/D3717*100</f>
        <v>2.7149662126325604E-2</v>
      </c>
      <c r="F3897" s="838"/>
      <c r="G3897" s="894"/>
      <c r="H3897" s="1463"/>
      <c r="I3897" s="894"/>
      <c r="J3897" s="1315"/>
      <c r="K3897" s="1315"/>
      <c r="L3897" s="1315"/>
      <c r="M3897" s="1315"/>
      <c r="N3897" s="3619"/>
      <c r="P3897" s="500"/>
    </row>
    <row r="3898" spans="1:16" s="3627" customFormat="1" ht="12" customHeight="1" x14ac:dyDescent="0.25">
      <c r="A3898" s="3618"/>
      <c r="B3898" s="3623"/>
      <c r="C3898" s="3852"/>
      <c r="D3898" s="671"/>
      <c r="E3898" s="1393"/>
      <c r="F3898" s="840"/>
      <c r="G3898" s="969"/>
      <c r="H3898" s="2346"/>
      <c r="I3898" s="791"/>
      <c r="J3898" s="2279"/>
      <c r="K3898" s="2279"/>
      <c r="L3898" s="2182"/>
      <c r="M3898" s="2182"/>
      <c r="N3898" s="3619"/>
      <c r="P3898" s="500"/>
    </row>
    <row r="3899" spans="1:16" ht="18" customHeight="1" x14ac:dyDescent="0.25">
      <c r="B3899" s="1305"/>
      <c r="C3899" s="3858" t="s">
        <v>4492</v>
      </c>
      <c r="D3899" s="669">
        <f>SUM(D3900+D3903)</f>
        <v>300000000</v>
      </c>
      <c r="E3899" s="1462">
        <f>D3899/D3717*100</f>
        <v>0.23271138965421947</v>
      </c>
      <c r="F3899" s="1707"/>
      <c r="G3899" s="1107"/>
      <c r="H3899" s="1050"/>
      <c r="I3899" s="1107"/>
      <c r="J3899" s="1813"/>
      <c r="K3899" s="1813"/>
      <c r="L3899" s="1306"/>
      <c r="M3899" s="1307"/>
      <c r="N3899" s="535"/>
    </row>
    <row r="3900" spans="1:16" ht="18.75" customHeight="1" x14ac:dyDescent="0.25">
      <c r="B3900" s="1242"/>
      <c r="C3900" s="3854" t="s">
        <v>4493</v>
      </c>
      <c r="D3900" s="1942">
        <f>SUM(D3901)</f>
        <v>180000000</v>
      </c>
      <c r="E3900" s="1461">
        <f>D3900/D3717*100</f>
        <v>0.13962683379253168</v>
      </c>
      <c r="F3900" s="502"/>
      <c r="G3900" s="1120"/>
      <c r="H3900" s="1662"/>
      <c r="I3900" s="1120"/>
      <c r="J3900" s="1942"/>
      <c r="K3900" s="1942"/>
      <c r="L3900" s="1308"/>
      <c r="M3900" s="2221"/>
      <c r="N3900" s="535"/>
    </row>
    <row r="3901" spans="1:16" ht="16.5" customHeight="1" x14ac:dyDescent="0.25">
      <c r="B3901" s="1242"/>
      <c r="C3901" s="3959" t="s">
        <v>4495</v>
      </c>
      <c r="D3901" s="780">
        <v>180000000</v>
      </c>
      <c r="E3901" s="880">
        <f>D3901/D3717*100</f>
        <v>0.13962683379253168</v>
      </c>
      <c r="F3901" s="755"/>
      <c r="G3901" s="1121"/>
      <c r="H3901" s="1162"/>
      <c r="I3901" s="1121"/>
      <c r="J3901" s="1681"/>
      <c r="K3901" s="2524"/>
      <c r="L3901" s="755"/>
      <c r="M3901" s="2202"/>
      <c r="N3901" s="535"/>
    </row>
    <row r="3902" spans="1:16" s="3627" customFormat="1" ht="9" customHeight="1" x14ac:dyDescent="0.25">
      <c r="A3902" s="3618"/>
      <c r="B3902" s="3623"/>
      <c r="C3902" s="3959"/>
      <c r="D3902" s="780"/>
      <c r="E3902" s="880"/>
      <c r="F3902" s="3630"/>
      <c r="G3902" s="1121"/>
      <c r="H3902" s="1162"/>
      <c r="I3902" s="1121"/>
      <c r="J3902" s="3677"/>
      <c r="K3902" s="3678"/>
      <c r="L3902" s="804"/>
      <c r="M3902" s="2202"/>
      <c r="N3902" s="3619"/>
      <c r="P3902" s="500"/>
    </row>
    <row r="3903" spans="1:16" s="3598" customFormat="1" ht="16.5" customHeight="1" x14ac:dyDescent="0.25">
      <c r="A3903" s="3588"/>
      <c r="B3903" s="3623"/>
      <c r="C3903" s="3958" t="s">
        <v>4494</v>
      </c>
      <c r="D3903" s="768">
        <f>D3904</f>
        <v>120000000</v>
      </c>
      <c r="E3903" s="1461">
        <f>D3903/D3717*100</f>
        <v>9.3084555861687776E-2</v>
      </c>
      <c r="F3903" s="3629"/>
      <c r="G3903" s="1118"/>
      <c r="H3903" s="1052"/>
      <c r="I3903" s="1118"/>
      <c r="J3903" s="3679"/>
      <c r="K3903" s="3680"/>
      <c r="L3903" s="3625"/>
      <c r="M3903" s="1704"/>
      <c r="N3903" s="3592"/>
      <c r="P3903" s="4592"/>
    </row>
    <row r="3904" spans="1:16" s="3387" customFormat="1" ht="18" customHeight="1" x14ac:dyDescent="0.25">
      <c r="A3904" s="3587"/>
      <c r="B3904" s="3604"/>
      <c r="C3904" s="3959" t="s">
        <v>4527</v>
      </c>
      <c r="D3904" s="780">
        <v>120000000</v>
      </c>
      <c r="E3904" s="880">
        <f>D3904/D3717*100</f>
        <v>9.3084555861687776E-2</v>
      </c>
      <c r="F3904" s="3630"/>
      <c r="G3904" s="3681"/>
      <c r="H3904" s="3682"/>
      <c r="I3904" s="3681"/>
      <c r="J3904" s="1948"/>
      <c r="K3904" s="3683"/>
      <c r="L3904" s="1703"/>
      <c r="M3904" s="2202"/>
      <c r="N3904" s="3590"/>
      <c r="P3904" s="612"/>
    </row>
    <row r="3905" spans="1:16" s="3627" customFormat="1" ht="7.5" customHeight="1" x14ac:dyDescent="0.25">
      <c r="A3905" s="3618"/>
      <c r="B3905" s="3623"/>
      <c r="C3905" s="3852"/>
      <c r="D3905" s="671"/>
      <c r="E3905" s="1393"/>
      <c r="F3905" s="840"/>
      <c r="G3905" s="969"/>
      <c r="H3905" s="1393"/>
      <c r="I3905" s="969"/>
      <c r="J3905" s="2279"/>
      <c r="K3905" s="2279"/>
      <c r="L3905" s="2182"/>
      <c r="M3905" s="2182"/>
      <c r="N3905" s="3619"/>
      <c r="P3905" s="500"/>
    </row>
    <row r="3906" spans="1:16" ht="15.75" customHeight="1" x14ac:dyDescent="0.25">
      <c r="B3906" s="1305"/>
      <c r="C3906" s="3906" t="s">
        <v>4496</v>
      </c>
      <c r="D3906" s="669">
        <f>SUM(D3907+D3910+D3913+D3916)</f>
        <v>271000000</v>
      </c>
      <c r="E3906" s="1462">
        <f>D3906/D3717*100</f>
        <v>0.21021595532097823</v>
      </c>
      <c r="F3906" s="832"/>
      <c r="G3906" s="1107"/>
      <c r="H3906" s="1050"/>
      <c r="I3906" s="1107"/>
      <c r="J3906" s="1813"/>
      <c r="K3906" s="1813"/>
      <c r="L3906" s="1306"/>
      <c r="M3906" s="2228"/>
      <c r="N3906" s="535"/>
    </row>
    <row r="3907" spans="1:16" ht="19.5" customHeight="1" x14ac:dyDescent="0.25">
      <c r="B3907" s="1242"/>
      <c r="C3907" s="3854" t="s">
        <v>4497</v>
      </c>
      <c r="D3907" s="1847">
        <f>SUM(D3908)</f>
        <v>17480000</v>
      </c>
      <c r="E3907" s="1461">
        <f>D3907/D3717*100</f>
        <v>1.3559316970519186E-2</v>
      </c>
      <c r="F3907" s="665"/>
      <c r="G3907" s="1120"/>
      <c r="H3907" s="1662"/>
      <c r="I3907" s="1120"/>
      <c r="J3907" s="1851"/>
      <c r="K3907" s="1851"/>
      <c r="L3907" s="1308"/>
      <c r="M3907" s="2221"/>
      <c r="N3907" s="535"/>
    </row>
    <row r="3908" spans="1:16" ht="15.75" customHeight="1" x14ac:dyDescent="0.25">
      <c r="B3908" s="1242"/>
      <c r="C3908" s="3959" t="s">
        <v>4498</v>
      </c>
      <c r="D3908" s="780">
        <v>17480000</v>
      </c>
      <c r="E3908" s="880">
        <f>D3908/D3717*100</f>
        <v>1.3559316970519186E-2</v>
      </c>
      <c r="F3908" s="755"/>
      <c r="G3908" s="1121"/>
      <c r="H3908" s="1162"/>
      <c r="I3908" s="1121"/>
      <c r="J3908" s="2526"/>
      <c r="K3908" s="2526"/>
      <c r="L3908" s="755"/>
      <c r="M3908" s="2202"/>
      <c r="N3908" s="535"/>
    </row>
    <row r="3909" spans="1:16" s="3627" customFormat="1" ht="9.75" customHeight="1" x14ac:dyDescent="0.25">
      <c r="A3909" s="3618"/>
      <c r="B3909" s="3623"/>
      <c r="C3909" s="3959"/>
      <c r="D3909" s="780"/>
      <c r="E3909" s="880"/>
      <c r="F3909" s="3630"/>
      <c r="G3909" s="3685"/>
      <c r="H3909" s="1160"/>
      <c r="I3909" s="3685"/>
      <c r="J3909" s="2526"/>
      <c r="K3909" s="3686"/>
      <c r="L3909" s="804"/>
      <c r="M3909" s="2202"/>
      <c r="N3909" s="3619"/>
      <c r="P3909" s="500"/>
    </row>
    <row r="3910" spans="1:16" ht="17.25" customHeight="1" x14ac:dyDescent="0.25">
      <c r="B3910" s="1242"/>
      <c r="C3910" s="3958" t="s">
        <v>4499</v>
      </c>
      <c r="D3910" s="768">
        <f>D3911</f>
        <v>44720000</v>
      </c>
      <c r="E3910" s="1415">
        <f>D3910/D3717*100</f>
        <v>3.4689511151122315E-2</v>
      </c>
      <c r="F3910" s="3629"/>
      <c r="G3910" s="677"/>
      <c r="H3910" s="732"/>
      <c r="I3910" s="677"/>
      <c r="J3910" s="1951"/>
      <c r="K3910" s="2527"/>
      <c r="L3910" s="2182"/>
      <c r="M3910" s="2202"/>
      <c r="N3910" s="535"/>
    </row>
    <row r="3911" spans="1:16" ht="16.5" customHeight="1" x14ac:dyDescent="0.25">
      <c r="B3911" s="1242"/>
      <c r="C3911" s="3959" t="s">
        <v>4500</v>
      </c>
      <c r="D3911" s="780">
        <v>44720000</v>
      </c>
      <c r="E3911" s="880">
        <f>D3911/D3717*100</f>
        <v>3.4689511151122315E-2</v>
      </c>
      <c r="F3911" s="753"/>
      <c r="G3911" s="1120"/>
      <c r="H3911" s="1662"/>
      <c r="I3911" s="1120"/>
      <c r="J3911" s="1772"/>
      <c r="K3911" s="1772"/>
      <c r="L3911" s="1415"/>
      <c r="M3911" s="1704"/>
      <c r="N3911" s="535"/>
    </row>
    <row r="3912" spans="1:16" s="3627" customFormat="1" ht="10.5" customHeight="1" x14ac:dyDescent="0.25">
      <c r="A3912" s="3618"/>
      <c r="B3912" s="3623"/>
      <c r="C3912" s="3958"/>
      <c r="D3912" s="768"/>
      <c r="E3912" s="1415"/>
      <c r="F3912" s="3629"/>
      <c r="G3912" s="1120"/>
      <c r="H3912" s="1662"/>
      <c r="I3912" s="1120"/>
      <c r="J3912" s="1772"/>
      <c r="K3912" s="1772"/>
      <c r="L3912" s="1415"/>
      <c r="M3912" s="1704"/>
      <c r="N3912" s="3619"/>
      <c r="P3912" s="500"/>
    </row>
    <row r="3913" spans="1:16" s="3598" customFormat="1" ht="16.5" customHeight="1" x14ac:dyDescent="0.25">
      <c r="A3913" s="3588"/>
      <c r="B3913" s="3623"/>
      <c r="C3913" s="3958" t="s">
        <v>4501</v>
      </c>
      <c r="D3913" s="768">
        <f>D3914</f>
        <v>151200000</v>
      </c>
      <c r="E3913" s="1415">
        <f>D3913/D3717*100</f>
        <v>0.11728654038572661</v>
      </c>
      <c r="F3913" s="3629"/>
      <c r="G3913" s="1118"/>
      <c r="H3913" s="1052"/>
      <c r="I3913" s="1118"/>
      <c r="J3913" s="3684"/>
      <c r="K3913" s="3684"/>
      <c r="L3913" s="3629"/>
      <c r="M3913" s="1704"/>
      <c r="N3913" s="3592"/>
      <c r="P3913" s="4592"/>
    </row>
    <row r="3914" spans="1:16" ht="15.75" customHeight="1" x14ac:dyDescent="0.25">
      <c r="B3914" s="1242"/>
      <c r="C3914" s="3959" t="s">
        <v>4502</v>
      </c>
      <c r="D3914" s="780">
        <v>151200000</v>
      </c>
      <c r="E3914" s="880">
        <f>D3914/D3717*100</f>
        <v>0.11728654038572661</v>
      </c>
      <c r="F3914" s="755"/>
      <c r="G3914" s="1006"/>
      <c r="H3914" s="1006"/>
      <c r="I3914" s="1006"/>
      <c r="J3914" s="1988"/>
      <c r="K3914" s="2528"/>
      <c r="L3914" s="2529"/>
      <c r="M3914" s="1704"/>
      <c r="N3914" s="535"/>
    </row>
    <row r="3915" spans="1:16" s="3627" customFormat="1" ht="8.25" customHeight="1" x14ac:dyDescent="0.25">
      <c r="A3915" s="3618"/>
      <c r="B3915" s="3623"/>
      <c r="C3915" s="3959"/>
      <c r="D3915" s="780"/>
      <c r="E3915" s="1415"/>
      <c r="F3915" s="3630"/>
      <c r="G3915" s="3687"/>
      <c r="H3915" s="3687"/>
      <c r="I3915" s="3687"/>
      <c r="J3915" s="1988"/>
      <c r="K3915" s="2528"/>
      <c r="L3915" s="2529"/>
      <c r="M3915" s="1704"/>
      <c r="N3915" s="3619"/>
      <c r="P3915" s="500"/>
    </row>
    <row r="3916" spans="1:16" ht="15.75" customHeight="1" x14ac:dyDescent="0.25">
      <c r="B3916" s="1242"/>
      <c r="C3916" s="3958" t="s">
        <v>4503</v>
      </c>
      <c r="D3916" s="768">
        <f>SUM(D3917)</f>
        <v>57600000</v>
      </c>
      <c r="E3916" s="1415">
        <f>D3916/D3717*100</f>
        <v>4.4680586813610132E-2</v>
      </c>
      <c r="F3916" s="753"/>
      <c r="G3916" s="1120"/>
      <c r="H3916" s="1662"/>
      <c r="I3916" s="1120"/>
      <c r="J3916" s="1772"/>
      <c r="K3916" s="1772"/>
      <c r="L3916" s="1415"/>
      <c r="M3916" s="1704"/>
      <c r="N3916" s="535"/>
    </row>
    <row r="3917" spans="1:16" ht="12" customHeight="1" x14ac:dyDescent="0.25">
      <c r="B3917" s="1242"/>
      <c r="C3917" s="3959" t="s">
        <v>4504</v>
      </c>
      <c r="D3917" s="780">
        <v>57600000</v>
      </c>
      <c r="E3917" s="880">
        <f>D3917/D3717*100</f>
        <v>4.4680586813610132E-2</v>
      </c>
      <c r="F3917" s="755"/>
      <c r="G3917" s="1121"/>
      <c r="H3917" s="1162"/>
      <c r="I3917" s="1121"/>
      <c r="J3917" s="1684"/>
      <c r="K3917" s="1684"/>
      <c r="L3917" s="755"/>
      <c r="M3917" s="2202"/>
      <c r="N3917" s="535"/>
    </row>
    <row r="3918" spans="1:16" ht="12" customHeight="1" x14ac:dyDescent="0.25">
      <c r="B3918" s="1242"/>
      <c r="D3918" s="868"/>
      <c r="E3918" s="1443"/>
      <c r="F3918" s="835"/>
      <c r="G3918" s="969"/>
      <c r="H3918" s="2346"/>
      <c r="I3918" s="791"/>
      <c r="J3918" s="2279"/>
      <c r="K3918" s="2279"/>
      <c r="L3918" s="2175"/>
      <c r="M3918" s="2175"/>
      <c r="N3918" s="535"/>
    </row>
    <row r="3919" spans="1:16" ht="15.75" customHeight="1" x14ac:dyDescent="0.25">
      <c r="B3919" s="1305"/>
      <c r="C3919" s="3906" t="s">
        <v>4505</v>
      </c>
      <c r="D3919" s="669">
        <f>SUM(D3920+D3924)</f>
        <v>864539500</v>
      </c>
      <c r="E3919" s="1462">
        <f>D3919/D3717*100</f>
        <v>0.6706272948532136</v>
      </c>
      <c r="F3919" s="832"/>
      <c r="G3919" s="832"/>
      <c r="H3919" s="1306"/>
      <c r="I3919" s="1645"/>
      <c r="J3919" s="1954"/>
      <c r="K3919" s="1954"/>
      <c r="L3919" s="1306"/>
      <c r="M3919" s="1307"/>
      <c r="N3919" s="535"/>
    </row>
    <row r="3920" spans="1:16" ht="15.75" customHeight="1" x14ac:dyDescent="0.25">
      <c r="B3920" s="2917"/>
      <c r="C3920" s="3854" t="s">
        <v>4506</v>
      </c>
      <c r="D3920" s="889">
        <f>SUM(D3921+D3922)</f>
        <v>685300000</v>
      </c>
      <c r="E3920" s="1461">
        <f>D3920/D3717*100</f>
        <v>0.5315903844334553</v>
      </c>
      <c r="F3920" s="501"/>
      <c r="G3920" s="501"/>
      <c r="H3920" s="1308"/>
      <c r="I3920" s="793"/>
      <c r="J3920" s="1857"/>
      <c r="K3920" s="1857"/>
      <c r="L3920" s="1308"/>
      <c r="M3920" s="2448"/>
      <c r="N3920" s="535"/>
    </row>
    <row r="3921" spans="1:17" ht="14.25" customHeight="1" x14ac:dyDescent="0.25">
      <c r="B3921" s="1242"/>
      <c r="C3921" s="3917" t="s">
        <v>4507</v>
      </c>
      <c r="D3921" s="2249">
        <v>112300000</v>
      </c>
      <c r="E3921" s="880">
        <f>D3921/D3717*100</f>
        <v>8.7111630193896145E-2</v>
      </c>
      <c r="F3921" s="802"/>
      <c r="G3921" s="1005"/>
      <c r="H3921" s="755"/>
      <c r="I3921" s="802"/>
      <c r="J3921" s="1685"/>
      <c r="K3921" s="1685"/>
      <c r="L3921" s="755"/>
      <c r="M3921" s="1648"/>
      <c r="N3921" s="535"/>
    </row>
    <row r="3922" spans="1:17" ht="15" customHeight="1" x14ac:dyDescent="0.25">
      <c r="B3922" s="1242"/>
      <c r="C3922" s="3917" t="s">
        <v>4508</v>
      </c>
      <c r="D3922" s="2249">
        <v>573000000</v>
      </c>
      <c r="E3922" s="880">
        <f>D3922/D3717*100</f>
        <v>0.44447875423955913</v>
      </c>
      <c r="F3922" s="802"/>
      <c r="G3922" s="1005"/>
      <c r="H3922" s="802"/>
      <c r="I3922" s="802"/>
      <c r="J3922" s="1818"/>
      <c r="K3922" s="1964"/>
      <c r="L3922" s="1670"/>
      <c r="M3922" s="1670"/>
      <c r="N3922" s="535"/>
    </row>
    <row r="3923" spans="1:17" s="3627" customFormat="1" ht="10.5" customHeight="1" x14ac:dyDescent="0.25">
      <c r="A3923" s="3618"/>
      <c r="B3923" s="3623"/>
      <c r="C3923" s="3917"/>
      <c r="D3923" s="2249"/>
      <c r="E3923" s="880"/>
      <c r="F3923" s="3620"/>
      <c r="G3923" s="2550"/>
      <c r="H3923" s="3620"/>
      <c r="I3923" s="3620"/>
      <c r="J3923" s="1818"/>
      <c r="K3923" s="3501"/>
      <c r="L3923" s="1670"/>
      <c r="M3923" s="1670"/>
      <c r="N3923" s="3619"/>
      <c r="P3923" s="500"/>
    </row>
    <row r="3924" spans="1:17" ht="16.5" customHeight="1" x14ac:dyDescent="0.25">
      <c r="B3924" s="1242"/>
      <c r="C3924" s="3938" t="s">
        <v>4509</v>
      </c>
      <c r="D3924" s="2243">
        <f>SUM(D3925)</f>
        <v>179239500</v>
      </c>
      <c r="E3924" s="1415">
        <f>D3924/D3717*100</f>
        <v>0.13903691041975821</v>
      </c>
      <c r="F3924" s="803"/>
      <c r="G3924" s="803"/>
      <c r="H3924" s="1308"/>
      <c r="I3924" s="1316"/>
      <c r="J3924" s="1772"/>
      <c r="K3924" s="1872"/>
      <c r="L3924" s="1415"/>
      <c r="M3924" s="1650"/>
      <c r="N3924" s="535"/>
    </row>
    <row r="3925" spans="1:17" ht="14.25" customHeight="1" x14ac:dyDescent="0.25">
      <c r="B3925" s="1242"/>
      <c r="C3925" s="3917" t="s">
        <v>4510</v>
      </c>
      <c r="D3925" s="2249">
        <v>179239500</v>
      </c>
      <c r="E3925" s="880">
        <f>D3925/D3717*100</f>
        <v>0.13903691041975821</v>
      </c>
      <c r="F3925" s="802"/>
      <c r="G3925" s="838"/>
      <c r="H3925" s="755"/>
      <c r="I3925" s="1111"/>
      <c r="J3925" s="1686"/>
      <c r="K3925" s="1686"/>
      <c r="L3925" s="755"/>
      <c r="M3925" s="1312"/>
      <c r="N3925" s="535"/>
    </row>
    <row r="3926" spans="1:17" ht="12" customHeight="1" x14ac:dyDescent="0.25">
      <c r="B3926" s="1242"/>
      <c r="D3926" s="868"/>
      <c r="E3926" s="1443"/>
      <c r="F3926" s="835"/>
      <c r="G3926" s="788"/>
      <c r="H3926" s="2234"/>
      <c r="I3926" s="1651"/>
      <c r="J3926" s="2279"/>
      <c r="K3926" s="2279"/>
      <c r="L3926" s="2175"/>
      <c r="M3926" s="2175"/>
      <c r="N3926" s="535"/>
    </row>
    <row r="3927" spans="1:17" ht="14.25" customHeight="1" x14ac:dyDescent="0.25">
      <c r="B3927" s="1305"/>
      <c r="C3927" s="3858" t="s">
        <v>5471</v>
      </c>
      <c r="D3927" s="669">
        <f>SUM(D3928+D3935)</f>
        <v>47716626140</v>
      </c>
      <c r="E3927" s="1462">
        <f>D3927/D3717*100</f>
        <v>37.014007928834182</v>
      </c>
      <c r="F3927" s="832"/>
      <c r="G3927" s="1107"/>
      <c r="H3927" s="1050"/>
      <c r="I3927" s="1107"/>
      <c r="J3927" s="1813"/>
      <c r="K3927" s="1107"/>
      <c r="L3927" s="1050"/>
      <c r="M3927" s="1107"/>
      <c r="N3927" s="535"/>
    </row>
    <row r="3928" spans="1:17" ht="18.75" customHeight="1" x14ac:dyDescent="0.25">
      <c r="B3928" s="1242"/>
      <c r="C3928" s="3854" t="s">
        <v>4511</v>
      </c>
      <c r="D3928" s="1857">
        <f>SUM(D3929)</f>
        <v>27690000000</v>
      </c>
      <c r="E3928" s="1461">
        <f>D3928/D3717*100</f>
        <v>21.479261265084457</v>
      </c>
      <c r="F3928" s="392"/>
      <c r="G3928" s="1120"/>
      <c r="H3928" s="1662"/>
      <c r="I3928" s="1120"/>
      <c r="J3928" s="1950"/>
      <c r="K3928" s="1120"/>
      <c r="L3928" s="1662"/>
      <c r="M3928" s="1120"/>
      <c r="N3928" s="535"/>
    </row>
    <row r="3929" spans="1:17" ht="18" customHeight="1" x14ac:dyDescent="0.25">
      <c r="B3929" s="1242"/>
      <c r="C3929" s="3938" t="s">
        <v>4512</v>
      </c>
      <c r="D3929" s="2243">
        <f>SUM(D3930:D3933)</f>
        <v>27690000000</v>
      </c>
      <c r="E3929" s="1415">
        <f>D3929/D3717*100</f>
        <v>21.479261265084457</v>
      </c>
      <c r="F3929" s="802"/>
      <c r="G3929" s="1121"/>
      <c r="H3929" s="1162"/>
      <c r="I3929" s="1121"/>
      <c r="J3929" s="1687"/>
      <c r="K3929" s="1121"/>
      <c r="L3929" s="1162"/>
      <c r="M3929" s="1121"/>
      <c r="N3929" s="535"/>
    </row>
    <row r="3930" spans="1:17" ht="15" customHeight="1" x14ac:dyDescent="0.25">
      <c r="B3930" s="1242"/>
      <c r="C3930" s="3917" t="s">
        <v>4522</v>
      </c>
      <c r="D3930" s="2249">
        <v>340000000</v>
      </c>
      <c r="E3930" s="880">
        <f>D3930/D3717*100</f>
        <v>0.26373957494144873</v>
      </c>
      <c r="F3930" s="802"/>
      <c r="G3930" s="677"/>
      <c r="H3930" s="732"/>
      <c r="I3930" s="677"/>
      <c r="J3930" s="1818"/>
      <c r="K3930" s="1859"/>
      <c r="L3930" s="732"/>
      <c r="M3930" s="677"/>
      <c r="N3930" s="535"/>
    </row>
    <row r="3931" spans="1:17" ht="15" customHeight="1" x14ac:dyDescent="0.25">
      <c r="B3931" s="1242"/>
      <c r="C3931" s="3917" t="s">
        <v>4513</v>
      </c>
      <c r="D3931" s="2249">
        <v>6900000000</v>
      </c>
      <c r="E3931" s="880">
        <f>D3931/D3717*100</f>
        <v>5.3523619620470475</v>
      </c>
      <c r="F3931" s="803"/>
      <c r="G3931" s="1120"/>
      <c r="H3931" s="1662"/>
      <c r="I3931" s="1120"/>
      <c r="J3931" s="673"/>
      <c r="K3931" s="1120"/>
      <c r="L3931" s="1662"/>
      <c r="M3931" s="1120"/>
      <c r="N3931" s="535"/>
    </row>
    <row r="3932" spans="1:17" ht="15.75" customHeight="1" x14ac:dyDescent="0.25">
      <c r="B3932" s="1242"/>
      <c r="C3932" s="3917" t="s">
        <v>4514</v>
      </c>
      <c r="D3932" s="2249">
        <v>7360000000</v>
      </c>
      <c r="E3932" s="880">
        <f>D3932/D3717*100</f>
        <v>5.7091860928501843</v>
      </c>
      <c r="F3932" s="802"/>
      <c r="G3932" s="1121"/>
      <c r="H3932" s="1162"/>
      <c r="I3932" s="1121"/>
      <c r="J3932" s="1688"/>
      <c r="K3932" s="1121"/>
      <c r="L3932" s="1162"/>
      <c r="M3932" s="1121"/>
      <c r="N3932" s="535"/>
    </row>
    <row r="3933" spans="1:17" ht="16.5" customHeight="1" x14ac:dyDescent="0.25">
      <c r="B3933" s="1242"/>
      <c r="C3933" s="3917" t="s">
        <v>4523</v>
      </c>
      <c r="D3933" s="2249">
        <v>13090000000</v>
      </c>
      <c r="E3933" s="880">
        <f>D3933/D3717*100</f>
        <v>10.153973635245777</v>
      </c>
      <c r="F3933" s="1122"/>
      <c r="G3933" s="1006"/>
      <c r="H3933" s="1006"/>
      <c r="I3933" s="1006"/>
      <c r="J3933" s="666"/>
      <c r="K3933" s="1897"/>
      <c r="L3933" s="1006"/>
      <c r="M3933" s="1006"/>
      <c r="N3933" s="535"/>
    </row>
    <row r="3934" spans="1:17" s="1698" customFormat="1" ht="9.75" customHeight="1" x14ac:dyDescent="0.25">
      <c r="A3934" s="352"/>
      <c r="B3934" s="1242"/>
      <c r="C3934" s="3852"/>
      <c r="D3934" s="671"/>
      <c r="E3934" s="1393"/>
      <c r="F3934" s="840"/>
      <c r="G3934" s="969"/>
      <c r="H3934" s="2346"/>
      <c r="I3934" s="791"/>
      <c r="J3934" s="2279"/>
      <c r="K3934" s="2279"/>
      <c r="L3934" s="2182"/>
      <c r="M3934" s="2182"/>
      <c r="N3934" s="535"/>
      <c r="P3934" s="500"/>
      <c r="Q3934" s="522"/>
    </row>
    <row r="3935" spans="1:17" s="1696" customFormat="1" ht="18" customHeight="1" x14ac:dyDescent="0.25">
      <c r="A3935" s="350"/>
      <c r="B3935" s="1242"/>
      <c r="C3935" s="3938" t="s">
        <v>4515</v>
      </c>
      <c r="D3935" s="2243">
        <f>SUM(D3936+D3941)</f>
        <v>20026626140</v>
      </c>
      <c r="E3935" s="1415">
        <f>D3935/D3717*100</f>
        <v>15.534746663749724</v>
      </c>
      <c r="F3935" s="803"/>
      <c r="G3935" s="803"/>
      <c r="H3935" s="753"/>
      <c r="I3935" s="1316"/>
      <c r="J3935" s="1872"/>
      <c r="K3935" s="1872"/>
      <c r="L3935" s="753"/>
      <c r="M3935" s="1650"/>
      <c r="N3935" s="553"/>
      <c r="P3935" s="4610"/>
    </row>
    <row r="3936" spans="1:17" ht="15.75" customHeight="1" x14ac:dyDescent="0.25">
      <c r="B3936" s="1242"/>
      <c r="C3936" s="3938" t="s">
        <v>4516</v>
      </c>
      <c r="D3936" s="2243">
        <f>SUM(D3937:D3939)</f>
        <v>20003826140</v>
      </c>
      <c r="E3936" s="1415">
        <f>D3936/D3717*100</f>
        <v>15.517060598136004</v>
      </c>
      <c r="F3936" s="802"/>
      <c r="G3936" s="666"/>
      <c r="H3936" s="755"/>
      <c r="I3936" s="1111"/>
      <c r="J3936" s="1700"/>
      <c r="K3936" s="1700"/>
      <c r="L3936" s="755"/>
      <c r="M3936" s="1323"/>
      <c r="N3936" s="535"/>
    </row>
    <row r="3937" spans="1:17" ht="15" customHeight="1" x14ac:dyDescent="0.25">
      <c r="B3937" s="1242"/>
      <c r="C3937" s="4001" t="s">
        <v>4520</v>
      </c>
      <c r="D3937" s="784">
        <f>1000000000+5543326140</f>
        <v>6543326140</v>
      </c>
      <c r="E3937" s="880">
        <f>D3937/D3717*100</f>
        <v>5.0756883966672657</v>
      </c>
      <c r="F3937" s="805"/>
      <c r="G3937" s="666"/>
      <c r="H3937" s="755"/>
      <c r="I3937" s="1111"/>
      <c r="J3937" s="1700"/>
      <c r="K3937" s="1700"/>
      <c r="L3937" s="755"/>
      <c r="M3937" s="1323"/>
      <c r="N3937" s="535"/>
    </row>
    <row r="3938" spans="1:17" s="1695" customFormat="1" ht="17.25" customHeight="1" x14ac:dyDescent="0.25">
      <c r="A3938" s="352"/>
      <c r="B3938" s="1242"/>
      <c r="C3938" s="3860" t="s">
        <v>4519</v>
      </c>
      <c r="D3938" s="666">
        <v>7076500000</v>
      </c>
      <c r="E3938" s="880">
        <f>D3938/D3717*100</f>
        <v>5.4892738296269474</v>
      </c>
      <c r="F3938" s="1121"/>
      <c r="G3938" s="1121"/>
      <c r="H3938" s="1162"/>
      <c r="I3938" s="1121"/>
      <c r="J3938" s="1700"/>
      <c r="K3938" s="1121"/>
      <c r="L3938" s="1121"/>
      <c r="M3938" s="1121"/>
      <c r="N3938" s="535"/>
      <c r="P3938" s="500"/>
    </row>
    <row r="3939" spans="1:17" ht="16.5" customHeight="1" x14ac:dyDescent="0.25">
      <c r="B3939" s="1242"/>
      <c r="C3939" s="3861" t="s">
        <v>4521</v>
      </c>
      <c r="D3939" s="4252">
        <v>6384000000</v>
      </c>
      <c r="E3939" s="880">
        <f>D3939/D3717*100</f>
        <v>4.9520983718417897</v>
      </c>
      <c r="F3939" s="990"/>
      <c r="G3939" s="886"/>
      <c r="H3939" s="2255"/>
      <c r="I3939" s="791"/>
      <c r="J3939" s="2182"/>
      <c r="K3939" s="2182"/>
      <c r="L3939" s="2175"/>
      <c r="M3939" s="2175"/>
      <c r="N3939" s="535"/>
    </row>
    <row r="3940" spans="1:17" s="3627" customFormat="1" ht="10.5" customHeight="1" x14ac:dyDescent="0.25">
      <c r="A3940" s="3618"/>
      <c r="B3940" s="3623"/>
      <c r="C3940" s="3860"/>
      <c r="D3940" s="4184"/>
      <c r="E3940" s="880"/>
      <c r="F3940" s="963"/>
      <c r="G3940" s="880"/>
      <c r="H3940" s="880"/>
      <c r="I3940" s="894"/>
      <c r="J3940" s="1315"/>
      <c r="K3940" s="1315"/>
      <c r="L3940" s="1315"/>
      <c r="M3940" s="1315"/>
      <c r="N3940" s="3619"/>
      <c r="P3940" s="500"/>
    </row>
    <row r="3941" spans="1:17" s="3627" customFormat="1" ht="16.5" customHeight="1" x14ac:dyDescent="0.25">
      <c r="A3941" s="3618"/>
      <c r="B3941" s="3623"/>
      <c r="C3941" s="3882" t="s">
        <v>4517</v>
      </c>
      <c r="D3941" s="4235">
        <f>D3942</f>
        <v>22800000</v>
      </c>
      <c r="E3941" s="1415">
        <f>D3941/D3717*100</f>
        <v>1.7686065613720679E-2</v>
      </c>
      <c r="F3941" s="963"/>
      <c r="G3941" s="880"/>
      <c r="H3941" s="880"/>
      <c r="I3941" s="894"/>
      <c r="J3941" s="1315"/>
      <c r="K3941" s="1315"/>
      <c r="L3941" s="1315"/>
      <c r="M3941" s="1315"/>
      <c r="N3941" s="3619"/>
      <c r="P3941" s="500"/>
    </row>
    <row r="3942" spans="1:17" s="3627" customFormat="1" ht="29.25" customHeight="1" x14ac:dyDescent="0.25">
      <c r="A3942" s="3618"/>
      <c r="B3942" s="3623"/>
      <c r="C3942" s="3860" t="s">
        <v>4518</v>
      </c>
      <c r="D3942" s="666">
        <v>22800000</v>
      </c>
      <c r="E3942" s="880">
        <f>D3942/D3717*100</f>
        <v>1.7686065613720679E-2</v>
      </c>
      <c r="F3942" s="963"/>
      <c r="G3942" s="880"/>
      <c r="H3942" s="880"/>
      <c r="I3942" s="894"/>
      <c r="J3942" s="1315"/>
      <c r="K3942" s="1315"/>
      <c r="L3942" s="1315"/>
      <c r="M3942" s="1315"/>
      <c r="N3942" s="3619"/>
      <c r="P3942" s="500"/>
    </row>
    <row r="3943" spans="1:17" s="3627" customFormat="1" ht="14.25" customHeight="1" x14ac:dyDescent="0.25">
      <c r="A3943" s="3618"/>
      <c r="B3943" s="3623"/>
      <c r="C3943" s="4017"/>
      <c r="D3943" s="4252"/>
      <c r="E3943" s="886"/>
      <c r="F3943" s="990"/>
      <c r="G3943" s="886"/>
      <c r="H3943" s="2255"/>
      <c r="I3943" s="791"/>
      <c r="J3943" s="2582"/>
      <c r="K3943" s="2182"/>
      <c r="L3943" s="2182"/>
      <c r="M3943" s="2182"/>
      <c r="N3943" s="3619"/>
      <c r="P3943" s="500"/>
    </row>
    <row r="3944" spans="1:17" s="269" customFormat="1" ht="18" customHeight="1" x14ac:dyDescent="0.25">
      <c r="A3944" s="350"/>
      <c r="B3944" s="2916"/>
      <c r="C3944" s="4037" t="s">
        <v>609</v>
      </c>
      <c r="D3944" s="4094">
        <f>SUM(D3946+D4006+D4066+D4070+D4074+D4078+D4082+D4086+D4090+D4094+D4098+D4102+D4106+D4110+D4114+D4118+D4125+D4142+D4146+D4165+D4186+D4192+D4207+D4219+D4235+D4239+D4256+D4261+D4286+D4309+D4316+D4331)</f>
        <v>127769792000</v>
      </c>
      <c r="E3944" s="1471">
        <f>D3944/2507241496000*100</f>
        <v>5.0960305261316554</v>
      </c>
      <c r="F3944" s="4165"/>
      <c r="G3944" s="692"/>
      <c r="H3944" s="1471"/>
      <c r="I3944" s="2530"/>
      <c r="J3944" s="691"/>
      <c r="K3944" s="692"/>
      <c r="L3944" s="2531"/>
      <c r="M3944" s="2507"/>
      <c r="N3944" s="553"/>
      <c r="P3944" s="300"/>
    </row>
    <row r="3945" spans="1:17" ht="4.5" customHeight="1" x14ac:dyDescent="0.25">
      <c r="B3945" s="1242"/>
      <c r="C3945" s="4046"/>
      <c r="D3945" s="4260"/>
      <c r="E3945" s="1450"/>
      <c r="F3945" s="1008"/>
      <c r="G3945" s="686"/>
      <c r="H3945" s="2532"/>
      <c r="I3945" s="2257"/>
      <c r="J3945" s="1008"/>
      <c r="K3945" s="2533"/>
      <c r="L3945" s="2182"/>
      <c r="M3945" s="2182"/>
      <c r="N3945" s="535"/>
      <c r="P3945" s="4611"/>
    </row>
    <row r="3946" spans="1:17" ht="18" customHeight="1" x14ac:dyDescent="0.25">
      <c r="B3946" s="1305"/>
      <c r="C3946" s="4047" t="s">
        <v>1024</v>
      </c>
      <c r="D3946" s="4251">
        <f>SUM(D3947+D3956+D3968+D3975+D3979+D3983+D3987+D3992)</f>
        <v>30898300000</v>
      </c>
      <c r="E3946" s="1462">
        <f>D3946/D3944*100</f>
        <v>24.182789622135413</v>
      </c>
      <c r="F3946" s="996"/>
      <c r="G3946" s="980"/>
      <c r="H3946" s="2534"/>
      <c r="I3946" s="1645"/>
      <c r="J3946" s="996"/>
      <c r="K3946" s="980"/>
      <c r="L3946" s="2356"/>
      <c r="M3946" s="1307"/>
      <c r="N3946" s="535"/>
      <c r="Q3946" s="522">
        <v>16242582441</v>
      </c>
    </row>
    <row r="3947" spans="1:17" ht="18.75" customHeight="1" x14ac:dyDescent="0.25">
      <c r="B3947" s="1242"/>
      <c r="C3947" s="3938" t="s">
        <v>288</v>
      </c>
      <c r="D3947" s="768">
        <f>SUM(D3948:D3954)</f>
        <v>6458725000</v>
      </c>
      <c r="E3947" s="1469">
        <f>D3947/D3944*100</f>
        <v>5.0549702702811006</v>
      </c>
      <c r="F3947" s="753"/>
      <c r="G3947" s="753"/>
      <c r="H3947" s="2535"/>
      <c r="I3947" s="1309"/>
      <c r="J3947" s="753"/>
      <c r="K3947" s="753"/>
      <c r="L3947" s="1650"/>
      <c r="M3947" s="1650"/>
      <c r="N3947" s="535"/>
      <c r="P3947" s="4612"/>
      <c r="Q3947" s="522"/>
    </row>
    <row r="3948" spans="1:17" ht="16.5" customHeight="1" x14ac:dyDescent="0.25">
      <c r="B3948" s="1242"/>
      <c r="C3948" s="3917" t="s">
        <v>5880</v>
      </c>
      <c r="D3948" s="780">
        <v>1331675000</v>
      </c>
      <c r="E3948" s="1470">
        <f>D3948/D3944*100</f>
        <v>1.0422455724119828</v>
      </c>
      <c r="F3948" s="755"/>
      <c r="G3948" s="1005"/>
      <c r="H3948" s="1005"/>
      <c r="I3948" s="1005"/>
      <c r="J3948" s="2000"/>
      <c r="K3948" s="2001"/>
      <c r="L3948" s="1311"/>
      <c r="M3948" s="1311"/>
      <c r="N3948" s="535"/>
      <c r="P3948" s="4613"/>
      <c r="Q3948" s="522"/>
    </row>
    <row r="3949" spans="1:17" ht="15.75" customHeight="1" x14ac:dyDescent="0.25">
      <c r="B3949" s="1242"/>
      <c r="C3949" s="3917" t="s">
        <v>5881</v>
      </c>
      <c r="D3949" s="780">
        <v>299050000</v>
      </c>
      <c r="E3949" s="1470">
        <f>D3949/D3944*100</f>
        <v>0.2340537581840941</v>
      </c>
      <c r="F3949" s="755"/>
      <c r="G3949" s="1005"/>
      <c r="H3949" s="1005"/>
      <c r="I3949" s="1005"/>
      <c r="J3949" s="2000"/>
      <c r="K3949" s="2001"/>
      <c r="L3949" s="1716"/>
      <c r="M3949" s="1716"/>
      <c r="N3949" s="535"/>
      <c r="P3949" s="4613"/>
      <c r="Q3949" s="522"/>
    </row>
    <row r="3950" spans="1:17" ht="15.75" customHeight="1" x14ac:dyDescent="0.25">
      <c r="B3950" s="1242"/>
      <c r="C3950" s="3917" t="s">
        <v>622</v>
      </c>
      <c r="D3950" s="780">
        <v>600000000</v>
      </c>
      <c r="E3950" s="1470">
        <f>D3950/D3944*100</f>
        <v>0.46959456582663917</v>
      </c>
      <c r="F3950" s="755"/>
      <c r="G3950" s="1005"/>
      <c r="H3950" s="1005"/>
      <c r="I3950" s="1005"/>
      <c r="J3950" s="1005"/>
      <c r="K3950" s="1005"/>
      <c r="L3950" s="1005"/>
      <c r="M3950" s="1311"/>
      <c r="N3950" s="535"/>
      <c r="P3950" s="4613"/>
      <c r="Q3950" s="522"/>
    </row>
    <row r="3951" spans="1:17" ht="18" customHeight="1" x14ac:dyDescent="0.25">
      <c r="B3951" s="1242"/>
      <c r="C3951" s="3917" t="s">
        <v>5882</v>
      </c>
      <c r="D3951" s="780">
        <v>289000000</v>
      </c>
      <c r="E3951" s="1470">
        <f>D3951/D3944*100</f>
        <v>0.2261880492064979</v>
      </c>
      <c r="F3951" s="755"/>
      <c r="G3951" s="1005"/>
      <c r="H3951" s="1005"/>
      <c r="I3951" s="1005"/>
      <c r="J3951" s="2000"/>
      <c r="K3951" s="2001"/>
      <c r="L3951" s="1311"/>
      <c r="M3951" s="1311"/>
      <c r="N3951" s="535"/>
      <c r="P3951" s="4613"/>
      <c r="Q3951" s="522"/>
    </row>
    <row r="3952" spans="1:17" ht="18.75" customHeight="1" x14ac:dyDescent="0.25">
      <c r="B3952" s="1242"/>
      <c r="C3952" s="3917" t="s">
        <v>5883</v>
      </c>
      <c r="D3952" s="780">
        <v>680000000</v>
      </c>
      <c r="E3952" s="1470">
        <f>D3952/D3944*100</f>
        <v>0.5322071746035244</v>
      </c>
      <c r="F3952" s="755"/>
      <c r="G3952" s="1005"/>
      <c r="H3952" s="1005"/>
      <c r="I3952" s="1005"/>
      <c r="J3952" s="2000"/>
      <c r="K3952" s="2001"/>
      <c r="L3952" s="1311"/>
      <c r="M3952" s="1311"/>
      <c r="N3952" s="535"/>
      <c r="P3952" s="4613"/>
    </row>
    <row r="3953" spans="1:16" ht="20.25" customHeight="1" x14ac:dyDescent="0.25">
      <c r="B3953" s="1242"/>
      <c r="C3953" s="3917" t="s">
        <v>5884</v>
      </c>
      <c r="D3953" s="780">
        <v>1995000000</v>
      </c>
      <c r="E3953" s="1470">
        <f>D3953/D3944*100</f>
        <v>1.5614019313735754</v>
      </c>
      <c r="F3953" s="755"/>
      <c r="G3953" s="1005"/>
      <c r="H3953" s="2536"/>
      <c r="I3953" s="1660"/>
      <c r="J3953" s="2000"/>
      <c r="K3953" s="2537"/>
      <c r="L3953" s="1311"/>
      <c r="M3953" s="1311"/>
      <c r="N3953" s="535"/>
      <c r="P3953" s="4614"/>
    </row>
    <row r="3954" spans="1:16" ht="16.5" customHeight="1" x14ac:dyDescent="0.25">
      <c r="B3954" s="1242"/>
      <c r="C3954" s="3917" t="s">
        <v>5885</v>
      </c>
      <c r="D3954" s="780">
        <v>1264000000</v>
      </c>
      <c r="E3954" s="1470">
        <f>D3954/D3944*100</f>
        <v>0.98927921867478663</v>
      </c>
      <c r="F3954" s="755"/>
      <c r="G3954" s="1005"/>
      <c r="H3954" s="2536"/>
      <c r="I3954" s="1660"/>
      <c r="J3954" s="2000"/>
      <c r="K3954" s="2001"/>
      <c r="L3954" s="1311"/>
      <c r="M3954" s="1311"/>
      <c r="N3954" s="535"/>
      <c r="P3954" s="4613"/>
    </row>
    <row r="3955" spans="1:16" s="4099" customFormat="1" ht="10.5" customHeight="1" x14ac:dyDescent="0.25">
      <c r="A3955" s="4101"/>
      <c r="B3955" s="4119"/>
      <c r="C3955" s="3896"/>
      <c r="D3955" s="799"/>
      <c r="E3955" s="1450"/>
      <c r="F3955" s="827"/>
      <c r="G3955" s="3638"/>
      <c r="H3955" s="2536"/>
      <c r="I3955" s="1660"/>
      <c r="J3955" s="4164"/>
      <c r="K3955" s="4140"/>
      <c r="L3955" s="1311"/>
      <c r="M3955" s="1311"/>
      <c r="N3955" s="4109"/>
      <c r="P3955" s="4613"/>
    </row>
    <row r="3956" spans="1:16" ht="20.25" customHeight="1" x14ac:dyDescent="0.25">
      <c r="B3956" s="1242"/>
      <c r="C3956" s="3938" t="s">
        <v>279</v>
      </c>
      <c r="D3956" s="768">
        <f>SUM(D3957:D3966)</f>
        <v>9318750000</v>
      </c>
      <c r="E3956" s="1447">
        <f>D3956/D3944*100</f>
        <v>7.2933906004949911</v>
      </c>
      <c r="F3956" s="3629"/>
      <c r="G3956" s="613"/>
      <c r="H3956" s="2538"/>
      <c r="I3956" s="1316"/>
      <c r="J3956" s="795"/>
      <c r="K3956" s="795"/>
      <c r="L3956" s="1650"/>
      <c r="M3956" s="1650"/>
      <c r="N3956" s="535"/>
    </row>
    <row r="3957" spans="1:16" ht="15.75" customHeight="1" x14ac:dyDescent="0.25">
      <c r="B3957" s="1242"/>
      <c r="C3957" s="3917" t="s">
        <v>3441</v>
      </c>
      <c r="D3957" s="780">
        <v>509250000</v>
      </c>
      <c r="E3957" s="1470">
        <f>D3957/D3944*100</f>
        <v>0.39856838774536008</v>
      </c>
      <c r="F3957" s="755"/>
      <c r="G3957" s="1005"/>
      <c r="H3957" s="1005"/>
      <c r="I3957" s="1005"/>
      <c r="J3957" s="2000"/>
      <c r="K3957" s="2001"/>
      <c r="L3957" s="1312"/>
      <c r="M3957" s="1312"/>
      <c r="N3957" s="535"/>
    </row>
    <row r="3958" spans="1:16" ht="15.75" customHeight="1" x14ac:dyDescent="0.25">
      <c r="B3958" s="1242"/>
      <c r="C3958" s="3917" t="s">
        <v>5886</v>
      </c>
      <c r="D3958" s="780">
        <v>420000000</v>
      </c>
      <c r="E3958" s="1470">
        <f>D3958/D3944*100</f>
        <v>0.32871619607864744</v>
      </c>
      <c r="F3958" s="755"/>
      <c r="G3958" s="608"/>
      <c r="H3958" s="2536"/>
      <c r="I3958" s="1660"/>
      <c r="J3958" s="2000"/>
      <c r="K3958" s="2001"/>
      <c r="L3958" s="1312"/>
      <c r="M3958" s="1312"/>
      <c r="N3958" s="535"/>
    </row>
    <row r="3959" spans="1:16" ht="15.75" customHeight="1" x14ac:dyDescent="0.25">
      <c r="B3959" s="1242"/>
      <c r="C3959" s="3917" t="s">
        <v>5887</v>
      </c>
      <c r="D3959" s="780">
        <v>1287900000</v>
      </c>
      <c r="E3959" s="1470">
        <f>D3959/D3944*100</f>
        <v>1.0079847355468809</v>
      </c>
      <c r="F3959" s="755"/>
      <c r="G3959" s="1005"/>
      <c r="H3959" s="1005"/>
      <c r="I3959" s="1005"/>
      <c r="J3959" s="2000"/>
      <c r="K3959" s="2001"/>
      <c r="L3959" s="1312"/>
      <c r="M3959" s="1312"/>
      <c r="N3959" s="535"/>
    </row>
    <row r="3960" spans="1:16" ht="19.5" customHeight="1" x14ac:dyDescent="0.25">
      <c r="B3960" s="1242"/>
      <c r="C3960" s="3917" t="s">
        <v>5888</v>
      </c>
      <c r="D3960" s="780">
        <v>3564000000</v>
      </c>
      <c r="E3960" s="1470">
        <f>D3960/D3944*100</f>
        <v>2.789391721010237</v>
      </c>
      <c r="F3960" s="755"/>
      <c r="G3960" s="608"/>
      <c r="H3960" s="2536"/>
      <c r="I3960" s="1043"/>
      <c r="J3960" s="2000"/>
      <c r="K3960" s="2001"/>
      <c r="L3960" s="1312"/>
      <c r="M3960" s="1312"/>
      <c r="N3960" s="535"/>
    </row>
    <row r="3961" spans="1:16" ht="29.25" customHeight="1" x14ac:dyDescent="0.25">
      <c r="B3961" s="1242"/>
      <c r="C3961" s="3917" t="s">
        <v>5889</v>
      </c>
      <c r="D3961" s="780">
        <v>817500000</v>
      </c>
      <c r="E3961" s="1470">
        <f>D3961/D3944*100</f>
        <v>0.63982259593879598</v>
      </c>
      <c r="F3961" s="755"/>
      <c r="G3961" s="608"/>
      <c r="H3961" s="2536"/>
      <c r="I3961" s="1043"/>
      <c r="J3961" s="2000"/>
      <c r="K3961" s="2001"/>
      <c r="L3961" s="1312"/>
      <c r="M3961" s="1312"/>
      <c r="N3961" s="535"/>
    </row>
    <row r="3962" spans="1:16" ht="27" customHeight="1" x14ac:dyDescent="0.25">
      <c r="B3962" s="1242"/>
      <c r="C3962" s="3917" t="s">
        <v>5890</v>
      </c>
      <c r="D3962" s="780">
        <v>1440000000</v>
      </c>
      <c r="E3962" s="1470">
        <f>D3962/D3944*100</f>
        <v>1.127026957983934</v>
      </c>
      <c r="F3962" s="755"/>
      <c r="G3962" s="1005"/>
      <c r="H3962" s="1005"/>
      <c r="I3962" s="1005"/>
      <c r="J3962" s="2000"/>
      <c r="K3962" s="2000"/>
      <c r="L3962" s="1312"/>
      <c r="M3962" s="1312"/>
      <c r="N3962" s="535"/>
    </row>
    <row r="3963" spans="1:16" ht="17.25" customHeight="1" x14ac:dyDescent="0.25">
      <c r="B3963" s="1242"/>
      <c r="C3963" s="3917" t="s">
        <v>5891</v>
      </c>
      <c r="D3963" s="780">
        <v>999100000</v>
      </c>
      <c r="E3963" s="1470">
        <f>D3963/D3944*100</f>
        <v>0.78195321786232541</v>
      </c>
      <c r="F3963" s="755"/>
      <c r="G3963" s="608"/>
      <c r="H3963" s="2536"/>
      <c r="I3963" s="1043"/>
      <c r="J3963" s="2000"/>
      <c r="K3963" s="2001"/>
      <c r="L3963" s="1716"/>
      <c r="M3963" s="1716"/>
      <c r="N3963" s="535"/>
    </row>
    <row r="3964" spans="1:16" ht="27.75" customHeight="1" x14ac:dyDescent="0.25">
      <c r="B3964" s="1242"/>
      <c r="C3964" s="3917" t="s">
        <v>5892</v>
      </c>
      <c r="D3964" s="780">
        <v>46000000</v>
      </c>
      <c r="E3964" s="1470">
        <f>D3964/D3944*100</f>
        <v>3.6002250046709004E-2</v>
      </c>
      <c r="F3964" s="755"/>
      <c r="G3964" s="608"/>
      <c r="H3964" s="2536"/>
      <c r="I3964" s="1660"/>
      <c r="J3964" s="2000"/>
      <c r="K3964" s="2001"/>
      <c r="L3964" s="1312"/>
      <c r="M3964" s="1312"/>
      <c r="N3964" s="535"/>
    </row>
    <row r="3965" spans="1:16" ht="15.75" customHeight="1" x14ac:dyDescent="0.25">
      <c r="B3965" s="1242"/>
      <c r="C3965" s="3917" t="s">
        <v>5893</v>
      </c>
      <c r="D3965" s="780">
        <v>219725000</v>
      </c>
      <c r="E3965" s="1470">
        <f>D3965/D3944*100</f>
        <v>0.17196944329376385</v>
      </c>
      <c r="F3965" s="755"/>
      <c r="G3965" s="608"/>
      <c r="H3965" s="2536"/>
      <c r="I3965" s="1043"/>
      <c r="J3965" s="2000"/>
      <c r="K3965" s="2001"/>
      <c r="L3965" s="1312"/>
      <c r="M3965" s="1312"/>
      <c r="N3965" s="535"/>
    </row>
    <row r="3966" spans="1:16" ht="16.5" customHeight="1" x14ac:dyDescent="0.25">
      <c r="B3966" s="1242"/>
      <c r="C3966" s="3917" t="s">
        <v>5894</v>
      </c>
      <c r="D3966" s="780">
        <v>15275000</v>
      </c>
      <c r="E3966" s="1470">
        <f>D3966/D3944*100</f>
        <v>1.1955094988336523E-2</v>
      </c>
      <c r="F3966" s="755"/>
      <c r="G3966" s="1005"/>
      <c r="H3966" s="1005"/>
      <c r="I3966" s="1005"/>
      <c r="J3966" s="2000"/>
      <c r="K3966" s="2001"/>
      <c r="L3966" s="1312"/>
      <c r="M3966" s="1312"/>
      <c r="N3966" s="535"/>
    </row>
    <row r="3967" spans="1:16" ht="9.75" customHeight="1" x14ac:dyDescent="0.25">
      <c r="B3967" s="1242"/>
      <c r="C3967" s="3896"/>
      <c r="D3967" s="4260"/>
      <c r="E3967" s="1450"/>
      <c r="F3967" s="1008"/>
      <c r="G3967" s="532"/>
      <c r="H3967" s="1472"/>
      <c r="I3967" s="2370"/>
      <c r="J3967" s="1008"/>
      <c r="K3967" s="1315"/>
      <c r="L3967" s="1311"/>
      <c r="M3967" s="1311"/>
      <c r="N3967" s="535"/>
    </row>
    <row r="3968" spans="1:16" ht="17.25" customHeight="1" x14ac:dyDescent="0.25">
      <c r="B3968" s="1242"/>
      <c r="C3968" s="3938" t="s">
        <v>5472</v>
      </c>
      <c r="D3968" s="768">
        <f>SUM(D3969:D3973)</f>
        <v>1960900000</v>
      </c>
      <c r="E3968" s="1447">
        <f>D3968/D3944*100</f>
        <v>1.5347133068824281</v>
      </c>
      <c r="F3968" s="753"/>
      <c r="G3968" s="613"/>
      <c r="H3968" s="2538"/>
      <c r="I3968" s="1309"/>
      <c r="J3968" s="753"/>
      <c r="K3968" s="753"/>
      <c r="L3968" s="1650"/>
      <c r="M3968" s="1650"/>
      <c r="N3968" s="535"/>
    </row>
    <row r="3969" spans="1:16" ht="13.5" customHeight="1" x14ac:dyDescent="0.25">
      <c r="B3969" s="1242"/>
      <c r="C3969" s="3917" t="s">
        <v>5473</v>
      </c>
      <c r="D3969" s="780">
        <v>359400000</v>
      </c>
      <c r="E3969" s="1126">
        <f>D3969/D3944*100</f>
        <v>0.28128714493015688</v>
      </c>
      <c r="F3969" s="755"/>
      <c r="G3969" s="1005"/>
      <c r="H3969" s="1005"/>
      <c r="I3969" s="1005"/>
      <c r="J3969" s="2000"/>
      <c r="K3969" s="2001"/>
      <c r="L3969" s="1312"/>
      <c r="M3969" s="1312"/>
      <c r="N3969" s="535"/>
    </row>
    <row r="3970" spans="1:16" ht="14.25" customHeight="1" x14ac:dyDescent="0.25">
      <c r="B3970" s="1242"/>
      <c r="C3970" s="3917" t="s">
        <v>5474</v>
      </c>
      <c r="D3970" s="780">
        <v>961500000</v>
      </c>
      <c r="E3970" s="1126">
        <f>D3970/D3944*100</f>
        <v>0.75252529173718929</v>
      </c>
      <c r="F3970" s="755"/>
      <c r="G3970" s="1005"/>
      <c r="H3970" s="1005"/>
      <c r="I3970" s="1005"/>
      <c r="J3970" s="2000"/>
      <c r="K3970" s="1005"/>
      <c r="L3970" s="1716"/>
      <c r="M3970" s="1716"/>
      <c r="N3970" s="535"/>
    </row>
    <row r="3971" spans="1:16" ht="16.5" customHeight="1" x14ac:dyDescent="0.25">
      <c r="B3971" s="1242"/>
      <c r="C3971" s="3917" t="s">
        <v>5475</v>
      </c>
      <c r="D3971" s="780">
        <v>60000000</v>
      </c>
      <c r="E3971" s="1126">
        <f>D3971/D3944*100</f>
        <v>4.6959456582663921E-2</v>
      </c>
      <c r="F3971" s="755"/>
      <c r="G3971" s="608"/>
      <c r="H3971" s="2538"/>
      <c r="I3971" s="1660"/>
      <c r="J3971" s="2000"/>
      <c r="K3971" s="2001"/>
      <c r="L3971" s="1312"/>
      <c r="M3971" s="1312"/>
      <c r="N3971" s="535"/>
    </row>
    <row r="3972" spans="1:16" ht="14.25" customHeight="1" x14ac:dyDescent="0.25">
      <c r="B3972" s="1242"/>
      <c r="C3972" s="3917" t="s">
        <v>5476</v>
      </c>
      <c r="D3972" s="1791">
        <v>180000000</v>
      </c>
      <c r="E3972" s="1126">
        <f>D3972/D3944*100</f>
        <v>0.14087836974799176</v>
      </c>
      <c r="F3972" s="303"/>
      <c r="G3972" s="532"/>
      <c r="H3972" s="1470"/>
      <c r="I3972" s="1660"/>
      <c r="J3972" s="303"/>
      <c r="K3972" s="1315"/>
      <c r="L3972" s="1311"/>
      <c r="M3972" s="1311"/>
      <c r="N3972" s="535"/>
    </row>
    <row r="3973" spans="1:16" s="4099" customFormat="1" ht="15" customHeight="1" x14ac:dyDescent="0.25">
      <c r="A3973" s="4101"/>
      <c r="B3973" s="4119"/>
      <c r="C3973" s="4118" t="s">
        <v>5477</v>
      </c>
      <c r="D3973" s="1846">
        <v>400000000</v>
      </c>
      <c r="E3973" s="1126">
        <f>D3973/D3944*100</f>
        <v>0.31306304388442613</v>
      </c>
      <c r="F3973" s="4100"/>
      <c r="G3973" s="4107"/>
      <c r="H3973" s="1470"/>
      <c r="I3973" s="1660"/>
      <c r="J3973" s="4100"/>
      <c r="K3973" s="1315"/>
      <c r="L3973" s="1311"/>
      <c r="M3973" s="1311"/>
      <c r="N3973" s="4109"/>
      <c r="P3973" s="500"/>
    </row>
    <row r="3974" spans="1:16" s="4099" customFormat="1" ht="12" customHeight="1" x14ac:dyDescent="0.25">
      <c r="A3974" s="4101"/>
      <c r="B3974" s="4119"/>
      <c r="C3974" s="4118"/>
      <c r="D3974" s="1806"/>
      <c r="E3974" s="1126"/>
      <c r="F3974" s="4100"/>
      <c r="G3974" s="4107"/>
      <c r="H3974" s="1470"/>
      <c r="I3974" s="1660"/>
      <c r="J3974" s="4100"/>
      <c r="K3974" s="1315"/>
      <c r="L3974" s="1311"/>
      <c r="M3974" s="1311"/>
      <c r="N3974" s="4109"/>
      <c r="P3974" s="500"/>
    </row>
    <row r="3975" spans="1:16" ht="17.25" customHeight="1" x14ac:dyDescent="0.25">
      <c r="B3975" s="1242"/>
      <c r="C3975" s="3938" t="s">
        <v>5478</v>
      </c>
      <c r="D3975" s="768">
        <f>SUM(D3976:D3977)</f>
        <v>500000000</v>
      </c>
      <c r="E3975" s="1447">
        <f>D3975/D3944*100</f>
        <v>0.39132880485553262</v>
      </c>
      <c r="F3975" s="753"/>
      <c r="G3975" s="613"/>
      <c r="H3975" s="2538"/>
      <c r="I3975" s="753"/>
      <c r="J3975" s="753"/>
      <c r="K3975" s="753"/>
      <c r="L3975" s="1650"/>
      <c r="M3975" s="1650"/>
      <c r="N3975" s="535"/>
    </row>
    <row r="3976" spans="1:16" ht="15" customHeight="1" x14ac:dyDescent="0.25">
      <c r="B3976" s="1242"/>
      <c r="C3976" s="3917" t="s">
        <v>5479</v>
      </c>
      <c r="D3976" s="780">
        <v>250000000</v>
      </c>
      <c r="E3976" s="1126">
        <f>D3976/D3944*100</f>
        <v>0.19566440242776631</v>
      </c>
      <c r="F3976" s="755"/>
      <c r="G3976" s="608"/>
      <c r="H3976" s="2539"/>
      <c r="I3976" s="755"/>
      <c r="J3976" s="2000"/>
      <c r="K3976" s="2001"/>
      <c r="L3976" s="1312"/>
      <c r="M3976" s="1312"/>
      <c r="N3976" s="535"/>
    </row>
    <row r="3977" spans="1:16" ht="15" customHeight="1" x14ac:dyDescent="0.25">
      <c r="B3977" s="1242"/>
      <c r="C3977" s="3917" t="s">
        <v>5480</v>
      </c>
      <c r="D3977" s="780">
        <v>250000000</v>
      </c>
      <c r="E3977" s="1126">
        <f>D3977/D3944*100</f>
        <v>0.19566440242776631</v>
      </c>
      <c r="F3977" s="755"/>
      <c r="G3977" s="1005"/>
      <c r="H3977" s="1005"/>
      <c r="I3977" s="1660"/>
      <c r="J3977" s="755"/>
      <c r="K3977" s="1311"/>
      <c r="L3977" s="1650"/>
      <c r="M3977" s="1311"/>
      <c r="N3977" s="535"/>
    </row>
    <row r="3978" spans="1:16" s="4099" customFormat="1" ht="12" customHeight="1" x14ac:dyDescent="0.25">
      <c r="A3978" s="4101"/>
      <c r="B3978" s="4119"/>
      <c r="C3978" s="4118"/>
      <c r="D3978" s="780"/>
      <c r="E3978" s="1126"/>
      <c r="F3978" s="3630"/>
      <c r="G3978" s="3638"/>
      <c r="H3978" s="3638"/>
      <c r="I3978" s="1660"/>
      <c r="J3978" s="3630"/>
      <c r="K3978" s="1311"/>
      <c r="L3978" s="1650"/>
      <c r="M3978" s="1311"/>
      <c r="N3978" s="4109"/>
      <c r="P3978" s="500"/>
    </row>
    <row r="3979" spans="1:16" ht="19.5" customHeight="1" x14ac:dyDescent="0.25">
      <c r="B3979" s="1242"/>
      <c r="C3979" s="3938" t="s">
        <v>5481</v>
      </c>
      <c r="D3979" s="768">
        <f>SUM(D3980:D3981)</f>
        <v>645000000</v>
      </c>
      <c r="E3979" s="1447">
        <f>D3979/D3944*100</f>
        <v>0.50481415826363718</v>
      </c>
      <c r="F3979" s="753"/>
      <c r="G3979" s="613"/>
      <c r="H3979" s="2538"/>
      <c r="I3979" s="753"/>
      <c r="J3979" s="753"/>
      <c r="K3979" s="753"/>
      <c r="L3979" s="1650"/>
      <c r="M3979" s="1650"/>
      <c r="N3979" s="535"/>
    </row>
    <row r="3980" spans="1:16" ht="15.75" customHeight="1" x14ac:dyDescent="0.25">
      <c r="B3980" s="1242"/>
      <c r="C3980" s="3917" t="s">
        <v>5482</v>
      </c>
      <c r="D3980" s="780">
        <v>495000000</v>
      </c>
      <c r="E3980" s="1126">
        <f>D3980/D3944*100</f>
        <v>0.38741551680697733</v>
      </c>
      <c r="F3980" s="755"/>
      <c r="G3980" s="608"/>
      <c r="H3980" s="2539"/>
      <c r="I3980" s="755"/>
      <c r="J3980" s="2000"/>
      <c r="K3980" s="2001"/>
      <c r="L3980" s="1312"/>
      <c r="M3980" s="1312"/>
      <c r="N3980" s="535"/>
    </row>
    <row r="3981" spans="1:16" ht="15.75" customHeight="1" x14ac:dyDescent="0.25">
      <c r="B3981" s="1242"/>
      <c r="C3981" s="3917" t="s">
        <v>5483</v>
      </c>
      <c r="D3981" s="780">
        <v>150000000</v>
      </c>
      <c r="E3981" s="1126">
        <f>D3981/D3944*100</f>
        <v>0.11739864145665979</v>
      </c>
      <c r="F3981" s="755"/>
      <c r="G3981" s="608"/>
      <c r="H3981" s="2539"/>
      <c r="I3981" s="755"/>
      <c r="J3981" s="2000"/>
      <c r="K3981" s="2001"/>
      <c r="L3981" s="1716"/>
      <c r="M3981" s="1716"/>
      <c r="N3981" s="535"/>
    </row>
    <row r="3982" spans="1:16" ht="12" customHeight="1" x14ac:dyDescent="0.25">
      <c r="B3982" s="1242"/>
      <c r="D3982" s="1858"/>
      <c r="E3982" s="1126"/>
      <c r="F3982" s="651"/>
      <c r="G3982" s="651"/>
      <c r="H3982" s="1472"/>
      <c r="I3982" s="1660"/>
      <c r="J3982" s="651"/>
      <c r="K3982" s="1311"/>
      <c r="L3982" s="1312"/>
      <c r="M3982" s="1311"/>
      <c r="N3982" s="535"/>
    </row>
    <row r="3983" spans="1:16" ht="14.25" customHeight="1" x14ac:dyDescent="0.25">
      <c r="B3983" s="1242"/>
      <c r="C3983" s="3958" t="s">
        <v>5484</v>
      </c>
      <c r="D3983" s="768">
        <f>SUM(D3984:D3985)</f>
        <v>699400000</v>
      </c>
      <c r="E3983" s="1447">
        <f>D3983/D3944*100</f>
        <v>0.54739073223191914</v>
      </c>
      <c r="F3983" s="753"/>
      <c r="G3983" s="613"/>
      <c r="H3983" s="2538"/>
      <c r="I3983" s="1309"/>
      <c r="J3983" s="753"/>
      <c r="K3983" s="753"/>
      <c r="L3983" s="1650"/>
      <c r="M3983" s="1650"/>
      <c r="N3983" s="535"/>
    </row>
    <row r="3984" spans="1:16" ht="19.5" customHeight="1" x14ac:dyDescent="0.25">
      <c r="B3984" s="1242"/>
      <c r="C3984" s="3959" t="s">
        <v>5485</v>
      </c>
      <c r="D3984" s="780">
        <v>350000000</v>
      </c>
      <c r="E3984" s="1126">
        <f>D3984/D3944*100</f>
        <v>0.27393016339887288</v>
      </c>
      <c r="F3984" s="755"/>
      <c r="G3984" s="608"/>
      <c r="H3984" s="2539"/>
      <c r="I3984" s="1660"/>
      <c r="J3984" s="2000"/>
      <c r="K3984" s="2001"/>
      <c r="L3984" s="1312"/>
      <c r="M3984" s="1312"/>
      <c r="N3984" s="535"/>
    </row>
    <row r="3985" spans="1:16" ht="14.25" customHeight="1" x14ac:dyDescent="0.25">
      <c r="B3985" s="1242"/>
      <c r="C3985" s="3959" t="s">
        <v>5486</v>
      </c>
      <c r="D3985" s="780">
        <v>349400000</v>
      </c>
      <c r="E3985" s="1126">
        <f>D3985/D3944*100</f>
        <v>0.2734605688330462</v>
      </c>
      <c r="F3985" s="755"/>
      <c r="G3985" s="608"/>
      <c r="H3985" s="2539"/>
      <c r="I3985" s="1660"/>
      <c r="J3985" s="2000"/>
      <c r="K3985" s="2001"/>
      <c r="L3985" s="1312"/>
      <c r="M3985" s="1312"/>
      <c r="N3985" s="535"/>
    </row>
    <row r="3986" spans="1:16" ht="11.25" customHeight="1" x14ac:dyDescent="0.25">
      <c r="B3986" s="1242"/>
      <c r="D3986" s="1849"/>
      <c r="E3986" s="1450"/>
      <c r="F3986" s="532"/>
      <c r="G3986" s="533"/>
      <c r="H3986" s="2284"/>
      <c r="I3986" s="791"/>
      <c r="J3986" s="532"/>
      <c r="K3986" s="2175"/>
      <c r="L3986" s="1323"/>
      <c r="M3986" s="2175"/>
      <c r="N3986" s="535"/>
    </row>
    <row r="3987" spans="1:16" ht="20.25" customHeight="1" x14ac:dyDescent="0.25">
      <c r="B3987" s="1242"/>
      <c r="C3987" s="3882" t="s">
        <v>5487</v>
      </c>
      <c r="D3987" s="768">
        <f>SUM(D3988:D3990)</f>
        <v>8767614000</v>
      </c>
      <c r="E3987" s="1447">
        <f>D3987/D3944*100</f>
        <v>6.8620398161092719</v>
      </c>
      <c r="F3987" s="753"/>
      <c r="G3987" s="613"/>
      <c r="H3987" s="2538"/>
      <c r="I3987" s="1316"/>
      <c r="J3987" s="753"/>
      <c r="K3987" s="753"/>
      <c r="L3987" s="2467"/>
      <c r="M3987" s="1311"/>
      <c r="N3987" s="535"/>
    </row>
    <row r="3988" spans="1:16" ht="18.75" customHeight="1" x14ac:dyDescent="0.25">
      <c r="B3988" s="1242"/>
      <c r="C3988" s="3917" t="s">
        <v>5490</v>
      </c>
      <c r="D3988" s="780">
        <v>3076814000</v>
      </c>
      <c r="E3988" s="1126">
        <f>D3988/D3944*100</f>
        <v>2.408091890765542</v>
      </c>
      <c r="F3988" s="755"/>
      <c r="G3988" s="608"/>
      <c r="H3988" s="2539"/>
      <c r="I3988" s="1111"/>
      <c r="J3988" s="2000"/>
      <c r="K3988" s="2001"/>
      <c r="L3988" s="1312"/>
      <c r="M3988" s="1311"/>
      <c r="N3988" s="535"/>
    </row>
    <row r="3989" spans="1:16" ht="20.25" customHeight="1" x14ac:dyDescent="0.25">
      <c r="B3989" s="1242"/>
      <c r="C3989" s="3917" t="s">
        <v>5488</v>
      </c>
      <c r="D3989" s="780">
        <v>1340800000</v>
      </c>
      <c r="E3989" s="1126">
        <f>D3989/D3944*100</f>
        <v>1.0493873231005963</v>
      </c>
      <c r="F3989" s="755"/>
      <c r="G3989" s="1005"/>
      <c r="H3989" s="1005"/>
      <c r="I3989" s="1005"/>
      <c r="J3989" s="2000"/>
      <c r="K3989" s="2001"/>
      <c r="L3989" s="1312"/>
      <c r="M3989" s="1311"/>
      <c r="N3989" s="535"/>
    </row>
    <row r="3990" spans="1:16" ht="29.25" customHeight="1" x14ac:dyDescent="0.25">
      <c r="B3990" s="1242"/>
      <c r="C3990" s="3917" t="s">
        <v>5489</v>
      </c>
      <c r="D3990" s="780">
        <v>4350000000</v>
      </c>
      <c r="E3990" s="1126">
        <f>D3990/D3944*100</f>
        <v>3.4045606022431341</v>
      </c>
      <c r="F3990" s="755"/>
      <c r="G3990" s="1005"/>
      <c r="H3990" s="1005"/>
      <c r="I3990" s="1005"/>
      <c r="J3990" s="1005"/>
      <c r="K3990" s="1005"/>
      <c r="L3990" s="1005"/>
      <c r="M3990" s="1311"/>
      <c r="N3990" s="535"/>
    </row>
    <row r="3991" spans="1:16" ht="9.75" customHeight="1" x14ac:dyDescent="0.25">
      <c r="B3991" s="1242"/>
      <c r="C3991" s="3917"/>
      <c r="D3991" s="780"/>
      <c r="E3991" s="1126"/>
      <c r="F3991" s="755"/>
      <c r="G3991" s="532"/>
      <c r="H3991" s="1474"/>
      <c r="I3991" s="1314"/>
      <c r="J3991" s="755"/>
      <c r="K3991" s="1311"/>
      <c r="L3991" s="1312"/>
      <c r="M3991" s="1311"/>
      <c r="N3991" s="535"/>
    </row>
    <row r="3992" spans="1:16" ht="15" customHeight="1" x14ac:dyDescent="0.25">
      <c r="B3992" s="1242"/>
      <c r="C3992" s="3938" t="s">
        <v>5491</v>
      </c>
      <c r="D3992" s="768">
        <f>SUM(D3993:D4004)</f>
        <v>2547911000</v>
      </c>
      <c r="E3992" s="1447">
        <f>D3992/D3944*100</f>
        <v>1.9941419330165304</v>
      </c>
      <c r="F3992" s="753"/>
      <c r="G3992" s="1006"/>
      <c r="H3992" s="1006"/>
      <c r="I3992" s="1006"/>
      <c r="J3992" s="753"/>
      <c r="K3992" s="753"/>
      <c r="L3992" s="1312"/>
      <c r="M3992" s="1311"/>
      <c r="N3992" s="535"/>
    </row>
    <row r="3993" spans="1:16" ht="13.5" customHeight="1" x14ac:dyDescent="0.25">
      <c r="B3993" s="1242"/>
      <c r="C3993" s="3917" t="s">
        <v>5492</v>
      </c>
      <c r="D3993" s="780">
        <v>249090000</v>
      </c>
      <c r="E3993" s="1126">
        <f>D3993/D3944*100</f>
        <v>0.19495218400292927</v>
      </c>
      <c r="F3993" s="755"/>
      <c r="G3993" s="1005"/>
      <c r="H3993" s="1005"/>
      <c r="I3993" s="1005"/>
      <c r="J3993" s="2000"/>
      <c r="K3993" s="2001"/>
      <c r="L3993" s="1312"/>
      <c r="M3993" s="1311"/>
      <c r="N3993" s="535"/>
    </row>
    <row r="3994" spans="1:16" ht="13.5" customHeight="1" x14ac:dyDescent="0.25">
      <c r="B3994" s="1242"/>
      <c r="C3994" s="3917" t="s">
        <v>5493</v>
      </c>
      <c r="D3994" s="780">
        <v>350000000</v>
      </c>
      <c r="E3994" s="1126">
        <f>D3994/D3944*100</f>
        <v>0.27393016339887288</v>
      </c>
      <c r="F3994" s="755"/>
      <c r="G3994" s="1005"/>
      <c r="H3994" s="1005"/>
      <c r="I3994" s="1005"/>
      <c r="J3994" s="2000"/>
      <c r="K3994" s="2001"/>
      <c r="L3994" s="1312"/>
      <c r="M3994" s="1311"/>
      <c r="N3994" s="535"/>
    </row>
    <row r="3995" spans="1:16" ht="15.75" customHeight="1" x14ac:dyDescent="0.25">
      <c r="B3995" s="1242"/>
      <c r="C3995" s="3917" t="s">
        <v>5494</v>
      </c>
      <c r="D3995" s="780">
        <v>249550000</v>
      </c>
      <c r="E3995" s="1126">
        <f>D3995/D3944*100</f>
        <v>0.19531220650339634</v>
      </c>
      <c r="F3995" s="755"/>
      <c r="G3995" s="1005"/>
      <c r="H3995" s="1005"/>
      <c r="I3995" s="1005"/>
      <c r="J3995" s="2000"/>
      <c r="K3995" s="1005"/>
      <c r="L3995" s="1005"/>
      <c r="M3995" s="1005"/>
      <c r="N3995" s="535"/>
    </row>
    <row r="3996" spans="1:16" s="4099" customFormat="1" ht="15.75" customHeight="1" x14ac:dyDescent="0.25">
      <c r="A3996" s="4101"/>
      <c r="B3996" s="4119"/>
      <c r="C3996" s="4060" t="s">
        <v>5495</v>
      </c>
      <c r="D3996" s="660">
        <v>319490000</v>
      </c>
      <c r="E3996" s="1126">
        <f>D3996/D3944*100</f>
        <v>0.25005127972658825</v>
      </c>
      <c r="F3996" s="1007"/>
      <c r="G3996" s="1999"/>
      <c r="H3996" s="1998"/>
      <c r="I3996" s="1998"/>
      <c r="J3996" s="4166"/>
      <c r="K3996" s="1995"/>
      <c r="L3996" s="1998"/>
      <c r="M3996" s="1998"/>
      <c r="N3996" s="4109"/>
      <c r="P3996" s="500"/>
    </row>
    <row r="3997" spans="1:16" s="4099" customFormat="1" ht="15.75" customHeight="1" x14ac:dyDescent="0.25">
      <c r="A3997" s="4101"/>
      <c r="B3997" s="4119"/>
      <c r="C3997" s="4118" t="s">
        <v>5496</v>
      </c>
      <c r="D3997" s="780">
        <v>150000000</v>
      </c>
      <c r="E3997" s="1126">
        <f>D3997/D3944*100</f>
        <v>0.11739864145665979</v>
      </c>
      <c r="F3997" s="3630"/>
      <c r="G3997" s="3638"/>
      <c r="H3997" s="3638"/>
      <c r="I3997" s="3638"/>
      <c r="J3997" s="2000"/>
      <c r="K3997" s="3638"/>
      <c r="L3997" s="3638"/>
      <c r="M3997" s="3638"/>
      <c r="N3997" s="4109"/>
      <c r="P3997" s="500"/>
    </row>
    <row r="3998" spans="1:16" s="4099" customFormat="1" ht="15.75" customHeight="1" x14ac:dyDescent="0.25">
      <c r="A3998" s="4101"/>
      <c r="B3998" s="4119"/>
      <c r="C3998" s="4118" t="s">
        <v>5497</v>
      </c>
      <c r="D3998" s="780">
        <v>169870000</v>
      </c>
      <c r="E3998" s="1126">
        <f>D3998/D3944*100</f>
        <v>0.13295004816161868</v>
      </c>
      <c r="F3998" s="3630"/>
      <c r="G3998" s="3638"/>
      <c r="H3998" s="3638"/>
      <c r="I3998" s="3638"/>
      <c r="J3998" s="2000"/>
      <c r="K3998" s="3638"/>
      <c r="L3998" s="3638"/>
      <c r="M3998" s="3638"/>
      <c r="N3998" s="4109"/>
      <c r="P3998" s="500"/>
    </row>
    <row r="3999" spans="1:16" s="4099" customFormat="1" ht="15.75" customHeight="1" x14ac:dyDescent="0.25">
      <c r="A3999" s="4101"/>
      <c r="B3999" s="4119"/>
      <c r="C3999" s="4118" t="s">
        <v>5498</v>
      </c>
      <c r="D3999" s="780">
        <v>169970000</v>
      </c>
      <c r="E3999" s="1126">
        <f>D3999/D3944*100</f>
        <v>0.13302831392258976</v>
      </c>
      <c r="F3999" s="3630"/>
      <c r="G3999" s="3638"/>
      <c r="H3999" s="3638"/>
      <c r="I3999" s="3638"/>
      <c r="J3999" s="2000"/>
      <c r="K3999" s="3638"/>
      <c r="L3999" s="3638"/>
      <c r="M3999" s="3638"/>
      <c r="N3999" s="4109"/>
      <c r="P3999" s="500"/>
    </row>
    <row r="4000" spans="1:16" s="4099" customFormat="1" ht="15.75" customHeight="1" x14ac:dyDescent="0.25">
      <c r="A4000" s="4101"/>
      <c r="B4000" s="4119"/>
      <c r="C4000" s="4118" t="s">
        <v>5499</v>
      </c>
      <c r="D4000" s="780">
        <v>169941000</v>
      </c>
      <c r="E4000" s="1126">
        <f>D4000/D3944*100</f>
        <v>0.13300561685190815</v>
      </c>
      <c r="F4000" s="3630"/>
      <c r="G4000" s="3638"/>
      <c r="H4000" s="3638"/>
      <c r="I4000" s="3638"/>
      <c r="J4000" s="2000"/>
      <c r="K4000" s="3638"/>
      <c r="L4000" s="3638"/>
      <c r="M4000" s="3638"/>
      <c r="N4000" s="4109"/>
      <c r="P4000" s="500"/>
    </row>
    <row r="4001" spans="1:17" s="4099" customFormat="1" ht="15.75" customHeight="1" x14ac:dyDescent="0.25">
      <c r="A4001" s="4101"/>
      <c r="B4001" s="4119"/>
      <c r="C4001" s="4118" t="s">
        <v>5500</v>
      </c>
      <c r="D4001" s="780">
        <v>400000000</v>
      </c>
      <c r="E4001" s="1126">
        <f>D4001/D3944*100</f>
        <v>0.31306304388442613</v>
      </c>
      <c r="F4001" s="3630"/>
      <c r="G4001" s="3638"/>
      <c r="H4001" s="3638"/>
      <c r="I4001" s="3638"/>
      <c r="J4001" s="2000"/>
      <c r="K4001" s="3638"/>
      <c r="L4001" s="3638"/>
      <c r="M4001" s="3638"/>
      <c r="N4001" s="4109"/>
      <c r="P4001" s="500"/>
    </row>
    <row r="4002" spans="1:17" s="4099" customFormat="1" ht="15.75" customHeight="1" x14ac:dyDescent="0.25">
      <c r="A4002" s="4101"/>
      <c r="B4002" s="4119"/>
      <c r="C4002" s="4118" t="s">
        <v>5501</v>
      </c>
      <c r="D4002" s="780">
        <v>120000000</v>
      </c>
      <c r="E4002" s="1126">
        <f>D4002/D3944*100</f>
        <v>9.3918913165327841E-2</v>
      </c>
      <c r="F4002" s="3630"/>
      <c r="G4002" s="3638"/>
      <c r="H4002" s="3638"/>
      <c r="I4002" s="3638"/>
      <c r="J4002" s="2000"/>
      <c r="K4002" s="3638"/>
      <c r="L4002" s="3638"/>
      <c r="M4002" s="3638"/>
      <c r="N4002" s="4109"/>
      <c r="P4002" s="500"/>
    </row>
    <row r="4003" spans="1:17" s="4099" customFormat="1" ht="15.75" customHeight="1" x14ac:dyDescent="0.25">
      <c r="A4003" s="4101"/>
      <c r="B4003" s="4119"/>
      <c r="C4003" s="4118" t="s">
        <v>5502</v>
      </c>
      <c r="D4003" s="780">
        <v>80000000</v>
      </c>
      <c r="E4003" s="1126">
        <f>D4003/D3944*100</f>
        <v>6.2612608776885223E-2</v>
      </c>
      <c r="F4003" s="3630"/>
      <c r="G4003" s="3638"/>
      <c r="H4003" s="3638"/>
      <c r="I4003" s="3638"/>
      <c r="J4003" s="2000"/>
      <c r="K4003" s="3638"/>
      <c r="L4003" s="3638"/>
      <c r="M4003" s="3638"/>
      <c r="N4003" s="4109"/>
      <c r="P4003" s="500"/>
    </row>
    <row r="4004" spans="1:17" s="4099" customFormat="1" ht="15.75" customHeight="1" x14ac:dyDescent="0.25">
      <c r="A4004" s="4101"/>
      <c r="B4004" s="4119"/>
      <c r="C4004" s="4118" t="s">
        <v>5503</v>
      </c>
      <c r="D4004" s="780">
        <v>120000000</v>
      </c>
      <c r="E4004" s="1126">
        <f>D4004/D3944*100</f>
        <v>9.3918913165327841E-2</v>
      </c>
      <c r="F4004" s="3630"/>
      <c r="G4004" s="3638"/>
      <c r="H4004" s="3638"/>
      <c r="I4004" s="3638"/>
      <c r="J4004" s="2000"/>
      <c r="K4004" s="3638"/>
      <c r="L4004" s="3638"/>
      <c r="M4004" s="3638"/>
      <c r="N4004" s="4109"/>
      <c r="P4004" s="500"/>
    </row>
    <row r="4005" spans="1:17" ht="12" customHeight="1" x14ac:dyDescent="0.25">
      <c r="B4005" s="1242"/>
      <c r="D4005" s="4263"/>
      <c r="E4005" s="1450"/>
      <c r="F4005" s="1008"/>
      <c r="G4005" s="686"/>
      <c r="H4005" s="2284"/>
      <c r="I4005" s="791"/>
      <c r="J4005" s="1008"/>
      <c r="K4005" s="2282"/>
      <c r="L4005" s="1703"/>
      <c r="M4005" s="2182"/>
      <c r="N4005" s="535"/>
    </row>
    <row r="4006" spans="1:17" ht="17.25" customHeight="1" x14ac:dyDescent="0.25">
      <c r="B4006" s="1305"/>
      <c r="C4006" s="3913" t="s">
        <v>241</v>
      </c>
      <c r="D4006" s="2659">
        <f>SUM(D4007+D4010+D4020+D4023+D4028+D4034+D4040+D4043+D4053+D4056+D4059)</f>
        <v>9924006500</v>
      </c>
      <c r="E4006" s="1445">
        <f>D4006/D3944*100</f>
        <v>7.7670992060470763</v>
      </c>
      <c r="F4006" s="765"/>
      <c r="G4006" s="765"/>
      <c r="H4006" s="2064"/>
      <c r="I4006" s="1645"/>
      <c r="J4006" s="765"/>
      <c r="K4006" s="765"/>
      <c r="L4006" s="2540"/>
      <c r="M4006" s="1307"/>
      <c r="N4006" s="535"/>
      <c r="Q4006" s="522"/>
    </row>
    <row r="4007" spans="1:17" ht="16.5" customHeight="1" x14ac:dyDescent="0.25">
      <c r="B4007" s="1242"/>
      <c r="C4007" s="3938" t="s">
        <v>810</v>
      </c>
      <c r="D4007" s="768">
        <f>SUM(D4008)</f>
        <v>2789288000</v>
      </c>
      <c r="E4007" s="1447">
        <f>D4007/D3944*100</f>
        <v>2.1830574788757584</v>
      </c>
      <c r="F4007" s="3629"/>
      <c r="G4007" s="613"/>
      <c r="H4007" s="2538"/>
      <c r="I4007" s="753"/>
      <c r="J4007" s="795"/>
      <c r="K4007" s="795"/>
      <c r="L4007" s="1729"/>
      <c r="M4007" s="2380"/>
      <c r="N4007" s="535"/>
      <c r="P4007" s="1996"/>
      <c r="Q4007" s="1997"/>
    </row>
    <row r="4008" spans="1:17" ht="16.5" customHeight="1" x14ac:dyDescent="0.25">
      <c r="B4008" s="1242"/>
      <c r="C4008" s="3896" t="s">
        <v>5504</v>
      </c>
      <c r="D4008" s="1849">
        <v>2789288000</v>
      </c>
      <c r="E4008" s="1126">
        <f>D4008/D3944*100</f>
        <v>2.1830574788757584</v>
      </c>
      <c r="F4008" s="386"/>
      <c r="G4008" s="1005"/>
      <c r="H4008" s="1005"/>
      <c r="I4008" s="1005"/>
      <c r="J4008" s="1005"/>
      <c r="K4008" s="1005"/>
      <c r="L4008" s="2543"/>
      <c r="M4008" s="2543"/>
      <c r="N4008" s="535"/>
    </row>
    <row r="4009" spans="1:17" ht="9" customHeight="1" x14ac:dyDescent="0.25">
      <c r="B4009" s="1242"/>
      <c r="C4009" s="3917"/>
      <c r="D4009" s="780"/>
      <c r="E4009" s="1126"/>
      <c r="F4009" s="1005"/>
      <c r="G4009" s="755"/>
      <c r="H4009" s="1472"/>
      <c r="I4009" s="2370"/>
      <c r="J4009" s="1005"/>
      <c r="K4009" s="1311"/>
      <c r="L4009" s="1312"/>
      <c r="M4009" s="1311"/>
      <c r="N4009" s="535"/>
    </row>
    <row r="4010" spans="1:17" ht="16.5" customHeight="1" x14ac:dyDescent="0.25">
      <c r="B4010" s="1242"/>
      <c r="C4010" s="3938" t="s">
        <v>5124</v>
      </c>
      <c r="D4010" s="768">
        <f>SUM(D4011:D4018)</f>
        <v>895530000</v>
      </c>
      <c r="E4010" s="1447">
        <f>D4010/D3944*100</f>
        <v>0.70089336922455037</v>
      </c>
      <c r="F4010" s="1006"/>
      <c r="G4010" s="613"/>
      <c r="H4010" s="2538"/>
      <c r="I4010" s="1309"/>
      <c r="J4010" s="1006"/>
      <c r="K4010" s="1006"/>
      <c r="L4010" s="1650"/>
      <c r="M4010" s="1650"/>
      <c r="N4010" s="535"/>
    </row>
    <row r="4011" spans="1:17" ht="17.25" customHeight="1" x14ac:dyDescent="0.25">
      <c r="B4011" s="1242"/>
      <c r="C4011" s="3917" t="s">
        <v>5505</v>
      </c>
      <c r="D4011" s="780">
        <v>70180000</v>
      </c>
      <c r="E4011" s="1126">
        <f>D4011/D3944*100</f>
        <v>5.4926911049522562E-2</v>
      </c>
      <c r="F4011" s="1005"/>
      <c r="G4011" s="608"/>
      <c r="H4011" s="2539"/>
      <c r="I4011" s="1660"/>
      <c r="J4011" s="1005"/>
      <c r="K4011" s="608"/>
      <c r="L4011" s="1312"/>
      <c r="M4011" s="1312"/>
      <c r="N4011" s="535"/>
    </row>
    <row r="4012" spans="1:17" ht="16.5" customHeight="1" x14ac:dyDescent="0.25">
      <c r="B4012" s="1242"/>
      <c r="C4012" s="3917" t="s">
        <v>5506</v>
      </c>
      <c r="D4012" s="780">
        <v>52470000</v>
      </c>
      <c r="E4012" s="1126">
        <f>D4012/D3944*100</f>
        <v>4.10660447815396E-2</v>
      </c>
      <c r="F4012" s="755"/>
      <c r="G4012" s="755"/>
      <c r="H4012" s="2284"/>
      <c r="I4012" s="1660"/>
      <c r="J4012" s="755"/>
      <c r="K4012" s="1312"/>
      <c r="L4012" s="1312"/>
      <c r="M4012" s="1312"/>
      <c r="N4012" s="535"/>
    </row>
    <row r="4013" spans="1:17" s="4099" customFormat="1" ht="14.25" customHeight="1" x14ac:dyDescent="0.25">
      <c r="A4013" s="4101"/>
      <c r="B4013" s="4119"/>
      <c r="C4013" s="4118" t="s">
        <v>5507</v>
      </c>
      <c r="D4013" s="780">
        <v>86380000</v>
      </c>
      <c r="E4013" s="1126">
        <f>D4013/D3944*100</f>
        <v>6.7605964326841822E-2</v>
      </c>
      <c r="F4013" s="3630"/>
      <c r="G4013" s="3630"/>
      <c r="H4013" s="2284"/>
      <c r="I4013" s="1660"/>
      <c r="J4013" s="3630"/>
      <c r="K4013" s="1312"/>
      <c r="L4013" s="1312"/>
      <c r="M4013" s="1312"/>
      <c r="N4013" s="4109"/>
      <c r="P4013" s="500"/>
    </row>
    <row r="4014" spans="1:17" s="4099" customFormat="1" ht="15.75" customHeight="1" x14ac:dyDescent="0.25">
      <c r="A4014" s="4101"/>
      <c r="B4014" s="4119"/>
      <c r="C4014" s="4118" t="s">
        <v>5508</v>
      </c>
      <c r="D4014" s="780">
        <v>100000000</v>
      </c>
      <c r="E4014" s="1126">
        <f>D4014/D3944*100</f>
        <v>7.8265760971106532E-2</v>
      </c>
      <c r="F4014" s="3630"/>
      <c r="G4014" s="3630"/>
      <c r="H4014" s="2284"/>
      <c r="I4014" s="1660"/>
      <c r="J4014" s="3630"/>
      <c r="K4014" s="1312"/>
      <c r="L4014" s="1312"/>
      <c r="M4014" s="1312"/>
      <c r="N4014" s="4109"/>
      <c r="P4014" s="500"/>
    </row>
    <row r="4015" spans="1:17" s="4099" customFormat="1" ht="15" customHeight="1" x14ac:dyDescent="0.25">
      <c r="A4015" s="4101"/>
      <c r="B4015" s="4119"/>
      <c r="C4015" s="4118" t="s">
        <v>5512</v>
      </c>
      <c r="D4015" s="780">
        <v>175000000</v>
      </c>
      <c r="E4015" s="1126">
        <f>D4015/D3944*100</f>
        <v>0.13696508169943644</v>
      </c>
      <c r="F4015" s="3630"/>
      <c r="G4015" s="3630"/>
      <c r="H4015" s="2284"/>
      <c r="I4015" s="1660"/>
      <c r="J4015" s="3630"/>
      <c r="K4015" s="1312"/>
      <c r="L4015" s="1312"/>
      <c r="M4015" s="1312"/>
      <c r="N4015" s="4109"/>
      <c r="P4015" s="500"/>
    </row>
    <row r="4016" spans="1:17" s="4099" customFormat="1" ht="13.5" customHeight="1" x14ac:dyDescent="0.25">
      <c r="A4016" s="4101"/>
      <c r="B4016" s="4119"/>
      <c r="C4016" s="4118" t="s">
        <v>5509</v>
      </c>
      <c r="D4016" s="780">
        <v>81500000</v>
      </c>
      <c r="E4016" s="1126">
        <f>D4016/D3944*100</f>
        <v>6.3786595191451828E-2</v>
      </c>
      <c r="F4016" s="3630"/>
      <c r="G4016" s="3630"/>
      <c r="H4016" s="2284"/>
      <c r="I4016" s="1660"/>
      <c r="J4016" s="3630"/>
      <c r="K4016" s="1312"/>
      <c r="L4016" s="1312"/>
      <c r="M4016" s="1312"/>
      <c r="N4016" s="4109"/>
      <c r="P4016" s="500"/>
    </row>
    <row r="4017" spans="1:17" s="4099" customFormat="1" ht="15.75" customHeight="1" x14ac:dyDescent="0.25">
      <c r="A4017" s="4101"/>
      <c r="B4017" s="4119"/>
      <c r="C4017" s="4118" t="s">
        <v>5511</v>
      </c>
      <c r="D4017" s="780">
        <v>250000000</v>
      </c>
      <c r="E4017" s="1126">
        <f>D4017/D3944*100</f>
        <v>0.19566440242776631</v>
      </c>
      <c r="F4017" s="3630"/>
      <c r="G4017" s="3630"/>
      <c r="H4017" s="2284"/>
      <c r="I4017" s="1660"/>
      <c r="J4017" s="3630"/>
      <c r="K4017" s="1312"/>
      <c r="L4017" s="1312"/>
      <c r="M4017" s="1312"/>
      <c r="N4017" s="4109"/>
      <c r="P4017" s="500"/>
    </row>
    <row r="4018" spans="1:17" s="4099" customFormat="1" ht="14.25" customHeight="1" x14ac:dyDescent="0.25">
      <c r="A4018" s="4101"/>
      <c r="B4018" s="4119"/>
      <c r="C4018" s="4118" t="s">
        <v>5510</v>
      </c>
      <c r="D4018" s="780">
        <v>80000000</v>
      </c>
      <c r="E4018" s="1126">
        <f>D4018/D3944*100</f>
        <v>6.2612608776885223E-2</v>
      </c>
      <c r="F4018" s="3630"/>
      <c r="G4018" s="3630"/>
      <c r="H4018" s="2284"/>
      <c r="I4018" s="1660"/>
      <c r="J4018" s="3630"/>
      <c r="K4018" s="1312"/>
      <c r="L4018" s="1312"/>
      <c r="M4018" s="1312"/>
      <c r="N4018" s="4109"/>
      <c r="P4018" s="500"/>
    </row>
    <row r="4019" spans="1:17" s="4099" customFormat="1" ht="12" customHeight="1" x14ac:dyDescent="0.25">
      <c r="A4019" s="4101"/>
      <c r="B4019" s="4119"/>
      <c r="C4019" s="4118"/>
      <c r="D4019" s="780"/>
      <c r="E4019" s="1126"/>
      <c r="F4019" s="3630"/>
      <c r="G4019" s="3630"/>
      <c r="H4019" s="2284"/>
      <c r="I4019" s="1660"/>
      <c r="J4019" s="3630"/>
      <c r="K4019" s="1312"/>
      <c r="L4019" s="1312"/>
      <c r="M4019" s="1312"/>
      <c r="N4019" s="4109"/>
      <c r="P4019" s="500"/>
    </row>
    <row r="4020" spans="1:17" ht="15" customHeight="1" x14ac:dyDescent="0.25">
      <c r="B4020" s="1242"/>
      <c r="C4020" s="3938" t="s">
        <v>5513</v>
      </c>
      <c r="D4020" s="768">
        <f>SUM(D4021)</f>
        <v>61400000</v>
      </c>
      <c r="E4020" s="1447">
        <f>D4020/D3944*100</f>
        <v>4.8055177236259412E-2</v>
      </c>
      <c r="F4020" s="753"/>
      <c r="G4020" s="613"/>
      <c r="H4020" s="2538"/>
      <c r="I4020" s="753"/>
      <c r="J4020" s="753"/>
      <c r="K4020" s="753"/>
      <c r="L4020" s="2467"/>
      <c r="M4020" s="2467"/>
      <c r="N4020" s="535"/>
      <c r="Q4020" s="522"/>
    </row>
    <row r="4021" spans="1:17" ht="29.25" customHeight="1" x14ac:dyDescent="0.25">
      <c r="B4021" s="1242"/>
      <c r="C4021" s="3917" t="s">
        <v>5514</v>
      </c>
      <c r="D4021" s="780">
        <v>61400000</v>
      </c>
      <c r="E4021" s="1126">
        <f>D4021/D3944*100</f>
        <v>4.8055177236259412E-2</v>
      </c>
      <c r="F4021" s="1005"/>
      <c r="G4021" s="608"/>
      <c r="H4021" s="2539"/>
      <c r="I4021" s="755"/>
      <c r="J4021" s="608"/>
      <c r="K4021" s="608"/>
      <c r="L4021" s="1312"/>
      <c r="M4021" s="1312"/>
      <c r="N4021" s="535"/>
    </row>
    <row r="4022" spans="1:17" ht="12" customHeight="1" x14ac:dyDescent="0.25">
      <c r="B4022" s="1242"/>
      <c r="C4022" s="3917"/>
      <c r="D4022" s="780"/>
      <c r="E4022" s="1447"/>
      <c r="F4022" s="755"/>
      <c r="G4022" s="753"/>
      <c r="H4022" s="2541"/>
      <c r="I4022" s="1309"/>
      <c r="J4022" s="755"/>
      <c r="K4022" s="1747"/>
      <c r="L4022" s="1650"/>
      <c r="M4022" s="1650"/>
      <c r="N4022" s="535"/>
    </row>
    <row r="4023" spans="1:17" ht="12" customHeight="1" x14ac:dyDescent="0.25">
      <c r="B4023" s="1242"/>
      <c r="C4023" s="3938" t="s">
        <v>5130</v>
      </c>
      <c r="D4023" s="768">
        <f>SUM(D4024:D4026)</f>
        <v>450500000</v>
      </c>
      <c r="E4023" s="1447">
        <f>D4023/D3944*100</f>
        <v>0.35258725317483497</v>
      </c>
      <c r="F4023" s="753"/>
      <c r="G4023" s="613"/>
      <c r="H4023" s="2538"/>
      <c r="I4023" s="1309"/>
      <c r="J4023" s="753"/>
      <c r="K4023" s="753"/>
      <c r="L4023" s="2467"/>
      <c r="M4023" s="1650"/>
      <c r="N4023" s="535"/>
      <c r="Q4023" s="522">
        <v>189800000</v>
      </c>
    </row>
    <row r="4024" spans="1:17" ht="15" customHeight="1" x14ac:dyDescent="0.25">
      <c r="B4024" s="1242"/>
      <c r="C4024" s="3917" t="s">
        <v>5131</v>
      </c>
      <c r="D4024" s="4288">
        <v>190000000</v>
      </c>
      <c r="E4024" s="1126">
        <f>D4024/D3944*100</f>
        <v>0.14870494584510241</v>
      </c>
      <c r="F4024" s="1123"/>
      <c r="G4024" s="608"/>
      <c r="H4024" s="2539"/>
      <c r="I4024" s="1660"/>
      <c r="J4024" s="2000"/>
      <c r="K4024" s="2001"/>
      <c r="L4024" s="1312"/>
      <c r="M4024" s="1311"/>
      <c r="N4024" s="535"/>
    </row>
    <row r="4025" spans="1:17" s="4099" customFormat="1" ht="15" customHeight="1" x14ac:dyDescent="0.25">
      <c r="A4025" s="4101"/>
      <c r="B4025" s="4119"/>
      <c r="C4025" s="4118" t="s">
        <v>5132</v>
      </c>
      <c r="D4025" s="4288">
        <v>71000000</v>
      </c>
      <c r="E4025" s="1126">
        <f>D4025/D3944*100</f>
        <v>5.5568690289485641E-2</v>
      </c>
      <c r="F4025" s="1123"/>
      <c r="G4025" s="608"/>
      <c r="H4025" s="4167"/>
      <c r="I4025" s="1660"/>
      <c r="J4025" s="2000"/>
      <c r="K4025" s="2001"/>
      <c r="L4025" s="1312"/>
      <c r="M4025" s="1311"/>
      <c r="N4025" s="4109"/>
      <c r="P4025" s="500"/>
    </row>
    <row r="4026" spans="1:17" s="4099" customFormat="1" ht="15" customHeight="1" x14ac:dyDescent="0.25">
      <c r="A4026" s="4101"/>
      <c r="B4026" s="4119"/>
      <c r="C4026" s="4118" t="s">
        <v>5515</v>
      </c>
      <c r="D4026" s="4288">
        <v>189500000</v>
      </c>
      <c r="E4026" s="1126">
        <f>D4026/D3944*100</f>
        <v>0.14831361704024687</v>
      </c>
      <c r="F4026" s="1123"/>
      <c r="G4026" s="608"/>
      <c r="H4026" s="4167"/>
      <c r="I4026" s="1660"/>
      <c r="J4026" s="2000"/>
      <c r="K4026" s="2001"/>
      <c r="L4026" s="1312"/>
      <c r="M4026" s="1311"/>
      <c r="N4026" s="4109"/>
      <c r="P4026" s="500"/>
    </row>
    <row r="4027" spans="1:17" ht="10.5" customHeight="1" x14ac:dyDescent="0.25">
      <c r="B4027" s="1242"/>
      <c r="C4027" s="3917"/>
      <c r="D4027" s="780"/>
      <c r="E4027" s="724"/>
      <c r="F4027" s="755"/>
      <c r="G4027" s="753"/>
      <c r="H4027" s="1473"/>
      <c r="I4027" s="1309"/>
      <c r="J4027" s="755"/>
      <c r="K4027" s="1747"/>
      <c r="L4027" s="1650"/>
      <c r="M4027" s="1650"/>
      <c r="N4027" s="535"/>
      <c r="Q4027" s="522">
        <v>78800000</v>
      </c>
    </row>
    <row r="4028" spans="1:17" ht="18" customHeight="1" x14ac:dyDescent="0.25">
      <c r="B4028" s="1242"/>
      <c r="C4028" s="3938" t="s">
        <v>5134</v>
      </c>
      <c r="D4028" s="768">
        <f>SUM(D4029:D4032)</f>
        <v>1136455000</v>
      </c>
      <c r="E4028" s="1416">
        <f>D4028/D3944*100</f>
        <v>0.88945515384418872</v>
      </c>
      <c r="F4028" s="753"/>
      <c r="G4028" s="613"/>
      <c r="H4028" s="2538"/>
      <c r="I4028" s="1309"/>
      <c r="J4028" s="753"/>
      <c r="K4028" s="753"/>
      <c r="L4028" s="2467"/>
      <c r="M4028" s="1650"/>
      <c r="N4028" s="535"/>
    </row>
    <row r="4029" spans="1:17" ht="14.25" customHeight="1" x14ac:dyDescent="0.25">
      <c r="B4029" s="1242"/>
      <c r="C4029" s="3917" t="s">
        <v>5516</v>
      </c>
      <c r="D4029" s="780">
        <v>174000000</v>
      </c>
      <c r="E4029" s="1492">
        <f>D4029/D3944*100</f>
        <v>0.13618242408972536</v>
      </c>
      <c r="F4029" s="755"/>
      <c r="G4029" s="1005"/>
      <c r="H4029" s="1005"/>
      <c r="I4029" s="1005"/>
      <c r="J4029" s="2000"/>
      <c r="K4029" s="1005"/>
      <c r="L4029" s="1005"/>
      <c r="M4029" s="1005"/>
      <c r="N4029" s="535"/>
    </row>
    <row r="4030" spans="1:17" ht="15" customHeight="1" x14ac:dyDescent="0.25">
      <c r="B4030" s="1242"/>
      <c r="C4030" s="3917" t="s">
        <v>5517</v>
      </c>
      <c r="D4030" s="780">
        <v>516800000</v>
      </c>
      <c r="E4030" s="1492">
        <f>D4030/D3944*100</f>
        <v>0.40447745269867857</v>
      </c>
      <c r="F4030" s="755"/>
      <c r="G4030" s="1005"/>
      <c r="H4030" s="1005"/>
      <c r="I4030" s="1005"/>
      <c r="J4030" s="2000"/>
      <c r="K4030" s="1005"/>
      <c r="L4030" s="1005"/>
      <c r="M4030" s="1005"/>
      <c r="N4030" s="535"/>
    </row>
    <row r="4031" spans="1:17" ht="30" customHeight="1" x14ac:dyDescent="0.25">
      <c r="B4031" s="1242"/>
      <c r="C4031" s="3917" t="s">
        <v>5518</v>
      </c>
      <c r="D4031" s="780">
        <v>208150000</v>
      </c>
      <c r="E4031" s="880">
        <f>D4031/D3944*100</f>
        <v>0.16291018146135824</v>
      </c>
      <c r="F4031" s="755"/>
      <c r="G4031" s="608"/>
      <c r="H4031" s="2539"/>
      <c r="I4031" s="1660"/>
      <c r="J4031" s="2000"/>
      <c r="K4031" s="2001"/>
      <c r="L4031" s="1312"/>
      <c r="M4031" s="1311"/>
      <c r="N4031" s="535"/>
    </row>
    <row r="4032" spans="1:17" ht="16.5" customHeight="1" x14ac:dyDescent="0.25">
      <c r="B4032" s="1242"/>
      <c r="C4032" s="3917" t="s">
        <v>5519</v>
      </c>
      <c r="D4032" s="780">
        <v>237505000</v>
      </c>
      <c r="E4032" s="4365">
        <f>D4032/D3944*100</f>
        <v>0.18588509559442659</v>
      </c>
      <c r="F4032" s="755"/>
      <c r="G4032" s="1005"/>
      <c r="H4032" s="1005"/>
      <c r="I4032" s="1005"/>
      <c r="J4032" s="2000"/>
      <c r="K4032" s="1005"/>
      <c r="L4032" s="1005"/>
      <c r="M4032" s="1005"/>
      <c r="N4032" s="535"/>
    </row>
    <row r="4033" spans="1:17" ht="12" customHeight="1" x14ac:dyDescent="0.25">
      <c r="B4033" s="1242"/>
      <c r="C4033" s="3917"/>
      <c r="D4033" s="780"/>
      <c r="E4033" s="1447"/>
      <c r="F4033" s="755"/>
      <c r="G4033" s="753"/>
      <c r="H4033" s="2544"/>
      <c r="I4033" s="1309"/>
      <c r="J4033" s="755"/>
      <c r="K4033" s="1747"/>
      <c r="L4033" s="1650"/>
      <c r="M4033" s="1650"/>
      <c r="N4033" s="535"/>
    </row>
    <row r="4034" spans="1:17" ht="21.75" customHeight="1" x14ac:dyDescent="0.25">
      <c r="B4034" s="1242"/>
      <c r="C4034" s="3938" t="s">
        <v>5520</v>
      </c>
      <c r="D4034" s="768">
        <f>SUM(D4035:D4038)</f>
        <v>738423500</v>
      </c>
      <c r="E4034" s="1447">
        <f>D4034/D3944*100</f>
        <v>0.57793277146447886</v>
      </c>
      <c r="F4034" s="753"/>
      <c r="G4034" s="1006"/>
      <c r="H4034" s="1006"/>
      <c r="I4034" s="1006"/>
      <c r="J4034" s="753"/>
      <c r="K4034" s="753"/>
      <c r="L4034" s="2545"/>
      <c r="M4034" s="2545"/>
      <c r="N4034" s="535"/>
      <c r="Q4034" s="522">
        <v>80400000</v>
      </c>
    </row>
    <row r="4035" spans="1:17" ht="17.25" customHeight="1" x14ac:dyDescent="0.25">
      <c r="B4035" s="1242"/>
      <c r="C4035" s="3917" t="s">
        <v>5521</v>
      </c>
      <c r="D4035" s="780">
        <v>174900000</v>
      </c>
      <c r="E4035" s="1126">
        <f>D4035/D3944*100</f>
        <v>0.13688681593846533</v>
      </c>
      <c r="F4035" s="755"/>
      <c r="G4035" s="1005"/>
      <c r="H4035" s="1005"/>
      <c r="I4035" s="1005"/>
      <c r="J4035" s="755"/>
      <c r="K4035" s="1005"/>
      <c r="L4035" s="1005"/>
      <c r="M4035" s="1005"/>
      <c r="N4035" s="535"/>
    </row>
    <row r="4036" spans="1:17" ht="18" customHeight="1" x14ac:dyDescent="0.25">
      <c r="B4036" s="1242"/>
      <c r="C4036" s="3917" t="s">
        <v>5522</v>
      </c>
      <c r="D4036" s="780">
        <v>265063500</v>
      </c>
      <c r="E4036" s="1126">
        <f>D4036/D3944*100</f>
        <v>0.20745396533164898</v>
      </c>
      <c r="F4036" s="755"/>
      <c r="G4036" s="1005"/>
      <c r="H4036" s="1005"/>
      <c r="I4036" s="1005"/>
      <c r="J4036" s="755"/>
      <c r="K4036" s="755"/>
      <c r="L4036" s="1312"/>
      <c r="M4036" s="1312"/>
      <c r="N4036" s="535"/>
    </row>
    <row r="4037" spans="1:17" ht="15.75" customHeight="1" x14ac:dyDescent="0.25">
      <c r="B4037" s="1242"/>
      <c r="C4037" s="3917" t="s">
        <v>5523</v>
      </c>
      <c r="D4037" s="780">
        <v>179400000</v>
      </c>
      <c r="E4037" s="1126">
        <f>D4037/D3944*100</f>
        <v>0.14040877518216513</v>
      </c>
      <c r="F4037" s="755"/>
      <c r="G4037" s="1005"/>
      <c r="H4037" s="1005"/>
      <c r="I4037" s="1005"/>
      <c r="J4037" s="755"/>
      <c r="K4037" s="1005"/>
      <c r="L4037" s="1005"/>
      <c r="M4037" s="1005"/>
      <c r="N4037" s="535"/>
    </row>
    <row r="4038" spans="1:17" s="4099" customFormat="1" ht="18" customHeight="1" x14ac:dyDescent="0.25">
      <c r="A4038" s="4101"/>
      <c r="B4038" s="4119"/>
      <c r="C4038" s="4118" t="s">
        <v>5524</v>
      </c>
      <c r="D4038" s="780">
        <v>119060000</v>
      </c>
      <c r="E4038" s="1126">
        <f>D4038/D3944*100</f>
        <v>9.318321501219945E-2</v>
      </c>
      <c r="F4038" s="3630"/>
      <c r="G4038" s="3638"/>
      <c r="H4038" s="3638"/>
      <c r="I4038" s="3638"/>
      <c r="J4038" s="3630"/>
      <c r="K4038" s="3638"/>
      <c r="L4038" s="3638"/>
      <c r="M4038" s="3638"/>
      <c r="N4038" s="4109"/>
      <c r="P4038" s="500"/>
    </row>
    <row r="4039" spans="1:17" ht="12" customHeight="1" x14ac:dyDescent="0.25">
      <c r="B4039" s="1242"/>
      <c r="C4039" s="3917"/>
      <c r="D4039" s="780"/>
      <c r="E4039" s="1126"/>
      <c r="F4039" s="755"/>
      <c r="G4039" s="755"/>
      <c r="H4039" s="755"/>
      <c r="I4039" s="755"/>
      <c r="J4039" s="755"/>
      <c r="K4039" s="1753"/>
      <c r="L4039" s="1716"/>
      <c r="M4039" s="1716"/>
      <c r="N4039" s="535"/>
    </row>
    <row r="4040" spans="1:17" ht="27.75" customHeight="1" x14ac:dyDescent="0.25">
      <c r="B4040" s="1242"/>
      <c r="C4040" s="3938" t="s">
        <v>5525</v>
      </c>
      <c r="D4040" s="768">
        <f>SUM(D4041)</f>
        <v>770000000</v>
      </c>
      <c r="E4040" s="1447">
        <f>D4040/D3944*100</f>
        <v>0.60264635947752032</v>
      </c>
      <c r="F4040" s="753"/>
      <c r="G4040" s="613"/>
      <c r="H4040" s="2538"/>
      <c r="I4040" s="1309"/>
      <c r="J4040" s="753"/>
      <c r="K4040" s="753"/>
      <c r="L4040" s="2467"/>
      <c r="M4040" s="1650"/>
      <c r="N4040" s="535"/>
      <c r="Q4040" s="522">
        <v>48990000</v>
      </c>
    </row>
    <row r="4041" spans="1:17" ht="16.5" customHeight="1" x14ac:dyDescent="0.25">
      <c r="B4041" s="1242"/>
      <c r="C4041" s="3917" t="s">
        <v>5526</v>
      </c>
      <c r="D4041" s="780">
        <v>770000000</v>
      </c>
      <c r="E4041" s="1126">
        <f>D4041/D3944*100</f>
        <v>0.60264635947752032</v>
      </c>
      <c r="F4041" s="755"/>
      <c r="G4041" s="1005"/>
      <c r="H4041" s="1005"/>
      <c r="I4041" s="1005"/>
      <c r="J4041" s="1005"/>
      <c r="K4041" s="1005"/>
      <c r="L4041" s="1005"/>
      <c r="M4041" s="1650"/>
      <c r="N4041" s="535"/>
    </row>
    <row r="4042" spans="1:17" ht="12" customHeight="1" x14ac:dyDescent="0.25">
      <c r="B4042" s="1242"/>
      <c r="D4042" s="1849"/>
      <c r="E4042" s="1126"/>
      <c r="F4042" s="532"/>
      <c r="G4042" s="755"/>
      <c r="H4042" s="755"/>
      <c r="I4042" s="755"/>
      <c r="J4042" s="532"/>
      <c r="K4042" s="1753"/>
      <c r="L4042" s="1716"/>
      <c r="M4042" s="1716"/>
      <c r="N4042" s="535"/>
    </row>
    <row r="4043" spans="1:17" ht="20.25" customHeight="1" x14ac:dyDescent="0.25">
      <c r="B4043" s="1242"/>
      <c r="C4043" s="3938" t="s">
        <v>5527</v>
      </c>
      <c r="D4043" s="768">
        <f>SUM(D4044:D4051)</f>
        <v>1223510000</v>
      </c>
      <c r="E4043" s="1447">
        <f>D4043/D3944*100</f>
        <v>0.95758941205758563</v>
      </c>
      <c r="F4043" s="753"/>
      <c r="G4043" s="613"/>
      <c r="H4043" s="2538"/>
      <c r="I4043" s="1309"/>
      <c r="J4043" s="753"/>
      <c r="K4043" s="753"/>
      <c r="L4043" s="2467"/>
      <c r="M4043" s="2467"/>
      <c r="N4043" s="535"/>
    </row>
    <row r="4044" spans="1:17" ht="13.5" customHeight="1" x14ac:dyDescent="0.25">
      <c r="B4044" s="1242"/>
      <c r="C4044" s="3917" t="s">
        <v>5528</v>
      </c>
      <c r="D4044" s="780">
        <v>230530000</v>
      </c>
      <c r="E4044" s="1126">
        <f>D4044/D3944*100</f>
        <v>0.1804260587666919</v>
      </c>
      <c r="F4044" s="755"/>
      <c r="G4044" s="608"/>
      <c r="H4044" s="2539"/>
      <c r="I4044" s="755"/>
      <c r="J4044" s="2000"/>
      <c r="K4044" s="2001"/>
      <c r="L4044" s="1716"/>
      <c r="M4044" s="1312"/>
      <c r="N4044" s="535"/>
    </row>
    <row r="4045" spans="1:17" ht="15.75" customHeight="1" x14ac:dyDescent="0.25">
      <c r="B4045" s="1242"/>
      <c r="C4045" s="3917" t="s">
        <v>5529</v>
      </c>
      <c r="D4045" s="780">
        <v>264430000</v>
      </c>
      <c r="E4045" s="1126">
        <f>D4045/D3944*100</f>
        <v>0.20695815173589699</v>
      </c>
      <c r="F4045" s="755"/>
      <c r="G4045" s="1005"/>
      <c r="H4045" s="1005"/>
      <c r="I4045" s="1005"/>
      <c r="J4045" s="2000"/>
      <c r="K4045" s="2001"/>
      <c r="L4045" s="1312"/>
      <c r="M4045" s="1312"/>
      <c r="N4045" s="535"/>
    </row>
    <row r="4046" spans="1:17" ht="16.5" customHeight="1" x14ac:dyDescent="0.25">
      <c r="B4046" s="1242"/>
      <c r="C4046" s="3917" t="s">
        <v>5530</v>
      </c>
      <c r="D4046" s="780">
        <v>62120000</v>
      </c>
      <c r="E4046" s="1126">
        <f>D4046/D3944*100</f>
        <v>4.8618690715251378E-2</v>
      </c>
      <c r="F4046" s="755"/>
      <c r="G4046" s="1005"/>
      <c r="H4046" s="1005"/>
      <c r="I4046" s="1005"/>
      <c r="J4046" s="2000"/>
      <c r="K4046" s="2001"/>
      <c r="L4046" s="1311"/>
      <c r="M4046" s="1312"/>
      <c r="N4046" s="535"/>
    </row>
    <row r="4047" spans="1:17" ht="14.25" customHeight="1" x14ac:dyDescent="0.25">
      <c r="B4047" s="1242"/>
      <c r="C4047" s="3917" t="s">
        <v>5531</v>
      </c>
      <c r="D4047" s="780">
        <v>283180000</v>
      </c>
      <c r="E4047" s="1126">
        <f>D4047/D3944*100</f>
        <v>0.22163298191797948</v>
      </c>
      <c r="F4047" s="755"/>
      <c r="G4047" s="608"/>
      <c r="H4047" s="2539"/>
      <c r="I4047" s="755"/>
      <c r="J4047" s="2000"/>
      <c r="K4047" s="2001"/>
      <c r="L4047" s="1312"/>
      <c r="M4047" s="1312"/>
      <c r="N4047" s="535"/>
    </row>
    <row r="4048" spans="1:17" ht="15" customHeight="1" x14ac:dyDescent="0.25">
      <c r="B4048" s="1242"/>
      <c r="C4048" s="3917" t="s">
        <v>5532</v>
      </c>
      <c r="D4048" s="780">
        <v>98750000</v>
      </c>
      <c r="E4048" s="1126">
        <f>D4048/D3944*100</f>
        <v>7.7287438958967697E-2</v>
      </c>
      <c r="F4048" s="755"/>
      <c r="G4048" s="608"/>
      <c r="H4048" s="2539"/>
      <c r="I4048" s="1660"/>
      <c r="J4048" s="2000"/>
      <c r="K4048" s="2001"/>
      <c r="L4048" s="1312"/>
      <c r="M4048" s="1312"/>
      <c r="N4048" s="535"/>
    </row>
    <row r="4049" spans="1:16" ht="15" customHeight="1" x14ac:dyDescent="0.25">
      <c r="B4049" s="1242"/>
      <c r="C4049" s="3917" t="s">
        <v>5533</v>
      </c>
      <c r="D4049" s="780">
        <v>35450000</v>
      </c>
      <c r="E4049" s="1126">
        <f>D4049/D3944*100</f>
        <v>2.7745212264257267E-2</v>
      </c>
      <c r="F4049" s="755"/>
      <c r="G4049" s="608"/>
      <c r="H4049" s="2539"/>
      <c r="I4049" s="755"/>
      <c r="J4049" s="2000"/>
      <c r="K4049" s="2001"/>
      <c r="L4049" s="1312"/>
      <c r="M4049" s="1312"/>
      <c r="N4049" s="535"/>
    </row>
    <row r="4050" spans="1:16" ht="15" customHeight="1" x14ac:dyDescent="0.25">
      <c r="B4050" s="1242"/>
      <c r="C4050" s="3917" t="s">
        <v>5534</v>
      </c>
      <c r="D4050" s="780">
        <v>182560000</v>
      </c>
      <c r="E4050" s="1126">
        <f>D4050/D3944*100</f>
        <v>0.14288197322885207</v>
      </c>
      <c r="F4050" s="755"/>
      <c r="G4050" s="608"/>
      <c r="H4050" s="2539"/>
      <c r="I4050" s="755"/>
      <c r="J4050" s="2000"/>
      <c r="K4050" s="2001"/>
      <c r="L4050" s="1716"/>
      <c r="M4050" s="1312"/>
      <c r="N4050" s="535"/>
    </row>
    <row r="4051" spans="1:16" ht="17.25" customHeight="1" x14ac:dyDescent="0.25">
      <c r="B4051" s="1242"/>
      <c r="C4051" s="3917" t="s">
        <v>5535</v>
      </c>
      <c r="D4051" s="780">
        <v>66490000</v>
      </c>
      <c r="E4051" s="1126">
        <f>D4051/D3944*100</f>
        <v>5.2038904469688736E-2</v>
      </c>
      <c r="F4051" s="755"/>
      <c r="G4051" s="608"/>
      <c r="H4051" s="2539"/>
      <c r="I4051" s="755"/>
      <c r="J4051" s="2000"/>
      <c r="K4051" s="2001"/>
      <c r="L4051" s="1312"/>
      <c r="M4051" s="1312"/>
      <c r="N4051" s="535"/>
    </row>
    <row r="4052" spans="1:16" ht="12" customHeight="1" x14ac:dyDescent="0.25">
      <c r="B4052" s="1242"/>
      <c r="D4052" s="1858"/>
      <c r="E4052" s="1126"/>
      <c r="F4052" s="303"/>
      <c r="G4052" s="864"/>
      <c r="H4052" s="2546"/>
      <c r="I4052" s="791"/>
      <c r="J4052" s="303"/>
      <c r="K4052" s="2285"/>
      <c r="L4052" s="1323"/>
      <c r="M4052" s="2175"/>
      <c r="N4052" s="536"/>
    </row>
    <row r="4053" spans="1:16" s="4099" customFormat="1" ht="28.5" customHeight="1" x14ac:dyDescent="0.25">
      <c r="A4053" s="4101"/>
      <c r="B4053" s="4119"/>
      <c r="C4053" s="4103" t="s">
        <v>5536</v>
      </c>
      <c r="D4053" s="673">
        <f>D4054</f>
        <v>49500000</v>
      </c>
      <c r="E4053" s="1447">
        <f>D4053/D3944*100</f>
        <v>3.874155168069774E-2</v>
      </c>
      <c r="F4053" s="4107"/>
      <c r="G4053" s="1126"/>
      <c r="H4053" s="1126"/>
      <c r="I4053" s="894"/>
      <c r="J4053" s="4107"/>
      <c r="K4053" s="1315"/>
      <c r="L4053" s="1717"/>
      <c r="M4053" s="1315"/>
      <c r="N4053" s="3330"/>
      <c r="P4053" s="500"/>
    </row>
    <row r="4054" spans="1:16" s="4099" customFormat="1" ht="16.5" customHeight="1" x14ac:dyDescent="0.25">
      <c r="A4054" s="4101"/>
      <c r="B4054" s="4119"/>
      <c r="C4054" s="3856" t="s">
        <v>5537</v>
      </c>
      <c r="D4054" s="1846">
        <v>49500000</v>
      </c>
      <c r="E4054" s="1126">
        <f>D4054/D3944*100</f>
        <v>3.874155168069774E-2</v>
      </c>
      <c r="F4054" s="4107"/>
      <c r="G4054" s="1126"/>
      <c r="H4054" s="1126"/>
      <c r="I4054" s="894"/>
      <c r="J4054" s="4107"/>
      <c r="K4054" s="1315"/>
      <c r="L4054" s="1717"/>
      <c r="M4054" s="1315"/>
      <c r="N4054" s="3330"/>
      <c r="P4054" s="500"/>
    </row>
    <row r="4055" spans="1:16" s="4099" customFormat="1" ht="9.75" customHeight="1" x14ac:dyDescent="0.25">
      <c r="A4055" s="4101"/>
      <c r="B4055" s="4119"/>
      <c r="C4055" s="3991"/>
      <c r="D4055" s="1849"/>
      <c r="E4055" s="1126"/>
      <c r="F4055" s="4107"/>
      <c r="G4055" s="1126"/>
      <c r="H4055" s="1126"/>
      <c r="I4055" s="894"/>
      <c r="J4055" s="4107"/>
      <c r="K4055" s="1315"/>
      <c r="L4055" s="1717"/>
      <c r="M4055" s="1315"/>
      <c r="N4055" s="3330"/>
      <c r="P4055" s="500"/>
    </row>
    <row r="4056" spans="1:16" s="4099" customFormat="1" ht="14.25" customHeight="1" x14ac:dyDescent="0.25">
      <c r="A4056" s="4101"/>
      <c r="B4056" s="4119"/>
      <c r="C4056" s="4103" t="s">
        <v>5538</v>
      </c>
      <c r="D4056" s="1851">
        <f>D4057</f>
        <v>380000000</v>
      </c>
      <c r="E4056" s="1447">
        <f>D4056/D3944*100</f>
        <v>0.29740989169020482</v>
      </c>
      <c r="F4056" s="4107"/>
      <c r="G4056" s="1126"/>
      <c r="H4056" s="1126"/>
      <c r="I4056" s="894"/>
      <c r="J4056" s="4107"/>
      <c r="K4056" s="1315"/>
      <c r="L4056" s="1717"/>
      <c r="M4056" s="1315"/>
      <c r="N4056" s="3330"/>
      <c r="P4056" s="500"/>
    </row>
    <row r="4057" spans="1:16" s="4099" customFormat="1" ht="15" customHeight="1" x14ac:dyDescent="0.25">
      <c r="A4057" s="4101"/>
      <c r="B4057" s="4119"/>
      <c r="C4057" s="3856" t="s">
        <v>5539</v>
      </c>
      <c r="D4057" s="1846">
        <v>380000000</v>
      </c>
      <c r="E4057" s="1126">
        <f>D4057/D3944*100</f>
        <v>0.29740989169020482</v>
      </c>
      <c r="F4057" s="4107"/>
      <c r="G4057" s="1126"/>
      <c r="H4057" s="1126"/>
      <c r="I4057" s="894"/>
      <c r="J4057" s="4107"/>
      <c r="K4057" s="1315"/>
      <c r="L4057" s="1717"/>
      <c r="M4057" s="1315"/>
      <c r="N4057" s="3330"/>
      <c r="P4057" s="500"/>
    </row>
    <row r="4058" spans="1:16" s="4099" customFormat="1" ht="11.25" customHeight="1" x14ac:dyDescent="0.25">
      <c r="A4058" s="4101"/>
      <c r="B4058" s="4119"/>
      <c r="C4058" s="3991"/>
      <c r="D4058" s="1849"/>
      <c r="E4058" s="1126"/>
      <c r="F4058" s="4107"/>
      <c r="G4058" s="1126"/>
      <c r="H4058" s="1126"/>
      <c r="I4058" s="894"/>
      <c r="J4058" s="4107"/>
      <c r="K4058" s="1315"/>
      <c r="L4058" s="1717"/>
      <c r="M4058" s="1315"/>
      <c r="N4058" s="3330"/>
      <c r="P4058" s="500"/>
    </row>
    <row r="4059" spans="1:16" s="4099" customFormat="1" ht="15.75" customHeight="1" x14ac:dyDescent="0.25">
      <c r="A4059" s="4101"/>
      <c r="B4059" s="4119"/>
      <c r="C4059" s="4103" t="s">
        <v>5540</v>
      </c>
      <c r="D4059" s="1851">
        <f>SUM(D4060:D4064)</f>
        <v>1429400000</v>
      </c>
      <c r="E4059" s="1447">
        <f>D4059/D3944*100</f>
        <v>1.1187307873209968</v>
      </c>
      <c r="F4059" s="4107"/>
      <c r="G4059" s="1126"/>
      <c r="H4059" s="1126"/>
      <c r="I4059" s="894"/>
      <c r="J4059" s="4107"/>
      <c r="K4059" s="1315"/>
      <c r="L4059" s="1717"/>
      <c r="M4059" s="1315"/>
      <c r="N4059" s="3330"/>
      <c r="P4059" s="500"/>
    </row>
    <row r="4060" spans="1:16" s="4099" customFormat="1" ht="15.75" customHeight="1" x14ac:dyDescent="0.25">
      <c r="A4060" s="4101"/>
      <c r="B4060" s="4119"/>
      <c r="C4060" s="3856" t="s">
        <v>5541</v>
      </c>
      <c r="D4060" s="1846">
        <v>267000000</v>
      </c>
      <c r="E4060" s="1126">
        <f>D4060/D3944*100</f>
        <v>0.20896958179285446</v>
      </c>
      <c r="F4060" s="4107"/>
      <c r="G4060" s="1126"/>
      <c r="H4060" s="1126"/>
      <c r="I4060" s="894"/>
      <c r="J4060" s="4107"/>
      <c r="K4060" s="1315"/>
      <c r="L4060" s="1717"/>
      <c r="M4060" s="1315"/>
      <c r="N4060" s="3330"/>
      <c r="P4060" s="500"/>
    </row>
    <row r="4061" spans="1:16" s="4099" customFormat="1" ht="15" customHeight="1" x14ac:dyDescent="0.25">
      <c r="A4061" s="4101"/>
      <c r="B4061" s="4119"/>
      <c r="C4061" s="3856" t="s">
        <v>5542</v>
      </c>
      <c r="D4061" s="1846">
        <v>397500000</v>
      </c>
      <c r="E4061" s="1126">
        <f>D4061/D3944*100</f>
        <v>0.31110639986014849</v>
      </c>
      <c r="F4061" s="4107"/>
      <c r="G4061" s="1126"/>
      <c r="H4061" s="1126"/>
      <c r="I4061" s="894"/>
      <c r="J4061" s="4107"/>
      <c r="K4061" s="1315"/>
      <c r="L4061" s="1717"/>
      <c r="M4061" s="1315"/>
      <c r="N4061" s="3330"/>
      <c r="P4061" s="500"/>
    </row>
    <row r="4062" spans="1:16" s="4099" customFormat="1" ht="15" customHeight="1" x14ac:dyDescent="0.25">
      <c r="A4062" s="4101"/>
      <c r="B4062" s="4119"/>
      <c r="C4062" s="3856" t="s">
        <v>5543</v>
      </c>
      <c r="D4062" s="1846">
        <v>250000000</v>
      </c>
      <c r="E4062" s="1126">
        <f>D4062/D3944*100</f>
        <v>0.19566440242776631</v>
      </c>
      <c r="F4062" s="4107"/>
      <c r="G4062" s="1126"/>
      <c r="H4062" s="1126"/>
      <c r="I4062" s="894"/>
      <c r="J4062" s="4107"/>
      <c r="K4062" s="1315"/>
      <c r="L4062" s="1717"/>
      <c r="M4062" s="1315"/>
      <c r="N4062" s="3330"/>
      <c r="P4062" s="500"/>
    </row>
    <row r="4063" spans="1:16" s="4099" customFormat="1" ht="15" customHeight="1" x14ac:dyDescent="0.25">
      <c r="A4063" s="4101"/>
      <c r="B4063" s="4119"/>
      <c r="C4063" s="3856" t="s">
        <v>5544</v>
      </c>
      <c r="D4063" s="1846">
        <v>480000000</v>
      </c>
      <c r="E4063" s="1126">
        <f>D4063/D3944*100</f>
        <v>0.37567565266131137</v>
      </c>
      <c r="F4063" s="4107"/>
      <c r="G4063" s="1126"/>
      <c r="H4063" s="1126"/>
      <c r="I4063" s="894"/>
      <c r="J4063" s="4107"/>
      <c r="K4063" s="1315"/>
      <c r="L4063" s="1717"/>
      <c r="M4063" s="1315"/>
      <c r="N4063" s="3330"/>
      <c r="P4063" s="500"/>
    </row>
    <row r="4064" spans="1:16" s="4099" customFormat="1" ht="15.75" customHeight="1" x14ac:dyDescent="0.25">
      <c r="A4064" s="4101"/>
      <c r="B4064" s="4119"/>
      <c r="C4064" s="3856" t="s">
        <v>5545</v>
      </c>
      <c r="D4064" s="1846">
        <v>34900000</v>
      </c>
      <c r="E4064" s="1126">
        <f>D4064/D3944*100</f>
        <v>2.7314750578916181E-2</v>
      </c>
      <c r="F4064" s="4107"/>
      <c r="G4064" s="1126"/>
      <c r="H4064" s="1126"/>
      <c r="I4064" s="894"/>
      <c r="J4064" s="4107"/>
      <c r="K4064" s="1315"/>
      <c r="L4064" s="1717"/>
      <c r="M4064" s="1315"/>
      <c r="N4064" s="3330"/>
      <c r="P4064" s="500"/>
    </row>
    <row r="4065" spans="1:16" s="4099" customFormat="1" ht="13.5" customHeight="1" x14ac:dyDescent="0.25">
      <c r="A4065" s="4101"/>
      <c r="B4065" s="4119"/>
      <c r="C4065" s="3669"/>
      <c r="D4065" s="1856"/>
      <c r="E4065" s="864"/>
      <c r="F4065" s="651"/>
      <c r="G4065" s="864"/>
      <c r="H4065" s="864"/>
      <c r="I4065" s="788"/>
      <c r="J4065" s="651"/>
      <c r="K4065" s="2285"/>
      <c r="L4065" s="2281"/>
      <c r="M4065" s="2285"/>
      <c r="N4065" s="3333"/>
      <c r="P4065" s="500"/>
    </row>
    <row r="4066" spans="1:16" s="4099" customFormat="1" ht="13.5" customHeight="1" x14ac:dyDescent="0.25">
      <c r="A4066" s="4101"/>
      <c r="B4066" s="4050"/>
      <c r="C4066" s="3994" t="s">
        <v>5548</v>
      </c>
      <c r="D4066" s="1853">
        <f>D4067</f>
        <v>600000000</v>
      </c>
      <c r="E4066" s="1445">
        <f>D4066/D3944*100</f>
        <v>0.46959456582663917</v>
      </c>
      <c r="F4066" s="4170"/>
      <c r="G4066" s="3605"/>
      <c r="H4066" s="3605"/>
      <c r="I4066" s="2845"/>
      <c r="J4066" s="4170"/>
      <c r="K4066" s="2533"/>
      <c r="L4066" s="3471"/>
      <c r="M4066" s="2533"/>
      <c r="N4066" s="584"/>
      <c r="P4066" s="500"/>
    </row>
    <row r="4067" spans="1:16" s="4099" customFormat="1" ht="16.5" customHeight="1" x14ac:dyDescent="0.25">
      <c r="A4067" s="4101"/>
      <c r="B4067" s="4119"/>
      <c r="C4067" s="4063" t="s">
        <v>5546</v>
      </c>
      <c r="D4067" s="4171">
        <f>D4068</f>
        <v>600000000</v>
      </c>
      <c r="E4067" s="1469">
        <f>D4067/D3944*100</f>
        <v>0.46959456582663917</v>
      </c>
      <c r="F4067" s="677"/>
      <c r="G4067" s="1470"/>
      <c r="H4067" s="1470"/>
      <c r="I4067" s="3360"/>
      <c r="J4067" s="677"/>
      <c r="K4067" s="2269"/>
      <c r="L4067" s="2373"/>
      <c r="M4067" s="2269"/>
      <c r="N4067" s="3331"/>
      <c r="P4067" s="500"/>
    </row>
    <row r="4068" spans="1:16" s="4099" customFormat="1" ht="13.5" customHeight="1" x14ac:dyDescent="0.25">
      <c r="A4068" s="4101"/>
      <c r="B4068" s="4119"/>
      <c r="C4068" s="3856" t="s">
        <v>5547</v>
      </c>
      <c r="D4068" s="1846">
        <v>600000000</v>
      </c>
      <c r="E4068" s="1470">
        <f>D4068/D3944*100</f>
        <v>0.46959456582663917</v>
      </c>
      <c r="F4068" s="4107"/>
      <c r="G4068" s="1126"/>
      <c r="H4068" s="1126"/>
      <c r="I4068" s="894"/>
      <c r="J4068" s="4107"/>
      <c r="K4068" s="1315"/>
      <c r="L4068" s="1717"/>
      <c r="M4068" s="1315"/>
      <c r="N4068" s="3330"/>
      <c r="P4068" s="500"/>
    </row>
    <row r="4069" spans="1:16" s="4099" customFormat="1" ht="9.75" customHeight="1" x14ac:dyDescent="0.25">
      <c r="A4069" s="4101"/>
      <c r="B4069" s="4119"/>
      <c r="C4069" s="3669"/>
      <c r="D4069" s="1856"/>
      <c r="E4069" s="864"/>
      <c r="F4069" s="651"/>
      <c r="G4069" s="864"/>
      <c r="H4069" s="864"/>
      <c r="I4069" s="788"/>
      <c r="J4069" s="651"/>
      <c r="K4069" s="2285"/>
      <c r="L4069" s="2281"/>
      <c r="M4069" s="2285"/>
      <c r="N4069" s="3333"/>
      <c r="P4069" s="500"/>
    </row>
    <row r="4070" spans="1:16" s="4099" customFormat="1" ht="15" customHeight="1" x14ac:dyDescent="0.25">
      <c r="A4070" s="4101"/>
      <c r="B4070" s="4050"/>
      <c r="C4070" s="3994" t="s">
        <v>5549</v>
      </c>
      <c r="D4070" s="1853">
        <f>D4071</f>
        <v>400000000</v>
      </c>
      <c r="E4070" s="1445">
        <f>D4070/D3944*100</f>
        <v>0.31306304388442613</v>
      </c>
      <c r="F4070" s="4170"/>
      <c r="G4070" s="3605"/>
      <c r="H4070" s="3605"/>
      <c r="I4070" s="2845"/>
      <c r="J4070" s="4170"/>
      <c r="K4070" s="2533"/>
      <c r="L4070" s="3471"/>
      <c r="M4070" s="2533"/>
      <c r="N4070" s="584"/>
      <c r="P4070" s="500"/>
    </row>
    <row r="4071" spans="1:16" s="4099" customFormat="1" ht="16.5" customHeight="1" x14ac:dyDescent="0.25">
      <c r="A4071" s="4101"/>
      <c r="B4071" s="4119"/>
      <c r="C4071" s="4063" t="s">
        <v>5157</v>
      </c>
      <c r="D4071" s="4171">
        <f>D4072</f>
        <v>400000000</v>
      </c>
      <c r="E4071" s="1469">
        <f>D4071/D3944*100</f>
        <v>0.31306304388442613</v>
      </c>
      <c r="F4071" s="677"/>
      <c r="G4071" s="1470"/>
      <c r="H4071" s="1470"/>
      <c r="I4071" s="3360"/>
      <c r="J4071" s="677"/>
      <c r="K4071" s="2269"/>
      <c r="L4071" s="2373"/>
      <c r="M4071" s="2269"/>
      <c r="N4071" s="3331"/>
      <c r="P4071" s="500"/>
    </row>
    <row r="4072" spans="1:16" s="4099" customFormat="1" ht="13.5" customHeight="1" x14ac:dyDescent="0.25">
      <c r="A4072" s="4101"/>
      <c r="B4072" s="4119"/>
      <c r="C4072" s="3856" t="s">
        <v>5550</v>
      </c>
      <c r="D4072" s="1846">
        <v>400000000</v>
      </c>
      <c r="E4072" s="1470">
        <f>D4072/D3944*100</f>
        <v>0.31306304388442613</v>
      </c>
      <c r="F4072" s="4107"/>
      <c r="G4072" s="1126"/>
      <c r="H4072" s="1126"/>
      <c r="I4072" s="894"/>
      <c r="J4072" s="4107"/>
      <c r="K4072" s="1315"/>
      <c r="L4072" s="1717"/>
      <c r="M4072" s="1315"/>
      <c r="N4072" s="3330"/>
      <c r="P4072" s="500"/>
    </row>
    <row r="4073" spans="1:16" s="4099" customFormat="1" ht="8.25" customHeight="1" x14ac:dyDescent="0.25">
      <c r="A4073" s="4101"/>
      <c r="B4073" s="4119"/>
      <c r="C4073" s="3669"/>
      <c r="D4073" s="1856"/>
      <c r="E4073" s="864"/>
      <c r="F4073" s="651"/>
      <c r="G4073" s="864"/>
      <c r="H4073" s="864"/>
      <c r="I4073" s="788"/>
      <c r="J4073" s="651"/>
      <c r="K4073" s="2285"/>
      <c r="L4073" s="2281"/>
      <c r="M4073" s="2285"/>
      <c r="N4073" s="3333"/>
      <c r="P4073" s="500"/>
    </row>
    <row r="4074" spans="1:16" s="4099" customFormat="1" ht="15.75" customHeight="1" x14ac:dyDescent="0.25">
      <c r="A4074" s="4101"/>
      <c r="B4074" s="4050"/>
      <c r="C4074" s="3994" t="s">
        <v>5551</v>
      </c>
      <c r="D4074" s="1853">
        <f>D4075</f>
        <v>800000000</v>
      </c>
      <c r="E4074" s="1445">
        <f>D4074/D3944*100</f>
        <v>0.62612608776885226</v>
      </c>
      <c r="F4074" s="4170"/>
      <c r="G4074" s="3605"/>
      <c r="H4074" s="3605"/>
      <c r="I4074" s="2845"/>
      <c r="J4074" s="4170"/>
      <c r="K4074" s="2533"/>
      <c r="L4074" s="3471"/>
      <c r="M4074" s="2533"/>
      <c r="N4074" s="584"/>
      <c r="P4074" s="500"/>
    </row>
    <row r="4075" spans="1:16" s="4099" customFormat="1" ht="18.75" customHeight="1" x14ac:dyDescent="0.25">
      <c r="A4075" s="4101"/>
      <c r="B4075" s="4119"/>
      <c r="C4075" s="4063" t="s">
        <v>5159</v>
      </c>
      <c r="D4075" s="4171">
        <f>D4076</f>
        <v>800000000</v>
      </c>
      <c r="E4075" s="1469">
        <f>D4075/D3944*100</f>
        <v>0.62612608776885226</v>
      </c>
      <c r="F4075" s="677"/>
      <c r="G4075" s="1470"/>
      <c r="H4075" s="1470"/>
      <c r="I4075" s="3360"/>
      <c r="J4075" s="677"/>
      <c r="K4075" s="2269"/>
      <c r="L4075" s="2373"/>
      <c r="M4075" s="2269"/>
      <c r="N4075" s="3331"/>
      <c r="P4075" s="500"/>
    </row>
    <row r="4076" spans="1:16" s="4099" customFormat="1" ht="13.5" customHeight="1" x14ac:dyDescent="0.25">
      <c r="A4076" s="4101"/>
      <c r="B4076" s="4119"/>
      <c r="C4076" s="3856" t="s">
        <v>5552</v>
      </c>
      <c r="D4076" s="1846">
        <v>800000000</v>
      </c>
      <c r="E4076" s="1470">
        <f>D4076/D3944*100</f>
        <v>0.62612608776885226</v>
      </c>
      <c r="F4076" s="4107"/>
      <c r="G4076" s="1126"/>
      <c r="H4076" s="1126"/>
      <c r="I4076" s="894"/>
      <c r="J4076" s="4107"/>
      <c r="K4076" s="1315"/>
      <c r="L4076" s="1717"/>
      <c r="M4076" s="1315"/>
      <c r="N4076" s="3330"/>
      <c r="P4076" s="500"/>
    </row>
    <row r="4077" spans="1:16" s="4099" customFormat="1" ht="6.75" customHeight="1" x14ac:dyDescent="0.25">
      <c r="A4077" s="4101"/>
      <c r="B4077" s="4119"/>
      <c r="C4077" s="3669"/>
      <c r="D4077" s="1856"/>
      <c r="E4077" s="864"/>
      <c r="F4077" s="651"/>
      <c r="G4077" s="864"/>
      <c r="H4077" s="864"/>
      <c r="I4077" s="788"/>
      <c r="J4077" s="651"/>
      <c r="K4077" s="2285"/>
      <c r="L4077" s="2281"/>
      <c r="M4077" s="2285"/>
      <c r="N4077" s="3333"/>
      <c r="P4077" s="500"/>
    </row>
    <row r="4078" spans="1:16" s="3598" customFormat="1" ht="15.75" customHeight="1" x14ac:dyDescent="0.25">
      <c r="A4078" s="3588"/>
      <c r="B4078" s="4050"/>
      <c r="C4078" s="3994" t="s">
        <v>5565</v>
      </c>
      <c r="D4078" s="1853">
        <f>D4079</f>
        <v>550000000</v>
      </c>
      <c r="E4078" s="1445">
        <f>D4078/D3944*100</f>
        <v>0.43046168534108592</v>
      </c>
      <c r="F4078" s="1373"/>
      <c r="G4078" s="1445"/>
      <c r="H4078" s="1445"/>
      <c r="I4078" s="669"/>
      <c r="J4078" s="1373"/>
      <c r="K4078" s="2356"/>
      <c r="L4078" s="2356"/>
      <c r="M4078" s="2356"/>
      <c r="N4078" s="4293"/>
      <c r="P4078" s="4592"/>
    </row>
    <row r="4079" spans="1:16" s="3598" customFormat="1" ht="16.5" customHeight="1" x14ac:dyDescent="0.25">
      <c r="A4079" s="3588"/>
      <c r="B4079" s="4119"/>
      <c r="C4079" s="4063" t="s">
        <v>5161</v>
      </c>
      <c r="D4079" s="4171">
        <f>D4080</f>
        <v>550000000</v>
      </c>
      <c r="E4079" s="1469">
        <f>D4079/D3944*100</f>
        <v>0.43046168534108592</v>
      </c>
      <c r="F4079" s="4291"/>
      <c r="G4079" s="1469"/>
      <c r="H4079" s="1469"/>
      <c r="I4079" s="889"/>
      <c r="J4079" s="4291"/>
      <c r="K4079" s="2562"/>
      <c r="L4079" s="2562"/>
      <c r="M4079" s="2562"/>
      <c r="N4079" s="4292"/>
      <c r="P4079" s="4592"/>
    </row>
    <row r="4080" spans="1:16" s="4099" customFormat="1" ht="15.75" customHeight="1" x14ac:dyDescent="0.25">
      <c r="A4080" s="4101"/>
      <c r="B4080" s="4119"/>
      <c r="C4080" s="3856" t="s">
        <v>5553</v>
      </c>
      <c r="D4080" s="1846">
        <v>550000000</v>
      </c>
      <c r="E4080" s="1470">
        <f>D4080/D3944*100</f>
        <v>0.43046168534108592</v>
      </c>
      <c r="F4080" s="4107"/>
      <c r="G4080" s="1126"/>
      <c r="H4080" s="1126"/>
      <c r="I4080" s="894"/>
      <c r="J4080" s="4107"/>
      <c r="K4080" s="1315"/>
      <c r="L4080" s="1717"/>
      <c r="M4080" s="1315"/>
      <c r="N4080" s="3330"/>
      <c r="P4080" s="500"/>
    </row>
    <row r="4081" spans="1:16" s="4099" customFormat="1" ht="6.75" customHeight="1" x14ac:dyDescent="0.25">
      <c r="A4081" s="4101"/>
      <c r="B4081" s="4119"/>
      <c r="C4081" s="3669"/>
      <c r="D4081" s="1856"/>
      <c r="E4081" s="864"/>
      <c r="F4081" s="651"/>
      <c r="G4081" s="864"/>
      <c r="H4081" s="864"/>
      <c r="I4081" s="788"/>
      <c r="J4081" s="651"/>
      <c r="K4081" s="2285"/>
      <c r="L4081" s="2281"/>
      <c r="M4081" s="2285"/>
      <c r="N4081" s="3333"/>
      <c r="P4081" s="500"/>
    </row>
    <row r="4082" spans="1:16" s="3598" customFormat="1" ht="18.75" customHeight="1" x14ac:dyDescent="0.25">
      <c r="A4082" s="3588"/>
      <c r="B4082" s="4050"/>
      <c r="C4082" s="3994" t="s">
        <v>5570</v>
      </c>
      <c r="D4082" s="1853">
        <f>D4083</f>
        <v>500000000</v>
      </c>
      <c r="E4082" s="1445">
        <f>D4082/D3944*100</f>
        <v>0.39132880485553262</v>
      </c>
      <c r="F4082" s="1373"/>
      <c r="G4082" s="1445"/>
      <c r="H4082" s="1445"/>
      <c r="I4082" s="669"/>
      <c r="J4082" s="1373"/>
      <c r="K4082" s="2356"/>
      <c r="L4082" s="2356"/>
      <c r="M4082" s="2356"/>
      <c r="N4082" s="4293"/>
      <c r="P4082" s="4592"/>
    </row>
    <row r="4083" spans="1:16" s="3598" customFormat="1" ht="15.75" customHeight="1" x14ac:dyDescent="0.25">
      <c r="A4083" s="3588"/>
      <c r="B4083" s="4119"/>
      <c r="C4083" s="4063" t="s">
        <v>5163</v>
      </c>
      <c r="D4083" s="4171">
        <f>D4084</f>
        <v>500000000</v>
      </c>
      <c r="E4083" s="1469">
        <f>D4083/D3944*100</f>
        <v>0.39132880485553262</v>
      </c>
      <c r="F4083" s="4291"/>
      <c r="G4083" s="1469"/>
      <c r="H4083" s="1469"/>
      <c r="I4083" s="889"/>
      <c r="J4083" s="4291"/>
      <c r="K4083" s="2562"/>
      <c r="L4083" s="2562"/>
      <c r="M4083" s="2562"/>
      <c r="N4083" s="4292"/>
      <c r="P4083" s="4592"/>
    </row>
    <row r="4084" spans="1:16" s="4099" customFormat="1" ht="15" customHeight="1" x14ac:dyDescent="0.25">
      <c r="A4084" s="4101"/>
      <c r="B4084" s="4119"/>
      <c r="C4084" s="3856" t="s">
        <v>5554</v>
      </c>
      <c r="D4084" s="1846">
        <v>500000000</v>
      </c>
      <c r="E4084" s="1470">
        <f>D4084/D3944*100</f>
        <v>0.39132880485553262</v>
      </c>
      <c r="F4084" s="4107"/>
      <c r="G4084" s="1126"/>
      <c r="H4084" s="1126"/>
      <c r="I4084" s="894"/>
      <c r="J4084" s="4107"/>
      <c r="K4084" s="1315"/>
      <c r="L4084" s="1717"/>
      <c r="M4084" s="1315"/>
      <c r="N4084" s="3330"/>
      <c r="P4084" s="500"/>
    </row>
    <row r="4085" spans="1:16" s="4099" customFormat="1" ht="12.75" customHeight="1" x14ac:dyDescent="0.25">
      <c r="A4085" s="4101"/>
      <c r="B4085" s="4119"/>
      <c r="C4085" s="3669"/>
      <c r="D4085" s="1856"/>
      <c r="E4085" s="864"/>
      <c r="F4085" s="651"/>
      <c r="G4085" s="864"/>
      <c r="H4085" s="864"/>
      <c r="I4085" s="788"/>
      <c r="J4085" s="651"/>
      <c r="K4085" s="2285"/>
      <c r="L4085" s="2281"/>
      <c r="M4085" s="2285"/>
      <c r="N4085" s="3333"/>
      <c r="P4085" s="500"/>
    </row>
    <row r="4086" spans="1:16" s="3598" customFormat="1" ht="15.75" customHeight="1" x14ac:dyDescent="0.25">
      <c r="A4086" s="3588"/>
      <c r="B4086" s="4050"/>
      <c r="C4086" s="3994" t="s">
        <v>5569</v>
      </c>
      <c r="D4086" s="1853">
        <f>D4087</f>
        <v>700000000</v>
      </c>
      <c r="E4086" s="1445">
        <f>D4086/D3944*100</f>
        <v>0.54786032679774577</v>
      </c>
      <c r="F4086" s="1373"/>
      <c r="G4086" s="1445"/>
      <c r="H4086" s="1445"/>
      <c r="I4086" s="669"/>
      <c r="J4086" s="1373"/>
      <c r="K4086" s="2356"/>
      <c r="L4086" s="2356"/>
      <c r="M4086" s="2356"/>
      <c r="N4086" s="4293"/>
      <c r="P4086" s="4592"/>
    </row>
    <row r="4087" spans="1:16" s="3598" customFormat="1" ht="16.5" customHeight="1" x14ac:dyDescent="0.25">
      <c r="A4087" s="3588"/>
      <c r="B4087" s="4119"/>
      <c r="C4087" s="4063" t="s">
        <v>5165</v>
      </c>
      <c r="D4087" s="4171">
        <f>D4088</f>
        <v>700000000</v>
      </c>
      <c r="E4087" s="1469">
        <f>D4087/D3944*100</f>
        <v>0.54786032679774577</v>
      </c>
      <c r="F4087" s="4291"/>
      <c r="G4087" s="1469"/>
      <c r="H4087" s="1469"/>
      <c r="I4087" s="889"/>
      <c r="J4087" s="4291"/>
      <c r="K4087" s="2562"/>
      <c r="L4087" s="2562"/>
      <c r="M4087" s="2562"/>
      <c r="N4087" s="4292"/>
      <c r="P4087" s="4592"/>
    </row>
    <row r="4088" spans="1:16" s="4099" customFormat="1" ht="18" customHeight="1" x14ac:dyDescent="0.25">
      <c r="A4088" s="4101"/>
      <c r="B4088" s="4119"/>
      <c r="C4088" s="3856" t="s">
        <v>5555</v>
      </c>
      <c r="D4088" s="1846">
        <v>700000000</v>
      </c>
      <c r="E4088" s="1470">
        <f>D4088/D3944*100</f>
        <v>0.54786032679774577</v>
      </c>
      <c r="F4088" s="4107"/>
      <c r="G4088" s="1126"/>
      <c r="H4088" s="1126"/>
      <c r="I4088" s="894"/>
      <c r="J4088" s="4107"/>
      <c r="K4088" s="1315"/>
      <c r="L4088" s="1717"/>
      <c r="M4088" s="1315"/>
      <c r="N4088" s="3330"/>
      <c r="P4088" s="500"/>
    </row>
    <row r="4089" spans="1:16" s="4099" customFormat="1" ht="9" customHeight="1" x14ac:dyDescent="0.25">
      <c r="A4089" s="4101"/>
      <c r="B4089" s="4119"/>
      <c r="C4089" s="3669"/>
      <c r="D4089" s="1856"/>
      <c r="E4089" s="864"/>
      <c r="F4089" s="651"/>
      <c r="G4089" s="864"/>
      <c r="H4089" s="864"/>
      <c r="I4089" s="788"/>
      <c r="J4089" s="651"/>
      <c r="K4089" s="2285"/>
      <c r="L4089" s="2281"/>
      <c r="M4089" s="2285"/>
      <c r="N4089" s="3333"/>
      <c r="P4089" s="500"/>
    </row>
    <row r="4090" spans="1:16" s="3598" customFormat="1" ht="13.5" customHeight="1" x14ac:dyDescent="0.25">
      <c r="A4090" s="3588"/>
      <c r="B4090" s="4050"/>
      <c r="C4090" s="3994" t="s">
        <v>5568</v>
      </c>
      <c r="D4090" s="1853">
        <f>D4091</f>
        <v>300000000</v>
      </c>
      <c r="E4090" s="1445">
        <f>D4090/D3944*100</f>
        <v>0.23479728291331958</v>
      </c>
      <c r="F4090" s="1373"/>
      <c r="G4090" s="1445"/>
      <c r="H4090" s="1445"/>
      <c r="I4090" s="669"/>
      <c r="J4090" s="1373"/>
      <c r="K4090" s="2356"/>
      <c r="L4090" s="2356"/>
      <c r="M4090" s="2356"/>
      <c r="N4090" s="4293"/>
      <c r="P4090" s="4592"/>
    </row>
    <row r="4091" spans="1:16" s="3598" customFormat="1" ht="16.5" customHeight="1" x14ac:dyDescent="0.25">
      <c r="A4091" s="3588"/>
      <c r="B4091" s="4119"/>
      <c r="C4091" s="4063" t="s">
        <v>5167</v>
      </c>
      <c r="D4091" s="4171">
        <f>D4092</f>
        <v>300000000</v>
      </c>
      <c r="E4091" s="1469">
        <f>D4091/D3944*100</f>
        <v>0.23479728291331958</v>
      </c>
      <c r="F4091" s="4291"/>
      <c r="G4091" s="1469"/>
      <c r="H4091" s="1469"/>
      <c r="I4091" s="889"/>
      <c r="J4091" s="4291"/>
      <c r="K4091" s="2562"/>
      <c r="L4091" s="2562"/>
      <c r="M4091" s="2562"/>
      <c r="N4091" s="4292"/>
      <c r="P4091" s="4592"/>
    </row>
    <row r="4092" spans="1:16" s="4099" customFormat="1" ht="13.5" customHeight="1" x14ac:dyDescent="0.25">
      <c r="A4092" s="4101"/>
      <c r="B4092" s="4119"/>
      <c r="C4092" s="3856" t="s">
        <v>5556</v>
      </c>
      <c r="D4092" s="1846">
        <v>300000000</v>
      </c>
      <c r="E4092" s="1470">
        <f>D4092/D3944*100</f>
        <v>0.23479728291331958</v>
      </c>
      <c r="F4092" s="4107"/>
      <c r="G4092" s="1126"/>
      <c r="H4092" s="1126"/>
      <c r="I4092" s="894"/>
      <c r="J4092" s="4107"/>
      <c r="K4092" s="1315"/>
      <c r="L4092" s="1717"/>
      <c r="M4092" s="1315"/>
      <c r="N4092" s="3330"/>
      <c r="P4092" s="500"/>
    </row>
    <row r="4093" spans="1:16" s="4099" customFormat="1" ht="11.25" customHeight="1" x14ac:dyDescent="0.25">
      <c r="A4093" s="4101"/>
      <c r="B4093" s="4119"/>
      <c r="C4093" s="3669"/>
      <c r="D4093" s="1856"/>
      <c r="E4093" s="864"/>
      <c r="F4093" s="651"/>
      <c r="G4093" s="864"/>
      <c r="H4093" s="864"/>
      <c r="I4093" s="788"/>
      <c r="J4093" s="651"/>
      <c r="K4093" s="2285"/>
      <c r="L4093" s="2281"/>
      <c r="M4093" s="2285"/>
      <c r="N4093" s="3333"/>
      <c r="P4093" s="500"/>
    </row>
    <row r="4094" spans="1:16" s="3598" customFormat="1" ht="13.5" customHeight="1" x14ac:dyDescent="0.25">
      <c r="A4094" s="3588"/>
      <c r="B4094" s="4050"/>
      <c r="C4094" s="3994" t="s">
        <v>5567</v>
      </c>
      <c r="D4094" s="1853">
        <v>400000000</v>
      </c>
      <c r="E4094" s="1445">
        <f>D4094/D3944*100</f>
        <v>0.31306304388442613</v>
      </c>
      <c r="F4094" s="1373"/>
      <c r="G4094" s="1445"/>
      <c r="H4094" s="1445"/>
      <c r="I4094" s="669"/>
      <c r="J4094" s="1373"/>
      <c r="K4094" s="2356"/>
      <c r="L4094" s="2356"/>
      <c r="M4094" s="2356"/>
      <c r="N4094" s="4293"/>
      <c r="P4094" s="4592"/>
    </row>
    <row r="4095" spans="1:16" s="3598" customFormat="1" ht="13.5" customHeight="1" x14ac:dyDescent="0.25">
      <c r="A4095" s="3588"/>
      <c r="B4095" s="4119"/>
      <c r="C4095" s="4063" t="s">
        <v>5169</v>
      </c>
      <c r="D4095" s="4171">
        <v>400000000</v>
      </c>
      <c r="E4095" s="1469">
        <f>D4095/D3944*100</f>
        <v>0.31306304388442613</v>
      </c>
      <c r="F4095" s="4291"/>
      <c r="G4095" s="1469"/>
      <c r="H4095" s="1469"/>
      <c r="I4095" s="889"/>
      <c r="J4095" s="4291"/>
      <c r="K4095" s="2562"/>
      <c r="L4095" s="2562"/>
      <c r="M4095" s="2562"/>
      <c r="N4095" s="4292"/>
      <c r="P4095" s="4592"/>
    </row>
    <row r="4096" spans="1:16" s="4099" customFormat="1" ht="13.5" customHeight="1" x14ac:dyDescent="0.25">
      <c r="A4096" s="4101"/>
      <c r="B4096" s="4119"/>
      <c r="C4096" s="3856" t="s">
        <v>5557</v>
      </c>
      <c r="D4096" s="1846">
        <v>400000000</v>
      </c>
      <c r="E4096" s="1470">
        <f>D4096/D3944*100</f>
        <v>0.31306304388442613</v>
      </c>
      <c r="F4096" s="4107"/>
      <c r="G4096" s="1126"/>
      <c r="H4096" s="1126"/>
      <c r="I4096" s="894"/>
      <c r="J4096" s="4107"/>
      <c r="K4096" s="1315"/>
      <c r="L4096" s="1717"/>
      <c r="M4096" s="1315"/>
      <c r="N4096" s="3330"/>
      <c r="P4096" s="500"/>
    </row>
    <row r="4097" spans="1:16" s="4099" customFormat="1" ht="9" customHeight="1" x14ac:dyDescent="0.25">
      <c r="A4097" s="4101"/>
      <c r="B4097" s="4119"/>
      <c r="C4097" s="3669"/>
      <c r="D4097" s="1856"/>
      <c r="E4097" s="864"/>
      <c r="F4097" s="651"/>
      <c r="G4097" s="864"/>
      <c r="H4097" s="864"/>
      <c r="I4097" s="788"/>
      <c r="J4097" s="651"/>
      <c r="K4097" s="2285"/>
      <c r="L4097" s="2281"/>
      <c r="M4097" s="2285"/>
      <c r="N4097" s="3333"/>
      <c r="P4097" s="500"/>
    </row>
    <row r="4098" spans="1:16" s="3598" customFormat="1" ht="13.5" customHeight="1" x14ac:dyDescent="0.25">
      <c r="A4098" s="3588"/>
      <c r="B4098" s="4050"/>
      <c r="C4098" s="3994" t="s">
        <v>5566</v>
      </c>
      <c r="D4098" s="1853">
        <f>D4099</f>
        <v>380000000</v>
      </c>
      <c r="E4098" s="1445">
        <f>D4098/D3944*100</f>
        <v>0.29740989169020482</v>
      </c>
      <c r="F4098" s="1373"/>
      <c r="G4098" s="1445"/>
      <c r="H4098" s="1445"/>
      <c r="I4098" s="669"/>
      <c r="J4098" s="1373"/>
      <c r="K4098" s="2356"/>
      <c r="L4098" s="2356"/>
      <c r="M4098" s="2356"/>
      <c r="N4098" s="4293"/>
      <c r="P4098" s="4592"/>
    </row>
    <row r="4099" spans="1:16" s="3598" customFormat="1" ht="18" customHeight="1" x14ac:dyDescent="0.25">
      <c r="A4099" s="3588"/>
      <c r="B4099" s="4119"/>
      <c r="C4099" s="4063" t="s">
        <v>5171</v>
      </c>
      <c r="D4099" s="4171">
        <f>D4100</f>
        <v>380000000</v>
      </c>
      <c r="E4099" s="1469">
        <f>D4099/D3944*100</f>
        <v>0.29740989169020482</v>
      </c>
      <c r="F4099" s="4291"/>
      <c r="G4099" s="1469"/>
      <c r="H4099" s="1469"/>
      <c r="I4099" s="889"/>
      <c r="J4099" s="4291"/>
      <c r="K4099" s="2562"/>
      <c r="L4099" s="2562"/>
      <c r="M4099" s="2562"/>
      <c r="N4099" s="4292"/>
      <c r="P4099" s="4592"/>
    </row>
    <row r="4100" spans="1:16" s="4099" customFormat="1" ht="13.5" customHeight="1" x14ac:dyDescent="0.25">
      <c r="A4100" s="4101"/>
      <c r="B4100" s="4119"/>
      <c r="C4100" s="3856" t="s">
        <v>5558</v>
      </c>
      <c r="D4100" s="1846">
        <v>380000000</v>
      </c>
      <c r="E4100" s="1470">
        <f>D4100/D3944*100</f>
        <v>0.29740989169020482</v>
      </c>
      <c r="F4100" s="4107"/>
      <c r="G4100" s="1126"/>
      <c r="H4100" s="1126"/>
      <c r="I4100" s="894"/>
      <c r="J4100" s="4107"/>
      <c r="K4100" s="1315"/>
      <c r="L4100" s="1717"/>
      <c r="M4100" s="1315"/>
      <c r="N4100" s="3330"/>
      <c r="P4100" s="500"/>
    </row>
    <row r="4101" spans="1:16" s="4099" customFormat="1" ht="8.25" customHeight="1" x14ac:dyDescent="0.25">
      <c r="A4101" s="4101"/>
      <c r="B4101" s="4119"/>
      <c r="C4101" s="3669"/>
      <c r="D4101" s="1856"/>
      <c r="E4101" s="864"/>
      <c r="F4101" s="651"/>
      <c r="G4101" s="864"/>
      <c r="H4101" s="864"/>
      <c r="I4101" s="788"/>
      <c r="J4101" s="651"/>
      <c r="K4101" s="2285"/>
      <c r="L4101" s="2281"/>
      <c r="M4101" s="2285"/>
      <c r="N4101" s="3333"/>
      <c r="P4101" s="500"/>
    </row>
    <row r="4102" spans="1:16" s="3598" customFormat="1" ht="14.25" customHeight="1" x14ac:dyDescent="0.25">
      <c r="A4102" s="3588"/>
      <c r="B4102" s="4050"/>
      <c r="C4102" s="3994" t="s">
        <v>5571</v>
      </c>
      <c r="D4102" s="1853">
        <f>D4103</f>
        <v>400000000</v>
      </c>
      <c r="E4102" s="1445">
        <f>D4102/D3944*100</f>
        <v>0.31306304388442613</v>
      </c>
      <c r="F4102" s="1373"/>
      <c r="G4102" s="1445"/>
      <c r="H4102" s="1445"/>
      <c r="I4102" s="669"/>
      <c r="J4102" s="1373"/>
      <c r="K4102" s="2356"/>
      <c r="L4102" s="2356"/>
      <c r="M4102" s="2356"/>
      <c r="N4102" s="4293"/>
      <c r="P4102" s="4592"/>
    </row>
    <row r="4103" spans="1:16" s="3598" customFormat="1" ht="15.75" customHeight="1" x14ac:dyDescent="0.25">
      <c r="A4103" s="3588"/>
      <c r="B4103" s="4119"/>
      <c r="C4103" s="4063" t="s">
        <v>5173</v>
      </c>
      <c r="D4103" s="4171">
        <f>D4104</f>
        <v>400000000</v>
      </c>
      <c r="E4103" s="1469">
        <f>D4103/D3944*100</f>
        <v>0.31306304388442613</v>
      </c>
      <c r="F4103" s="4291"/>
      <c r="G4103" s="1469"/>
      <c r="H4103" s="1469"/>
      <c r="I4103" s="889"/>
      <c r="J4103" s="4291"/>
      <c r="K4103" s="2562"/>
      <c r="L4103" s="2562"/>
      <c r="M4103" s="2562"/>
      <c r="N4103" s="4292"/>
      <c r="P4103" s="4592"/>
    </row>
    <row r="4104" spans="1:16" s="3387" customFormat="1" ht="18" customHeight="1" x14ac:dyDescent="0.25">
      <c r="A4104" s="3587"/>
      <c r="B4104" s="2910"/>
      <c r="C4104" s="3856" t="s">
        <v>5559</v>
      </c>
      <c r="D4104" s="1846">
        <v>400000000</v>
      </c>
      <c r="E4104" s="1470">
        <f>D4104/D3944*100</f>
        <v>0.31306304388442613</v>
      </c>
      <c r="F4104" s="3681"/>
      <c r="G4104" s="1126"/>
      <c r="H4104" s="1126"/>
      <c r="I4104" s="666"/>
      <c r="J4104" s="3681"/>
      <c r="K4104" s="1717"/>
      <c r="L4104" s="1717"/>
      <c r="M4104" s="1717"/>
      <c r="N4104" s="4290"/>
      <c r="P4104" s="612"/>
    </row>
    <row r="4105" spans="1:16" s="3387" customFormat="1" ht="9.75" customHeight="1" x14ac:dyDescent="0.25">
      <c r="A4105" s="3587"/>
      <c r="B4105" s="2910"/>
      <c r="C4105" s="3669"/>
      <c r="D4105" s="1856"/>
      <c r="E4105" s="864"/>
      <c r="F4105" s="4294"/>
      <c r="G4105" s="864"/>
      <c r="H4105" s="864"/>
      <c r="I4105" s="868"/>
      <c r="J4105" s="4294"/>
      <c r="K4105" s="2281"/>
      <c r="L4105" s="2281"/>
      <c r="M4105" s="2281"/>
      <c r="N4105" s="4295"/>
      <c r="P4105" s="612"/>
    </row>
    <row r="4106" spans="1:16" s="3598" customFormat="1" ht="15.75" customHeight="1" x14ac:dyDescent="0.25">
      <c r="A4106" s="3588"/>
      <c r="B4106" s="4050"/>
      <c r="C4106" s="3994" t="s">
        <v>5572</v>
      </c>
      <c r="D4106" s="1853">
        <f>D4107</f>
        <v>335000000</v>
      </c>
      <c r="E4106" s="1445">
        <f>D4106/D3944*100</f>
        <v>0.26219029925320686</v>
      </c>
      <c r="F4106" s="1373"/>
      <c r="G4106" s="4297"/>
      <c r="H4106" s="4297"/>
      <c r="I4106" s="669"/>
      <c r="J4106" s="1373"/>
      <c r="K4106" s="2356"/>
      <c r="L4106" s="2547"/>
      <c r="M4106" s="2356"/>
      <c r="N4106" s="4293"/>
      <c r="P4106" s="4592"/>
    </row>
    <row r="4107" spans="1:16" s="3598" customFormat="1" ht="16.5" customHeight="1" x14ac:dyDescent="0.25">
      <c r="A4107" s="3588"/>
      <c r="B4107" s="4119"/>
      <c r="C4107" s="4063" t="s">
        <v>5185</v>
      </c>
      <c r="D4107" s="4171">
        <f>D4108</f>
        <v>335000000</v>
      </c>
      <c r="E4107" s="1469">
        <f>D4107/D3944*100</f>
        <v>0.26219029925320686</v>
      </c>
      <c r="F4107" s="4291"/>
      <c r="G4107" s="4296"/>
      <c r="H4107" s="4296"/>
      <c r="I4107" s="889"/>
      <c r="J4107" s="4291"/>
      <c r="K4107" s="2562"/>
      <c r="L4107" s="4162"/>
      <c r="M4107" s="2562"/>
      <c r="N4107" s="4292"/>
      <c r="P4107" s="4592"/>
    </row>
    <row r="4108" spans="1:16" s="3387" customFormat="1" ht="18.75" customHeight="1" x14ac:dyDescent="0.25">
      <c r="A4108" s="3587"/>
      <c r="B4108" s="2910"/>
      <c r="C4108" s="3856" t="s">
        <v>5560</v>
      </c>
      <c r="D4108" s="1846">
        <v>335000000</v>
      </c>
      <c r="E4108" s="1470">
        <f>D4108/D3944*100</f>
        <v>0.26219029925320686</v>
      </c>
      <c r="F4108" s="3681"/>
      <c r="G4108" s="1126"/>
      <c r="H4108" s="1126"/>
      <c r="I4108" s="666"/>
      <c r="J4108" s="3681"/>
      <c r="K4108" s="1717"/>
      <c r="L4108" s="1717"/>
      <c r="M4108" s="1717"/>
      <c r="N4108" s="4298"/>
      <c r="P4108" s="612"/>
    </row>
    <row r="4109" spans="1:16" s="4099" customFormat="1" ht="10.5" customHeight="1" x14ac:dyDescent="0.25">
      <c r="A4109" s="4101"/>
      <c r="B4109" s="4119"/>
      <c r="C4109" s="4172"/>
      <c r="D4109" s="4084"/>
      <c r="E4109" s="1450"/>
      <c r="F4109" s="4108"/>
      <c r="G4109" s="1450"/>
      <c r="H4109" s="2284"/>
      <c r="I4109" s="969"/>
      <c r="J4109" s="4108"/>
      <c r="K4109" s="2279"/>
      <c r="L4109" s="2265"/>
      <c r="M4109" s="2182"/>
      <c r="N4109" s="577"/>
      <c r="P4109" s="500"/>
    </row>
    <row r="4110" spans="1:16" s="3598" customFormat="1" ht="15.75" customHeight="1" x14ac:dyDescent="0.25">
      <c r="A4110" s="3588"/>
      <c r="B4110" s="4050"/>
      <c r="C4110" s="3994" t="s">
        <v>5573</v>
      </c>
      <c r="D4110" s="1853">
        <f>D4111</f>
        <v>335000000</v>
      </c>
      <c r="E4110" s="1445">
        <f>D4110/D3944*100</f>
        <v>0.26219029925320686</v>
      </c>
      <c r="F4110" s="1373"/>
      <c r="G4110" s="4297"/>
      <c r="H4110" s="4297"/>
      <c r="I4110" s="669"/>
      <c r="J4110" s="1373"/>
      <c r="K4110" s="2356"/>
      <c r="L4110" s="2547"/>
      <c r="M4110" s="2356"/>
      <c r="N4110" s="4293"/>
      <c r="P4110" s="4592"/>
    </row>
    <row r="4111" spans="1:16" s="3598" customFormat="1" ht="19.5" customHeight="1" x14ac:dyDescent="0.25">
      <c r="A4111" s="3588"/>
      <c r="B4111" s="4119"/>
      <c r="C4111" s="4299" t="s">
        <v>5561</v>
      </c>
      <c r="D4111" s="1847">
        <f>D4112</f>
        <v>335000000</v>
      </c>
      <c r="E4111" s="1469">
        <f>D4111/D3944*100</f>
        <v>0.26219029925320686</v>
      </c>
      <c r="F4111" s="1361"/>
      <c r="G4111" s="4168"/>
      <c r="H4111" s="4169"/>
      <c r="I4111" s="667"/>
      <c r="J4111" s="1361"/>
      <c r="K4111" s="3691"/>
      <c r="L4111" s="2461"/>
      <c r="M4111" s="1671"/>
      <c r="N4111" s="551"/>
      <c r="P4111" s="4592"/>
    </row>
    <row r="4112" spans="1:16" s="3387" customFormat="1" ht="19.5" customHeight="1" x14ac:dyDescent="0.25">
      <c r="A4112" s="3587"/>
      <c r="B4112" s="2910"/>
      <c r="C4112" s="3856" t="s">
        <v>5562</v>
      </c>
      <c r="D4112" s="1846">
        <v>335000000</v>
      </c>
      <c r="E4112" s="1470">
        <f>D4112/D3944*100</f>
        <v>0.26219029925320686</v>
      </c>
      <c r="F4112" s="3681"/>
      <c r="G4112" s="1126"/>
      <c r="H4112" s="1126"/>
      <c r="I4112" s="666"/>
      <c r="J4112" s="3681"/>
      <c r="K4112" s="1717"/>
      <c r="L4112" s="1717"/>
      <c r="M4112" s="1717"/>
      <c r="N4112" s="4298"/>
      <c r="P4112" s="612"/>
    </row>
    <row r="4113" spans="1:17" s="4099" customFormat="1" ht="12" customHeight="1" x14ac:dyDescent="0.25">
      <c r="A4113" s="4101"/>
      <c r="B4113" s="4119"/>
      <c r="C4113" s="4172"/>
      <c r="D4113" s="4084"/>
      <c r="E4113" s="1450"/>
      <c r="F4113" s="4108"/>
      <c r="G4113" s="1450"/>
      <c r="H4113" s="2284"/>
      <c r="I4113" s="969"/>
      <c r="J4113" s="4108"/>
      <c r="K4113" s="2279"/>
      <c r="L4113" s="2265"/>
      <c r="M4113" s="2182"/>
      <c r="N4113" s="577"/>
      <c r="P4113" s="500"/>
    </row>
    <row r="4114" spans="1:17" s="3598" customFormat="1" ht="15" customHeight="1" x14ac:dyDescent="0.25">
      <c r="A4114" s="3588"/>
      <c r="B4114" s="4050"/>
      <c r="C4114" s="3994" t="s">
        <v>5896</v>
      </c>
      <c r="D4114" s="1853">
        <f>D4115</f>
        <v>300000000</v>
      </c>
      <c r="E4114" s="1445">
        <f>D4114/D3944*100</f>
        <v>0.23479728291331958</v>
      </c>
      <c r="F4114" s="1373"/>
      <c r="G4114" s="4297"/>
      <c r="H4114" s="4297"/>
      <c r="I4114" s="669"/>
      <c r="J4114" s="1373"/>
      <c r="K4114" s="2356"/>
      <c r="L4114" s="2547"/>
      <c r="M4114" s="2356"/>
      <c r="N4114" s="4293"/>
      <c r="P4114" s="4592"/>
    </row>
    <row r="4115" spans="1:17" s="3598" customFormat="1" ht="19.5" customHeight="1" x14ac:dyDescent="0.25">
      <c r="A4115" s="3588"/>
      <c r="B4115" s="4119"/>
      <c r="C4115" s="4299" t="s">
        <v>5563</v>
      </c>
      <c r="D4115" s="1847">
        <f>D4116</f>
        <v>300000000</v>
      </c>
      <c r="E4115" s="1469">
        <f>D4115/D3944*100</f>
        <v>0.23479728291331958</v>
      </c>
      <c r="F4115" s="1361"/>
      <c r="G4115" s="4168"/>
      <c r="H4115" s="4169"/>
      <c r="I4115" s="667"/>
      <c r="J4115" s="1361"/>
      <c r="K4115" s="3691"/>
      <c r="L4115" s="2461"/>
      <c r="M4115" s="1671"/>
      <c r="N4115" s="551"/>
      <c r="P4115" s="4592"/>
    </row>
    <row r="4116" spans="1:17" s="4099" customFormat="1" ht="16.5" customHeight="1" x14ac:dyDescent="0.25">
      <c r="A4116" s="4101"/>
      <c r="B4116" s="4119"/>
      <c r="C4116" s="3856" t="s">
        <v>5564</v>
      </c>
      <c r="D4116" s="1846">
        <v>300000000</v>
      </c>
      <c r="E4116" s="1470">
        <f>D4116/D3944*100</f>
        <v>0.23479728291331958</v>
      </c>
      <c r="F4116" s="4107"/>
      <c r="G4116" s="1126"/>
      <c r="H4116" s="1126"/>
      <c r="I4116" s="894"/>
      <c r="J4116" s="4107"/>
      <c r="K4116" s="1315"/>
      <c r="L4116" s="1717"/>
      <c r="M4116" s="1315"/>
      <c r="N4116" s="4110"/>
      <c r="P4116" s="500"/>
    </row>
    <row r="4117" spans="1:17" s="4099" customFormat="1" ht="13.5" customHeight="1" x14ac:dyDescent="0.25">
      <c r="A4117" s="4101"/>
      <c r="B4117" s="4119"/>
      <c r="C4117" s="4172"/>
      <c r="D4117" s="4084"/>
      <c r="E4117" s="1450"/>
      <c r="F4117" s="4108"/>
      <c r="G4117" s="1450"/>
      <c r="H4117" s="2284"/>
      <c r="I4117" s="969"/>
      <c r="J4117" s="4108"/>
      <c r="K4117" s="2279"/>
      <c r="L4117" s="2265"/>
      <c r="M4117" s="2182"/>
      <c r="N4117" s="577"/>
      <c r="P4117" s="500"/>
    </row>
    <row r="4118" spans="1:17" ht="15.75" customHeight="1" x14ac:dyDescent="0.25">
      <c r="B4118" s="1305"/>
      <c r="C4118" s="3913" t="s">
        <v>5574</v>
      </c>
      <c r="D4118" s="2659">
        <f>SUM(D4119+D4122)</f>
        <v>8044000000</v>
      </c>
      <c r="E4118" s="1445">
        <f>D4118/D3944*100</f>
        <v>6.2956978125158098</v>
      </c>
      <c r="F4118" s="3631"/>
      <c r="G4118" s="614"/>
      <c r="H4118" s="1445"/>
      <c r="I4118" s="669"/>
      <c r="J4118" s="3631"/>
      <c r="K4118" s="3631"/>
      <c r="L4118" s="2547"/>
      <c r="M4118" s="2356"/>
      <c r="N4118" s="584"/>
    </row>
    <row r="4119" spans="1:17" ht="20.25" customHeight="1" x14ac:dyDescent="0.25">
      <c r="B4119" s="2917"/>
      <c r="C4119" s="3968" t="s">
        <v>5575</v>
      </c>
      <c r="D4119" s="2260">
        <f>SUM(D4120)</f>
        <v>4776000000</v>
      </c>
      <c r="E4119" s="1469">
        <f>D4119/D3944*100</f>
        <v>3.7379727439800483</v>
      </c>
      <c r="F4119" s="793"/>
      <c r="G4119" s="609"/>
      <c r="H4119" s="2541"/>
      <c r="I4119" s="2409"/>
      <c r="J4119" s="793"/>
      <c r="K4119" s="793"/>
      <c r="L4119" s="2470"/>
      <c r="M4119" s="1671"/>
      <c r="N4119" s="4110"/>
    </row>
    <row r="4120" spans="1:17" ht="15" customHeight="1" x14ac:dyDescent="0.25">
      <c r="B4120" s="1242"/>
      <c r="C4120" s="3917" t="s">
        <v>5576</v>
      </c>
      <c r="D4120" s="780">
        <v>4776000000</v>
      </c>
      <c r="E4120" s="1126">
        <f>D4120/D3944*100</f>
        <v>3.7379727439800483</v>
      </c>
      <c r="F4120" s="1005"/>
      <c r="G4120" s="608"/>
      <c r="H4120" s="2539"/>
      <c r="I4120" s="1314"/>
      <c r="J4120" s="1005"/>
      <c r="K4120" s="1314"/>
      <c r="L4120" s="1312"/>
      <c r="M4120" s="1312"/>
      <c r="N4120" s="535"/>
    </row>
    <row r="4121" spans="1:17" ht="8.25" customHeight="1" x14ac:dyDescent="0.25">
      <c r="B4121" s="1242"/>
      <c r="C4121" s="3917"/>
      <c r="D4121" s="780"/>
      <c r="E4121" s="1126"/>
      <c r="F4121" s="1005"/>
      <c r="G4121" s="613"/>
      <c r="H4121" s="1474"/>
      <c r="I4121" s="1314"/>
      <c r="J4121" s="1005"/>
      <c r="K4121" s="1311"/>
      <c r="L4121" s="1312"/>
      <c r="M4121" s="1311"/>
      <c r="N4121" s="535"/>
    </row>
    <row r="4122" spans="1:17" ht="27" customHeight="1" x14ac:dyDescent="0.25">
      <c r="B4122" s="1242"/>
      <c r="C4122" s="3938" t="s">
        <v>7108</v>
      </c>
      <c r="D4122" s="768">
        <f>SUM(D4123)</f>
        <v>3268000000</v>
      </c>
      <c r="E4122" s="1447">
        <f>D4122/D3944*100</f>
        <v>2.5577250685357615</v>
      </c>
      <c r="F4122" s="1006"/>
      <c r="G4122" s="1006"/>
      <c r="H4122" s="1006"/>
      <c r="I4122" s="1006"/>
      <c r="J4122" s="1006"/>
      <c r="K4122" s="1006"/>
      <c r="L4122" s="2467"/>
      <c r="M4122" s="2467"/>
      <c r="N4122" s="535"/>
    </row>
    <row r="4123" spans="1:17" ht="15.75" customHeight="1" x14ac:dyDescent="0.25">
      <c r="B4123" s="1242"/>
      <c r="C4123" s="3917" t="s">
        <v>5578</v>
      </c>
      <c r="D4123" s="780">
        <v>3268000000</v>
      </c>
      <c r="E4123" s="1126">
        <f>D4123/D3944*100</f>
        <v>2.5577250685357615</v>
      </c>
      <c r="F4123" s="1005"/>
      <c r="G4123" s="1005"/>
      <c r="H4123" s="1005"/>
      <c r="I4123" s="1005"/>
      <c r="J4123" s="2000"/>
      <c r="K4123" s="2001"/>
      <c r="L4123" s="1312"/>
      <c r="M4123" s="1312"/>
      <c r="N4123" s="535"/>
    </row>
    <row r="4124" spans="1:17" ht="8.25" customHeight="1" x14ac:dyDescent="0.25">
      <c r="B4124" s="2915"/>
      <c r="C4124" s="3896"/>
      <c r="D4124" s="2256"/>
      <c r="E4124" s="1450"/>
      <c r="F4124" s="1008"/>
      <c r="G4124" s="533"/>
      <c r="H4124" s="2284"/>
      <c r="I4124" s="791"/>
      <c r="J4124" s="1008"/>
      <c r="K4124" s="2282"/>
      <c r="L4124" s="1703"/>
      <c r="M4124" s="2182"/>
      <c r="N4124" s="535"/>
    </row>
    <row r="4125" spans="1:17" ht="28.5" customHeight="1" x14ac:dyDescent="0.25">
      <c r="B4125" s="1242"/>
      <c r="C4125" s="3913" t="s">
        <v>5579</v>
      </c>
      <c r="D4125" s="2239">
        <f>SUM(D4126+D4134+D4139)</f>
        <v>29270000000</v>
      </c>
      <c r="E4125" s="1445">
        <f>D4125/D3944*100</f>
        <v>22.908388236242882</v>
      </c>
      <c r="F4125" s="807"/>
      <c r="G4125" s="807"/>
      <c r="H4125" s="2064"/>
      <c r="I4125" s="807"/>
      <c r="J4125" s="807"/>
      <c r="K4125" s="807"/>
      <c r="L4125" s="2548"/>
      <c r="M4125" s="2548"/>
      <c r="N4125" s="535"/>
      <c r="Q4125" s="522"/>
    </row>
    <row r="4126" spans="1:17" ht="18.75" customHeight="1" x14ac:dyDescent="0.25">
      <c r="B4126" s="2917"/>
      <c r="C4126" s="3968" t="s">
        <v>5580</v>
      </c>
      <c r="D4126" s="2260">
        <f>SUM(D4127:D4132)</f>
        <v>800000000</v>
      </c>
      <c r="E4126" s="1446">
        <f>D4126/D3944*100</f>
        <v>0.62612608776885226</v>
      </c>
      <c r="F4126" s="793"/>
      <c r="G4126" s="613"/>
      <c r="H4126" s="2541"/>
      <c r="I4126" s="793"/>
      <c r="J4126" s="793"/>
      <c r="K4126" s="793"/>
      <c r="L4126" s="2549"/>
      <c r="M4126" s="2549"/>
      <c r="N4126" s="535"/>
      <c r="Q4126" s="522"/>
    </row>
    <row r="4127" spans="1:17" ht="14.25" customHeight="1" x14ac:dyDescent="0.25">
      <c r="B4127" s="1242"/>
      <c r="C4127" s="3917" t="s">
        <v>5581</v>
      </c>
      <c r="D4127" s="780">
        <v>344000000</v>
      </c>
      <c r="E4127" s="1126">
        <f>D4127/D3944*100</f>
        <v>0.26923421774060652</v>
      </c>
      <c r="F4127" s="1005"/>
      <c r="G4127" s="608"/>
      <c r="H4127" s="2539"/>
      <c r="I4127" s="2550"/>
      <c r="J4127" s="1005"/>
      <c r="K4127" s="2001"/>
      <c r="L4127" s="1648"/>
      <c r="M4127" s="1648"/>
      <c r="N4127" s="535"/>
    </row>
    <row r="4128" spans="1:17" s="4099" customFormat="1" ht="14.25" customHeight="1" x14ac:dyDescent="0.25">
      <c r="A4128" s="4101"/>
      <c r="B4128" s="4119"/>
      <c r="C4128" s="4118" t="s">
        <v>5582</v>
      </c>
      <c r="D4128" s="780">
        <v>344000000</v>
      </c>
      <c r="E4128" s="1126">
        <f>D4128/D3944*100</f>
        <v>0.26923421774060652</v>
      </c>
      <c r="F4128" s="3638"/>
      <c r="G4128" s="608"/>
      <c r="H4128" s="2539"/>
      <c r="I4128" s="3638"/>
      <c r="J4128" s="1998"/>
      <c r="K4128" s="4300"/>
      <c r="L4128" s="1648"/>
      <c r="M4128" s="1648"/>
      <c r="N4128" s="4109"/>
      <c r="P4128" s="500"/>
    </row>
    <row r="4129" spans="1:17" s="4099" customFormat="1" ht="14.25" customHeight="1" x14ac:dyDescent="0.25">
      <c r="A4129" s="4101"/>
      <c r="B4129" s="4119"/>
      <c r="C4129" s="4118" t="s">
        <v>5583</v>
      </c>
      <c r="D4129" s="780">
        <v>31500000</v>
      </c>
      <c r="E4129" s="1126">
        <f>D4129/D3944*100</f>
        <v>2.4653714705898562E-2</v>
      </c>
      <c r="F4129" s="3638"/>
      <c r="G4129" s="608"/>
      <c r="H4129" s="2539"/>
      <c r="I4129" s="3638"/>
      <c r="J4129" s="1998"/>
      <c r="K4129" s="4300"/>
      <c r="L4129" s="1648"/>
      <c r="M4129" s="1648"/>
      <c r="N4129" s="4109"/>
      <c r="P4129" s="500"/>
    </row>
    <row r="4130" spans="1:17" s="4099" customFormat="1" ht="13.5" customHeight="1" x14ac:dyDescent="0.25">
      <c r="A4130" s="4101"/>
      <c r="B4130" s="4119"/>
      <c r="C4130" s="4118" t="s">
        <v>5584</v>
      </c>
      <c r="D4130" s="780">
        <v>24500000</v>
      </c>
      <c r="E4130" s="1126">
        <f>D4130/D3944*100</f>
        <v>1.91751114379211E-2</v>
      </c>
      <c r="F4130" s="3638"/>
      <c r="G4130" s="608"/>
      <c r="H4130" s="2539"/>
      <c r="I4130" s="3638"/>
      <c r="J4130" s="1998"/>
      <c r="K4130" s="4300"/>
      <c r="L4130" s="1648"/>
      <c r="M4130" s="1648"/>
      <c r="N4130" s="4109"/>
      <c r="P4130" s="500"/>
    </row>
    <row r="4131" spans="1:17" s="4099" customFormat="1" ht="14.25" customHeight="1" x14ac:dyDescent="0.25">
      <c r="A4131" s="4101"/>
      <c r="B4131" s="4119"/>
      <c r="C4131" s="4118" t="s">
        <v>5585</v>
      </c>
      <c r="D4131" s="780">
        <v>31500000</v>
      </c>
      <c r="E4131" s="1126">
        <f>D4131/D3944*100</f>
        <v>2.4653714705898562E-2</v>
      </c>
      <c r="F4131" s="3638"/>
      <c r="G4131" s="608"/>
      <c r="H4131" s="2539"/>
      <c r="I4131" s="3638"/>
      <c r="J4131" s="1998"/>
      <c r="K4131" s="4300"/>
      <c r="L4131" s="1648"/>
      <c r="M4131" s="1648"/>
      <c r="N4131" s="4109"/>
      <c r="P4131" s="500"/>
    </row>
    <row r="4132" spans="1:17" s="4099" customFormat="1" ht="18" customHeight="1" x14ac:dyDescent="0.25">
      <c r="A4132" s="4101"/>
      <c r="B4132" s="4119"/>
      <c r="C4132" s="4118" t="s">
        <v>5586</v>
      </c>
      <c r="D4132" s="780">
        <v>24500000</v>
      </c>
      <c r="E4132" s="1126">
        <f>D4132/D3944*100</f>
        <v>1.91751114379211E-2</v>
      </c>
      <c r="F4132" s="3638"/>
      <c r="G4132" s="608"/>
      <c r="H4132" s="2539"/>
      <c r="I4132" s="3638"/>
      <c r="J4132" s="1998"/>
      <c r="K4132" s="4300"/>
      <c r="L4132" s="1648"/>
      <c r="M4132" s="1648"/>
      <c r="N4132" s="4109"/>
      <c r="P4132" s="500"/>
    </row>
    <row r="4133" spans="1:17" s="4099" customFormat="1" ht="9" customHeight="1" x14ac:dyDescent="0.25">
      <c r="A4133" s="4101"/>
      <c r="B4133" s="4119"/>
      <c r="C4133" s="4118"/>
      <c r="D4133" s="780"/>
      <c r="E4133" s="1126"/>
      <c r="F4133" s="3638"/>
      <c r="G4133" s="608"/>
      <c r="H4133" s="2539"/>
      <c r="I4133" s="3638"/>
      <c r="J4133" s="1998"/>
      <c r="K4133" s="4300"/>
      <c r="L4133" s="1648"/>
      <c r="M4133" s="1648"/>
      <c r="N4133" s="4109"/>
      <c r="P4133" s="500"/>
    </row>
    <row r="4134" spans="1:17" ht="17.25" customHeight="1" x14ac:dyDescent="0.25">
      <c r="B4134" s="1242"/>
      <c r="C4134" s="3938" t="s">
        <v>5587</v>
      </c>
      <c r="D4134" s="768">
        <f>SUM(D4135:D4137)</f>
        <v>470000000</v>
      </c>
      <c r="E4134" s="1447">
        <f>D4134/D3944*100</f>
        <v>0.36784907656420074</v>
      </c>
      <c r="F4134" s="3629"/>
      <c r="G4134" s="3639"/>
      <c r="H4134" s="3639"/>
      <c r="I4134" s="3639"/>
      <c r="J4134" s="793"/>
      <c r="K4134" s="793"/>
      <c r="L4134" s="1650"/>
      <c r="M4134" s="1650"/>
      <c r="N4134" s="535"/>
      <c r="Q4134" s="522"/>
    </row>
    <row r="4135" spans="1:17" ht="15.75" customHeight="1" x14ac:dyDescent="0.25">
      <c r="B4135" s="1242"/>
      <c r="C4135" s="4118" t="s">
        <v>5588</v>
      </c>
      <c r="D4135" s="780">
        <v>406000000</v>
      </c>
      <c r="E4135" s="1126">
        <f>D4135/D3944*100</f>
        <v>0.31775898954269255</v>
      </c>
      <c r="F4135" s="3638"/>
      <c r="G4135" s="3638"/>
      <c r="H4135" s="3638"/>
      <c r="I4135" s="3638"/>
      <c r="J4135" s="1005"/>
      <c r="K4135" s="1005"/>
      <c r="L4135" s="1311"/>
      <c r="M4135" s="1311"/>
      <c r="N4135" s="535"/>
    </row>
    <row r="4136" spans="1:17" ht="16.5" customHeight="1" x14ac:dyDescent="0.25">
      <c r="B4136" s="1242"/>
      <c r="C4136" s="4118" t="s">
        <v>5589</v>
      </c>
      <c r="D4136" s="780">
        <v>36000000</v>
      </c>
      <c r="E4136" s="1126">
        <f>D4136/D3944*100</f>
        <v>2.8175673949598353E-2</v>
      </c>
      <c r="F4136" s="3638"/>
      <c r="G4136" s="3638"/>
      <c r="H4136" s="3638"/>
      <c r="I4136" s="3638"/>
      <c r="J4136" s="1005"/>
      <c r="K4136" s="2001"/>
      <c r="L4136" s="1311"/>
      <c r="M4136" s="1311"/>
      <c r="N4136" s="535"/>
    </row>
    <row r="4137" spans="1:17" s="1736" customFormat="1" ht="16.5" customHeight="1" x14ac:dyDescent="0.25">
      <c r="A4137" s="352"/>
      <c r="B4137" s="1242"/>
      <c r="C4137" s="4104" t="s">
        <v>5590</v>
      </c>
      <c r="D4137" s="780">
        <v>28000000</v>
      </c>
      <c r="E4137" s="1126">
        <f>D4137/D3944*100</f>
        <v>2.1914413071909829E-2</v>
      </c>
      <c r="F4137" s="3638"/>
      <c r="G4137" s="3638"/>
      <c r="H4137" s="3638"/>
      <c r="I4137" s="3638"/>
      <c r="J4137" s="2000"/>
      <c r="K4137" s="2000"/>
      <c r="L4137" s="1311"/>
      <c r="M4137" s="1311"/>
      <c r="N4137" s="535"/>
      <c r="P4137" s="500"/>
    </row>
    <row r="4138" spans="1:17" ht="11.25" customHeight="1" x14ac:dyDescent="0.25">
      <c r="B4138" s="1242"/>
      <c r="C4138" s="4118"/>
      <c r="D4138" s="780"/>
      <c r="E4138" s="1126"/>
      <c r="F4138" s="3630"/>
      <c r="G4138" s="3630"/>
      <c r="H4138" s="1126"/>
      <c r="I4138" s="894"/>
      <c r="J4138" s="804"/>
      <c r="K4138" s="1311"/>
      <c r="L4138" s="1311"/>
      <c r="M4138" s="1311"/>
      <c r="N4138" s="535"/>
    </row>
    <row r="4139" spans="1:17" ht="16.5" customHeight="1" x14ac:dyDescent="0.25">
      <c r="B4139" s="1242"/>
      <c r="C4139" s="3938" t="s">
        <v>5591</v>
      </c>
      <c r="D4139" s="768">
        <f>SUM(D4140)</f>
        <v>28000000000</v>
      </c>
      <c r="E4139" s="1447">
        <f>D4139/D3944*100</f>
        <v>21.914413071909831</v>
      </c>
      <c r="F4139" s="3629"/>
      <c r="G4139" s="3639"/>
      <c r="H4139" s="3639"/>
      <c r="I4139" s="3639"/>
      <c r="J4139" s="793"/>
      <c r="K4139" s="793"/>
      <c r="L4139" s="1650"/>
      <c r="M4139" s="1650"/>
      <c r="N4139" s="535"/>
      <c r="Q4139" s="522"/>
    </row>
    <row r="4140" spans="1:17" ht="17.25" customHeight="1" x14ac:dyDescent="0.25">
      <c r="B4140" s="1242"/>
      <c r="C4140" s="4118" t="s">
        <v>5592</v>
      </c>
      <c r="D4140" s="780">
        <v>28000000000</v>
      </c>
      <c r="E4140" s="1126">
        <f>D4140/D3944*100</f>
        <v>21.914413071909831</v>
      </c>
      <c r="F4140" s="3638"/>
      <c r="G4140" s="3638"/>
      <c r="H4140" s="3638"/>
      <c r="I4140" s="3638"/>
      <c r="J4140" s="1005"/>
      <c r="K4140" s="2001"/>
      <c r="L4140" s="1311"/>
      <c r="M4140" s="1311"/>
      <c r="N4140" s="535"/>
    </row>
    <row r="4141" spans="1:17" s="1736" customFormat="1" ht="15.75" customHeight="1" x14ac:dyDescent="0.25">
      <c r="A4141" s="352"/>
      <c r="B4141" s="1242"/>
      <c r="C4141" s="3896"/>
      <c r="D4141" s="2256"/>
      <c r="E4141" s="1450"/>
      <c r="F4141" s="804"/>
      <c r="G4141" s="804"/>
      <c r="H4141" s="2284"/>
      <c r="I4141" s="791"/>
      <c r="J4141" s="804"/>
      <c r="K4141" s="2182"/>
      <c r="L4141" s="2182"/>
      <c r="M4141" s="2182"/>
      <c r="N4141" s="535"/>
      <c r="P4141" s="500"/>
    </row>
    <row r="4142" spans="1:17" ht="16.5" customHeight="1" x14ac:dyDescent="0.25">
      <c r="B4142" s="1305"/>
      <c r="C4142" s="3913" t="s">
        <v>5593</v>
      </c>
      <c r="D4142" s="2659">
        <f>D4143</f>
        <v>500000000</v>
      </c>
      <c r="E4142" s="1445">
        <f>D4142/D3944*100</f>
        <v>0.39132880485553262</v>
      </c>
      <c r="F4142" s="765"/>
      <c r="G4142" s="765"/>
      <c r="H4142" s="1445"/>
      <c r="I4142" s="1645"/>
      <c r="J4142" s="765"/>
      <c r="K4142" s="765"/>
      <c r="L4142" s="2356"/>
      <c r="M4142" s="1307"/>
      <c r="N4142" s="535"/>
      <c r="Q4142" s="522">
        <v>3550281000</v>
      </c>
    </row>
    <row r="4143" spans="1:17" ht="18" customHeight="1" x14ac:dyDescent="0.25">
      <c r="B4143" s="1242"/>
      <c r="C4143" s="4061" t="s">
        <v>5594</v>
      </c>
      <c r="D4143" s="2280">
        <f>D4144</f>
        <v>500000000</v>
      </c>
      <c r="E4143" s="1447">
        <f>D4143/D3944*100</f>
        <v>0.39132880485553262</v>
      </c>
      <c r="F4143" s="753"/>
      <c r="G4143" s="1006"/>
      <c r="H4143" s="1006"/>
      <c r="I4143" s="1006"/>
      <c r="J4143" s="753"/>
      <c r="K4143" s="753"/>
      <c r="L4143" s="1650"/>
      <c r="M4143" s="1650"/>
      <c r="N4143" s="535"/>
      <c r="Q4143" s="522">
        <v>9430000</v>
      </c>
    </row>
    <row r="4144" spans="1:17" ht="15.75" customHeight="1" x14ac:dyDescent="0.25">
      <c r="B4144" s="1242"/>
      <c r="C4144" s="3856" t="s">
        <v>5595</v>
      </c>
      <c r="D4144" s="666">
        <v>500000000</v>
      </c>
      <c r="E4144" s="1470">
        <f>D4144/D3944*100</f>
        <v>0.39132880485553262</v>
      </c>
      <c r="F4144" s="666"/>
      <c r="G4144" s="1005"/>
      <c r="H4144" s="1005"/>
      <c r="I4144" s="1005"/>
      <c r="J4144" s="1005"/>
      <c r="K4144" s="1005"/>
      <c r="L4144" s="1312"/>
      <c r="M4144" s="1005"/>
      <c r="N4144" s="535"/>
    </row>
    <row r="4145" spans="1:16" ht="12" customHeight="1" x14ac:dyDescent="0.25">
      <c r="B4145" s="1242"/>
      <c r="C4145" s="3892"/>
      <c r="D4145" s="4252"/>
      <c r="E4145" s="886"/>
      <c r="F4145" s="990"/>
      <c r="G4145" s="651"/>
      <c r="H4145" s="2284"/>
      <c r="I4145" s="791"/>
      <c r="J4145" s="1251"/>
      <c r="K4145" s="2282"/>
      <c r="L4145" s="1703"/>
      <c r="M4145" s="2004"/>
      <c r="N4145" s="535"/>
    </row>
    <row r="4146" spans="1:16" ht="16.5" customHeight="1" x14ac:dyDescent="0.25">
      <c r="B4146" s="4050"/>
      <c r="C4146" s="4303" t="s">
        <v>5611</v>
      </c>
      <c r="D4146" s="669">
        <f>SUM(D4147+D4152+D4158+D4162)</f>
        <v>2027500000</v>
      </c>
      <c r="E4146" s="4301">
        <f>D4146/D3944*100</f>
        <v>1.5868383036891851</v>
      </c>
      <c r="F4146" s="669"/>
      <c r="G4146" s="669"/>
      <c r="H4146" s="992"/>
      <c r="I4146" s="670"/>
      <c r="J4146" s="669"/>
      <c r="K4146" s="669"/>
      <c r="L4146" s="4302"/>
      <c r="M4146" s="1432"/>
      <c r="N4146" s="535"/>
    </row>
    <row r="4147" spans="1:16" ht="27.75" customHeight="1" x14ac:dyDescent="0.25">
      <c r="B4147" s="1242"/>
      <c r="C4147" s="3854" t="s">
        <v>5596</v>
      </c>
      <c r="D4147" s="2026">
        <f>SUM(D4148:D4150)</f>
        <v>482500000</v>
      </c>
      <c r="E4147" s="1469">
        <f>D4147/D3944*100</f>
        <v>0.37763229668558906</v>
      </c>
      <c r="F4147" s="766"/>
      <c r="G4147" s="609"/>
      <c r="H4147" s="2387"/>
      <c r="I4147" s="1309"/>
      <c r="J4147" s="766"/>
      <c r="K4147" s="766"/>
      <c r="L4147" s="1659"/>
      <c r="M4147" s="2308"/>
      <c r="N4147" s="535"/>
    </row>
    <row r="4148" spans="1:16" ht="17.25" customHeight="1" x14ac:dyDescent="0.25">
      <c r="B4148" s="1242"/>
      <c r="C4148" s="3917" t="s">
        <v>5597</v>
      </c>
      <c r="D4148" s="780">
        <v>191725000</v>
      </c>
      <c r="E4148" s="1126">
        <f>D4148/D3944*100</f>
        <v>0.15005503022185401</v>
      </c>
      <c r="F4148" s="1005"/>
      <c r="G4148" s="1005"/>
      <c r="H4148" s="1005"/>
      <c r="I4148" s="1005"/>
      <c r="J4148" s="2000"/>
      <c r="K4148" s="2001"/>
      <c r="L4148" s="1312"/>
      <c r="M4148" s="2003"/>
      <c r="N4148" s="535"/>
    </row>
    <row r="4149" spans="1:16" ht="15" customHeight="1" x14ac:dyDescent="0.25">
      <c r="B4149" s="1242"/>
      <c r="C4149" s="3917" t="s">
        <v>5598</v>
      </c>
      <c r="D4149" s="780">
        <v>123750000</v>
      </c>
      <c r="E4149" s="1126">
        <f>D4149/D3944*100</f>
        <v>9.6853879201744333E-2</v>
      </c>
      <c r="F4149" s="1005"/>
      <c r="G4149" s="608"/>
      <c r="H4149" s="2539"/>
      <c r="I4149" s="2370"/>
      <c r="J4149" s="2000"/>
      <c r="K4149" s="2001"/>
      <c r="L4149" s="1312"/>
      <c r="M4149" s="2003"/>
      <c r="N4149" s="535"/>
    </row>
    <row r="4150" spans="1:16" ht="16.5" customHeight="1" x14ac:dyDescent="0.25">
      <c r="B4150" s="1242"/>
      <c r="C4150" s="3917" t="s">
        <v>5599</v>
      </c>
      <c r="D4150" s="780">
        <v>167025000</v>
      </c>
      <c r="E4150" s="1126">
        <f>D4150/D3944*100</f>
        <v>0.1307233872619907</v>
      </c>
      <c r="F4150" s="1005"/>
      <c r="G4150" s="803"/>
      <c r="H4150" s="2387"/>
      <c r="I4150" s="1309"/>
      <c r="J4150" s="1005"/>
      <c r="K4150" s="2522"/>
      <c r="L4150" s="1650"/>
      <c r="M4150" s="2006"/>
      <c r="N4150" s="535"/>
    </row>
    <row r="4151" spans="1:16" s="4099" customFormat="1" ht="9.75" customHeight="1" x14ac:dyDescent="0.25">
      <c r="A4151" s="4101"/>
      <c r="B4151" s="4119"/>
      <c r="C4151" s="4118"/>
      <c r="D4151" s="780"/>
      <c r="E4151" s="1126"/>
      <c r="F4151" s="3638"/>
      <c r="G4151" s="3621"/>
      <c r="H4151" s="2387"/>
      <c r="I4151" s="2409"/>
      <c r="J4151" s="3638"/>
      <c r="K4151" s="2522"/>
      <c r="L4151" s="1650"/>
      <c r="M4151" s="2006"/>
      <c r="N4151" s="4109"/>
      <c r="P4151" s="500"/>
    </row>
    <row r="4152" spans="1:16" ht="16.5" customHeight="1" x14ac:dyDescent="0.25">
      <c r="B4152" s="1242"/>
      <c r="C4152" s="3938" t="s">
        <v>5600</v>
      </c>
      <c r="D4152" s="768">
        <f>SUM(D4153:D4156)</f>
        <v>1084200000</v>
      </c>
      <c r="E4152" s="1447">
        <f>D4152/D3944*100</f>
        <v>0.84855738044873708</v>
      </c>
      <c r="F4152" s="1006"/>
      <c r="G4152" s="613"/>
      <c r="H4152" s="2387"/>
      <c r="I4152" s="2557"/>
      <c r="J4152" s="1006"/>
      <c r="K4152" s="1006"/>
      <c r="L4152" s="2467"/>
      <c r="M4152" s="2362"/>
      <c r="N4152" s="535"/>
    </row>
    <row r="4153" spans="1:16" ht="19.5" customHeight="1" x14ac:dyDescent="0.25">
      <c r="B4153" s="1242"/>
      <c r="C4153" s="3917" t="s">
        <v>5601</v>
      </c>
      <c r="D4153" s="780">
        <v>500000000</v>
      </c>
      <c r="E4153" s="1126">
        <f>D4153/D3944*100</f>
        <v>0.39132880485553262</v>
      </c>
      <c r="F4153" s="1005"/>
      <c r="G4153" s="608"/>
      <c r="H4153" s="2539"/>
      <c r="I4153" s="1999"/>
      <c r="J4153" s="1005"/>
      <c r="K4153" s="2001"/>
      <c r="L4153" s="2551"/>
      <c r="M4153" s="2003"/>
      <c r="N4153" s="535"/>
    </row>
    <row r="4154" spans="1:16" ht="14.25" customHeight="1" x14ac:dyDescent="0.25">
      <c r="B4154" s="1242"/>
      <c r="C4154" s="3917" t="s">
        <v>5602</v>
      </c>
      <c r="D4154" s="780">
        <v>300000000</v>
      </c>
      <c r="E4154" s="1126">
        <f>D4154/D3944*100</f>
        <v>0.23479728291331958</v>
      </c>
      <c r="F4154" s="1005"/>
      <c r="G4154" s="608"/>
      <c r="H4154" s="2539"/>
      <c r="I4154" s="1472"/>
      <c r="J4154" s="1005"/>
      <c r="K4154" s="2001"/>
      <c r="L4154" s="1312"/>
      <c r="M4154" s="2003"/>
      <c r="N4154" s="535"/>
    </row>
    <row r="4155" spans="1:16" ht="14.25" customHeight="1" x14ac:dyDescent="0.25">
      <c r="B4155" s="1242"/>
      <c r="C4155" s="3917" t="s">
        <v>5603</v>
      </c>
      <c r="D4155" s="780">
        <v>125000000</v>
      </c>
      <c r="E4155" s="1126">
        <f>D4155/D3944*100</f>
        <v>9.7832201213883155E-2</v>
      </c>
      <c r="F4155" s="1005"/>
      <c r="G4155" s="608"/>
      <c r="H4155" s="2539"/>
      <c r="I4155" s="1660"/>
      <c r="J4155" s="1005"/>
      <c r="K4155" s="2001"/>
      <c r="L4155" s="1312"/>
      <c r="M4155" s="2003"/>
      <c r="N4155" s="535"/>
    </row>
    <row r="4156" spans="1:16" ht="17.25" customHeight="1" x14ac:dyDescent="0.25">
      <c r="B4156" s="1242"/>
      <c r="C4156" s="3917" t="s">
        <v>5604</v>
      </c>
      <c r="D4156" s="780">
        <v>159200000</v>
      </c>
      <c r="E4156" s="1126">
        <f>D4156/D3944*100</f>
        <v>0.12459909146600161</v>
      </c>
      <c r="F4156" s="1005"/>
      <c r="G4156" s="608"/>
      <c r="H4156" s="2539"/>
      <c r="I4156" s="1660"/>
      <c r="J4156" s="1005"/>
      <c r="K4156" s="2001"/>
      <c r="L4156" s="1311"/>
      <c r="M4156" s="2003"/>
      <c r="N4156" s="535"/>
    </row>
    <row r="4157" spans="1:16" ht="12" customHeight="1" x14ac:dyDescent="0.25">
      <c r="B4157" s="1242"/>
      <c r="C4157" s="3917"/>
      <c r="D4157" s="780"/>
      <c r="E4157" s="1126"/>
      <c r="F4157" s="1005"/>
      <c r="G4157" s="802"/>
      <c r="H4157" s="802"/>
      <c r="I4157" s="802"/>
      <c r="J4157" s="1005"/>
      <c r="K4157" s="1989"/>
      <c r="L4157" s="2551"/>
      <c r="M4157" s="1648"/>
      <c r="N4157" s="535"/>
    </row>
    <row r="4158" spans="1:16" ht="15.75" customHeight="1" x14ac:dyDescent="0.25">
      <c r="B4158" s="1242"/>
      <c r="C4158" s="3938" t="s">
        <v>5605</v>
      </c>
      <c r="D4158" s="768">
        <f>SUM(D4159:D4160)</f>
        <v>298800000</v>
      </c>
      <c r="E4158" s="1447">
        <f>D4158/D3944*100</f>
        <v>0.2338580937816663</v>
      </c>
      <c r="F4158" s="1006"/>
      <c r="G4158" s="613"/>
      <c r="H4158" s="2387"/>
      <c r="I4158" s="1309"/>
      <c r="J4158" s="1006"/>
      <c r="K4158" s="1006"/>
      <c r="L4158" s="2467"/>
      <c r="M4158" s="2362"/>
      <c r="N4158" s="535"/>
    </row>
    <row r="4159" spans="1:16" ht="18.75" customHeight="1" x14ac:dyDescent="0.25">
      <c r="B4159" s="1242"/>
      <c r="C4159" s="3917" t="s">
        <v>5606</v>
      </c>
      <c r="D4159" s="780">
        <v>88800000</v>
      </c>
      <c r="E4159" s="1126">
        <f>D4159/D3944*100</f>
        <v>6.9499995742342599E-2</v>
      </c>
      <c r="F4159" s="1005"/>
      <c r="G4159" s="608"/>
      <c r="H4159" s="2539"/>
      <c r="I4159" s="1999"/>
      <c r="J4159" s="1005"/>
      <c r="K4159" s="608"/>
      <c r="L4159" s="2539"/>
      <c r="M4159" s="1999"/>
      <c r="N4159" s="535"/>
    </row>
    <row r="4160" spans="1:16" ht="13.5" customHeight="1" x14ac:dyDescent="0.25">
      <c r="B4160" s="1242"/>
      <c r="C4160" s="3917" t="s">
        <v>5607</v>
      </c>
      <c r="D4160" s="1791">
        <v>210000000</v>
      </c>
      <c r="E4160" s="1126">
        <f>D4160/D3944*100</f>
        <v>0.16435809803932372</v>
      </c>
      <c r="G4160" s="1005"/>
      <c r="H4160" s="1005"/>
      <c r="I4160" s="1005"/>
      <c r="J4160" s="2000"/>
      <c r="K4160" s="2558"/>
      <c r="L4160" s="1312"/>
      <c r="M4160" s="2003"/>
      <c r="N4160" s="535"/>
    </row>
    <row r="4161" spans="1:17" ht="12" customHeight="1" x14ac:dyDescent="0.25">
      <c r="B4161" s="1242"/>
      <c r="C4161" s="3917"/>
      <c r="D4161" s="780"/>
      <c r="E4161" s="1126"/>
      <c r="F4161" s="1005"/>
      <c r="G4161" s="805"/>
      <c r="H4161" s="1472"/>
      <c r="I4161" s="1660"/>
      <c r="J4161" s="1005"/>
      <c r="K4161" s="2270"/>
      <c r="L4161" s="1312"/>
      <c r="M4161" s="2230"/>
      <c r="N4161" s="535"/>
    </row>
    <row r="4162" spans="1:17" ht="15.75" customHeight="1" x14ac:dyDescent="0.25">
      <c r="B4162" s="1242"/>
      <c r="C4162" s="3938" t="s">
        <v>5608</v>
      </c>
      <c r="D4162" s="768">
        <f>SUM(D4163)</f>
        <v>162000000</v>
      </c>
      <c r="E4162" s="1447">
        <f>D4162/D3944*100</f>
        <v>0.1267905327731926</v>
      </c>
      <c r="F4162" s="1006"/>
      <c r="G4162" s="613"/>
      <c r="H4162" s="2387"/>
      <c r="I4162" s="2409"/>
      <c r="J4162" s="1006"/>
      <c r="K4162" s="1006"/>
      <c r="L4162" s="2479"/>
      <c r="M4162" s="2348"/>
      <c r="N4162" s="535"/>
    </row>
    <row r="4163" spans="1:17" ht="14.25" customHeight="1" x14ac:dyDescent="0.25">
      <c r="B4163" s="1242"/>
      <c r="C4163" s="3917" t="s">
        <v>5609</v>
      </c>
      <c r="D4163" s="780">
        <v>162000000</v>
      </c>
      <c r="E4163" s="1126">
        <f>D4163/D3944*100</f>
        <v>0.1267905327731926</v>
      </c>
      <c r="F4163" s="1005"/>
      <c r="G4163" s="608"/>
      <c r="H4163" s="2539"/>
      <c r="I4163" s="1111"/>
      <c r="J4163" s="1005"/>
      <c r="K4163" s="2001"/>
      <c r="L4163" s="1312"/>
      <c r="M4163" s="2003"/>
      <c r="N4163" s="535"/>
    </row>
    <row r="4164" spans="1:17" ht="12" customHeight="1" x14ac:dyDescent="0.25">
      <c r="B4164" s="1242"/>
      <c r="D4164" s="3102"/>
      <c r="E4164" s="1450"/>
      <c r="F4164" s="1008"/>
      <c r="G4164" s="533"/>
      <c r="H4164" s="2284"/>
      <c r="I4164" s="791"/>
      <c r="J4164" s="1008"/>
      <c r="K4164" s="2282"/>
      <c r="L4164" s="1703"/>
      <c r="M4164" s="2004"/>
      <c r="N4164" s="535"/>
    </row>
    <row r="4165" spans="1:17" s="303" customFormat="1" ht="26.25" customHeight="1" x14ac:dyDescent="0.25">
      <c r="A4165" s="2012"/>
      <c r="B4165" s="1305"/>
      <c r="C4165" s="3973" t="s">
        <v>5610</v>
      </c>
      <c r="D4165" s="2659">
        <f>SUM(D4166+D4169+D4175+D4183)</f>
        <v>1751412900</v>
      </c>
      <c r="E4165" s="1445">
        <f>D4165/D3944*100</f>
        <v>1.3707566339311252</v>
      </c>
      <c r="F4165" s="765"/>
      <c r="G4165" s="765"/>
      <c r="H4165" s="2064"/>
      <c r="I4165" s="1645"/>
      <c r="J4165" s="765"/>
      <c r="K4165" s="765"/>
      <c r="L4165" s="2065"/>
      <c r="M4165" s="2066"/>
      <c r="N4165" s="1735"/>
      <c r="P4165" s="500"/>
    </row>
    <row r="4166" spans="1:17" ht="18.75" customHeight="1" x14ac:dyDescent="0.25">
      <c r="B4166" s="1242"/>
      <c r="C4166" s="4103" t="s">
        <v>5612</v>
      </c>
      <c r="D4166" s="768">
        <f>SUM(D4167:D4167)</f>
        <v>173000000</v>
      </c>
      <c r="E4166" s="1447">
        <f>D4166/D3944*100</f>
        <v>0.13539976648001431</v>
      </c>
      <c r="F4166" s="3629"/>
      <c r="G4166" s="613"/>
      <c r="H4166" s="1447"/>
      <c r="I4166" s="673"/>
      <c r="J4166" s="3629"/>
      <c r="K4166" s="3629"/>
      <c r="L4166" s="2261"/>
      <c r="M4166" s="2484"/>
      <c r="N4166" s="535"/>
      <c r="Q4166" s="522">
        <v>167120000</v>
      </c>
    </row>
    <row r="4167" spans="1:17" ht="30.75" customHeight="1" x14ac:dyDescent="0.25">
      <c r="B4167" s="1242"/>
      <c r="C4167" s="3856" t="s">
        <v>5613</v>
      </c>
      <c r="D4167" s="780">
        <v>173000000</v>
      </c>
      <c r="E4167" s="1470">
        <f>D4167/D3944*100</f>
        <v>0.13539976648001431</v>
      </c>
      <c r="F4167" s="1005"/>
      <c r="G4167" s="608"/>
      <c r="H4167" s="2539"/>
      <c r="I4167" s="1660"/>
      <c r="J4167" s="2000"/>
      <c r="K4167" s="2001"/>
      <c r="L4167" s="1312"/>
      <c r="M4167" s="2230"/>
      <c r="N4167" s="535"/>
    </row>
    <row r="4168" spans="1:17" ht="11.25" customHeight="1" x14ac:dyDescent="0.25">
      <c r="B4168" s="1242"/>
      <c r="C4168" s="3991"/>
      <c r="D4168" s="780"/>
      <c r="E4168" s="1470"/>
      <c r="F4168" s="1005"/>
      <c r="G4168" s="1005"/>
      <c r="H4168" s="1126"/>
      <c r="I4168" s="1474"/>
      <c r="J4168" s="1005"/>
      <c r="K4168" s="1989"/>
      <c r="L4168" s="1312"/>
      <c r="M4168" s="2230"/>
      <c r="N4168" s="535"/>
    </row>
    <row r="4169" spans="1:17" ht="18" customHeight="1" x14ac:dyDescent="0.25">
      <c r="B4169" s="1242"/>
      <c r="C4169" s="3854" t="s">
        <v>5614</v>
      </c>
      <c r="D4169" s="2280">
        <f>SUM(D4170:D4173)</f>
        <v>571061500</v>
      </c>
      <c r="E4169" s="1446">
        <f>D4169/D3944*100</f>
        <v>0.44694562858801556</v>
      </c>
      <c r="F4169" s="1124"/>
      <c r="G4169" s="613"/>
      <c r="H4169" s="2387"/>
      <c r="I4169" s="1473"/>
      <c r="J4169" s="1124"/>
      <c r="K4169" s="1124"/>
      <c r="L4169" s="1311"/>
      <c r="M4169" s="2308"/>
      <c r="N4169" s="535"/>
    </row>
    <row r="4170" spans="1:17" ht="17.25" customHeight="1" x14ac:dyDescent="0.25">
      <c r="B4170" s="1242"/>
      <c r="C4170" s="3876" t="s">
        <v>5615</v>
      </c>
      <c r="D4170" s="780">
        <v>197112900</v>
      </c>
      <c r="E4170" s="1126">
        <f>D4170/D3944*100</f>
        <v>0.15427191115721625</v>
      </c>
      <c r="F4170" s="1005"/>
      <c r="G4170" s="1005"/>
      <c r="H4170" s="1005"/>
      <c r="I4170" s="1005"/>
      <c r="J4170" s="2000"/>
      <c r="K4170" s="1005"/>
      <c r="L4170" s="2554"/>
      <c r="M4170" s="2555"/>
      <c r="N4170" s="535"/>
    </row>
    <row r="4171" spans="1:17" ht="15.75" customHeight="1" x14ac:dyDescent="0.25">
      <c r="B4171" s="1242"/>
      <c r="C4171" s="3876" t="s">
        <v>5616</v>
      </c>
      <c r="D4171" s="780">
        <v>100000000</v>
      </c>
      <c r="E4171" s="1126">
        <f>D4171/D3944*100</f>
        <v>7.8265760971106532E-2</v>
      </c>
      <c r="F4171" s="1005"/>
      <c r="G4171" s="1005"/>
      <c r="H4171" s="1005"/>
      <c r="I4171" s="1005"/>
      <c r="J4171" s="2000"/>
      <c r="K4171" s="2001"/>
      <c r="L4171" s="1648"/>
      <c r="M4171" s="1648"/>
      <c r="N4171" s="535"/>
    </row>
    <row r="4172" spans="1:17" ht="14.25" customHeight="1" x14ac:dyDescent="0.25">
      <c r="B4172" s="1242"/>
      <c r="C4172" s="3876" t="s">
        <v>5617</v>
      </c>
      <c r="D4172" s="780">
        <v>182823600</v>
      </c>
      <c r="E4172" s="1126">
        <f>D4172/D3944*100</f>
        <v>0.14308828177477192</v>
      </c>
      <c r="F4172" s="1005"/>
      <c r="G4172" s="608"/>
      <c r="H4172" s="2539"/>
      <c r="I4172" s="1474"/>
      <c r="J4172" s="2000"/>
      <c r="K4172" s="2001"/>
      <c r="L4172" s="1311"/>
      <c r="M4172" s="2003"/>
      <c r="N4172" s="535"/>
    </row>
    <row r="4173" spans="1:17" ht="18.75" customHeight="1" x14ac:dyDescent="0.25">
      <c r="B4173" s="1242"/>
      <c r="C4173" s="3876" t="s">
        <v>5618</v>
      </c>
      <c r="D4173" s="780">
        <v>91125000</v>
      </c>
      <c r="E4173" s="1126">
        <f>D4173/D3944*100</f>
        <v>7.1319674684920828E-2</v>
      </c>
      <c r="F4173" s="1005"/>
      <c r="G4173" s="1005"/>
      <c r="H4173" s="1005"/>
      <c r="I4173" s="1005"/>
      <c r="J4173" s="1005"/>
      <c r="K4173" s="1005"/>
      <c r="L4173" s="1650"/>
      <c r="M4173" s="2006"/>
      <c r="N4173" s="535"/>
    </row>
    <row r="4174" spans="1:17" ht="15" customHeight="1" x14ac:dyDescent="0.25">
      <c r="B4174" s="1242"/>
      <c r="C4174" s="3991"/>
      <c r="D4174" s="780"/>
      <c r="E4174" s="1126"/>
      <c r="F4174" s="1005"/>
      <c r="G4174" s="532"/>
      <c r="H4174" s="1472"/>
      <c r="I4174" s="2561"/>
      <c r="J4174" s="1005"/>
      <c r="K4174" s="1989"/>
      <c r="L4174" s="1312"/>
      <c r="M4174" s="2230"/>
      <c r="N4174" s="535"/>
    </row>
    <row r="4175" spans="1:17" ht="21.75" customHeight="1" x14ac:dyDescent="0.25">
      <c r="B4175" s="1242"/>
      <c r="C4175" s="3878" t="s">
        <v>5619</v>
      </c>
      <c r="D4175" s="768">
        <f>SUM(D4176:D4181)</f>
        <v>807351400</v>
      </c>
      <c r="E4175" s="1447">
        <f>D4175/D3944*100</f>
        <v>0.6318797169208823</v>
      </c>
      <c r="F4175" s="1006"/>
      <c r="G4175" s="613"/>
      <c r="H4175" s="2387"/>
      <c r="I4175" s="2387"/>
      <c r="J4175" s="1006"/>
      <c r="K4175" s="1006"/>
      <c r="L4175" s="1650"/>
      <c r="M4175" s="2308"/>
      <c r="N4175" s="535"/>
    </row>
    <row r="4176" spans="1:17" ht="15" customHeight="1" x14ac:dyDescent="0.25">
      <c r="B4176" s="1242"/>
      <c r="C4176" s="3876" t="s">
        <v>5620</v>
      </c>
      <c r="D4176" s="780">
        <v>250000000</v>
      </c>
      <c r="E4176" s="1126">
        <f>D4176/D3944*100</f>
        <v>0.19566440242776631</v>
      </c>
      <c r="F4176" s="1005"/>
      <c r="G4176" s="608"/>
      <c r="H4176" s="2539"/>
      <c r="I4176" s="1472"/>
      <c r="J4176" s="2000"/>
      <c r="K4176" s="2001"/>
      <c r="L4176" s="1312"/>
      <c r="M4176" s="2003"/>
      <c r="N4176" s="535"/>
    </row>
    <row r="4177" spans="1:16" ht="18.75" customHeight="1" x14ac:dyDescent="0.25">
      <c r="B4177" s="1242"/>
      <c r="C4177" s="3876" t="s">
        <v>5621</v>
      </c>
      <c r="D4177" s="780">
        <v>122321400</v>
      </c>
      <c r="E4177" s="1126">
        <f>D4177/D3944*100</f>
        <v>9.5735774540511104E-2</v>
      </c>
      <c r="F4177" s="1005"/>
      <c r="G4177" s="1005"/>
      <c r="H4177" s="1005"/>
      <c r="I4177" s="1005"/>
      <c r="J4177" s="2000"/>
      <c r="K4177" s="2001"/>
      <c r="L4177" s="1312"/>
      <c r="M4177" s="2003"/>
      <c r="N4177" s="535"/>
    </row>
    <row r="4178" spans="1:16" ht="16.5" customHeight="1" x14ac:dyDescent="0.25">
      <c r="B4178" s="1242"/>
      <c r="C4178" s="3876" t="s">
        <v>5622</v>
      </c>
      <c r="D4178" s="780">
        <v>98152000</v>
      </c>
      <c r="E4178" s="1126">
        <f>D4178/D3944*100</f>
        <v>7.6819409708360487E-2</v>
      </c>
      <c r="F4178" s="1005"/>
      <c r="G4178" s="532"/>
      <c r="H4178" s="729"/>
      <c r="I4178" s="532"/>
      <c r="J4178" s="1005"/>
      <c r="K4178" s="2175"/>
      <c r="L4178" s="2175"/>
      <c r="M4178" s="2466"/>
      <c r="N4178" s="535"/>
    </row>
    <row r="4179" spans="1:16" s="4099" customFormat="1" ht="18" customHeight="1" x14ac:dyDescent="0.25">
      <c r="A4179" s="4101"/>
      <c r="B4179" s="4119"/>
      <c r="C4179" s="3876" t="s">
        <v>5623</v>
      </c>
      <c r="D4179" s="780">
        <v>102917000</v>
      </c>
      <c r="E4179" s="1126">
        <f>D4179/D3944*100</f>
        <v>8.0548773218633712E-2</v>
      </c>
      <c r="F4179" s="3638"/>
      <c r="G4179" s="4107"/>
      <c r="H4179" s="729"/>
      <c r="I4179" s="4107"/>
      <c r="J4179" s="3638"/>
      <c r="K4179" s="2175"/>
      <c r="L4179" s="2175"/>
      <c r="M4179" s="2466"/>
      <c r="N4179" s="4109"/>
      <c r="P4179" s="500"/>
    </row>
    <row r="4180" spans="1:16" s="4099" customFormat="1" ht="15.75" customHeight="1" x14ac:dyDescent="0.25">
      <c r="A4180" s="4101"/>
      <c r="B4180" s="4119"/>
      <c r="C4180" s="3876" t="s">
        <v>5624</v>
      </c>
      <c r="D4180" s="780">
        <v>86706000</v>
      </c>
      <c r="E4180" s="1126">
        <f>D4180/D3944*100</f>
        <v>6.7861110707607628E-2</v>
      </c>
      <c r="F4180" s="3638"/>
      <c r="G4180" s="4107"/>
      <c r="H4180" s="729"/>
      <c r="I4180" s="4107"/>
      <c r="J4180" s="3638"/>
      <c r="K4180" s="2175"/>
      <c r="L4180" s="2175"/>
      <c r="M4180" s="2466"/>
      <c r="N4180" s="4109"/>
      <c r="P4180" s="500"/>
    </row>
    <row r="4181" spans="1:16" s="4099" customFormat="1" ht="27.75" customHeight="1" x14ac:dyDescent="0.25">
      <c r="A4181" s="4101"/>
      <c r="B4181" s="4119"/>
      <c r="C4181" s="3876" t="s">
        <v>5625</v>
      </c>
      <c r="D4181" s="780">
        <v>147255000</v>
      </c>
      <c r="E4181" s="1126">
        <f>D4181/D3944*100</f>
        <v>0.11525024631800292</v>
      </c>
      <c r="F4181" s="3638"/>
      <c r="G4181" s="4107"/>
      <c r="H4181" s="729"/>
      <c r="I4181" s="4107"/>
      <c r="J4181" s="3638"/>
      <c r="K4181" s="2175"/>
      <c r="L4181" s="2175"/>
      <c r="M4181" s="2466"/>
      <c r="N4181" s="4109"/>
      <c r="P4181" s="500"/>
    </row>
    <row r="4182" spans="1:16" s="4099" customFormat="1" ht="12" customHeight="1" x14ac:dyDescent="0.25">
      <c r="A4182" s="4101"/>
      <c r="B4182" s="4119"/>
      <c r="C4182" s="3986"/>
      <c r="D4182" s="780"/>
      <c r="E4182" s="1126"/>
      <c r="F4182" s="3638"/>
      <c r="G4182" s="4107"/>
      <c r="H4182" s="729"/>
      <c r="I4182" s="4107"/>
      <c r="J4182" s="3638"/>
      <c r="K4182" s="2175"/>
      <c r="L4182" s="2175"/>
      <c r="M4182" s="2466"/>
      <c r="N4182" s="4109"/>
      <c r="P4182" s="500"/>
    </row>
    <row r="4183" spans="1:16" ht="27" customHeight="1" x14ac:dyDescent="0.25">
      <c r="B4183" s="1242"/>
      <c r="C4183" s="3878" t="s">
        <v>5626</v>
      </c>
      <c r="D4183" s="768">
        <f>SUM(D4184)</f>
        <v>200000000</v>
      </c>
      <c r="E4183" s="1447">
        <f>D4183/D3944*100</f>
        <v>0.15653152194221306</v>
      </c>
      <c r="F4183" s="1006"/>
      <c r="G4183" s="1006"/>
      <c r="H4183" s="1006"/>
      <c r="I4183" s="1006"/>
      <c r="J4183" s="1006"/>
      <c r="K4183" s="1006"/>
      <c r="L4183" s="1311"/>
      <c r="M4183" s="2483"/>
      <c r="N4183" s="535"/>
    </row>
    <row r="4184" spans="1:16" ht="18.75" customHeight="1" x14ac:dyDescent="0.25">
      <c r="B4184" s="1242"/>
      <c r="C4184" s="3876" t="s">
        <v>5627</v>
      </c>
      <c r="D4184" s="780">
        <v>200000000</v>
      </c>
      <c r="E4184" s="1126">
        <f>D4184/D3944*100</f>
        <v>0.15653152194221306</v>
      </c>
      <c r="F4184" s="1005"/>
      <c r="G4184" s="1005"/>
      <c r="H4184" s="1005"/>
      <c r="I4184" s="1005"/>
      <c r="J4184" s="1005"/>
      <c r="K4184" s="1005"/>
      <c r="L4184" s="1311"/>
      <c r="M4184" s="2483"/>
      <c r="N4184" s="535"/>
    </row>
    <row r="4185" spans="1:16" ht="12" customHeight="1" x14ac:dyDescent="0.25">
      <c r="B4185" s="1242"/>
      <c r="C4185" s="4048"/>
      <c r="E4185" s="1450"/>
      <c r="F4185" s="303"/>
      <c r="G4185" s="533"/>
      <c r="H4185" s="2284"/>
      <c r="I4185" s="791"/>
      <c r="J4185" s="303"/>
      <c r="K4185" s="2285"/>
      <c r="L4185" s="2182"/>
      <c r="M4185" s="2004"/>
      <c r="N4185" s="535"/>
    </row>
    <row r="4186" spans="1:16" ht="18.75" customHeight="1" x14ac:dyDescent="0.25">
      <c r="B4186" s="1305"/>
      <c r="C4186" s="3913" t="s">
        <v>5628</v>
      </c>
      <c r="D4186" s="2659">
        <f>SUM(D4187)</f>
        <v>286695200</v>
      </c>
      <c r="E4186" s="1445">
        <f>D4186/D3944*100</f>
        <v>0.22438417994763582</v>
      </c>
      <c r="F4186" s="765"/>
      <c r="G4186" s="765"/>
      <c r="H4186" s="2064"/>
      <c r="I4186" s="1645"/>
      <c r="J4186" s="1994"/>
      <c r="K4186" s="1994"/>
      <c r="L4186" s="2356"/>
      <c r="M4186" s="2066"/>
      <c r="N4186" s="535"/>
    </row>
    <row r="4187" spans="1:16" ht="16.5" customHeight="1" x14ac:dyDescent="0.25">
      <c r="B4187" s="1242"/>
      <c r="C4187" s="4103" t="s">
        <v>5629</v>
      </c>
      <c r="D4187" s="768">
        <f>SUM(D4188:D4190)</f>
        <v>286695200</v>
      </c>
      <c r="E4187" s="1447">
        <f>D4187/D3944*100</f>
        <v>0.22438417994763582</v>
      </c>
      <c r="F4187" s="3629"/>
      <c r="G4187" s="613"/>
      <c r="H4187" s="1447"/>
      <c r="I4187" s="673"/>
      <c r="J4187" s="954"/>
      <c r="K4187" s="954"/>
      <c r="L4187" s="2562"/>
      <c r="M4187" s="2308"/>
      <c r="N4187" s="535"/>
    </row>
    <row r="4188" spans="1:16" ht="15.75" customHeight="1" x14ac:dyDescent="0.25">
      <c r="B4188" s="1242"/>
      <c r="C4188" s="3856" t="s">
        <v>5630</v>
      </c>
      <c r="D4188" s="1791">
        <v>179585800</v>
      </c>
      <c r="E4188" s="864">
        <f>D4188/D3944*100</f>
        <v>0.14055419296604943</v>
      </c>
      <c r="F4188" s="693"/>
      <c r="G4188" s="1005"/>
      <c r="H4188" s="1005"/>
      <c r="I4188" s="1005"/>
      <c r="J4188" s="2000"/>
      <c r="K4188" s="2001"/>
      <c r="L4188" s="1312"/>
      <c r="M4188" s="2003"/>
      <c r="N4188" s="535"/>
    </row>
    <row r="4189" spans="1:16" ht="16.5" customHeight="1" x14ac:dyDescent="0.25">
      <c r="B4189" s="1242"/>
      <c r="C4189" s="3856" t="s">
        <v>5631</v>
      </c>
      <c r="D4189" s="1846">
        <v>53980000</v>
      </c>
      <c r="E4189" s="1126">
        <f>D4189/D3944*100</f>
        <v>4.2247857772203308E-2</v>
      </c>
      <c r="F4189" s="687"/>
      <c r="G4189" s="608"/>
      <c r="H4189" s="2539"/>
      <c r="I4189" s="1111"/>
      <c r="J4189" s="2000"/>
      <c r="K4189" s="2001"/>
      <c r="L4189" s="1311"/>
      <c r="M4189" s="2003"/>
      <c r="N4189" s="535"/>
    </row>
    <row r="4190" spans="1:16" ht="15.75" customHeight="1" x14ac:dyDescent="0.25">
      <c r="B4190" s="1242"/>
      <c r="C4190" s="3856" t="s">
        <v>5632</v>
      </c>
      <c r="D4190" s="1846">
        <v>53129400</v>
      </c>
      <c r="E4190" s="1126">
        <f>D4190/D3944*100</f>
        <v>4.1582129209383076E-2</v>
      </c>
      <c r="F4190" s="687"/>
      <c r="G4190" s="608"/>
      <c r="H4190" s="2539"/>
      <c r="I4190" s="2550"/>
      <c r="J4190" s="2000"/>
      <c r="K4190" s="2001"/>
      <c r="L4190" s="1311"/>
      <c r="M4190" s="2003"/>
      <c r="N4190" s="535"/>
    </row>
    <row r="4191" spans="1:16" ht="12" customHeight="1" x14ac:dyDescent="0.25">
      <c r="B4191" s="1242"/>
      <c r="C4191" s="3989"/>
      <c r="E4191" s="1450"/>
      <c r="F4191" s="303"/>
      <c r="G4191" s="533"/>
      <c r="H4191" s="2284"/>
      <c r="I4191" s="791"/>
      <c r="J4191" s="303"/>
      <c r="K4191" s="1315"/>
      <c r="L4191" s="1323"/>
      <c r="M4191" s="2466"/>
      <c r="N4191" s="535"/>
    </row>
    <row r="4192" spans="1:16" ht="18" customHeight="1" x14ac:dyDescent="0.25">
      <c r="B4192" s="1305"/>
      <c r="C4192" s="3973" t="s">
        <v>5633</v>
      </c>
      <c r="D4192" s="2659">
        <f>SUM(D4193+D4196+D4200+D4203)</f>
        <v>1461000000</v>
      </c>
      <c r="E4192" s="1445">
        <f>D4192/D3944*100</f>
        <v>1.1434627677878664</v>
      </c>
      <c r="F4192" s="765"/>
      <c r="G4192" s="765"/>
      <c r="H4192" s="2064"/>
      <c r="I4192" s="807"/>
      <c r="J4192" s="1994"/>
      <c r="K4192" s="1994"/>
      <c r="L4192" s="2356"/>
      <c r="M4192" s="2066"/>
      <c r="N4192" s="535"/>
    </row>
    <row r="4193" spans="2:14" ht="15.75" customHeight="1" x14ac:dyDescent="0.25">
      <c r="B4193" s="1242"/>
      <c r="C4193" s="4103" t="s">
        <v>5634</v>
      </c>
      <c r="D4193" s="768">
        <f>SUM(D4194:D4194)</f>
        <v>173600000</v>
      </c>
      <c r="E4193" s="1447">
        <f>D4193/D3944*100</f>
        <v>0.13586936104584096</v>
      </c>
      <c r="F4193" s="3629"/>
      <c r="G4193" s="613"/>
      <c r="H4193" s="1447"/>
      <c r="I4193" s="3629"/>
      <c r="J4193" s="3629"/>
      <c r="K4193" s="3629"/>
      <c r="L4193" s="2261"/>
      <c r="M4193" s="2484"/>
      <c r="N4193" s="535"/>
    </row>
    <row r="4194" spans="2:14" ht="14.25" customHeight="1" x14ac:dyDescent="0.25">
      <c r="B4194" s="1242"/>
      <c r="C4194" s="3856" t="s">
        <v>5635</v>
      </c>
      <c r="D4194" s="780">
        <v>173600000</v>
      </c>
      <c r="E4194" s="1470">
        <f>D4194/D3944*100</f>
        <v>0.13586936104584096</v>
      </c>
      <c r="F4194" s="1005"/>
      <c r="G4194" s="608"/>
      <c r="H4194" s="2539"/>
      <c r="I4194" s="2550"/>
      <c r="J4194" s="2000"/>
      <c r="K4194" s="2001"/>
      <c r="L4194" s="1312"/>
      <c r="M4194" s="2003"/>
      <c r="N4194" s="535"/>
    </row>
    <row r="4195" spans="2:14" ht="12" customHeight="1" x14ac:dyDescent="0.25">
      <c r="B4195" s="1242"/>
      <c r="C4195" s="3991"/>
      <c r="D4195" s="780"/>
      <c r="E4195" s="1470"/>
      <c r="F4195" s="1005"/>
      <c r="G4195" s="1005"/>
      <c r="H4195" s="2550"/>
      <c r="I4195" s="2550"/>
      <c r="J4195" s="1005"/>
      <c r="K4195" s="1989"/>
      <c r="L4195" s="2551"/>
      <c r="M4195" s="1648"/>
      <c r="N4195" s="535"/>
    </row>
    <row r="4196" spans="2:14" ht="16.5" customHeight="1" x14ac:dyDescent="0.25">
      <c r="B4196" s="1242"/>
      <c r="C4196" s="3855" t="s">
        <v>5636</v>
      </c>
      <c r="D4196" s="768">
        <f>SUM(D4197:D4198)</f>
        <v>429900000</v>
      </c>
      <c r="E4196" s="1447">
        <f>D4196/D3944*100</f>
        <v>0.33646450641478698</v>
      </c>
      <c r="F4196" s="1006"/>
      <c r="G4196" s="613"/>
      <c r="H4196" s="2387"/>
      <c r="I4196" s="2563"/>
      <c r="J4196" s="1006"/>
      <c r="K4196" s="1006"/>
      <c r="L4196" s="2564"/>
      <c r="M4196" s="2308"/>
      <c r="N4196" s="535"/>
    </row>
    <row r="4197" spans="2:14" ht="28.5" customHeight="1" x14ac:dyDescent="0.25">
      <c r="B4197" s="1242"/>
      <c r="C4197" s="3856" t="s">
        <v>5638</v>
      </c>
      <c r="D4197" s="780">
        <v>239300000</v>
      </c>
      <c r="E4197" s="1126">
        <f>D4197/D3944*100</f>
        <v>0.18728996600385794</v>
      </c>
      <c r="F4197" s="1005"/>
      <c r="G4197" s="608"/>
      <c r="H4197" s="2539"/>
      <c r="I4197" s="802"/>
      <c r="J4197" s="2000"/>
      <c r="K4197" s="2001"/>
      <c r="L4197" s="1648"/>
      <c r="M4197" s="2003"/>
      <c r="N4197" s="535"/>
    </row>
    <row r="4198" spans="2:14" ht="18" customHeight="1" x14ac:dyDescent="0.25">
      <c r="B4198" s="1242"/>
      <c r="C4198" s="3856" t="s">
        <v>5637</v>
      </c>
      <c r="D4198" s="780">
        <v>190600000</v>
      </c>
      <c r="E4198" s="1126">
        <f>D4198/D3944*100</f>
        <v>0.14917454041092906</v>
      </c>
      <c r="F4198" s="1005"/>
      <c r="G4198" s="608"/>
      <c r="H4198" s="1472"/>
      <c r="I4198" s="1111"/>
      <c r="J4198" s="2000"/>
      <c r="K4198" s="2001"/>
      <c r="L4198" s="1311"/>
      <c r="M4198" s="2003"/>
      <c r="N4198" s="535"/>
    </row>
    <row r="4199" spans="2:14" ht="10.5" customHeight="1" x14ac:dyDescent="0.25">
      <c r="B4199" s="1242"/>
      <c r="C4199" s="3991"/>
      <c r="D4199" s="780"/>
      <c r="E4199" s="1126"/>
      <c r="F4199" s="1005"/>
      <c r="G4199" s="802"/>
      <c r="H4199" s="1474"/>
      <c r="I4199" s="1111"/>
      <c r="J4199" s="1005"/>
      <c r="K4199" s="2521"/>
      <c r="L4199" s="2390"/>
      <c r="M4199" s="2230"/>
      <c r="N4199" s="535"/>
    </row>
    <row r="4200" spans="2:14" ht="13.5" customHeight="1" x14ac:dyDescent="0.25">
      <c r="B4200" s="1242"/>
      <c r="C4200" s="3855" t="s">
        <v>5639</v>
      </c>
      <c r="D4200" s="768">
        <f>SUM(D4201)</f>
        <v>215000000</v>
      </c>
      <c r="E4200" s="1447">
        <f>D4200/D3944*100</f>
        <v>0.16827138608787906</v>
      </c>
      <c r="F4200" s="1006"/>
      <c r="G4200" s="1125"/>
      <c r="H4200" s="1125"/>
      <c r="I4200" s="1125"/>
      <c r="J4200" s="1006"/>
      <c r="K4200" s="1125"/>
      <c r="L4200" s="1125"/>
      <c r="M4200" s="2006"/>
      <c r="N4200" s="535"/>
    </row>
    <row r="4201" spans="2:14" ht="18.75" customHeight="1" x14ac:dyDescent="0.25">
      <c r="B4201" s="1242"/>
      <c r="C4201" s="3856" t="s">
        <v>5640</v>
      </c>
      <c r="D4201" s="780">
        <v>215000000</v>
      </c>
      <c r="E4201" s="1126">
        <f>D4201/D3944*100</f>
        <v>0.16827138608787906</v>
      </c>
      <c r="F4201" s="1005"/>
      <c r="G4201" s="1005"/>
      <c r="H4201" s="1005"/>
      <c r="I4201" s="1005"/>
      <c r="J4201" s="2000"/>
      <c r="K4201" s="1005"/>
      <c r="L4201" s="1005"/>
      <c r="M4201" s="2555"/>
      <c r="N4201" s="535"/>
    </row>
    <row r="4202" spans="2:14" ht="11.25" customHeight="1" x14ac:dyDescent="0.25">
      <c r="B4202" s="1242"/>
      <c r="C4202" s="3991"/>
      <c r="D4202" s="780"/>
      <c r="E4202" s="1447"/>
      <c r="F4202" s="1005"/>
      <c r="G4202" s="802"/>
      <c r="H4202" s="802"/>
      <c r="I4202" s="802"/>
      <c r="J4202" s="1005"/>
      <c r="K4202" s="2180"/>
      <c r="L4202" s="1648"/>
      <c r="M4202" s="1648"/>
      <c r="N4202" s="535"/>
    </row>
    <row r="4203" spans="2:14" ht="17.25" customHeight="1" x14ac:dyDescent="0.25">
      <c r="B4203" s="1242"/>
      <c r="C4203" s="3854" t="s">
        <v>5641</v>
      </c>
      <c r="D4203" s="768">
        <f>SUM(D4204:D4205)</f>
        <v>642500000</v>
      </c>
      <c r="E4203" s="1447">
        <f>D4203/D3944*100</f>
        <v>0.50285751423935943</v>
      </c>
      <c r="F4203" s="1006"/>
      <c r="G4203" s="1125"/>
      <c r="H4203" s="1125"/>
      <c r="I4203" s="1125"/>
      <c r="J4203" s="1006"/>
      <c r="K4203" s="1125"/>
      <c r="L4203" s="1125"/>
      <c r="M4203" s="2006"/>
      <c r="N4203" s="535"/>
    </row>
    <row r="4204" spans="2:14" ht="16.5" customHeight="1" x14ac:dyDescent="0.25">
      <c r="B4204" s="1242"/>
      <c r="C4204" s="3856" t="s">
        <v>5642</v>
      </c>
      <c r="D4204" s="780">
        <v>286000000</v>
      </c>
      <c r="E4204" s="1126">
        <f>D4204/D3944*100</f>
        <v>0.22384007637736469</v>
      </c>
      <c r="F4204" s="1005"/>
      <c r="G4204" s="1005"/>
      <c r="H4204" s="1005"/>
      <c r="I4204" s="1005"/>
      <c r="J4204" s="1005"/>
      <c r="K4204" s="1005"/>
      <c r="L4204" s="1005"/>
      <c r="M4204" s="2555"/>
      <c r="N4204" s="535"/>
    </row>
    <row r="4205" spans="2:14" ht="15.75" customHeight="1" x14ac:dyDescent="0.25">
      <c r="B4205" s="1242"/>
      <c r="C4205" s="3856" t="s">
        <v>5643</v>
      </c>
      <c r="D4205" s="780">
        <v>356500000</v>
      </c>
      <c r="E4205" s="1126">
        <f>D4205/D3944*100</f>
        <v>0.27901743786199479</v>
      </c>
      <c r="F4205" s="1005"/>
      <c r="G4205" s="802"/>
      <c r="H4205" s="802"/>
      <c r="I4205" s="802"/>
      <c r="J4205" s="1005"/>
      <c r="K4205" s="2180"/>
      <c r="L4205" s="1648"/>
      <c r="M4205" s="1648"/>
      <c r="N4205" s="535"/>
    </row>
    <row r="4206" spans="2:14" ht="12" customHeight="1" x14ac:dyDescent="0.25">
      <c r="B4206" s="1242"/>
      <c r="D4206" s="660"/>
      <c r="E4206" s="1453"/>
      <c r="F4206" s="798"/>
      <c r="G4206" s="651"/>
      <c r="H4206" s="857"/>
      <c r="I4206" s="303"/>
      <c r="J4206" s="798"/>
      <c r="K4206" s="2566"/>
      <c r="L4206" s="2278"/>
      <c r="M4206" s="2278"/>
      <c r="N4206" s="535"/>
    </row>
    <row r="4207" spans="2:14" ht="16.5" customHeight="1" x14ac:dyDescent="0.25">
      <c r="B4207" s="1305"/>
      <c r="C4207" s="3973" t="s">
        <v>5644</v>
      </c>
      <c r="D4207" s="2659">
        <f>SUM(D4208+D4214)</f>
        <v>4145000000</v>
      </c>
      <c r="E4207" s="1445">
        <f>D4207/D3944*100</f>
        <v>3.2441157922523658</v>
      </c>
      <c r="F4207" s="765"/>
      <c r="G4207" s="765"/>
      <c r="H4207" s="2064"/>
      <c r="I4207" s="669"/>
      <c r="J4207" s="765"/>
      <c r="K4207" s="765"/>
      <c r="L4207" s="2567"/>
      <c r="M4207" s="2315"/>
      <c r="N4207" s="535"/>
    </row>
    <row r="4208" spans="2:14" ht="19.5" customHeight="1" x14ac:dyDescent="0.25">
      <c r="B4208" s="1242"/>
      <c r="C4208" s="3855" t="s">
        <v>5645</v>
      </c>
      <c r="D4208" s="768">
        <f>SUM(D4209:D4212)</f>
        <v>3745000000</v>
      </c>
      <c r="E4208" s="1447">
        <f>D4208/D3944*100</f>
        <v>2.9310527483679398</v>
      </c>
      <c r="F4208" s="753"/>
      <c r="G4208" s="613"/>
      <c r="H4208" s="1447"/>
      <c r="I4208" s="1316"/>
      <c r="J4208" s="753"/>
      <c r="K4208" s="613"/>
      <c r="L4208" s="2568"/>
      <c r="M4208" s="2484"/>
      <c r="N4208" s="535"/>
    </row>
    <row r="4209" spans="1:16" ht="15.75" customHeight="1" x14ac:dyDescent="0.25">
      <c r="B4209" s="1242"/>
      <c r="C4209" s="3856" t="s">
        <v>5646</v>
      </c>
      <c r="D4209" s="780">
        <v>1000000000</v>
      </c>
      <c r="E4209" s="1126">
        <f>D4209/D3944*100</f>
        <v>0.78265760971106524</v>
      </c>
      <c r="F4209" s="1005"/>
      <c r="G4209" s="608"/>
      <c r="H4209" s="2539"/>
      <c r="I4209" s="1111"/>
      <c r="J4209" s="1005"/>
      <c r="K4209" s="608"/>
      <c r="L4209" s="2390"/>
      <c r="M4209" s="2483"/>
      <c r="N4209" s="535"/>
    </row>
    <row r="4210" spans="1:16" s="4099" customFormat="1" ht="15.75" customHeight="1" x14ac:dyDescent="0.25">
      <c r="A4210" s="4101"/>
      <c r="B4210" s="4119"/>
      <c r="C4210" s="4062" t="s">
        <v>5647</v>
      </c>
      <c r="D4210" s="799">
        <v>2500000000</v>
      </c>
      <c r="E4210" s="1126">
        <f>D4210/D3944*100</f>
        <v>1.9566440242776633</v>
      </c>
      <c r="F4210" s="1999"/>
      <c r="G4210" s="4304"/>
      <c r="H4210" s="2532"/>
      <c r="I4210" s="2181"/>
      <c r="J4210" s="1999"/>
      <c r="K4210" s="4305"/>
      <c r="L4210" s="2389"/>
      <c r="M4210" s="2004"/>
      <c r="N4210" s="4109"/>
      <c r="P4210" s="500"/>
    </row>
    <row r="4211" spans="1:16" s="4099" customFormat="1" ht="18" customHeight="1" x14ac:dyDescent="0.25">
      <c r="A4211" s="4101"/>
      <c r="B4211" s="4119"/>
      <c r="C4211" s="3856" t="s">
        <v>5649</v>
      </c>
      <c r="D4211" s="780">
        <v>145000000</v>
      </c>
      <c r="E4211" s="1126">
        <f>D4211/D3944*100</f>
        <v>0.11348535340810446</v>
      </c>
      <c r="F4211" s="3638"/>
      <c r="G4211" s="608"/>
      <c r="H4211" s="2539"/>
      <c r="I4211" s="666"/>
      <c r="J4211" s="3638"/>
      <c r="K4211" s="608"/>
      <c r="L4211" s="1507"/>
      <c r="M4211" s="2483"/>
      <c r="N4211" s="4109"/>
      <c r="P4211" s="500"/>
    </row>
    <row r="4212" spans="1:16" s="4099" customFormat="1" ht="15.75" customHeight="1" x14ac:dyDescent="0.25">
      <c r="A4212" s="4101"/>
      <c r="B4212" s="4119"/>
      <c r="C4212" s="3856" t="s">
        <v>5650</v>
      </c>
      <c r="D4212" s="780">
        <v>100000000</v>
      </c>
      <c r="E4212" s="1126">
        <f>D4212/D3944*100</f>
        <v>7.8265760971106532E-2</v>
      </c>
      <c r="F4212" s="3638"/>
      <c r="G4212" s="608"/>
      <c r="H4212" s="2539"/>
      <c r="I4212" s="666"/>
      <c r="J4212" s="3638"/>
      <c r="K4212" s="608"/>
      <c r="L4212" s="1507"/>
      <c r="M4212" s="2483"/>
      <c r="N4212" s="4109"/>
      <c r="P4212" s="500"/>
    </row>
    <row r="4213" spans="1:16" s="4099" customFormat="1" ht="11.25" customHeight="1" x14ac:dyDescent="0.25">
      <c r="A4213" s="4101"/>
      <c r="B4213" s="4119"/>
      <c r="C4213" s="3856"/>
      <c r="D4213" s="780"/>
      <c r="E4213" s="1126"/>
      <c r="F4213" s="3638"/>
      <c r="G4213" s="608"/>
      <c r="H4213" s="2539"/>
      <c r="I4213" s="666"/>
      <c r="J4213" s="3638"/>
      <c r="K4213" s="608"/>
      <c r="L4213" s="1507"/>
      <c r="M4213" s="2483"/>
      <c r="N4213" s="4109"/>
      <c r="P4213" s="500"/>
    </row>
    <row r="4214" spans="1:16" s="4099" customFormat="1" ht="15.75" customHeight="1" x14ac:dyDescent="0.25">
      <c r="A4214" s="4101"/>
      <c r="B4214" s="4119"/>
      <c r="C4214" s="4103" t="s">
        <v>5648</v>
      </c>
      <c r="D4214" s="768">
        <f>SUM(D4215:D4217)</f>
        <v>400000000</v>
      </c>
      <c r="E4214" s="1447">
        <f>D4214/D3944*100</f>
        <v>0.31306304388442613</v>
      </c>
      <c r="F4214" s="3638"/>
      <c r="G4214" s="608"/>
      <c r="H4214" s="2539"/>
      <c r="I4214" s="666"/>
      <c r="J4214" s="3638"/>
      <c r="K4214" s="608"/>
      <c r="L4214" s="1507"/>
      <c r="M4214" s="2483"/>
      <c r="N4214" s="4109"/>
      <c r="P4214" s="500"/>
    </row>
    <row r="4215" spans="1:16" s="4099" customFormat="1" ht="15.75" customHeight="1" x14ac:dyDescent="0.25">
      <c r="A4215" s="4101"/>
      <c r="B4215" s="4119"/>
      <c r="C4215" s="3856" t="s">
        <v>5651</v>
      </c>
      <c r="D4215" s="780">
        <v>100000000</v>
      </c>
      <c r="E4215" s="1126">
        <f>D4215/D3944*100</f>
        <v>7.8265760971106532E-2</v>
      </c>
      <c r="F4215" s="3638"/>
      <c r="G4215" s="608"/>
      <c r="H4215" s="2539"/>
      <c r="I4215" s="666"/>
      <c r="J4215" s="3638"/>
      <c r="K4215" s="608"/>
      <c r="L4215" s="1507"/>
      <c r="M4215" s="2483"/>
      <c r="N4215" s="4109"/>
      <c r="P4215" s="500"/>
    </row>
    <row r="4216" spans="1:16" s="4099" customFormat="1" ht="15.75" customHeight="1" x14ac:dyDescent="0.25">
      <c r="A4216" s="4101"/>
      <c r="B4216" s="4119"/>
      <c r="C4216" s="3856" t="s">
        <v>5652</v>
      </c>
      <c r="D4216" s="780">
        <v>250000000</v>
      </c>
      <c r="E4216" s="1126">
        <f>D4216/D3944*100</f>
        <v>0.19566440242776631</v>
      </c>
      <c r="F4216" s="3638"/>
      <c r="G4216" s="608"/>
      <c r="H4216" s="2539"/>
      <c r="I4216" s="666"/>
      <c r="J4216" s="3638"/>
      <c r="K4216" s="608"/>
      <c r="L4216" s="1507"/>
      <c r="M4216" s="2483"/>
      <c r="N4216" s="4109"/>
      <c r="P4216" s="500"/>
    </row>
    <row r="4217" spans="1:16" s="4099" customFormat="1" ht="15.75" customHeight="1" x14ac:dyDescent="0.25">
      <c r="A4217" s="4101"/>
      <c r="B4217" s="4119"/>
      <c r="C4217" s="3856" t="s">
        <v>5653</v>
      </c>
      <c r="D4217" s="780">
        <v>50000000</v>
      </c>
      <c r="E4217" s="1126">
        <f>D4217/D3944*100</f>
        <v>3.9132880485553266E-2</v>
      </c>
      <c r="F4217" s="3638"/>
      <c r="G4217" s="608"/>
      <c r="H4217" s="2539"/>
      <c r="I4217" s="666"/>
      <c r="J4217" s="3638"/>
      <c r="K4217" s="608"/>
      <c r="L4217" s="1507"/>
      <c r="M4217" s="2483"/>
      <c r="N4217" s="4109"/>
      <c r="P4217" s="500"/>
    </row>
    <row r="4218" spans="1:16" ht="12" customHeight="1" x14ac:dyDescent="0.25">
      <c r="B4218" s="1242"/>
      <c r="D4218" s="799"/>
      <c r="E4218" s="1450"/>
      <c r="F4218" s="827"/>
      <c r="G4218" s="1065"/>
      <c r="H4218" s="2569"/>
      <c r="I4218" s="791"/>
      <c r="J4218" s="827"/>
      <c r="K4218" s="2182"/>
      <c r="L4218" s="2389"/>
      <c r="M4218" s="2004"/>
      <c r="N4218" s="535"/>
    </row>
    <row r="4219" spans="1:16" ht="19.5" customHeight="1" x14ac:dyDescent="0.25">
      <c r="B4219" s="1305"/>
      <c r="C4219" s="3973" t="s">
        <v>5654</v>
      </c>
      <c r="D4219" s="2659">
        <f>SUM(D4220+D4224+D4228+D4232)</f>
        <v>2447807500</v>
      </c>
      <c r="E4219" s="1445">
        <f>D4219/D3944*100</f>
        <v>1.9157951669828186</v>
      </c>
      <c r="F4219" s="765"/>
      <c r="G4219" s="765"/>
      <c r="H4219" s="2064"/>
      <c r="I4219" s="807"/>
      <c r="J4219" s="765"/>
      <c r="K4219" s="765"/>
      <c r="L4219" s="2065"/>
      <c r="M4219" s="2066"/>
      <c r="N4219" s="535"/>
    </row>
    <row r="4220" spans="1:16" ht="16.5" customHeight="1" x14ac:dyDescent="0.25">
      <c r="B4220" s="1242"/>
      <c r="C4220" s="4103" t="s">
        <v>5655</v>
      </c>
      <c r="D4220" s="768">
        <f>SUM(D4221:D4222)</f>
        <v>182450000</v>
      </c>
      <c r="E4220" s="1447">
        <f>D4220/D3944*100</f>
        <v>0.14279588089178388</v>
      </c>
      <c r="F4220" s="3629"/>
      <c r="G4220" s="1125"/>
      <c r="H4220" s="1125"/>
      <c r="I4220" s="1125"/>
      <c r="J4220" s="1125"/>
      <c r="K4220" s="1125"/>
      <c r="L4220" s="1125"/>
      <c r="M4220" s="1125"/>
      <c r="N4220" s="535"/>
    </row>
    <row r="4221" spans="1:16" ht="31.5" customHeight="1" x14ac:dyDescent="0.25">
      <c r="B4221" s="1242"/>
      <c r="C4221" s="3856" t="s">
        <v>5656</v>
      </c>
      <c r="D4221" s="780">
        <v>150000000</v>
      </c>
      <c r="E4221" s="1470">
        <f>D4221/D3944*100</f>
        <v>0.11739864145665979</v>
      </c>
      <c r="F4221" s="1005"/>
      <c r="G4221" s="1005"/>
      <c r="H4221" s="1005"/>
      <c r="I4221" s="1005"/>
      <c r="J4221" s="1005"/>
      <c r="K4221" s="1005"/>
      <c r="L4221" s="1005"/>
      <c r="M4221" s="1005"/>
      <c r="N4221" s="535"/>
    </row>
    <row r="4222" spans="1:16" ht="29.25" customHeight="1" x14ac:dyDescent="0.25">
      <c r="B4222" s="1242"/>
      <c r="C4222" s="3856" t="s">
        <v>5657</v>
      </c>
      <c r="D4222" s="780">
        <v>32450000</v>
      </c>
      <c r="E4222" s="1470">
        <f>D4222/D3944*100</f>
        <v>2.5397239435124071E-2</v>
      </c>
      <c r="F4222" s="1005"/>
      <c r="G4222" s="1005"/>
      <c r="H4222" s="1005"/>
      <c r="I4222" s="1005"/>
      <c r="J4222" s="1005"/>
      <c r="K4222" s="1005"/>
      <c r="L4222" s="1005"/>
      <c r="M4222" s="1005"/>
      <c r="N4222" s="535"/>
    </row>
    <row r="4223" spans="1:16" ht="12" customHeight="1" x14ac:dyDescent="0.25">
      <c r="B4223" s="1242"/>
      <c r="C4223" s="3991"/>
      <c r="D4223" s="780"/>
      <c r="E4223" s="1470"/>
      <c r="F4223" s="1005"/>
      <c r="G4223" s="532"/>
      <c r="H4223" s="729"/>
      <c r="I4223" s="532"/>
      <c r="J4223" s="1005"/>
      <c r="K4223" s="1312"/>
      <c r="L4223" s="2390"/>
      <c r="M4223" s="2570"/>
      <c r="N4223" s="535"/>
    </row>
    <row r="4224" spans="1:16" ht="18" customHeight="1" x14ac:dyDescent="0.25">
      <c r="B4224" s="1242"/>
      <c r="C4224" s="3855" t="s">
        <v>5658</v>
      </c>
      <c r="D4224" s="768">
        <f>SUM(D4225:D4226)</f>
        <v>1592357500</v>
      </c>
      <c r="E4224" s="1469">
        <f>D4224/D3944*100</f>
        <v>1.2462707147554879</v>
      </c>
      <c r="F4224" s="1006"/>
      <c r="G4224" s="1125"/>
      <c r="H4224" s="1125"/>
      <c r="I4224" s="1125"/>
      <c r="J4224" s="1006"/>
      <c r="K4224" s="1006"/>
      <c r="L4224" s="2568"/>
      <c r="M4224" s="2571"/>
      <c r="N4224" s="535"/>
    </row>
    <row r="4225" spans="1:16" ht="30" customHeight="1" x14ac:dyDescent="0.25">
      <c r="B4225" s="1242"/>
      <c r="C4225" s="3856" t="s">
        <v>5659</v>
      </c>
      <c r="D4225" s="780">
        <v>95957500</v>
      </c>
      <c r="E4225" s="1470">
        <f>D4225/D3944*100</f>
        <v>7.5101867583849555E-2</v>
      </c>
      <c r="F4225" s="1005"/>
      <c r="G4225" s="1005"/>
      <c r="H4225" s="1005"/>
      <c r="I4225" s="1005"/>
      <c r="J4225" s="2000"/>
      <c r="K4225" s="2001"/>
      <c r="L4225" s="2390"/>
      <c r="M4225" s="2570"/>
      <c r="N4225" s="535"/>
    </row>
    <row r="4226" spans="1:16" ht="17.25" customHeight="1" x14ac:dyDescent="0.25">
      <c r="B4226" s="1242"/>
      <c r="C4226" s="3856" t="s">
        <v>5660</v>
      </c>
      <c r="D4226" s="780">
        <v>1496400000</v>
      </c>
      <c r="E4226" s="1470">
        <f>D4226/D3944*100</f>
        <v>1.1711688471716382</v>
      </c>
      <c r="F4226" s="1005"/>
      <c r="G4226" s="1005"/>
      <c r="H4226" s="1005"/>
      <c r="I4226" s="1005"/>
      <c r="J4226" s="2000"/>
      <c r="K4226" s="1005"/>
      <c r="L4226" s="1005"/>
      <c r="M4226" s="755"/>
      <c r="N4226" s="535"/>
    </row>
    <row r="4227" spans="1:16" ht="12" customHeight="1" x14ac:dyDescent="0.25">
      <c r="B4227" s="1242"/>
      <c r="C4227" s="3991"/>
      <c r="D4227" s="780"/>
      <c r="E4227" s="1469"/>
      <c r="F4227" s="1005"/>
      <c r="G4227" s="532"/>
      <c r="H4227" s="729"/>
      <c r="I4227" s="532"/>
      <c r="J4227" s="1005"/>
      <c r="K4227" s="2509"/>
      <c r="L4227" s="2572"/>
      <c r="M4227" s="1706"/>
      <c r="N4227" s="535"/>
    </row>
    <row r="4228" spans="1:16" ht="19.5" customHeight="1" x14ac:dyDescent="0.25">
      <c r="B4228" s="1242"/>
      <c r="C4228" s="3854" t="s">
        <v>5661</v>
      </c>
      <c r="D4228" s="768">
        <f>SUM(D4229:D4230)</f>
        <v>448000000</v>
      </c>
      <c r="E4228" s="1469">
        <f>D4228/D3944*100</f>
        <v>0.35063060915055727</v>
      </c>
      <c r="F4228" s="1006"/>
      <c r="G4228" s="1125"/>
      <c r="H4228" s="1125"/>
      <c r="I4228" s="1125"/>
      <c r="J4228" s="1125"/>
      <c r="K4228" s="1125"/>
      <c r="L4228" s="1125"/>
      <c r="M4228" s="1648"/>
      <c r="N4228" s="535"/>
    </row>
    <row r="4229" spans="1:16" ht="18" customHeight="1" x14ac:dyDescent="0.25">
      <c r="B4229" s="1242"/>
      <c r="C4229" s="3856" t="s">
        <v>5662</v>
      </c>
      <c r="D4229" s="780">
        <v>250000000</v>
      </c>
      <c r="E4229" s="1470">
        <f>D4229/D3944*100</f>
        <v>0.19566440242776631</v>
      </c>
      <c r="F4229" s="1005"/>
      <c r="G4229" s="1005"/>
      <c r="H4229" s="1005"/>
      <c r="I4229" s="1005"/>
      <c r="J4229" s="1005"/>
      <c r="K4229" s="1005"/>
      <c r="L4229" s="1005"/>
      <c r="M4229" s="2003"/>
      <c r="N4229" s="535"/>
    </row>
    <row r="4230" spans="1:16" s="4099" customFormat="1" ht="18.75" customHeight="1" x14ac:dyDescent="0.25">
      <c r="A4230" s="4101"/>
      <c r="B4230" s="4119"/>
      <c r="C4230" s="3856" t="s">
        <v>5663</v>
      </c>
      <c r="D4230" s="780">
        <v>198000000</v>
      </c>
      <c r="E4230" s="1470">
        <f>D4230/D3944*100</f>
        <v>0.15496620672279096</v>
      </c>
      <c r="F4230" s="3638"/>
      <c r="G4230" s="2550"/>
      <c r="H4230" s="2550"/>
      <c r="I4230" s="2550"/>
      <c r="J4230" s="3638"/>
      <c r="K4230" s="2550"/>
      <c r="L4230" s="2550"/>
      <c r="M4230" s="2003"/>
      <c r="N4230" s="4109"/>
      <c r="P4230" s="500"/>
    </row>
    <row r="4231" spans="1:16" s="4099" customFormat="1" ht="12" customHeight="1" x14ac:dyDescent="0.25">
      <c r="A4231" s="4101"/>
      <c r="B4231" s="4119"/>
      <c r="C4231" s="3856"/>
      <c r="D4231" s="780"/>
      <c r="E4231" s="1470"/>
      <c r="F4231" s="3638"/>
      <c r="G4231" s="2550"/>
      <c r="H4231" s="4306"/>
      <c r="I4231" s="2550"/>
      <c r="J4231" s="3638"/>
      <c r="K4231" s="2550"/>
      <c r="L4231" s="2550"/>
      <c r="M4231" s="2003"/>
      <c r="N4231" s="4109"/>
      <c r="P4231" s="500"/>
    </row>
    <row r="4232" spans="1:16" ht="15.75" customHeight="1" x14ac:dyDescent="0.25">
      <c r="B4232" s="1242"/>
      <c r="C4232" s="3854" t="s">
        <v>5664</v>
      </c>
      <c r="D4232" s="768">
        <f>SUM(D4233)</f>
        <v>225000000</v>
      </c>
      <c r="E4232" s="1469">
        <f>D4232/122925060000*100</f>
        <v>0.18303834873051925</v>
      </c>
      <c r="F4232" s="1006"/>
      <c r="G4232" s="1006"/>
      <c r="H4232" s="2387"/>
      <c r="I4232" s="1473"/>
      <c r="J4232" s="1006"/>
      <c r="K4232" s="1006"/>
      <c r="L4232" s="1650"/>
      <c r="M4232" s="2006"/>
      <c r="N4232" s="535"/>
    </row>
    <row r="4233" spans="1:16" ht="31.5" customHeight="1" x14ac:dyDescent="0.25">
      <c r="B4233" s="1242"/>
      <c r="C4233" s="3856" t="s">
        <v>5665</v>
      </c>
      <c r="D4233" s="780">
        <v>225000000</v>
      </c>
      <c r="E4233" s="1470">
        <f t="shared" ref="E4233" si="2">D4233/122925060000*100</f>
        <v>0.18303834873051925</v>
      </c>
      <c r="F4233" s="1005"/>
      <c r="G4233" s="1005"/>
      <c r="H4233" s="1005"/>
      <c r="I4233" s="1005"/>
      <c r="J4233" s="1005"/>
      <c r="K4233" s="2001"/>
      <c r="L4233" s="1311"/>
      <c r="M4233" s="2483"/>
      <c r="N4233" s="535"/>
    </row>
    <row r="4234" spans="1:16" ht="12" customHeight="1" x14ac:dyDescent="0.25">
      <c r="B4234" s="1242"/>
      <c r="D4234" s="660"/>
      <c r="E4234" s="1450"/>
      <c r="F4234" s="798"/>
      <c r="G4234" s="804"/>
      <c r="H4234" s="2284"/>
      <c r="I4234" s="2284"/>
      <c r="J4234" s="798"/>
      <c r="L4234" s="2282"/>
      <c r="M4234" s="2004"/>
      <c r="N4234" s="535"/>
    </row>
    <row r="4235" spans="1:16" ht="18" customHeight="1" x14ac:dyDescent="0.25">
      <c r="B4235" s="1305"/>
      <c r="C4235" s="3973" t="s">
        <v>5666</v>
      </c>
      <c r="D4235" s="2659">
        <f>SUM(D4236)</f>
        <v>471000000</v>
      </c>
      <c r="E4235" s="1445">
        <f>D4235/D3944*100</f>
        <v>0.36863173417391176</v>
      </c>
      <c r="F4235" s="765"/>
      <c r="G4235" s="765"/>
      <c r="H4235" s="2064"/>
      <c r="I4235" s="2064"/>
      <c r="J4235" s="765"/>
      <c r="K4235" s="765"/>
      <c r="L4235" s="1307"/>
      <c r="M4235" s="2066"/>
      <c r="N4235" s="535"/>
    </row>
    <row r="4236" spans="1:16" ht="15.75" customHeight="1" x14ac:dyDescent="0.25">
      <c r="B4236" s="2907"/>
      <c r="C4236" s="3855" t="s">
        <v>5667</v>
      </c>
      <c r="D4236" s="768">
        <f>SUM(D4237:D4237)</f>
        <v>471000000</v>
      </c>
      <c r="E4236" s="1447">
        <f>D4236/D3944*100</f>
        <v>0.36863173417391176</v>
      </c>
      <c r="F4236" s="3629"/>
      <c r="G4236" s="3629"/>
      <c r="H4236" s="1473"/>
      <c r="I4236" s="1473"/>
      <c r="J4236" s="795"/>
      <c r="K4236" s="795"/>
      <c r="L4236" s="1650"/>
      <c r="M4236" s="2006"/>
      <c r="N4236" s="535"/>
    </row>
    <row r="4237" spans="1:16" ht="16.5" customHeight="1" x14ac:dyDescent="0.25">
      <c r="B4237" s="2907"/>
      <c r="C4237" s="3856" t="s">
        <v>5668</v>
      </c>
      <c r="D4237" s="780">
        <v>471000000</v>
      </c>
      <c r="E4237" s="1470">
        <f>D4237/D3944*100</f>
        <v>0.36863173417391176</v>
      </c>
      <c r="F4237" s="1005"/>
      <c r="G4237" s="802"/>
      <c r="H4237" s="1474"/>
      <c r="I4237" s="1474"/>
      <c r="J4237" s="1005"/>
      <c r="K4237" s="1005"/>
      <c r="L4237" s="1311"/>
      <c r="M4237" s="2003"/>
      <c r="N4237" s="535"/>
    </row>
    <row r="4238" spans="1:16" ht="12" customHeight="1" x14ac:dyDescent="0.25">
      <c r="B4238" s="2904"/>
      <c r="D4238" s="799"/>
      <c r="E4238" s="1326"/>
      <c r="F4238" s="827"/>
      <c r="G4238" s="940"/>
      <c r="H4238" s="2391"/>
      <c r="I4238" s="2391"/>
      <c r="J4238" s="827"/>
      <c r="K4238" s="2573"/>
      <c r="L4238" s="2343"/>
      <c r="M4238" s="2474"/>
      <c r="N4238" s="536"/>
    </row>
    <row r="4239" spans="1:16" ht="15" customHeight="1" x14ac:dyDescent="0.25">
      <c r="B4239" s="1305"/>
      <c r="C4239" s="3973" t="s">
        <v>5669</v>
      </c>
      <c r="D4239" s="2659">
        <f>SUM(D4240+D4245+D4249+D4253)</f>
        <v>1200000000</v>
      </c>
      <c r="E4239" s="1445">
        <f>D4239/D3944*100</f>
        <v>0.93918913165327833</v>
      </c>
      <c r="F4239" s="765"/>
      <c r="G4239" s="765"/>
      <c r="H4239" s="765"/>
      <c r="I4239" s="765"/>
      <c r="J4239" s="765"/>
      <c r="K4239" s="765"/>
      <c r="L4239" s="2356"/>
      <c r="M4239" s="2315"/>
      <c r="N4239" s="584"/>
    </row>
    <row r="4240" spans="1:16" ht="18" customHeight="1" x14ac:dyDescent="0.25">
      <c r="B4240" s="1242"/>
      <c r="C4240" s="3855" t="s">
        <v>5670</v>
      </c>
      <c r="D4240" s="2026">
        <f>SUM(D4241:D4243)</f>
        <v>610000000</v>
      </c>
      <c r="E4240" s="1447">
        <f>D4240/D3944*100</f>
        <v>0.47742114192374985</v>
      </c>
      <c r="F4240" s="766"/>
      <c r="G4240" s="1006"/>
      <c r="H4240" s="1006"/>
      <c r="I4240" s="1006"/>
      <c r="J4240" s="766"/>
      <c r="K4240" s="766"/>
      <c r="L4240" s="1650"/>
      <c r="M4240" s="2006"/>
      <c r="N4240" s="535"/>
    </row>
    <row r="4241" spans="1:16" ht="15" customHeight="1" x14ac:dyDescent="0.25">
      <c r="B4241" s="1242"/>
      <c r="C4241" s="3856" t="s">
        <v>5671</v>
      </c>
      <c r="D4241" s="780">
        <v>100000000</v>
      </c>
      <c r="E4241" s="1470">
        <f>D4241/D3944*100</f>
        <v>7.8265760971106532E-2</v>
      </c>
      <c r="F4241" s="755"/>
      <c r="G4241" s="1005"/>
      <c r="H4241" s="1005"/>
      <c r="I4241" s="1005"/>
      <c r="J4241" s="2000"/>
      <c r="K4241" s="2001"/>
      <c r="L4241" s="1311"/>
      <c r="M4241" s="2003"/>
      <c r="N4241" s="535"/>
    </row>
    <row r="4242" spans="1:16" ht="12.75" customHeight="1" x14ac:dyDescent="0.25">
      <c r="B4242" s="1242"/>
      <c r="C4242" s="3856" t="s">
        <v>5672</v>
      </c>
      <c r="D4242" s="780">
        <v>270000000</v>
      </c>
      <c r="E4242" s="1470">
        <f>D4242/D3944*100</f>
        <v>0.21131755462198762</v>
      </c>
      <c r="F4242" s="755"/>
      <c r="G4242" s="802"/>
      <c r="H4242" s="802"/>
      <c r="I4242" s="802"/>
      <c r="J4242" s="755"/>
      <c r="K4242" s="1311"/>
      <c r="L4242" s="1311"/>
      <c r="M4242" s="2003"/>
      <c r="N4242" s="535"/>
    </row>
    <row r="4243" spans="1:16" s="4099" customFormat="1" ht="15.75" customHeight="1" x14ac:dyDescent="0.25">
      <c r="A4243" s="4101"/>
      <c r="B4243" s="4119"/>
      <c r="C4243" s="3856" t="s">
        <v>5673</v>
      </c>
      <c r="D4243" s="780">
        <v>240000000</v>
      </c>
      <c r="E4243" s="1470">
        <f>D4243/D3944*100</f>
        <v>0.18783782633065568</v>
      </c>
      <c r="F4243" s="3630"/>
      <c r="G4243" s="3620"/>
      <c r="H4243" s="3620"/>
      <c r="I4243" s="3620"/>
      <c r="J4243" s="3630"/>
      <c r="K4243" s="1311"/>
      <c r="L4243" s="1311"/>
      <c r="M4243" s="2003"/>
      <c r="N4243" s="4109"/>
      <c r="P4243" s="500"/>
    </row>
    <row r="4244" spans="1:16" s="4099" customFormat="1" ht="12" customHeight="1" x14ac:dyDescent="0.25">
      <c r="A4244" s="4101"/>
      <c r="B4244" s="4119"/>
      <c r="C4244" s="3991"/>
      <c r="D4244" s="780"/>
      <c r="E4244" s="1470"/>
      <c r="F4244" s="3630"/>
      <c r="G4244" s="3620"/>
      <c r="H4244" s="3620"/>
      <c r="I4244" s="3620"/>
      <c r="J4244" s="3630"/>
      <c r="K4244" s="1311"/>
      <c r="L4244" s="1311"/>
      <c r="M4244" s="2003"/>
      <c r="N4244" s="4109"/>
      <c r="P4244" s="500"/>
    </row>
    <row r="4245" spans="1:16" ht="17.25" customHeight="1" x14ac:dyDescent="0.25">
      <c r="B4245" s="1242"/>
      <c r="C4245" s="3855" t="s">
        <v>5674</v>
      </c>
      <c r="D4245" s="768">
        <f>SUM(D4246:D4247)</f>
        <v>290000000</v>
      </c>
      <c r="E4245" s="1469">
        <f>D4245/D3944*100</f>
        <v>0.22697070681620893</v>
      </c>
      <c r="F4245" s="753"/>
      <c r="G4245" s="1006"/>
      <c r="H4245" s="1006"/>
      <c r="I4245" s="1006"/>
      <c r="J4245" s="753"/>
      <c r="K4245" s="1006"/>
      <c r="L4245" s="1006"/>
      <c r="M4245" s="2006"/>
      <c r="N4245" s="535"/>
    </row>
    <row r="4246" spans="1:16" ht="16.5" customHeight="1" x14ac:dyDescent="0.25">
      <c r="B4246" s="1242"/>
      <c r="C4246" s="3856" t="s">
        <v>5675</v>
      </c>
      <c r="D4246" s="780">
        <v>150000000</v>
      </c>
      <c r="E4246" s="1470">
        <f>D4246/D3944*100</f>
        <v>0.11739864145665979</v>
      </c>
      <c r="F4246" s="755"/>
      <c r="G4246" s="1005"/>
      <c r="H4246" s="1005"/>
      <c r="I4246" s="1005"/>
      <c r="J4246" s="755"/>
      <c r="K4246" s="1005"/>
      <c r="L4246" s="1005"/>
      <c r="M4246" s="2003"/>
      <c r="N4246" s="535"/>
    </row>
    <row r="4247" spans="1:16" ht="17.25" customHeight="1" x14ac:dyDescent="0.25">
      <c r="B4247" s="1242"/>
      <c r="C4247" s="3856" t="s">
        <v>5676</v>
      </c>
      <c r="D4247" s="780">
        <v>140000000</v>
      </c>
      <c r="E4247" s="1470">
        <f>D4247/D3944*100</f>
        <v>0.10957206535954914</v>
      </c>
      <c r="F4247" s="755"/>
      <c r="G4247" s="1005"/>
      <c r="H4247" s="1005"/>
      <c r="I4247" s="1005"/>
      <c r="J4247" s="755"/>
      <c r="K4247" s="1005"/>
      <c r="L4247" s="1005"/>
      <c r="M4247" s="2003"/>
      <c r="N4247" s="535"/>
    </row>
    <row r="4248" spans="1:16" s="4099" customFormat="1" ht="11.25" customHeight="1" x14ac:dyDescent="0.25">
      <c r="A4248" s="4101"/>
      <c r="B4248" s="4119"/>
      <c r="C4248" s="4062"/>
      <c r="D4248" s="660"/>
      <c r="E4248" s="1470"/>
      <c r="F4248" s="798"/>
      <c r="G4248" s="1998"/>
      <c r="H4248" s="1998"/>
      <c r="I4248" s="1998"/>
      <c r="J4248" s="798"/>
      <c r="K4248" s="1998"/>
      <c r="L4248" s="1998"/>
      <c r="M4248" s="2004"/>
      <c r="N4248" s="4109"/>
      <c r="P4248" s="500"/>
    </row>
    <row r="4249" spans="1:16" s="4099" customFormat="1" ht="17.25" customHeight="1" x14ac:dyDescent="0.25">
      <c r="A4249" s="4101"/>
      <c r="B4249" s="4119"/>
      <c r="C4249" s="4103" t="s">
        <v>5677</v>
      </c>
      <c r="D4249" s="768">
        <f>SUM(D4250:D4251)</f>
        <v>200000000</v>
      </c>
      <c r="E4249" s="1469">
        <f>D4249/D3944*100</f>
        <v>0.15653152194221306</v>
      </c>
      <c r="F4249" s="3630"/>
      <c r="G4249" s="3638"/>
      <c r="H4249" s="3638"/>
      <c r="I4249" s="3638"/>
      <c r="J4249" s="3630"/>
      <c r="K4249" s="3638"/>
      <c r="L4249" s="3638"/>
      <c r="M4249" s="2483"/>
      <c r="N4249" s="4109"/>
      <c r="P4249" s="500"/>
    </row>
    <row r="4250" spans="1:16" s="4099" customFormat="1" ht="30.75" customHeight="1" x14ac:dyDescent="0.25">
      <c r="A4250" s="4101"/>
      <c r="B4250" s="4119"/>
      <c r="C4250" s="3856" t="s">
        <v>5678</v>
      </c>
      <c r="D4250" s="780">
        <v>100000000</v>
      </c>
      <c r="E4250" s="1470">
        <f>D4250/D3944*100</f>
        <v>7.8265760971106532E-2</v>
      </c>
      <c r="F4250" s="3630"/>
      <c r="G4250" s="3638"/>
      <c r="H4250" s="3638"/>
      <c r="I4250" s="3638"/>
      <c r="J4250" s="3630"/>
      <c r="K4250" s="3638"/>
      <c r="L4250" s="3638"/>
      <c r="M4250" s="2483"/>
      <c r="N4250" s="4109"/>
      <c r="P4250" s="500"/>
    </row>
    <row r="4251" spans="1:16" s="4099" customFormat="1" ht="29.25" customHeight="1" x14ac:dyDescent="0.25">
      <c r="A4251" s="4101"/>
      <c r="B4251" s="4119"/>
      <c r="C4251" s="3856" t="s">
        <v>5679</v>
      </c>
      <c r="D4251" s="780">
        <v>100000000</v>
      </c>
      <c r="E4251" s="1470">
        <f>D4251/D3944*100</f>
        <v>7.8265760971106532E-2</v>
      </c>
      <c r="F4251" s="3630"/>
      <c r="G4251" s="3638"/>
      <c r="H4251" s="3638"/>
      <c r="I4251" s="3638"/>
      <c r="J4251" s="3630"/>
      <c r="K4251" s="3638"/>
      <c r="L4251" s="3638"/>
      <c r="M4251" s="2483"/>
      <c r="N4251" s="4109"/>
      <c r="P4251" s="500"/>
    </row>
    <row r="4252" spans="1:16" s="4099" customFormat="1" ht="12.75" customHeight="1" x14ac:dyDescent="0.25">
      <c r="A4252" s="4101"/>
      <c r="B4252" s="4119"/>
      <c r="C4252" s="3856"/>
      <c r="D4252" s="780"/>
      <c r="E4252" s="1470"/>
      <c r="F4252" s="3630"/>
      <c r="G4252" s="3638"/>
      <c r="H4252" s="3638"/>
      <c r="I4252" s="3638"/>
      <c r="J4252" s="3630"/>
      <c r="K4252" s="3638"/>
      <c r="L4252" s="3638"/>
      <c r="M4252" s="2483"/>
      <c r="N4252" s="4109"/>
      <c r="P4252" s="500"/>
    </row>
    <row r="4253" spans="1:16" s="4099" customFormat="1" ht="17.25" customHeight="1" x14ac:dyDescent="0.25">
      <c r="A4253" s="4101"/>
      <c r="B4253" s="4119"/>
      <c r="C4253" s="4103" t="s">
        <v>5680</v>
      </c>
      <c r="D4253" s="768">
        <f>D4254</f>
        <v>100000000</v>
      </c>
      <c r="E4253" s="1470">
        <f>D4253/D3944*100</f>
        <v>7.8265760971106532E-2</v>
      </c>
      <c r="F4253" s="3630"/>
      <c r="G4253" s="3638"/>
      <c r="H4253" s="3638"/>
      <c r="I4253" s="3638"/>
      <c r="J4253" s="3630"/>
      <c r="K4253" s="3638"/>
      <c r="L4253" s="3638"/>
      <c r="M4253" s="2483"/>
      <c r="N4253" s="4109"/>
      <c r="P4253" s="500"/>
    </row>
    <row r="4254" spans="1:16" s="4099" customFormat="1" ht="17.25" customHeight="1" x14ac:dyDescent="0.25">
      <c r="A4254" s="4101"/>
      <c r="B4254" s="4119"/>
      <c r="C4254" s="3856" t="s">
        <v>5681</v>
      </c>
      <c r="D4254" s="780">
        <v>100000000</v>
      </c>
      <c r="E4254" s="1470">
        <f>D4254/D3944*100</f>
        <v>7.8265760971106532E-2</v>
      </c>
      <c r="F4254" s="3630"/>
      <c r="G4254" s="3638"/>
      <c r="H4254" s="3638"/>
      <c r="I4254" s="3638"/>
      <c r="J4254" s="3630"/>
      <c r="K4254" s="3638"/>
      <c r="L4254" s="3638"/>
      <c r="M4254" s="2483"/>
      <c r="N4254" s="4109"/>
      <c r="P4254" s="500"/>
    </row>
    <row r="4255" spans="1:16" ht="12" customHeight="1" x14ac:dyDescent="0.25">
      <c r="B4255" s="1242"/>
      <c r="D4255" s="799"/>
      <c r="E4255" s="1450"/>
      <c r="F4255" s="827"/>
      <c r="G4255" s="804"/>
      <c r="H4255" s="2284"/>
      <c r="I4255" s="2284"/>
      <c r="J4255" s="827"/>
      <c r="K4255" s="2182"/>
      <c r="L4255" s="2182"/>
      <c r="M4255" s="2004"/>
      <c r="N4255" s="535"/>
    </row>
    <row r="4256" spans="1:16" ht="18.75" customHeight="1" x14ac:dyDescent="0.25">
      <c r="B4256" s="1305"/>
      <c r="C4256" s="3973" t="s">
        <v>5682</v>
      </c>
      <c r="D4256" s="2659">
        <f>SUM(D4257)</f>
        <v>362500000</v>
      </c>
      <c r="E4256" s="1445">
        <f>D4256/D3944*100</f>
        <v>0.28371338352026121</v>
      </c>
      <c r="F4256" s="765"/>
      <c r="G4256" s="765"/>
      <c r="H4256" s="2064"/>
      <c r="I4256" s="1645"/>
      <c r="J4256" s="765"/>
      <c r="K4256" s="765"/>
      <c r="L4256" s="2065"/>
      <c r="M4256" s="1656"/>
      <c r="N4256" s="535"/>
    </row>
    <row r="4257" spans="1:16" ht="15.75" customHeight="1" x14ac:dyDescent="0.25">
      <c r="B4257" s="2904"/>
      <c r="C4257" s="3855" t="s">
        <v>5683</v>
      </c>
      <c r="D4257" s="768">
        <f>SUM(D4258:D4259)</f>
        <v>362500000</v>
      </c>
      <c r="E4257" s="1469">
        <f>D4257/D3944*100</f>
        <v>0.28371338352026121</v>
      </c>
      <c r="F4257" s="753"/>
      <c r="G4257" s="1006"/>
      <c r="H4257" s="1006"/>
      <c r="I4257" s="1006"/>
      <c r="J4257" s="753"/>
      <c r="K4257" s="753"/>
      <c r="L4257" s="2264"/>
      <c r="M4257" s="2264"/>
      <c r="N4257" s="535"/>
    </row>
    <row r="4258" spans="1:16" ht="17.25" customHeight="1" x14ac:dyDescent="0.25">
      <c r="B4258" s="1242"/>
      <c r="C4258" s="3856" t="s">
        <v>5684</v>
      </c>
      <c r="D4258" s="1846">
        <v>187500000</v>
      </c>
      <c r="E4258" s="1470">
        <f>D4258/D3944*100</f>
        <v>0.14674830182082474</v>
      </c>
      <c r="F4258" s="386"/>
      <c r="G4258" s="1005"/>
      <c r="H4258" s="1005"/>
      <c r="I4258" s="1005"/>
      <c r="J4258" s="2000"/>
      <c r="K4258" s="2001"/>
      <c r="L4258" s="2551"/>
      <c r="M4258" s="1648"/>
      <c r="N4258" s="535"/>
    </row>
    <row r="4259" spans="1:16" ht="16.5" customHeight="1" x14ac:dyDescent="0.25">
      <c r="B4259" s="1242"/>
      <c r="C4259" s="3856" t="s">
        <v>5685</v>
      </c>
      <c r="D4259" s="1846">
        <v>175000000</v>
      </c>
      <c r="E4259" s="1470">
        <f>D4259/D3944*100</f>
        <v>0.13696508169943644</v>
      </c>
      <c r="F4259" s="386"/>
      <c r="G4259" s="1005"/>
      <c r="H4259" s="1005"/>
      <c r="I4259" s="1005"/>
      <c r="J4259" s="2000"/>
      <c r="K4259" s="1005"/>
      <c r="L4259" s="1005"/>
      <c r="M4259" s="1648"/>
      <c r="N4259" s="535"/>
    </row>
    <row r="4260" spans="1:16" ht="12" customHeight="1" x14ac:dyDescent="0.25">
      <c r="B4260" s="1242"/>
      <c r="D4260" s="660"/>
      <c r="E4260" s="1450"/>
      <c r="F4260" s="1007"/>
      <c r="G4260" s="1065"/>
      <c r="H4260" s="2541"/>
      <c r="I4260" s="2409"/>
      <c r="J4260" s="1007"/>
      <c r="K4260" s="2282"/>
      <c r="L4260" s="2182"/>
      <c r="M4260" s="2004"/>
      <c r="N4260" s="535"/>
    </row>
    <row r="4261" spans="1:16" ht="18" customHeight="1" x14ac:dyDescent="0.25">
      <c r="B4261" s="1305"/>
      <c r="C4261" s="3973" t="s">
        <v>5841</v>
      </c>
      <c r="D4261" s="2659">
        <f>SUM(D4262+D4267+D4275+D4279+D4284)</f>
        <v>2817910000</v>
      </c>
      <c r="E4261" s="1445">
        <f>D4261/D3944*100</f>
        <v>2.205458704980908</v>
      </c>
      <c r="F4261" s="765"/>
      <c r="G4261" s="765"/>
      <c r="H4261" s="765"/>
      <c r="I4261" s="765"/>
      <c r="J4261" s="765"/>
      <c r="K4261" s="765"/>
      <c r="L4261" s="2065"/>
      <c r="M4261" s="2066"/>
      <c r="N4261" s="535"/>
    </row>
    <row r="4262" spans="1:16" ht="15.75" customHeight="1" x14ac:dyDescent="0.25">
      <c r="B4262" s="1242"/>
      <c r="C4262" s="3855" t="s">
        <v>5842</v>
      </c>
      <c r="D4262" s="2024">
        <f>SUM(D4263:D4265)</f>
        <v>501064000</v>
      </c>
      <c r="E4262" s="1469">
        <f>D4262/D3944*100</f>
        <v>0.3921615525522652</v>
      </c>
      <c r="F4262" s="795"/>
      <c r="G4262" s="1006"/>
      <c r="H4262" s="1006"/>
      <c r="I4262" s="1006"/>
      <c r="J4262" s="795"/>
      <c r="K4262" s="795"/>
      <c r="L4262" s="2574"/>
      <c r="M4262" s="2308"/>
      <c r="N4262" s="535"/>
    </row>
    <row r="4263" spans="1:16" ht="16.5" customHeight="1" x14ac:dyDescent="0.25">
      <c r="B4263" s="1242"/>
      <c r="C4263" s="3856" t="s">
        <v>5686</v>
      </c>
      <c r="D4263" s="780">
        <v>243250000</v>
      </c>
      <c r="E4263" s="1470">
        <f>D4263/D3944*100</f>
        <v>0.19038146356221664</v>
      </c>
      <c r="F4263" s="1005"/>
      <c r="G4263" s="1005"/>
      <c r="H4263" s="1005"/>
      <c r="I4263" s="1005"/>
      <c r="J4263" s="2000"/>
      <c r="K4263" s="2001"/>
      <c r="L4263" s="2390"/>
      <c r="M4263" s="2230"/>
      <c r="N4263" s="535"/>
    </row>
    <row r="4264" spans="1:16" ht="15.75" customHeight="1" x14ac:dyDescent="0.25">
      <c r="B4264" s="1242"/>
      <c r="C4264" s="3856" t="s">
        <v>5687</v>
      </c>
      <c r="D4264" s="780">
        <v>107814000</v>
      </c>
      <c r="E4264" s="1470">
        <f>D4264/D3944*100</f>
        <v>8.4381447533388804E-2</v>
      </c>
      <c r="F4264" s="1005"/>
      <c r="G4264" s="1005"/>
      <c r="H4264" s="1005"/>
      <c r="I4264" s="1005"/>
      <c r="J4264" s="2000"/>
      <c r="K4264" s="2575"/>
      <c r="L4264" s="1648"/>
      <c r="M4264" s="1648"/>
      <c r="N4264" s="535"/>
    </row>
    <row r="4265" spans="1:16" ht="16.5" customHeight="1" x14ac:dyDescent="0.25">
      <c r="B4265" s="1242"/>
      <c r="C4265" s="3856" t="s">
        <v>5688</v>
      </c>
      <c r="D4265" s="780">
        <v>150000000</v>
      </c>
      <c r="E4265" s="1470">
        <f>D4265/D3944*100</f>
        <v>0.11739864145665979</v>
      </c>
      <c r="F4265" s="1005"/>
      <c r="G4265" s="1005"/>
      <c r="H4265" s="1005"/>
      <c r="I4265" s="1005"/>
      <c r="J4265" s="2000"/>
      <c r="K4265" s="2001"/>
      <c r="L4265" s="2390"/>
      <c r="M4265" s="2230"/>
      <c r="N4265" s="535"/>
    </row>
    <row r="4266" spans="1:16" s="4099" customFormat="1" ht="10.5" customHeight="1" x14ac:dyDescent="0.25">
      <c r="A4266" s="4101"/>
      <c r="B4266" s="4119"/>
      <c r="C4266" s="4062"/>
      <c r="D4266" s="799"/>
      <c r="E4266" s="1470"/>
      <c r="F4266" s="1999"/>
      <c r="G4266" s="1998"/>
      <c r="H4266" s="1998"/>
      <c r="I4266" s="1998"/>
      <c r="J4266" s="4164"/>
      <c r="K4266" s="4300"/>
      <c r="L4266" s="1513"/>
      <c r="M4266" s="2227"/>
      <c r="N4266" s="4109"/>
      <c r="P4266" s="500"/>
    </row>
    <row r="4267" spans="1:16" s="4099" customFormat="1" ht="16.5" customHeight="1" x14ac:dyDescent="0.25">
      <c r="A4267" s="4101"/>
      <c r="B4267" s="4119"/>
      <c r="C4267" s="4103" t="s">
        <v>5689</v>
      </c>
      <c r="D4267" s="768">
        <f>SUM(D4268:D4273)</f>
        <v>951525000</v>
      </c>
      <c r="E4267" s="1469">
        <f>D4267/D3944*100</f>
        <v>0.74471828208032143</v>
      </c>
      <c r="F4267" s="3638"/>
      <c r="G4267" s="3638"/>
      <c r="H4267" s="3638"/>
      <c r="I4267" s="3638"/>
      <c r="J4267" s="2000"/>
      <c r="K4267" s="4300"/>
      <c r="L4267" s="1513"/>
      <c r="M4267" s="2227"/>
      <c r="N4267" s="4109"/>
      <c r="P4267" s="500"/>
    </row>
    <row r="4268" spans="1:16" s="4099" customFormat="1" ht="16.5" customHeight="1" x14ac:dyDescent="0.25">
      <c r="A4268" s="4101"/>
      <c r="B4268" s="4119"/>
      <c r="C4268" s="3856" t="s">
        <v>5690</v>
      </c>
      <c r="D4268" s="780">
        <v>30000000</v>
      </c>
      <c r="E4268" s="1470">
        <f>D4268/D3944*100</f>
        <v>2.347972829133196E-2</v>
      </c>
      <c r="F4268" s="3638"/>
      <c r="G4268" s="3638"/>
      <c r="H4268" s="3638"/>
      <c r="I4268" s="3638"/>
      <c r="J4268" s="2000"/>
      <c r="K4268" s="4300"/>
      <c r="L4268" s="1513"/>
      <c r="M4268" s="2227"/>
      <c r="N4268" s="4109"/>
      <c r="P4268" s="500"/>
    </row>
    <row r="4269" spans="1:16" s="4099" customFormat="1" ht="16.5" customHeight="1" x14ac:dyDescent="0.25">
      <c r="A4269" s="4101"/>
      <c r="B4269" s="4119"/>
      <c r="C4269" s="3856" t="s">
        <v>5691</v>
      </c>
      <c r="D4269" s="780">
        <v>170000000</v>
      </c>
      <c r="E4269" s="1470">
        <f>D4269/D3944*100</f>
        <v>0.1330517936508811</v>
      </c>
      <c r="F4269" s="3638"/>
      <c r="G4269" s="3638"/>
      <c r="H4269" s="3638"/>
      <c r="I4269" s="3638"/>
      <c r="J4269" s="2000"/>
      <c r="K4269" s="4300"/>
      <c r="L4269" s="1513"/>
      <c r="M4269" s="2227"/>
      <c r="N4269" s="4109"/>
      <c r="P4269" s="500"/>
    </row>
    <row r="4270" spans="1:16" s="4099" customFormat="1" ht="16.5" customHeight="1" x14ac:dyDescent="0.25">
      <c r="A4270" s="4101"/>
      <c r="B4270" s="4119"/>
      <c r="C4270" s="3856" t="s">
        <v>5692</v>
      </c>
      <c r="D4270" s="780">
        <v>51525000</v>
      </c>
      <c r="E4270" s="1470">
        <f>D4270/D3944*100</f>
        <v>4.0326433340362643E-2</v>
      </c>
      <c r="F4270" s="3638"/>
      <c r="G4270" s="3638"/>
      <c r="H4270" s="3638"/>
      <c r="I4270" s="3638"/>
      <c r="J4270" s="2000"/>
      <c r="K4270" s="4300"/>
      <c r="L4270" s="1513"/>
      <c r="M4270" s="2227"/>
      <c r="N4270" s="4109"/>
      <c r="P4270" s="500"/>
    </row>
    <row r="4271" spans="1:16" s="4099" customFormat="1" ht="16.5" customHeight="1" x14ac:dyDescent="0.25">
      <c r="A4271" s="4101"/>
      <c r="B4271" s="4119"/>
      <c r="C4271" s="3856" t="s">
        <v>5693</v>
      </c>
      <c r="D4271" s="780">
        <v>500000000</v>
      </c>
      <c r="E4271" s="1470">
        <f>D4271/D3944*100</f>
        <v>0.39132880485553262</v>
      </c>
      <c r="F4271" s="3638"/>
      <c r="G4271" s="3638"/>
      <c r="H4271" s="3638"/>
      <c r="I4271" s="3638"/>
      <c r="J4271" s="2000"/>
      <c r="K4271" s="4300"/>
      <c r="L4271" s="1513"/>
      <c r="M4271" s="2227"/>
      <c r="N4271" s="4109"/>
      <c r="P4271" s="500"/>
    </row>
    <row r="4272" spans="1:16" s="4099" customFormat="1" ht="16.5" customHeight="1" x14ac:dyDescent="0.25">
      <c r="A4272" s="4101"/>
      <c r="B4272" s="4119"/>
      <c r="C4272" s="3856" t="s">
        <v>5694</v>
      </c>
      <c r="D4272" s="780">
        <v>100000000</v>
      </c>
      <c r="E4272" s="1470">
        <f>D4272/D3944*100</f>
        <v>7.8265760971106532E-2</v>
      </c>
      <c r="F4272" s="3638"/>
      <c r="G4272" s="3638"/>
      <c r="H4272" s="3638"/>
      <c r="I4272" s="3638"/>
      <c r="J4272" s="2000"/>
      <c r="K4272" s="4300"/>
      <c r="L4272" s="1513"/>
      <c r="M4272" s="2227"/>
      <c r="N4272" s="4109"/>
      <c r="P4272" s="500"/>
    </row>
    <row r="4273" spans="1:16" s="4099" customFormat="1" ht="16.5" customHeight="1" x14ac:dyDescent="0.25">
      <c r="A4273" s="4101"/>
      <c r="B4273" s="4119"/>
      <c r="C4273" s="3856" t="s">
        <v>5695</v>
      </c>
      <c r="D4273" s="780">
        <v>100000000</v>
      </c>
      <c r="E4273" s="1470">
        <f>D4273/D3944*100</f>
        <v>7.8265760971106532E-2</v>
      </c>
      <c r="F4273" s="3638"/>
      <c r="G4273" s="3638"/>
      <c r="H4273" s="3638"/>
      <c r="I4273" s="3638"/>
      <c r="J4273" s="2000"/>
      <c r="K4273" s="4300"/>
      <c r="L4273" s="1513"/>
      <c r="M4273" s="2227"/>
      <c r="N4273" s="4109"/>
      <c r="P4273" s="500"/>
    </row>
    <row r="4274" spans="1:16" s="4099" customFormat="1" ht="10.5" customHeight="1" x14ac:dyDescent="0.25">
      <c r="A4274" s="4101"/>
      <c r="B4274" s="4119"/>
      <c r="C4274" s="3856"/>
      <c r="D4274" s="780"/>
      <c r="E4274" s="1470"/>
      <c r="F4274" s="3638"/>
      <c r="G4274" s="3638"/>
      <c r="H4274" s="3638"/>
      <c r="I4274" s="3638"/>
      <c r="J4274" s="2000"/>
      <c r="K4274" s="4300"/>
      <c r="L4274" s="1513"/>
      <c r="M4274" s="2227"/>
      <c r="N4274" s="4109"/>
      <c r="P4274" s="500"/>
    </row>
    <row r="4275" spans="1:16" s="4099" customFormat="1" ht="16.5" customHeight="1" x14ac:dyDescent="0.25">
      <c r="A4275" s="4101"/>
      <c r="B4275" s="4119"/>
      <c r="C4275" s="4103" t="s">
        <v>5696</v>
      </c>
      <c r="D4275" s="768">
        <f>SUM(D4276:D4277)</f>
        <v>1278350000</v>
      </c>
      <c r="E4275" s="1469">
        <f>D4275/D3944*100</f>
        <v>1.0005103553741406</v>
      </c>
      <c r="F4275" s="3638"/>
      <c r="G4275" s="3638"/>
      <c r="H4275" s="3638"/>
      <c r="I4275" s="3638"/>
      <c r="J4275" s="2000"/>
      <c r="K4275" s="4300"/>
      <c r="L4275" s="1513"/>
      <c r="M4275" s="2227"/>
      <c r="N4275" s="4109"/>
      <c r="P4275" s="500"/>
    </row>
    <row r="4276" spans="1:16" s="4099" customFormat="1" ht="16.5" customHeight="1" x14ac:dyDescent="0.25">
      <c r="A4276" s="4101"/>
      <c r="B4276" s="4119"/>
      <c r="C4276" s="3856" t="s">
        <v>5697</v>
      </c>
      <c r="D4276" s="780">
        <v>186800000</v>
      </c>
      <c r="E4276" s="1470">
        <f>D4276/D3944*100</f>
        <v>0.146200441494027</v>
      </c>
      <c r="F4276" s="3638"/>
      <c r="G4276" s="3638"/>
      <c r="H4276" s="3638"/>
      <c r="I4276" s="3638"/>
      <c r="J4276" s="2000"/>
      <c r="K4276" s="4300"/>
      <c r="L4276" s="1513"/>
      <c r="M4276" s="2227"/>
      <c r="N4276" s="4109"/>
      <c r="P4276" s="500"/>
    </row>
    <row r="4277" spans="1:16" s="4099" customFormat="1" ht="16.5" customHeight="1" x14ac:dyDescent="0.25">
      <c r="A4277" s="4101"/>
      <c r="B4277" s="4119"/>
      <c r="C4277" s="3856" t="s">
        <v>5698</v>
      </c>
      <c r="D4277" s="780">
        <v>1091550000</v>
      </c>
      <c r="E4277" s="1470">
        <f>D4277/D3944*100</f>
        <v>0.85430991388011335</v>
      </c>
      <c r="F4277" s="3638"/>
      <c r="G4277" s="3638"/>
      <c r="H4277" s="3638"/>
      <c r="I4277" s="3638"/>
      <c r="J4277" s="2000"/>
      <c r="K4277" s="4300"/>
      <c r="L4277" s="1513"/>
      <c r="M4277" s="2227"/>
      <c r="N4277" s="4109"/>
      <c r="P4277" s="500"/>
    </row>
    <row r="4278" spans="1:16" s="4099" customFormat="1" ht="10.5" customHeight="1" x14ac:dyDescent="0.25">
      <c r="A4278" s="4101"/>
      <c r="B4278" s="4119"/>
      <c r="C4278" s="4103"/>
      <c r="D4278" s="780"/>
      <c r="E4278" s="1470"/>
      <c r="F4278" s="3638"/>
      <c r="G4278" s="3638"/>
      <c r="H4278" s="3638"/>
      <c r="I4278" s="3638"/>
      <c r="J4278" s="2000"/>
      <c r="K4278" s="4300"/>
      <c r="L4278" s="1513"/>
      <c r="M4278" s="2227"/>
      <c r="N4278" s="4109"/>
      <c r="P4278" s="500"/>
    </row>
    <row r="4279" spans="1:16" s="4099" customFormat="1" ht="16.5" customHeight="1" x14ac:dyDescent="0.25">
      <c r="A4279" s="4101"/>
      <c r="B4279" s="4119"/>
      <c r="C4279" s="4103" t="s">
        <v>5699</v>
      </c>
      <c r="D4279" s="768">
        <f>D4280</f>
        <v>1239000</v>
      </c>
      <c r="E4279" s="1469">
        <f>D4279/D3944*100</f>
        <v>9.6971277843201E-4</v>
      </c>
      <c r="F4279" s="3638"/>
      <c r="G4279" s="3638"/>
      <c r="H4279" s="3638"/>
      <c r="I4279" s="3638"/>
      <c r="J4279" s="2000"/>
      <c r="K4279" s="4300"/>
      <c r="L4279" s="1513"/>
      <c r="M4279" s="2227"/>
      <c r="N4279" s="4109"/>
      <c r="P4279" s="500"/>
    </row>
    <row r="4280" spans="1:16" s="4099" customFormat="1" ht="16.5" customHeight="1" x14ac:dyDescent="0.25">
      <c r="A4280" s="4101"/>
      <c r="B4280" s="4119"/>
      <c r="C4280" s="3856" t="s">
        <v>5700</v>
      </c>
      <c r="D4280" s="780">
        <v>1239000</v>
      </c>
      <c r="E4280" s="1470">
        <f>D4280/D3944*100</f>
        <v>9.6971277843201E-4</v>
      </c>
      <c r="F4280" s="3638"/>
      <c r="G4280" s="3638"/>
      <c r="H4280" s="3638"/>
      <c r="I4280" s="3638"/>
      <c r="J4280" s="2000"/>
      <c r="K4280" s="4300"/>
      <c r="L4280" s="1513"/>
      <c r="M4280" s="2227"/>
      <c r="N4280" s="4109"/>
      <c r="P4280" s="500"/>
    </row>
    <row r="4281" spans="1:16" s="4099" customFormat="1" ht="9.75" customHeight="1" x14ac:dyDescent="0.25">
      <c r="A4281" s="4101"/>
      <c r="B4281" s="4119"/>
      <c r="C4281" s="4103"/>
      <c r="D4281" s="780"/>
      <c r="E4281" s="1470"/>
      <c r="F4281" s="3638"/>
      <c r="G4281" s="3638"/>
      <c r="H4281" s="3638"/>
      <c r="I4281" s="3638"/>
      <c r="J4281" s="2000"/>
      <c r="K4281" s="4300"/>
      <c r="L4281" s="1513"/>
      <c r="M4281" s="2227"/>
      <c r="N4281" s="4109"/>
      <c r="P4281" s="500"/>
    </row>
    <row r="4282" spans="1:16" s="4099" customFormat="1" ht="16.5" customHeight="1" x14ac:dyDescent="0.25">
      <c r="A4282" s="4101"/>
      <c r="B4282" s="4119"/>
      <c r="C4282" s="4103" t="s">
        <v>5839</v>
      </c>
      <c r="D4282" s="768">
        <f>SUM(D4283:D4284)</f>
        <v>203032000</v>
      </c>
      <c r="E4282" s="1469">
        <f>D4282/D3944*100</f>
        <v>0.15890453981485703</v>
      </c>
      <c r="F4282" s="3638"/>
      <c r="G4282" s="3638"/>
      <c r="H4282" s="3638"/>
      <c r="I4282" s="3638"/>
      <c r="J4282" s="2000"/>
      <c r="K4282" s="4300"/>
      <c r="L4282" s="1513"/>
      <c r="M4282" s="2227"/>
      <c r="N4282" s="4109"/>
      <c r="P4282" s="500"/>
    </row>
    <row r="4283" spans="1:16" s="4099" customFormat="1" ht="16.5" customHeight="1" x14ac:dyDescent="0.25">
      <c r="A4283" s="4101"/>
      <c r="B4283" s="4119"/>
      <c r="C4283" s="3856" t="s">
        <v>5701</v>
      </c>
      <c r="D4283" s="780">
        <v>117300000</v>
      </c>
      <c r="E4283" s="1470">
        <f>D4283/D3944*100</f>
        <v>9.1805737619107972E-2</v>
      </c>
      <c r="F4283" s="3638"/>
      <c r="G4283" s="3638"/>
      <c r="H4283" s="3638"/>
      <c r="I4283" s="3638"/>
      <c r="J4283" s="2000"/>
      <c r="K4283" s="4300"/>
      <c r="L4283" s="1513"/>
      <c r="M4283" s="2227"/>
      <c r="N4283" s="4109"/>
      <c r="P4283" s="500"/>
    </row>
    <row r="4284" spans="1:16" s="4099" customFormat="1" ht="16.5" customHeight="1" x14ac:dyDescent="0.25">
      <c r="A4284" s="4101"/>
      <c r="B4284" s="4119"/>
      <c r="C4284" s="3856" t="s">
        <v>5840</v>
      </c>
      <c r="D4284" s="780">
        <v>85732000</v>
      </c>
      <c r="E4284" s="1470">
        <f>D4284/D3944*100</f>
        <v>6.7098802195749055E-2</v>
      </c>
      <c r="F4284" s="3638"/>
      <c r="G4284" s="3638"/>
      <c r="H4284" s="3638"/>
      <c r="I4284" s="3638"/>
      <c r="J4284" s="2000"/>
      <c r="K4284" s="4300"/>
      <c r="L4284" s="1513"/>
      <c r="M4284" s="2227"/>
      <c r="N4284" s="4109"/>
      <c r="P4284" s="500"/>
    </row>
    <row r="4285" spans="1:16" ht="15.75" customHeight="1" x14ac:dyDescent="0.25">
      <c r="B4285" s="1242"/>
      <c r="C4285" s="4048"/>
      <c r="D4285" s="897"/>
      <c r="E4285" s="1326"/>
      <c r="F4285" s="853"/>
      <c r="G4285" s="853"/>
      <c r="H4285" s="1326"/>
      <c r="I4285" s="973"/>
      <c r="J4285" s="853"/>
      <c r="K4285" s="1311"/>
      <c r="L4285" s="2175"/>
      <c r="M4285" s="2466"/>
      <c r="N4285" s="535"/>
    </row>
    <row r="4286" spans="1:16" ht="27.75" customHeight="1" x14ac:dyDescent="0.25">
      <c r="B4286" s="1305"/>
      <c r="C4286" s="3973" t="s">
        <v>5843</v>
      </c>
      <c r="D4286" s="2659">
        <f>SUM(D4287+D4290+D4296+D4300+D4303+D4306)</f>
        <v>4915250000</v>
      </c>
      <c r="E4286" s="1445">
        <f>D4286/D3944*100</f>
        <v>3.8469578161323139</v>
      </c>
      <c r="F4286" s="765"/>
      <c r="G4286" s="765"/>
      <c r="H4286" s="2064"/>
      <c r="I4286" s="1645"/>
      <c r="J4286" s="765"/>
      <c r="K4286" s="765"/>
      <c r="L4286" s="2065"/>
      <c r="M4286" s="2066"/>
      <c r="N4286" s="535"/>
    </row>
    <row r="4287" spans="1:16" ht="16.5" customHeight="1" x14ac:dyDescent="0.25">
      <c r="B4287" s="1242"/>
      <c r="C4287" s="3855" t="s">
        <v>5844</v>
      </c>
      <c r="D4287" s="2026">
        <f>SUM(D4288:D4288)</f>
        <v>802500000</v>
      </c>
      <c r="E4287" s="1469">
        <f>D4287/D3944*100</f>
        <v>0.6280827317931299</v>
      </c>
      <c r="F4287" s="766"/>
      <c r="G4287" s="1006"/>
      <c r="H4287" s="1006"/>
      <c r="I4287" s="1006"/>
      <c r="J4287" s="766"/>
      <c r="K4287" s="766"/>
      <c r="L4287" s="2574"/>
      <c r="M4287" s="2308"/>
      <c r="N4287" s="535"/>
    </row>
    <row r="4288" spans="1:16" ht="16.5" customHeight="1" x14ac:dyDescent="0.25">
      <c r="B4288" s="1242"/>
      <c r="C4288" s="3856" t="s">
        <v>5845</v>
      </c>
      <c r="D4288" s="780">
        <v>802500000</v>
      </c>
      <c r="E4288" s="1470">
        <f>D4288/D3944*100</f>
        <v>0.6280827317931299</v>
      </c>
      <c r="F4288" s="1005"/>
      <c r="G4288" s="1005"/>
      <c r="H4288" s="1005"/>
      <c r="I4288" s="1005"/>
      <c r="J4288" s="2000"/>
      <c r="K4288" s="2001"/>
      <c r="L4288" s="1648"/>
      <c r="M4288" s="1648"/>
      <c r="N4288" s="535"/>
    </row>
    <row r="4289" spans="1:16" s="1991" customFormat="1" ht="12" customHeight="1" x14ac:dyDescent="0.25">
      <c r="A4289" s="352"/>
      <c r="B4289" s="1242"/>
      <c r="C4289" s="3856"/>
      <c r="D4289" s="780"/>
      <c r="E4289" s="2576"/>
      <c r="F4289" s="1005"/>
      <c r="G4289" s="1005"/>
      <c r="H4289" s="2550"/>
      <c r="I4289" s="2550"/>
      <c r="J4289" s="2000"/>
      <c r="K4289" s="2001"/>
      <c r="L4289" s="2390"/>
      <c r="M4289" s="2230"/>
      <c r="N4289" s="535"/>
      <c r="P4289" s="500"/>
    </row>
    <row r="4290" spans="1:16" ht="18" customHeight="1" x14ac:dyDescent="0.25">
      <c r="B4290" s="1242"/>
      <c r="C4290" s="3854" t="s">
        <v>5846</v>
      </c>
      <c r="D4290" s="768">
        <f>SUM(D4291:D4294)</f>
        <v>800000000</v>
      </c>
      <c r="E4290" s="1469">
        <f>D4290/D3944*100</f>
        <v>0.62612608776885226</v>
      </c>
      <c r="F4290" s="1006"/>
      <c r="G4290" s="613"/>
      <c r="H4290" s="1116"/>
      <c r="I4290" s="803"/>
      <c r="J4290" s="1006"/>
      <c r="K4290" s="1006"/>
      <c r="L4290" s="2568"/>
      <c r="M4290" s="2362"/>
      <c r="N4290" s="535"/>
    </row>
    <row r="4291" spans="1:16" ht="17.25" customHeight="1" x14ac:dyDescent="0.25">
      <c r="B4291" s="1242"/>
      <c r="C4291" s="3856" t="s">
        <v>5847</v>
      </c>
      <c r="D4291" s="780">
        <v>150000000</v>
      </c>
      <c r="E4291" s="1470">
        <f>D4291/122925060000*100</f>
        <v>0.12202556582034615</v>
      </c>
      <c r="F4291" s="1005"/>
      <c r="G4291" s="1005"/>
      <c r="H4291" s="1005"/>
      <c r="I4291" s="1005"/>
      <c r="J4291" s="1005"/>
      <c r="K4291" s="1005"/>
      <c r="L4291" s="1648"/>
      <c r="M4291" s="1648"/>
      <c r="N4291" s="535"/>
    </row>
    <row r="4292" spans="1:16" ht="17.25" customHeight="1" x14ac:dyDescent="0.25">
      <c r="B4292" s="1242"/>
      <c r="C4292" s="3856" t="s">
        <v>5848</v>
      </c>
      <c r="D4292" s="780">
        <v>100000000</v>
      </c>
      <c r="E4292" s="1470">
        <f>D4292/122925060000*100</f>
        <v>8.1350377213564098E-2</v>
      </c>
      <c r="F4292" s="1005"/>
      <c r="G4292" s="608"/>
      <c r="H4292" s="1474"/>
      <c r="I4292" s="1660"/>
      <c r="J4292" s="2000"/>
      <c r="K4292" s="2001"/>
      <c r="L4292" s="1311"/>
      <c r="M4292" s="2003"/>
      <c r="N4292" s="535"/>
    </row>
    <row r="4293" spans="1:16" ht="15.75" customHeight="1" x14ac:dyDescent="0.25">
      <c r="B4293" s="1242"/>
      <c r="C4293" s="3856" t="s">
        <v>5849</v>
      </c>
      <c r="D4293" s="780">
        <v>50000000</v>
      </c>
      <c r="E4293" s="1470">
        <f>D4293/D3944*100</f>
        <v>3.9132880485553266E-2</v>
      </c>
      <c r="F4293" s="1005"/>
      <c r="G4293" s="1005"/>
      <c r="H4293" s="1005"/>
      <c r="I4293" s="1005"/>
      <c r="J4293" s="2000"/>
      <c r="K4293" s="2001"/>
      <c r="L4293" s="2565"/>
      <c r="M4293" s="2003"/>
      <c r="N4293" s="535"/>
    </row>
    <row r="4294" spans="1:16" ht="15.75" customHeight="1" x14ac:dyDescent="0.25">
      <c r="B4294" s="1242"/>
      <c r="C4294" s="3856" t="s">
        <v>5850</v>
      </c>
      <c r="D4294" s="780">
        <v>500000000</v>
      </c>
      <c r="E4294" s="1470">
        <f>D4294/D3944*100</f>
        <v>0.39132880485553262</v>
      </c>
      <c r="F4294" s="1005"/>
      <c r="G4294" s="1005"/>
      <c r="H4294" s="1005"/>
      <c r="I4294" s="1005"/>
      <c r="J4294" s="2000"/>
      <c r="K4294" s="2575"/>
      <c r="L4294" s="1648"/>
      <c r="M4294" s="1648"/>
      <c r="N4294" s="535"/>
    </row>
    <row r="4295" spans="1:16" ht="12" customHeight="1" x14ac:dyDescent="0.25">
      <c r="B4295" s="1242"/>
      <c r="C4295" s="3991"/>
      <c r="D4295" s="780"/>
      <c r="E4295" s="1470"/>
      <c r="F4295" s="1005"/>
      <c r="G4295" s="755"/>
      <c r="H4295" s="802"/>
      <c r="I4295" s="802"/>
      <c r="J4295" s="1005"/>
      <c r="K4295" s="1312"/>
      <c r="L4295" s="2390"/>
      <c r="M4295" s="2230"/>
      <c r="N4295" s="535"/>
    </row>
    <row r="4296" spans="1:16" ht="15.75" customHeight="1" x14ac:dyDescent="0.25">
      <c r="B4296" s="1242"/>
      <c r="C4296" s="3855" t="s">
        <v>5851</v>
      </c>
      <c r="D4296" s="768">
        <f>SUM(D4297:D4298)</f>
        <v>200000000</v>
      </c>
      <c r="E4296" s="1469">
        <f>D4296/D3944*100</f>
        <v>0.15653152194221306</v>
      </c>
      <c r="F4296" s="1006"/>
      <c r="G4296" s="613"/>
      <c r="H4296" s="1473"/>
      <c r="I4296" s="1309"/>
      <c r="J4296" s="1006"/>
      <c r="K4296" s="1006"/>
      <c r="L4296" s="2577"/>
      <c r="M4296" s="2006"/>
      <c r="N4296" s="535"/>
    </row>
    <row r="4297" spans="1:16" ht="17.25" customHeight="1" x14ac:dyDescent="0.25">
      <c r="B4297" s="1242"/>
      <c r="C4297" s="3856" t="s">
        <v>5852</v>
      </c>
      <c r="D4297" s="780">
        <v>100000000</v>
      </c>
      <c r="E4297" s="1470">
        <f>D4297/D3944*100</f>
        <v>7.8265760971106532E-2</v>
      </c>
      <c r="F4297" s="1005"/>
      <c r="G4297" s="1005"/>
      <c r="H4297" s="1005"/>
      <c r="I4297" s="1005"/>
      <c r="J4297" s="1005"/>
      <c r="K4297" s="1005"/>
      <c r="L4297" s="1005"/>
      <c r="M4297" s="1005"/>
      <c r="N4297" s="535"/>
    </row>
    <row r="4298" spans="1:16" ht="16.5" customHeight="1" x14ac:dyDescent="0.25">
      <c r="B4298" s="1242"/>
      <c r="C4298" s="3856" t="s">
        <v>5853</v>
      </c>
      <c r="D4298" s="780">
        <v>100000000</v>
      </c>
      <c r="E4298" s="1470">
        <f>D4298/D3944*100</f>
        <v>7.8265760971106532E-2</v>
      </c>
      <c r="F4298" s="1005"/>
      <c r="G4298" s="1005"/>
      <c r="H4298" s="1005"/>
      <c r="I4298" s="1005"/>
      <c r="J4298" s="2578"/>
      <c r="K4298" s="2575"/>
      <c r="L4298" s="2552"/>
      <c r="M4298" s="2230"/>
      <c r="N4298" s="535"/>
    </row>
    <row r="4299" spans="1:16" s="269" customFormat="1" ht="11.25" customHeight="1" x14ac:dyDescent="0.25">
      <c r="A4299" s="350"/>
      <c r="B4299" s="1242"/>
      <c r="C4299" s="3856"/>
      <c r="D4299" s="780"/>
      <c r="E4299" s="1470"/>
      <c r="F4299" s="1005"/>
      <c r="G4299" s="1005"/>
      <c r="H4299" s="1005"/>
      <c r="I4299" s="1005"/>
      <c r="J4299" s="1005"/>
      <c r="K4299" s="1005"/>
      <c r="L4299" s="1005"/>
      <c r="M4299" s="1005"/>
      <c r="N4299" s="553"/>
      <c r="P4299" s="300"/>
    </row>
    <row r="4300" spans="1:16" ht="18" customHeight="1" x14ac:dyDescent="0.25">
      <c r="B4300" s="1242"/>
      <c r="C4300" s="4103" t="s">
        <v>5854</v>
      </c>
      <c r="D4300" s="768">
        <f>D4301</f>
        <v>2598000000</v>
      </c>
      <c r="E4300" s="1469">
        <f>D4300/D3944*100</f>
        <v>2.0333444700293479</v>
      </c>
      <c r="F4300" s="1005"/>
      <c r="G4300" s="608"/>
      <c r="H4300" s="1474"/>
      <c r="I4300" s="802"/>
      <c r="J4300" s="2000"/>
      <c r="K4300" s="2001"/>
      <c r="L4300" s="1648"/>
      <c r="M4300" s="1648"/>
      <c r="N4300" s="535"/>
    </row>
    <row r="4301" spans="1:16" s="4099" customFormat="1" ht="15.75" customHeight="1" x14ac:dyDescent="0.25">
      <c r="A4301" s="4101"/>
      <c r="B4301" s="4119"/>
      <c r="C4301" s="4062" t="s">
        <v>5855</v>
      </c>
      <c r="D4301" s="660">
        <v>2598000000</v>
      </c>
      <c r="E4301" s="1470">
        <f>D4301/D3944*100</f>
        <v>2.0333444700293479</v>
      </c>
      <c r="F4301" s="1995"/>
      <c r="G4301" s="4305"/>
      <c r="H4301" s="2284"/>
      <c r="I4301" s="804"/>
      <c r="J4301" s="2556"/>
      <c r="K4301" s="4153"/>
      <c r="L4301" s="3576"/>
      <c r="M4301" s="3576"/>
      <c r="N4301" s="4109"/>
      <c r="P4301" s="500"/>
    </row>
    <row r="4302" spans="1:16" s="4099" customFormat="1" ht="9" customHeight="1" x14ac:dyDescent="0.25">
      <c r="A4302" s="4101"/>
      <c r="B4302" s="4119"/>
      <c r="C4302" s="3856"/>
      <c r="D4302" s="780"/>
      <c r="E4302" s="1470"/>
      <c r="F4302" s="3638"/>
      <c r="G4302" s="608"/>
      <c r="H4302" s="1126"/>
      <c r="I4302" s="3630"/>
      <c r="J4302" s="2000"/>
      <c r="K4302" s="2001"/>
      <c r="L4302" s="3648"/>
      <c r="M4302" s="3648"/>
      <c r="N4302" s="4109"/>
      <c r="P4302" s="500"/>
    </row>
    <row r="4303" spans="1:16" s="4099" customFormat="1" ht="15.75" customHeight="1" x14ac:dyDescent="0.25">
      <c r="A4303" s="4101"/>
      <c r="B4303" s="4119"/>
      <c r="C4303" s="4103" t="s">
        <v>5856</v>
      </c>
      <c r="D4303" s="768">
        <f>D4304</f>
        <v>91100000</v>
      </c>
      <c r="E4303" s="1469">
        <f>D4303/D3944*100</f>
        <v>7.1300108244678057E-2</v>
      </c>
      <c r="F4303" s="3638"/>
      <c r="G4303" s="608"/>
      <c r="H4303" s="1126"/>
      <c r="I4303" s="3630"/>
      <c r="J4303" s="2000"/>
      <c r="K4303" s="2001"/>
      <c r="L4303" s="3648"/>
      <c r="M4303" s="3648"/>
      <c r="N4303" s="4109"/>
      <c r="P4303" s="500"/>
    </row>
    <row r="4304" spans="1:16" s="4099" customFormat="1" ht="15.75" customHeight="1" x14ac:dyDescent="0.25">
      <c r="A4304" s="4101"/>
      <c r="B4304" s="4119"/>
      <c r="C4304" s="3856" t="s">
        <v>5857</v>
      </c>
      <c r="D4304" s="780">
        <v>91100000</v>
      </c>
      <c r="E4304" s="1470">
        <f>D4304/D3944*100</f>
        <v>7.1300108244678057E-2</v>
      </c>
      <c r="F4304" s="3638"/>
      <c r="G4304" s="608"/>
      <c r="H4304" s="1126"/>
      <c r="I4304" s="3630"/>
      <c r="J4304" s="2000"/>
      <c r="K4304" s="2001"/>
      <c r="L4304" s="3648"/>
      <c r="M4304" s="3648"/>
      <c r="N4304" s="4109"/>
      <c r="P4304" s="500"/>
    </row>
    <row r="4305" spans="1:16" s="4099" customFormat="1" ht="12" customHeight="1" x14ac:dyDescent="0.25">
      <c r="A4305" s="4101"/>
      <c r="B4305" s="4119"/>
      <c r="C4305" s="4103"/>
      <c r="D4305" s="780"/>
      <c r="E4305" s="1470"/>
      <c r="F4305" s="3638"/>
      <c r="G4305" s="608"/>
      <c r="H4305" s="1126"/>
      <c r="I4305" s="3630"/>
      <c r="J4305" s="2000"/>
      <c r="K4305" s="2001"/>
      <c r="L4305" s="3648"/>
      <c r="M4305" s="3648"/>
      <c r="N4305" s="4109"/>
      <c r="P4305" s="500"/>
    </row>
    <row r="4306" spans="1:16" s="4099" customFormat="1" ht="15.75" customHeight="1" x14ac:dyDescent="0.25">
      <c r="A4306" s="4101"/>
      <c r="B4306" s="4119"/>
      <c r="C4306" s="4103" t="s">
        <v>5858</v>
      </c>
      <c r="D4306" s="768">
        <f>D4307</f>
        <v>423650000</v>
      </c>
      <c r="E4306" s="1469">
        <f>D4306/D3944*100</f>
        <v>0.33157289635409287</v>
      </c>
      <c r="F4306" s="3638"/>
      <c r="G4306" s="608"/>
      <c r="H4306" s="1126"/>
      <c r="I4306" s="3630"/>
      <c r="J4306" s="2000"/>
      <c r="K4306" s="2001"/>
      <c r="L4306" s="3648"/>
      <c r="M4306" s="3648"/>
      <c r="N4306" s="4109"/>
      <c r="P4306" s="500"/>
    </row>
    <row r="4307" spans="1:16" s="4099" customFormat="1" ht="16.5" customHeight="1" x14ac:dyDescent="0.25">
      <c r="A4307" s="4101"/>
      <c r="B4307" s="4119"/>
      <c r="C4307" s="3856" t="s">
        <v>5859</v>
      </c>
      <c r="D4307" s="780">
        <v>423650000</v>
      </c>
      <c r="E4307" s="1470">
        <f>D4307/D3944*100</f>
        <v>0.33157289635409287</v>
      </c>
      <c r="F4307" s="3638"/>
      <c r="G4307" s="608"/>
      <c r="H4307" s="1126"/>
      <c r="I4307" s="3630"/>
      <c r="J4307" s="2000"/>
      <c r="K4307" s="2001"/>
      <c r="L4307" s="3648"/>
      <c r="M4307" s="3648"/>
      <c r="N4307" s="4109"/>
      <c r="P4307" s="500"/>
    </row>
    <row r="4308" spans="1:16" ht="12" customHeight="1" x14ac:dyDescent="0.25">
      <c r="B4308" s="1242"/>
      <c r="D4308" s="799"/>
      <c r="E4308" s="724"/>
      <c r="F4308" s="4108"/>
      <c r="G4308" s="804"/>
      <c r="H4308" s="2284"/>
      <c r="I4308" s="791"/>
      <c r="J4308" s="4108"/>
      <c r="K4308" s="2266"/>
      <c r="L4308" s="2182"/>
      <c r="M4308" s="2004"/>
      <c r="N4308" s="535"/>
    </row>
    <row r="4309" spans="1:16" ht="27.75" customHeight="1" x14ac:dyDescent="0.25">
      <c r="B4309" s="1305"/>
      <c r="C4309" s="3973" t="s">
        <v>5860</v>
      </c>
      <c r="D4309" s="2659">
        <f>D4310</f>
        <v>497500000</v>
      </c>
      <c r="E4309" s="1445">
        <f>D4309/D3944*100</f>
        <v>0.38937216083125503</v>
      </c>
      <c r="F4309" s="765"/>
      <c r="G4309" s="765"/>
      <c r="H4309" s="2064"/>
      <c r="I4309" s="1645"/>
      <c r="J4309" s="765"/>
      <c r="K4309" s="765"/>
      <c r="L4309" s="2065"/>
      <c r="M4309" s="2066"/>
      <c r="N4309" s="535"/>
    </row>
    <row r="4310" spans="1:16" ht="18" customHeight="1" x14ac:dyDescent="0.25">
      <c r="B4310" s="1242"/>
      <c r="C4310" s="3855" t="s">
        <v>5861</v>
      </c>
      <c r="D4310" s="768">
        <f>SUM(D4311:D4314)</f>
        <v>497500000</v>
      </c>
      <c r="E4310" s="1469">
        <f>D4310/D3944*100</f>
        <v>0.38937216083125503</v>
      </c>
      <c r="F4310" s="1006"/>
      <c r="G4310" s="613"/>
      <c r="H4310" s="1473"/>
      <c r="I4310" s="1309"/>
      <c r="J4310" s="1006"/>
      <c r="K4310" s="1006"/>
      <c r="L4310" s="1503"/>
      <c r="M4310" s="2006"/>
      <c r="N4310" s="535"/>
    </row>
    <row r="4311" spans="1:16" ht="14.25" customHeight="1" x14ac:dyDescent="0.25">
      <c r="B4311" s="1242"/>
      <c r="C4311" s="3856" t="s">
        <v>5862</v>
      </c>
      <c r="D4311" s="780">
        <v>147500000</v>
      </c>
      <c r="E4311" s="1472">
        <f>D4311/D3944*100</f>
        <v>0.11544199743238213</v>
      </c>
      <c r="F4311" s="1005"/>
      <c r="G4311" s="608"/>
      <c r="H4311" s="1474"/>
      <c r="I4311" s="1660"/>
      <c r="J4311" s="2000"/>
      <c r="K4311" s="2001"/>
      <c r="L4311" s="2390"/>
      <c r="M4311" s="2003"/>
      <c r="N4311" s="535"/>
    </row>
    <row r="4312" spans="1:16" ht="14.25" customHeight="1" x14ac:dyDescent="0.25">
      <c r="B4312" s="1242"/>
      <c r="C4312" s="3856" t="s">
        <v>5863</v>
      </c>
      <c r="D4312" s="780">
        <v>150000000</v>
      </c>
      <c r="E4312" s="1472">
        <f>D4312/D3944*100</f>
        <v>0.11739864145665979</v>
      </c>
      <c r="F4312" s="1005"/>
      <c r="G4312" s="1005"/>
      <c r="H4312" s="1005"/>
      <c r="I4312" s="1005"/>
      <c r="J4312" s="2000"/>
      <c r="K4312" s="1005"/>
      <c r="L4312" s="1648"/>
      <c r="M4312" s="1648"/>
      <c r="N4312" s="535"/>
    </row>
    <row r="4313" spans="1:16" ht="14.25" customHeight="1" x14ac:dyDescent="0.25">
      <c r="B4313" s="1242"/>
      <c r="C4313" s="3856" t="s">
        <v>5864</v>
      </c>
      <c r="D4313" s="1848">
        <v>100000000</v>
      </c>
      <c r="E4313" s="1472">
        <f>D4313/D3944*100</f>
        <v>7.8265760971106532E-2</v>
      </c>
      <c r="F4313" s="677"/>
      <c r="G4313" s="755"/>
      <c r="H4313" s="1474"/>
      <c r="I4313" s="2370"/>
      <c r="J4313" s="677"/>
      <c r="K4313" s="1311"/>
      <c r="L4313" s="1311"/>
      <c r="M4313" s="2003"/>
      <c r="N4313" s="535"/>
    </row>
    <row r="4314" spans="1:16" s="3387" customFormat="1" ht="15.75" customHeight="1" x14ac:dyDescent="0.25">
      <c r="A4314" s="3587"/>
      <c r="B4314" s="3604"/>
      <c r="C4314" s="3856" t="s">
        <v>5865</v>
      </c>
      <c r="D4314" s="780">
        <v>100000000</v>
      </c>
      <c r="E4314" s="1470">
        <f>D4314/D3944*100</f>
        <v>7.8265760971106532E-2</v>
      </c>
      <c r="F4314" s="3638"/>
      <c r="G4314" s="608"/>
      <c r="H4314" s="1474"/>
      <c r="I4314" s="1660"/>
      <c r="J4314" s="3638"/>
      <c r="K4314" s="3638"/>
      <c r="L4314" s="2390"/>
      <c r="M4314" s="2230"/>
      <c r="N4314" s="3590"/>
      <c r="P4314" s="612"/>
    </row>
    <row r="4315" spans="1:16" ht="12" customHeight="1" x14ac:dyDescent="0.25">
      <c r="B4315" s="1242"/>
      <c r="D4315" s="799"/>
      <c r="E4315" s="1450"/>
      <c r="F4315" s="827"/>
      <c r="G4315" s="804"/>
      <c r="H4315" s="2284"/>
      <c r="I4315" s="791"/>
      <c r="J4315" s="827"/>
      <c r="K4315" s="1311"/>
      <c r="L4315" s="2175"/>
      <c r="M4315" s="2466"/>
      <c r="N4315" s="535"/>
    </row>
    <row r="4316" spans="1:16" ht="18" customHeight="1" x14ac:dyDescent="0.25">
      <c r="B4316" s="1305"/>
      <c r="C4316" s="3973" t="s">
        <v>5866</v>
      </c>
      <c r="D4316" s="2659">
        <f>SUM(D4317+D4323+D4326)</f>
        <v>777157000</v>
      </c>
      <c r="E4316" s="1445">
        <f>D4316/D3944*100</f>
        <v>0.60824783999022236</v>
      </c>
      <c r="F4316" s="765"/>
      <c r="G4316" s="807"/>
      <c r="H4316" s="807"/>
      <c r="I4316" s="807"/>
      <c r="J4316" s="765"/>
      <c r="K4316" s="765"/>
      <c r="L4316" s="2065"/>
      <c r="M4316" s="2315"/>
      <c r="N4316" s="535"/>
    </row>
    <row r="4317" spans="1:16" x14ac:dyDescent="0.25">
      <c r="B4317" s="1242"/>
      <c r="C4317" s="3855" t="s">
        <v>5867</v>
      </c>
      <c r="D4317" s="1851">
        <f>SUM(D4318:D4321)</f>
        <v>497514000</v>
      </c>
      <c r="E4317" s="1447">
        <f>D4317/D3944*100</f>
        <v>0.38938311803779097</v>
      </c>
      <c r="F4317" s="390"/>
      <c r="G4317" s="753"/>
      <c r="H4317" s="803"/>
      <c r="I4317" s="803"/>
      <c r="J4317" s="665"/>
      <c r="K4317" s="665"/>
      <c r="L4317" s="2264"/>
      <c r="M4317" s="2264"/>
      <c r="N4317" s="535"/>
    </row>
    <row r="4318" spans="1:16" ht="15.75" customHeight="1" x14ac:dyDescent="0.25">
      <c r="B4318" s="1242"/>
      <c r="C4318" s="3856" t="s">
        <v>5868</v>
      </c>
      <c r="D4318" s="1846">
        <v>73610000</v>
      </c>
      <c r="E4318" s="1470">
        <f>D4318/D3944*100</f>
        <v>5.7611426650831514E-2</v>
      </c>
      <c r="F4318" s="386"/>
      <c r="G4318" s="755"/>
      <c r="H4318" s="802"/>
      <c r="I4318" s="802"/>
      <c r="J4318" s="2000"/>
      <c r="K4318" s="2001"/>
      <c r="L4318" s="1648"/>
      <c r="M4318" s="1648"/>
      <c r="N4318" s="535"/>
      <c r="P4318" s="4592"/>
    </row>
    <row r="4319" spans="1:16" ht="18.75" customHeight="1" x14ac:dyDescent="0.25">
      <c r="B4319" s="1242"/>
      <c r="C4319" s="3856" t="s">
        <v>5869</v>
      </c>
      <c r="D4319" s="1846">
        <v>34392000</v>
      </c>
      <c r="E4319" s="1470">
        <f>D4319/D3944*100</f>
        <v>2.691716051318296E-2</v>
      </c>
      <c r="F4319" s="386"/>
      <c r="G4319" s="755"/>
      <c r="H4319" s="802"/>
      <c r="I4319" s="802"/>
      <c r="J4319" s="2000"/>
      <c r="K4319" s="2001"/>
      <c r="L4319" s="1311"/>
      <c r="M4319" s="2003"/>
      <c r="N4319" s="535"/>
    </row>
    <row r="4320" spans="1:16" ht="28.5" customHeight="1" x14ac:dyDescent="0.25">
      <c r="B4320" s="1242"/>
      <c r="C4320" s="3856" t="s">
        <v>5870</v>
      </c>
      <c r="D4320" s="666">
        <v>353667000</v>
      </c>
      <c r="E4320" s="1470">
        <f>D4320/D3944*100</f>
        <v>0.27680016885368336</v>
      </c>
      <c r="F4320" s="386"/>
      <c r="G4320" s="755"/>
      <c r="H4320" s="755"/>
      <c r="I4320" s="755"/>
      <c r="J4320" s="386"/>
      <c r="K4320" s="2522"/>
      <c r="L4320" s="2577"/>
      <c r="M4320" s="2006"/>
      <c r="N4320" s="535"/>
    </row>
    <row r="4321" spans="1:16" s="4099" customFormat="1" ht="29.25" customHeight="1" x14ac:dyDescent="0.25">
      <c r="A4321" s="4101"/>
      <c r="B4321" s="4119"/>
      <c r="C4321" s="3856" t="s">
        <v>5871</v>
      </c>
      <c r="D4321" s="666">
        <v>35845000</v>
      </c>
      <c r="E4321" s="1470">
        <f>D4321/D3944*100</f>
        <v>2.8054362020093138E-2</v>
      </c>
      <c r="F4321" s="386"/>
      <c r="G4321" s="3630"/>
      <c r="H4321" s="3620"/>
      <c r="I4321" s="3620"/>
      <c r="J4321" s="386"/>
      <c r="K4321" s="2509"/>
      <c r="L4321" s="2577"/>
      <c r="M4321" s="2006"/>
      <c r="N4321" s="4109"/>
      <c r="P4321" s="500"/>
    </row>
    <row r="4322" spans="1:16" s="4099" customFormat="1" ht="12" customHeight="1" x14ac:dyDescent="0.25">
      <c r="A4322" s="4101"/>
      <c r="B4322" s="4119"/>
      <c r="C4322" s="3856"/>
      <c r="D4322" s="1846"/>
      <c r="E4322" s="1470"/>
      <c r="F4322" s="386"/>
      <c r="G4322" s="3630"/>
      <c r="H4322" s="3620"/>
      <c r="I4322" s="3620"/>
      <c r="J4322" s="386"/>
      <c r="K4322" s="2509"/>
      <c r="L4322" s="2577"/>
      <c r="M4322" s="2006"/>
      <c r="N4322" s="4109"/>
      <c r="P4322" s="500"/>
    </row>
    <row r="4323" spans="1:16" ht="14.25" customHeight="1" x14ac:dyDescent="0.25">
      <c r="B4323" s="1242"/>
      <c r="C4323" s="3855" t="s">
        <v>5872</v>
      </c>
      <c r="D4323" s="1851">
        <f>SUM(D4324)</f>
        <v>35015000</v>
      </c>
      <c r="E4323" s="1469">
        <f>D4323/D3944*100</f>
        <v>2.7404756204032949E-2</v>
      </c>
      <c r="F4323" s="390"/>
      <c r="G4323" s="753"/>
      <c r="H4323" s="803"/>
      <c r="I4323" s="803"/>
      <c r="J4323" s="390"/>
      <c r="K4323" s="803"/>
      <c r="L4323" s="803"/>
      <c r="M4323" s="2362"/>
      <c r="N4323" s="535"/>
    </row>
    <row r="4324" spans="1:16" ht="18" customHeight="1" x14ac:dyDescent="0.25">
      <c r="B4324" s="1242"/>
      <c r="C4324" s="3856" t="s">
        <v>5873</v>
      </c>
      <c r="D4324" s="1846">
        <v>35015000</v>
      </c>
      <c r="E4324" s="1470">
        <f>D4324/D3944*100</f>
        <v>2.7404756204032949E-2</v>
      </c>
      <c r="F4324" s="386"/>
      <c r="G4324" s="755"/>
      <c r="H4324" s="802"/>
      <c r="I4324" s="802"/>
      <c r="J4324" s="2000"/>
      <c r="K4324" s="802"/>
      <c r="L4324" s="802"/>
      <c r="M4324" s="1648"/>
      <c r="N4324" s="535"/>
    </row>
    <row r="4325" spans="1:16" ht="8.25" customHeight="1" x14ac:dyDescent="0.25">
      <c r="B4325" s="1242"/>
      <c r="C4325" s="3991"/>
      <c r="D4325" s="1849"/>
      <c r="E4325" s="1470"/>
      <c r="F4325" s="389"/>
      <c r="G4325" s="753"/>
      <c r="H4325" s="753"/>
      <c r="I4325" s="753"/>
      <c r="J4325" s="389"/>
      <c r="K4325" s="1311"/>
      <c r="L4325" s="1311"/>
      <c r="M4325" s="2003"/>
      <c r="N4325" s="535"/>
    </row>
    <row r="4326" spans="1:16" ht="18" customHeight="1" x14ac:dyDescent="0.25">
      <c r="B4326" s="1242"/>
      <c r="C4326" s="3855" t="s">
        <v>5874</v>
      </c>
      <c r="D4326" s="1851">
        <f>SUM(D4327:D4329)</f>
        <v>244628000</v>
      </c>
      <c r="E4326" s="1469">
        <f>D4326/D3944*100</f>
        <v>0.19145996574839849</v>
      </c>
      <c r="F4326" s="390"/>
      <c r="G4326" s="753"/>
      <c r="H4326" s="803"/>
      <c r="I4326" s="803"/>
      <c r="J4326" s="390"/>
      <c r="K4326" s="803"/>
      <c r="L4326" s="803"/>
      <c r="M4326" s="1706"/>
      <c r="N4326" s="535"/>
      <c r="P4326" s="4592"/>
    </row>
    <row r="4327" spans="1:16" ht="15.75" customHeight="1" x14ac:dyDescent="0.25">
      <c r="B4327" s="1242"/>
      <c r="C4327" s="3856" t="s">
        <v>5875</v>
      </c>
      <c r="D4327" s="1846">
        <v>64997000</v>
      </c>
      <c r="E4327" s="1470">
        <f>D4327/D3944*100</f>
        <v>5.0870396658390112E-2</v>
      </c>
      <c r="F4327" s="386"/>
      <c r="G4327" s="755"/>
      <c r="H4327" s="802"/>
      <c r="I4327" s="802"/>
      <c r="J4327" s="386"/>
      <c r="K4327" s="802"/>
      <c r="L4327" s="802"/>
      <c r="M4327" s="1648"/>
      <c r="N4327" s="535"/>
      <c r="P4327" s="4592"/>
    </row>
    <row r="4328" spans="1:16" ht="15" customHeight="1" x14ac:dyDescent="0.25">
      <c r="B4328" s="1242"/>
      <c r="C4328" s="3856" t="s">
        <v>5876</v>
      </c>
      <c r="D4328" s="1846">
        <v>75484000</v>
      </c>
      <c r="E4328" s="1470">
        <f>D4328/D3944*100</f>
        <v>5.9078127011430059E-2</v>
      </c>
      <c r="F4328" s="389"/>
      <c r="G4328" s="755"/>
      <c r="H4328" s="755"/>
      <c r="I4328" s="755"/>
      <c r="J4328" s="389"/>
      <c r="K4328" s="1753"/>
      <c r="L4328" s="1648"/>
      <c r="M4328" s="1648"/>
      <c r="N4328" s="535"/>
    </row>
    <row r="4329" spans="1:16" s="4099" customFormat="1" ht="16.5" customHeight="1" x14ac:dyDescent="0.25">
      <c r="A4329" s="4101"/>
      <c r="B4329" s="4119"/>
      <c r="C4329" s="3856" t="s">
        <v>5877</v>
      </c>
      <c r="D4329" s="1846">
        <v>104147000</v>
      </c>
      <c r="E4329" s="1470">
        <f>D4329/D3944*100</f>
        <v>8.1511442078578314E-2</v>
      </c>
      <c r="F4329" s="389"/>
      <c r="G4329" s="804"/>
      <c r="H4329" s="804"/>
      <c r="I4329" s="804"/>
      <c r="J4329" s="389"/>
      <c r="K4329" s="1753"/>
      <c r="L4329" s="1648"/>
      <c r="M4329" s="1648"/>
      <c r="N4329" s="4109"/>
      <c r="P4329" s="500"/>
    </row>
    <row r="4330" spans="1:16" ht="12" customHeight="1" x14ac:dyDescent="0.25">
      <c r="B4330" s="1242"/>
      <c r="D4330" s="660"/>
      <c r="E4330" s="1470"/>
      <c r="F4330" s="798"/>
      <c r="G4330" s="804"/>
      <c r="H4330" s="2284"/>
      <c r="I4330" s="791"/>
      <c r="J4330" s="755"/>
      <c r="K4330" s="755"/>
      <c r="L4330" s="755"/>
      <c r="M4330" s="2004"/>
      <c r="N4330" s="535"/>
    </row>
    <row r="4331" spans="1:16" ht="18" customHeight="1" x14ac:dyDescent="0.25">
      <c r="B4331" s="1305"/>
      <c r="C4331" s="3973" t="s">
        <v>2402</v>
      </c>
      <c r="D4331" s="2659">
        <f>SUM(D4332)</f>
        <v>19972752900</v>
      </c>
      <c r="E4331" s="1445">
        <f>D4331/D3944*100</f>
        <v>15.631827044063748</v>
      </c>
      <c r="F4331" s="765"/>
      <c r="G4331" s="765"/>
      <c r="H4331" s="2064"/>
      <c r="I4331" s="1645"/>
      <c r="J4331" s="765"/>
      <c r="K4331" s="765"/>
      <c r="L4331" s="2065"/>
      <c r="M4331" s="2315"/>
      <c r="N4331" s="535"/>
    </row>
    <row r="4332" spans="1:16" ht="18.75" customHeight="1" x14ac:dyDescent="0.25">
      <c r="B4332" s="1242"/>
      <c r="C4332" s="3878" t="s">
        <v>2403</v>
      </c>
      <c r="D4332" s="768">
        <f>SUM(D4333+D4334)</f>
        <v>19972752900</v>
      </c>
      <c r="E4332" s="1493">
        <f>D4332/D3944*100</f>
        <v>15.631827044063748</v>
      </c>
      <c r="F4332" s="753"/>
      <c r="G4332" s="753"/>
      <c r="H4332" s="803"/>
      <c r="I4332" s="1309"/>
      <c r="J4332" s="753"/>
      <c r="K4332" s="753"/>
      <c r="L4332" s="2585"/>
      <c r="M4332" s="2308"/>
      <c r="N4332" s="535"/>
    </row>
    <row r="4333" spans="1:16" ht="19.5" customHeight="1" x14ac:dyDescent="0.25">
      <c r="B4333" s="1242"/>
      <c r="C4333" s="3917" t="s">
        <v>5878</v>
      </c>
      <c r="D4333" s="2249">
        <f>6710000000+9512752900</f>
        <v>16222752900</v>
      </c>
      <c r="E4333" s="1482">
        <f>D4333/D3944*100</f>
        <v>12.696861007647254</v>
      </c>
      <c r="F4333" s="755"/>
      <c r="G4333" s="608"/>
      <c r="H4333" s="1474"/>
      <c r="I4333" s="1660"/>
      <c r="J4333" s="2000"/>
      <c r="K4333" s="2001"/>
      <c r="L4333" s="1507"/>
      <c r="M4333" s="2586"/>
      <c r="N4333" s="535"/>
    </row>
    <row r="4334" spans="1:16" ht="28.5" customHeight="1" x14ac:dyDescent="0.25">
      <c r="B4334" s="1242"/>
      <c r="C4334" s="3917" t="s">
        <v>5879</v>
      </c>
      <c r="D4334" s="2249">
        <v>3750000000</v>
      </c>
      <c r="E4334" s="5024">
        <f>D4334/D3944*100</f>
        <v>2.9349660364164953</v>
      </c>
      <c r="F4334" s="755"/>
      <c r="G4334" s="608"/>
      <c r="H4334" s="1474"/>
      <c r="I4334" s="1660"/>
      <c r="J4334" s="2000"/>
      <c r="K4334" s="2001"/>
      <c r="L4334" s="1507"/>
      <c r="M4334" s="2230"/>
      <c r="N4334" s="535"/>
    </row>
    <row r="4335" spans="1:16" s="4099" customFormat="1" ht="14.25" customHeight="1" x14ac:dyDescent="0.25">
      <c r="A4335" s="4101"/>
      <c r="B4335" s="4119"/>
      <c r="C4335" s="3896"/>
      <c r="D4335" s="2256"/>
      <c r="E4335" s="5023"/>
      <c r="F4335" s="827"/>
      <c r="G4335" s="4304"/>
      <c r="H4335" s="2546"/>
      <c r="I4335" s="2181"/>
      <c r="J4335" s="2556"/>
      <c r="K4335" s="2573"/>
      <c r="L4335" s="2632"/>
      <c r="M4335" s="2227"/>
      <c r="N4335" s="536"/>
      <c r="P4335" s="500"/>
    </row>
    <row r="4336" spans="1:16" s="4099" customFormat="1" ht="18.75" customHeight="1" x14ac:dyDescent="0.25">
      <c r="A4336" s="4101"/>
      <c r="B4336" s="5048" t="s">
        <v>81</v>
      </c>
      <c r="C4336" s="5047" t="s">
        <v>433</v>
      </c>
      <c r="D4336" s="5057">
        <v>250724149600</v>
      </c>
      <c r="E4336" s="5058">
        <f>D4336/2507241496000*100</f>
        <v>10</v>
      </c>
      <c r="F4336" s="5049"/>
      <c r="G4336" s="5050"/>
      <c r="H4336" s="5051"/>
      <c r="I4336" s="5052"/>
      <c r="J4336" s="5053"/>
      <c r="K4336" s="5054"/>
      <c r="L4336" s="5055"/>
      <c r="M4336" s="5056"/>
      <c r="N4336" s="536"/>
      <c r="P4336" s="500"/>
    </row>
    <row r="4337" spans="1:16" s="4099" customFormat="1" ht="14.25" customHeight="1" x14ac:dyDescent="0.25">
      <c r="A4337" s="4101"/>
      <c r="B4337" s="4119"/>
      <c r="C4337" s="3896"/>
      <c r="D4337" s="2256"/>
      <c r="E4337" s="1481"/>
      <c r="F4337" s="827"/>
      <c r="G4337" s="4304"/>
      <c r="H4337" s="2284"/>
      <c r="I4337" s="2181"/>
      <c r="J4337" s="4164"/>
      <c r="K4337" s="4140"/>
      <c r="L4337" s="2389"/>
      <c r="M4337" s="2302"/>
      <c r="N4337" s="536"/>
      <c r="P4337" s="500"/>
    </row>
    <row r="4338" spans="1:16" s="4099" customFormat="1" ht="18.75" customHeight="1" x14ac:dyDescent="0.25">
      <c r="A4338" s="4101"/>
      <c r="B4338" s="2905" t="s">
        <v>89</v>
      </c>
      <c r="C4338" s="3886" t="s">
        <v>7105</v>
      </c>
      <c r="D4338" s="3028">
        <v>24818166660</v>
      </c>
      <c r="E4338" s="5058">
        <f>D4338/2507241496000*100</f>
        <v>0.98985944112660773</v>
      </c>
      <c r="F4338" s="787"/>
      <c r="G4338" s="787"/>
      <c r="H4338" s="2232"/>
      <c r="I4338" s="787"/>
      <c r="J4338" s="1768"/>
      <c r="K4338" s="1768"/>
      <c r="L4338" s="2232"/>
      <c r="M4338" s="2233"/>
      <c r="N4338" s="575"/>
      <c r="P4338" s="500"/>
    </row>
    <row r="4339" spans="1:16" ht="14.1" customHeight="1" thickBot="1" x14ac:dyDescent="0.3">
      <c r="B4339" s="2900"/>
      <c r="C4339" s="3965"/>
      <c r="D4339" s="671"/>
      <c r="E4339" s="724"/>
      <c r="F4339" s="1127"/>
      <c r="G4339" s="533"/>
      <c r="H4339" s="2234"/>
      <c r="I4339" s="2295"/>
      <c r="J4339" s="2587"/>
      <c r="K4339" s="1990"/>
      <c r="L4339" s="537"/>
      <c r="M4339" s="2005"/>
      <c r="N4339" s="585"/>
    </row>
    <row r="4340" spans="1:16" s="221" customFormat="1" ht="24" customHeight="1" thickTop="1" thickBot="1" x14ac:dyDescent="0.3">
      <c r="A4340" s="588"/>
      <c r="B4340" s="540"/>
      <c r="C4340" s="2867" t="s">
        <v>18</v>
      </c>
      <c r="D4340" s="4289">
        <f>D14+D253+D4336+D4338</f>
        <v>2507241496000</v>
      </c>
      <c r="E4340" s="1992">
        <f>D4340/2507241496000*100</f>
        <v>100</v>
      </c>
      <c r="F4340" s="1993"/>
      <c r="G4340" s="1993"/>
      <c r="H4340" s="2588"/>
      <c r="I4340" s="1993"/>
      <c r="J4340" s="1993"/>
      <c r="K4340" s="1993"/>
      <c r="L4340" s="2589"/>
      <c r="M4340" s="1993"/>
      <c r="N4340" s="586"/>
      <c r="P4340" s="4585"/>
    </row>
    <row r="4341" spans="1:16" ht="14.1" customHeight="1" thickTop="1" x14ac:dyDescent="0.25">
      <c r="D4341" s="1901"/>
      <c r="E4341" s="724"/>
      <c r="F4341" s="303"/>
      <c r="G4341" s="303"/>
      <c r="H4341" s="2590"/>
      <c r="I4341" s="2591"/>
      <c r="J4341" s="1893"/>
      <c r="K4341" s="1893"/>
      <c r="L4341" s="2592"/>
      <c r="M4341" s="2592"/>
      <c r="N4341" s="571"/>
    </row>
    <row r="4342" spans="1:16" ht="14.1" customHeight="1" x14ac:dyDescent="0.25">
      <c r="C4342" s="5082"/>
      <c r="E4342" s="724"/>
      <c r="F4342" s="303"/>
      <c r="G4342" s="303"/>
      <c r="H4342" s="733"/>
      <c r="I4342" s="2593"/>
      <c r="J4342" s="1893"/>
      <c r="K4342" s="1893"/>
      <c r="L4342" s="2592"/>
      <c r="M4342" s="2592"/>
      <c r="N4342" s="571"/>
    </row>
    <row r="4343" spans="1:16" ht="14.1" customHeight="1" x14ac:dyDescent="0.25">
      <c r="C4343" s="5082"/>
      <c r="D4343" s="3502"/>
      <c r="E4343" s="724"/>
      <c r="F4343" s="303"/>
      <c r="G4343" s="303"/>
      <c r="H4343" s="2590"/>
      <c r="I4343" s="2593"/>
      <c r="J4343" s="1893"/>
      <c r="K4343" s="1893"/>
      <c r="L4343" s="2592"/>
      <c r="M4343" s="2592"/>
      <c r="N4343" s="571"/>
    </row>
    <row r="4344" spans="1:16" ht="14.1" customHeight="1" x14ac:dyDescent="0.25">
      <c r="C4344" s="5082"/>
      <c r="E4344" s="724"/>
      <c r="F4344" s="303"/>
      <c r="G4344" s="303"/>
      <c r="H4344" s="2590"/>
      <c r="I4344" s="5743" t="s">
        <v>7118</v>
      </c>
      <c r="J4344" s="5743"/>
      <c r="K4344" s="5743"/>
      <c r="L4344" s="5743"/>
      <c r="M4344" s="5743"/>
      <c r="N4344" s="592"/>
    </row>
    <row r="4345" spans="1:16" ht="20.100000000000001" customHeight="1" x14ac:dyDescent="0.25">
      <c r="B4345" s="2184"/>
      <c r="C4345" s="5083"/>
      <c r="D4345" s="2189"/>
      <c r="E4345" s="724"/>
      <c r="F4345" s="303"/>
      <c r="G4345" s="303"/>
      <c r="H4345" s="2590"/>
      <c r="I4345" s="5747" t="s">
        <v>2276</v>
      </c>
      <c r="J4345" s="5747"/>
      <c r="K4345" s="5747"/>
      <c r="L4345" s="5747"/>
      <c r="M4345" s="5747"/>
      <c r="N4345" s="592"/>
    </row>
    <row r="4346" spans="1:16" ht="15" customHeight="1" x14ac:dyDescent="0.25">
      <c r="D4346" s="5086"/>
      <c r="E4346" s="724"/>
      <c r="F4346" s="303"/>
      <c r="G4346" s="303"/>
      <c r="H4346" s="2590"/>
      <c r="I4346" s="5747" t="s">
        <v>2067</v>
      </c>
      <c r="J4346" s="5747"/>
      <c r="K4346" s="5747"/>
      <c r="L4346" s="5747"/>
      <c r="M4346" s="5747"/>
      <c r="N4346" s="592"/>
    </row>
    <row r="4347" spans="1:16" x14ac:dyDescent="0.25">
      <c r="B4347" s="5734"/>
      <c r="C4347" s="5733"/>
      <c r="D4347" s="5733"/>
      <c r="E4347" s="724"/>
      <c r="F4347" s="303"/>
      <c r="G4347" s="303"/>
      <c r="H4347" s="2590"/>
      <c r="I4347" s="2593"/>
      <c r="K4347" s="2594"/>
      <c r="L4347" s="2189"/>
      <c r="M4347" s="2595"/>
      <c r="N4347" s="592"/>
    </row>
    <row r="4348" spans="1:16" x14ac:dyDescent="0.25">
      <c r="B4348" s="5733"/>
      <c r="C4348" s="5733"/>
      <c r="D4348" s="5733"/>
      <c r="E4348" s="724"/>
      <c r="F4348" s="303"/>
      <c r="G4348" s="303"/>
      <c r="H4348" s="2590"/>
      <c r="K4348" s="2594"/>
      <c r="L4348" s="2189"/>
      <c r="M4348" s="2596"/>
      <c r="N4348" s="587"/>
    </row>
    <row r="4349" spans="1:16" x14ac:dyDescent="0.25">
      <c r="K4349" s="2594"/>
      <c r="L4349" s="2189"/>
      <c r="M4349" s="2597"/>
      <c r="N4349" s="587"/>
    </row>
    <row r="4350" spans="1:16" x14ac:dyDescent="0.25">
      <c r="K4350" s="1709"/>
      <c r="L4350" s="2189"/>
      <c r="M4350" s="2596"/>
      <c r="N4350" s="587"/>
    </row>
    <row r="4351" spans="1:16" ht="15.75" x14ac:dyDescent="0.25">
      <c r="I4351" s="5727" t="s">
        <v>2070</v>
      </c>
      <c r="J4351" s="5727"/>
      <c r="K4351" s="5727"/>
      <c r="L4351" s="5727"/>
      <c r="M4351" s="5727"/>
      <c r="N4351" s="592"/>
      <c r="O4351" s="304"/>
      <c r="P4351" s="304"/>
    </row>
    <row r="4352" spans="1:16" ht="15" customHeight="1" x14ac:dyDescent="0.25">
      <c r="I4352" s="5741" t="s">
        <v>2071</v>
      </c>
      <c r="J4352" s="5741"/>
      <c r="K4352" s="5741"/>
      <c r="L4352" s="5741"/>
      <c r="M4352" s="5741"/>
      <c r="N4352" s="591"/>
    </row>
    <row r="4353" spans="9:14" x14ac:dyDescent="0.25">
      <c r="I4353" s="5742" t="s">
        <v>2072</v>
      </c>
      <c r="J4353" s="5742"/>
      <c r="K4353" s="5742"/>
      <c r="L4353" s="5742"/>
      <c r="M4353" s="5742"/>
    </row>
    <row r="4355" spans="9:14" x14ac:dyDescent="0.25">
      <c r="M4355" s="5739"/>
      <c r="N4355" s="5739"/>
    </row>
    <row r="4356" spans="9:14" x14ac:dyDescent="0.25">
      <c r="M4356" s="5739"/>
      <c r="N4356" s="5739"/>
    </row>
    <row r="4357" spans="9:14" x14ac:dyDescent="0.25">
      <c r="M4357" s="5739"/>
      <c r="N4357" s="5739"/>
    </row>
    <row r="4358" spans="9:14" x14ac:dyDescent="0.25">
      <c r="M4358" s="5739"/>
      <c r="N4358" s="5739"/>
    </row>
    <row r="4359" spans="9:14" x14ac:dyDescent="0.25">
      <c r="M4359" s="2596"/>
      <c r="N4359" s="587"/>
    </row>
    <row r="4360" spans="9:14" x14ac:dyDescent="0.25">
      <c r="M4360" s="2597"/>
      <c r="N4360" s="587"/>
    </row>
    <row r="4361" spans="9:14" x14ac:dyDescent="0.25">
      <c r="M4361" s="2596"/>
      <c r="N4361" s="587"/>
    </row>
    <row r="4362" spans="9:14" x14ac:dyDescent="0.25">
      <c r="M4362" s="5739"/>
      <c r="N4362" s="5739"/>
    </row>
    <row r="4363" spans="9:14" x14ac:dyDescent="0.25">
      <c r="M4363" s="5740"/>
      <c r="N4363" s="5740"/>
    </row>
  </sheetData>
  <mergeCells count="31">
    <mergeCell ref="F10:I10"/>
    <mergeCell ref="B1:N1"/>
    <mergeCell ref="B2:N2"/>
    <mergeCell ref="B6:N6"/>
    <mergeCell ref="A3:N3"/>
    <mergeCell ref="B7:J7"/>
    <mergeCell ref="N10:N12"/>
    <mergeCell ref="J10:M10"/>
    <mergeCell ref="J11:M11"/>
    <mergeCell ref="D11:E11"/>
    <mergeCell ref="D10:E10"/>
    <mergeCell ref="B10:B12"/>
    <mergeCell ref="C10:C12"/>
    <mergeCell ref="I4351:M4351"/>
    <mergeCell ref="I4352:M4352"/>
    <mergeCell ref="I4353:M4353"/>
    <mergeCell ref="I4344:M4344"/>
    <mergeCell ref="F11:I11"/>
    <mergeCell ref="I4346:M4346"/>
    <mergeCell ref="I4345:M4345"/>
    <mergeCell ref="M4362:N4362"/>
    <mergeCell ref="M4363:N4363"/>
    <mergeCell ref="M4355:N4355"/>
    <mergeCell ref="M4356:N4356"/>
    <mergeCell ref="M4357:N4357"/>
    <mergeCell ref="M4358:N4358"/>
    <mergeCell ref="P1949:R1949"/>
    <mergeCell ref="B4348:D4348"/>
    <mergeCell ref="B4347:D4347"/>
    <mergeCell ref="P2530:R2530"/>
    <mergeCell ref="P3474:S3474"/>
  </mergeCells>
  <printOptions horizontalCentered="1"/>
  <pageMargins left="0.25" right="0.25" top="0.75" bottom="0.75" header="0.3" footer="0.3"/>
  <pageSetup paperSize="258" scale="26" fitToHeight="0" orientation="landscape" r:id="rId1"/>
  <headerFooter>
    <oddFooter>&amp;RHal &amp;P dari &amp;N</oddFooter>
  </headerFooter>
  <rowBreaks count="6" manualBreakCount="6">
    <brk id="1836" max="16383" man="1"/>
    <brk id="1912" max="16383" man="1"/>
    <brk id="3132" max="16383" man="1"/>
    <brk id="3198" max="16383" man="1"/>
    <brk id="3254" max="16383" man="1"/>
    <brk id="4290" max="16383" man="1"/>
  </rowBreaks>
  <colBreaks count="2" manualBreakCount="2">
    <brk id="2" max="1048575" man="1"/>
    <brk id="18" max="1048575" man="1"/>
  </col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M877"/>
  <sheetViews>
    <sheetView view="pageBreakPreview" topLeftCell="B808" zoomScale="82" zoomScaleNormal="90" zoomScaleSheetLayoutView="82" workbookViewId="0">
      <selection activeCell="C522" sqref="C522"/>
    </sheetView>
  </sheetViews>
  <sheetFormatPr defaultColWidth="8.85546875" defaultRowHeight="15" x14ac:dyDescent="0.25"/>
  <cols>
    <col min="1" max="1" width="3.28515625" style="303" hidden="1" customWidth="1"/>
    <col min="2" max="2" width="4.7109375" style="334" customWidth="1"/>
    <col min="3" max="3" width="66.85546875" style="330" customWidth="1"/>
    <col min="4" max="4" width="20.28515625" style="5161" customWidth="1"/>
    <col min="5" max="5" width="21.140625" style="5162" customWidth="1"/>
    <col min="6" max="6" width="15.42578125" style="500" customWidth="1"/>
    <col min="7" max="7" width="10" style="500" customWidth="1"/>
    <col min="8" max="8" width="15.28515625" style="303" hidden="1" customWidth="1"/>
    <col min="9" max="9" width="13" style="3024" hidden="1" customWidth="1"/>
    <col min="10" max="10" width="16.5703125" style="522" bestFit="1" customWidth="1"/>
    <col min="11" max="11" width="21.42578125" style="522" customWidth="1"/>
    <col min="12" max="12" width="24.5703125" style="3024" customWidth="1"/>
    <col min="13" max="16384" width="8.85546875" style="3024"/>
  </cols>
  <sheetData>
    <row r="1" spans="1:12" ht="14.1" customHeight="1" x14ac:dyDescent="0.25">
      <c r="B1" s="5770"/>
      <c r="C1" s="5770"/>
      <c r="D1" s="5770"/>
      <c r="E1" s="5770"/>
      <c r="F1" s="5770"/>
      <c r="G1" s="5770"/>
      <c r="H1" s="5770"/>
    </row>
    <row r="2" spans="1:12" s="221" customFormat="1" ht="21.75" customHeight="1" x14ac:dyDescent="0.25">
      <c r="A2" s="505"/>
      <c r="B2" s="5771" t="s">
        <v>386</v>
      </c>
      <c r="C2" s="5771"/>
      <c r="D2" s="5771"/>
      <c r="E2" s="5771"/>
      <c r="F2" s="5771"/>
      <c r="G2" s="5771"/>
      <c r="H2" s="5771"/>
      <c r="J2" s="2067"/>
      <c r="K2" s="2067"/>
    </row>
    <row r="3" spans="1:12" ht="21.75" customHeight="1" x14ac:dyDescent="0.3">
      <c r="A3" s="505"/>
      <c r="B3" s="5772" t="s">
        <v>387</v>
      </c>
      <c r="C3" s="5772"/>
      <c r="D3" s="5772"/>
      <c r="E3" s="5772"/>
      <c r="F3" s="5772"/>
      <c r="G3" s="5772"/>
      <c r="H3" s="5772"/>
    </row>
    <row r="4" spans="1:12" ht="21.75" customHeight="1" x14ac:dyDescent="0.3">
      <c r="A4" s="5773" t="s">
        <v>435</v>
      </c>
      <c r="B4" s="5773"/>
      <c r="C4" s="5773"/>
      <c r="D4" s="5773"/>
      <c r="E4" s="5773"/>
      <c r="F4" s="5773"/>
      <c r="G4" s="5773"/>
      <c r="H4" s="5773"/>
    </row>
    <row r="5" spans="1:12" ht="14.1" customHeight="1" x14ac:dyDescent="0.25">
      <c r="B5" s="323"/>
      <c r="C5" s="322"/>
      <c r="D5" s="334"/>
      <c r="E5" s="2612"/>
      <c r="F5" s="323"/>
      <c r="G5" s="323"/>
      <c r="H5" s="2601"/>
    </row>
    <row r="6" spans="1:12" ht="14.1" customHeight="1" x14ac:dyDescent="0.25">
      <c r="B6" s="323"/>
      <c r="C6" s="322"/>
      <c r="D6" s="334"/>
      <c r="E6" s="2612"/>
      <c r="F6" s="323"/>
      <c r="G6" s="323"/>
      <c r="H6" s="2601"/>
    </row>
    <row r="7" spans="1:12" ht="14.1" customHeight="1" x14ac:dyDescent="0.25">
      <c r="B7" s="5774" t="s">
        <v>396</v>
      </c>
      <c r="C7" s="5774"/>
      <c r="D7" s="5774"/>
      <c r="E7" s="5774"/>
      <c r="F7" s="5774"/>
      <c r="G7" s="5774"/>
      <c r="H7" s="5774"/>
    </row>
    <row r="8" spans="1:12" ht="14.1" customHeight="1" x14ac:dyDescent="0.25">
      <c r="B8" s="5775" t="s">
        <v>1027</v>
      </c>
      <c r="C8" s="5775"/>
      <c r="D8" s="5775"/>
      <c r="E8" s="2612"/>
      <c r="F8" s="210"/>
      <c r="G8" s="210"/>
      <c r="H8" s="3020"/>
    </row>
    <row r="9" spans="1:12" ht="18" customHeight="1" x14ac:dyDescent="0.25">
      <c r="B9" s="341"/>
      <c r="C9" s="338"/>
      <c r="D9" s="170"/>
      <c r="E9" s="2612"/>
      <c r="F9" s="210"/>
      <c r="G9" s="210"/>
      <c r="H9" s="2607" t="s">
        <v>2460</v>
      </c>
    </row>
    <row r="10" spans="1:12" ht="14.1" customHeight="1" thickBot="1" x14ac:dyDescent="0.3">
      <c r="B10" s="170"/>
      <c r="C10" s="327"/>
      <c r="H10" s="2612"/>
    </row>
    <row r="11" spans="1:12" ht="18.75" customHeight="1" x14ac:dyDescent="0.25">
      <c r="B11" s="5714" t="s">
        <v>1</v>
      </c>
      <c r="C11" s="5766" t="s">
        <v>2</v>
      </c>
      <c r="D11" s="5748" t="s">
        <v>3</v>
      </c>
      <c r="E11" s="5749"/>
      <c r="F11" s="5749"/>
      <c r="G11" s="5750"/>
      <c r="H11" s="5777" t="s">
        <v>4</v>
      </c>
    </row>
    <row r="12" spans="1:12" ht="7.5" customHeight="1" thickBot="1" x14ac:dyDescent="0.3">
      <c r="B12" s="5776"/>
      <c r="C12" s="5767"/>
      <c r="D12" s="5744"/>
      <c r="E12" s="5745"/>
      <c r="F12" s="5745"/>
      <c r="G12" s="5746"/>
      <c r="H12" s="5778"/>
    </row>
    <row r="13" spans="1:12" s="3022" customFormat="1" ht="82.5" customHeight="1" thickBot="1" x14ac:dyDescent="0.3">
      <c r="A13" s="517"/>
      <c r="B13" s="5715"/>
      <c r="C13" s="5768"/>
      <c r="D13" s="2191" t="s">
        <v>33</v>
      </c>
      <c r="E13" s="2191" t="s">
        <v>397</v>
      </c>
      <c r="F13" s="2191" t="s">
        <v>54</v>
      </c>
      <c r="G13" s="2191" t="s">
        <v>106</v>
      </c>
      <c r="H13" s="5779"/>
      <c r="J13" s="2146"/>
      <c r="K13" s="2146"/>
    </row>
    <row r="14" spans="1:12" ht="20.100000000000001" customHeight="1" thickTop="1" thickBot="1" x14ac:dyDescent="0.3">
      <c r="B14" s="331" t="s">
        <v>8</v>
      </c>
      <c r="C14" s="328" t="s">
        <v>9</v>
      </c>
      <c r="D14" s="3027" t="s">
        <v>10</v>
      </c>
      <c r="E14" s="340" t="s">
        <v>11</v>
      </c>
      <c r="F14" s="3027" t="s">
        <v>12</v>
      </c>
      <c r="G14" s="340" t="s">
        <v>13</v>
      </c>
      <c r="H14" s="340" t="s">
        <v>35</v>
      </c>
    </row>
    <row r="15" spans="1:12" s="269" customFormat="1" ht="18" customHeight="1" thickTop="1" x14ac:dyDescent="0.25">
      <c r="A15" s="505"/>
      <c r="B15" s="2619" t="s">
        <v>59</v>
      </c>
      <c r="C15" s="1130" t="s">
        <v>109</v>
      </c>
      <c r="D15" s="3029">
        <f>SUM(D16,D42)</f>
        <v>171884078140</v>
      </c>
      <c r="E15" s="3029">
        <f>SUM(E16,E42)</f>
        <v>122271677958</v>
      </c>
      <c r="F15" s="5163">
        <f>SUM(E15/D15)*100</f>
        <v>71.136128070227329</v>
      </c>
      <c r="G15" s="3029">
        <f>SUM(G16,G42)/2</f>
        <v>82.916666666666657</v>
      </c>
      <c r="H15" s="2623"/>
      <c r="J15" s="2147"/>
      <c r="K15" s="2069"/>
      <c r="L15" s="2069"/>
    </row>
    <row r="16" spans="1:12" s="2070" customFormat="1" ht="20.25" customHeight="1" x14ac:dyDescent="0.25">
      <c r="B16" s="1305" t="s">
        <v>110</v>
      </c>
      <c r="C16" s="507" t="s">
        <v>2357</v>
      </c>
      <c r="D16" s="5164">
        <f>SUM(D17+D25+D29+D34)</f>
        <v>77278067450</v>
      </c>
      <c r="E16" s="5164">
        <f>SUM(E17+E25+E29+E34)</f>
        <v>40453511298</v>
      </c>
      <c r="F16" s="5165">
        <f>SUM(E16/D16*100)</f>
        <v>52.347985182437426</v>
      </c>
      <c r="G16" s="5166">
        <f>SUM(G17+G25+G29+G34)/4</f>
        <v>65.833333333333329</v>
      </c>
      <c r="H16" s="2071"/>
      <c r="J16" s="2085"/>
    </row>
    <row r="17" spans="1:10" s="2070" customFormat="1" x14ac:dyDescent="0.25">
      <c r="B17" s="1242"/>
      <c r="C17" s="1132" t="s">
        <v>2423</v>
      </c>
      <c r="D17" s="2642">
        <f>SUM(D18:D23)</f>
        <v>6900000000</v>
      </c>
      <c r="E17" s="2642">
        <f>SUM(E18:E23)</f>
        <v>6518832054</v>
      </c>
      <c r="F17" s="5167">
        <f t="shared" ref="F17:F23" si="0">E17/D17*100</f>
        <v>94.475826869565211</v>
      </c>
      <c r="G17" s="5168">
        <v>100</v>
      </c>
      <c r="H17" s="2077"/>
      <c r="J17" s="2085"/>
    </row>
    <row r="18" spans="1:10" s="1639" customFormat="1" ht="15.75" customHeight="1" x14ac:dyDescent="0.25">
      <c r="A18" s="1637"/>
      <c r="B18" s="2900"/>
      <c r="C18" s="509" t="s">
        <v>2424</v>
      </c>
      <c r="D18" s="5110">
        <v>3000000000</v>
      </c>
      <c r="E18" s="3479">
        <v>2764328000</v>
      </c>
      <c r="F18" s="2846">
        <f t="shared" si="0"/>
        <v>92.144266666666667</v>
      </c>
      <c r="G18" s="3630">
        <v>100</v>
      </c>
      <c r="H18" s="1638"/>
    </row>
    <row r="19" spans="1:10" s="1639" customFormat="1" ht="14.25" customHeight="1" x14ac:dyDescent="0.25">
      <c r="A19" s="1637"/>
      <c r="B19" s="2900"/>
      <c r="C19" s="509" t="s">
        <v>2425</v>
      </c>
      <c r="D19" s="5110">
        <v>1000000000</v>
      </c>
      <c r="E19" s="3481">
        <v>936600000</v>
      </c>
      <c r="F19" s="2846">
        <f t="shared" si="0"/>
        <v>93.66</v>
      </c>
      <c r="G19" s="3630">
        <v>100</v>
      </c>
      <c r="H19" s="1638"/>
    </row>
    <row r="20" spans="1:10" s="1639" customFormat="1" ht="16.5" customHeight="1" x14ac:dyDescent="0.25">
      <c r="A20" s="1637"/>
      <c r="B20" s="2900"/>
      <c r="C20" s="1133" t="s">
        <v>2426</v>
      </c>
      <c r="D20" s="5110">
        <v>1000000000</v>
      </c>
      <c r="E20" s="3479">
        <v>955300000</v>
      </c>
      <c r="F20" s="2846">
        <f t="shared" si="0"/>
        <v>95.53</v>
      </c>
      <c r="G20" s="3630">
        <v>100</v>
      </c>
      <c r="H20" s="1638"/>
    </row>
    <row r="21" spans="1:10" s="1639" customFormat="1" ht="18" customHeight="1" x14ac:dyDescent="0.25">
      <c r="A21" s="1637"/>
      <c r="B21" s="2900"/>
      <c r="C21" s="509" t="s">
        <v>2427</v>
      </c>
      <c r="D21" s="5110">
        <v>900000000</v>
      </c>
      <c r="E21" s="3479">
        <v>885222054</v>
      </c>
      <c r="F21" s="2846">
        <f t="shared" si="0"/>
        <v>98.358006000000003</v>
      </c>
      <c r="G21" s="3630">
        <v>100</v>
      </c>
      <c r="H21" s="1638"/>
    </row>
    <row r="22" spans="1:10" s="1639" customFormat="1" ht="15.75" customHeight="1" x14ac:dyDescent="0.25">
      <c r="A22" s="1637"/>
      <c r="B22" s="2900"/>
      <c r="C22" s="509" t="s">
        <v>2428</v>
      </c>
      <c r="D22" s="5110">
        <v>800000000</v>
      </c>
      <c r="E22" s="3479">
        <v>777482000</v>
      </c>
      <c r="F22" s="2846">
        <f t="shared" si="0"/>
        <v>97.185249999999996</v>
      </c>
      <c r="G22" s="3630">
        <v>100</v>
      </c>
      <c r="H22" s="1638"/>
    </row>
    <row r="23" spans="1:10" s="1639" customFormat="1" ht="17.25" customHeight="1" x14ac:dyDescent="0.25">
      <c r="A23" s="1637"/>
      <c r="B23" s="2900"/>
      <c r="C23" s="509" t="s">
        <v>2429</v>
      </c>
      <c r="D23" s="5110">
        <v>200000000</v>
      </c>
      <c r="E23" s="3479">
        <v>199900000</v>
      </c>
      <c r="F23" s="2846">
        <f t="shared" si="0"/>
        <v>99.95</v>
      </c>
      <c r="G23" s="3630">
        <v>100</v>
      </c>
      <c r="H23" s="1638"/>
    </row>
    <row r="24" spans="1:10" s="1639" customFormat="1" ht="12" customHeight="1" x14ac:dyDescent="0.25">
      <c r="A24" s="1637"/>
      <c r="B24" s="2900"/>
      <c r="C24" s="509"/>
      <c r="D24" s="5110"/>
      <c r="E24" s="3479"/>
      <c r="F24" s="3488"/>
      <c r="G24" s="3479"/>
      <c r="H24" s="1638"/>
    </row>
    <row r="25" spans="1:10" s="1639" customFormat="1" ht="18.75" customHeight="1" x14ac:dyDescent="0.25">
      <c r="A25" s="1637"/>
      <c r="B25" s="2900"/>
      <c r="C25" s="1132" t="s">
        <v>2430</v>
      </c>
      <c r="D25" s="2642">
        <f>SUM(D26:D27)</f>
        <v>2306004000</v>
      </c>
      <c r="E25" s="2642">
        <f>SUM(E26:E27)</f>
        <v>1412431860</v>
      </c>
      <c r="F25" s="5167">
        <f>E25/D25*100</f>
        <v>61.250191239911125</v>
      </c>
      <c r="G25" s="5168">
        <f>SUM(G26:G27)/2</f>
        <v>70</v>
      </c>
      <c r="H25" s="1638"/>
    </row>
    <row r="26" spans="1:10" s="1639" customFormat="1" ht="23.25" customHeight="1" x14ac:dyDescent="0.25">
      <c r="A26" s="1637"/>
      <c r="B26" s="2900"/>
      <c r="C26" s="509" t="s">
        <v>2431</v>
      </c>
      <c r="D26" s="5110">
        <v>863704000</v>
      </c>
      <c r="E26" s="3481">
        <v>848792700</v>
      </c>
      <c r="F26" s="2846">
        <f>E26/D26*100</f>
        <v>98.273563628280058</v>
      </c>
      <c r="G26" s="3479">
        <v>100</v>
      </c>
      <c r="H26" s="1638"/>
    </row>
    <row r="27" spans="1:10" s="1639" customFormat="1" ht="27.75" customHeight="1" x14ac:dyDescent="0.25">
      <c r="A27" s="1637"/>
      <c r="B27" s="2900"/>
      <c r="C27" s="509" t="s">
        <v>2432</v>
      </c>
      <c r="D27" s="5110">
        <v>1442300000</v>
      </c>
      <c r="E27" s="3879">
        <v>563639160</v>
      </c>
      <c r="F27" s="2846">
        <f>E27/D27*100</f>
        <v>39.079190182347638</v>
      </c>
      <c r="G27" s="3630">
        <v>40</v>
      </c>
      <c r="H27" s="1638"/>
    </row>
    <row r="28" spans="1:10" s="1639" customFormat="1" ht="9.75" customHeight="1" x14ac:dyDescent="0.25">
      <c r="A28" s="1637"/>
      <c r="B28" s="2900"/>
      <c r="C28" s="509"/>
      <c r="D28" s="5169"/>
      <c r="E28" s="3482"/>
      <c r="F28" s="3488"/>
      <c r="G28" s="3479"/>
      <c r="H28" s="1638"/>
    </row>
    <row r="29" spans="1:10" s="2070" customFormat="1" ht="16.5" customHeight="1" x14ac:dyDescent="0.25">
      <c r="B29" s="1242"/>
      <c r="C29" s="1132" t="s">
        <v>2433</v>
      </c>
      <c r="D29" s="2642">
        <f>SUM(D30:D32)</f>
        <v>61557345450</v>
      </c>
      <c r="E29" s="2642">
        <f>SUM(E30:E32)</f>
        <v>29150827750</v>
      </c>
      <c r="F29" s="5167">
        <f>E29/D29*100</f>
        <v>47.355563396861847</v>
      </c>
      <c r="G29" s="5168">
        <f>SUM(G30:G32)/4</f>
        <v>35</v>
      </c>
      <c r="H29" s="2077"/>
    </row>
    <row r="30" spans="1:10" s="5633" customFormat="1" ht="31.5" customHeight="1" x14ac:dyDescent="0.25">
      <c r="A30" s="5651"/>
      <c r="B30" s="5652"/>
      <c r="C30" s="5644" t="s">
        <v>2434</v>
      </c>
      <c r="D30" s="5645">
        <v>10574500000</v>
      </c>
      <c r="E30" s="5645">
        <v>10574500000</v>
      </c>
      <c r="F30" s="5654">
        <f>E30/D30*100</f>
        <v>100</v>
      </c>
      <c r="G30" s="5653">
        <v>100</v>
      </c>
      <c r="H30" s="5655"/>
    </row>
    <row r="31" spans="1:10" s="5633" customFormat="1" ht="21" customHeight="1" x14ac:dyDescent="0.25">
      <c r="A31" s="5651"/>
      <c r="B31" s="5652"/>
      <c r="C31" s="5644" t="s">
        <v>2435</v>
      </c>
      <c r="D31" s="5645">
        <v>970200000</v>
      </c>
      <c r="E31" s="5653">
        <v>0</v>
      </c>
      <c r="F31" s="5654">
        <f>E31/D31*100</f>
        <v>0</v>
      </c>
      <c r="G31" s="5654">
        <v>0</v>
      </c>
      <c r="H31" s="5655"/>
    </row>
    <row r="32" spans="1:10" s="1639" customFormat="1" ht="16.5" customHeight="1" x14ac:dyDescent="0.25">
      <c r="A32" s="1637"/>
      <c r="B32" s="2900"/>
      <c r="C32" s="509" t="s">
        <v>2436</v>
      </c>
      <c r="D32" s="5110">
        <v>50012645450</v>
      </c>
      <c r="E32" s="3481">
        <v>18576327750</v>
      </c>
      <c r="F32" s="2846">
        <f>E32/D32*100</f>
        <v>37.143261634843192</v>
      </c>
      <c r="G32" s="3479">
        <v>40</v>
      </c>
      <c r="H32" s="1638"/>
    </row>
    <row r="33" spans="1:12" s="1639" customFormat="1" ht="11.25" customHeight="1" x14ac:dyDescent="0.25">
      <c r="A33" s="1637"/>
      <c r="B33" s="2900"/>
      <c r="C33" s="509"/>
      <c r="D33" s="5110"/>
      <c r="E33" s="3482"/>
      <c r="F33" s="3488"/>
      <c r="G33" s="3479"/>
      <c r="H33" s="1638"/>
    </row>
    <row r="34" spans="1:12" s="2070" customFormat="1" ht="15.75" customHeight="1" x14ac:dyDescent="0.25">
      <c r="B34" s="1242"/>
      <c r="C34" s="1132" t="s">
        <v>2437</v>
      </c>
      <c r="D34" s="2642">
        <f>SUM(D35:D40)</f>
        <v>6514718000</v>
      </c>
      <c r="E34" s="2642">
        <f>SUM(E35:E40)</f>
        <v>3371419634</v>
      </c>
      <c r="F34" s="5167">
        <f t="shared" ref="F34:F40" si="1">E34/D34*100</f>
        <v>51.750814601645075</v>
      </c>
      <c r="G34" s="5168">
        <f>SUM(G35:G40)/6</f>
        <v>58.333333333333336</v>
      </c>
      <c r="H34" s="2077"/>
    </row>
    <row r="35" spans="1:12" s="1639" customFormat="1" ht="17.25" customHeight="1" x14ac:dyDescent="0.25">
      <c r="A35" s="1637"/>
      <c r="B35" s="2900"/>
      <c r="C35" s="509" t="s">
        <v>2438</v>
      </c>
      <c r="D35" s="5110">
        <v>700000000</v>
      </c>
      <c r="E35" s="3481">
        <v>697317600</v>
      </c>
      <c r="F35" s="2846">
        <f t="shared" si="1"/>
        <v>99.616800000000012</v>
      </c>
      <c r="G35" s="3630">
        <v>100</v>
      </c>
      <c r="H35" s="1638"/>
    </row>
    <row r="36" spans="1:12" s="1639" customFormat="1" ht="16.5" customHeight="1" x14ac:dyDescent="0.25">
      <c r="A36" s="1637"/>
      <c r="B36" s="2900"/>
      <c r="C36" s="509" t="s">
        <v>2439</v>
      </c>
      <c r="D36" s="5110">
        <v>1436300000</v>
      </c>
      <c r="E36" s="3479">
        <v>0</v>
      </c>
      <c r="F36" s="2846">
        <f t="shared" si="1"/>
        <v>0</v>
      </c>
      <c r="G36" s="3630">
        <v>0</v>
      </c>
      <c r="H36" s="1638"/>
    </row>
    <row r="37" spans="1:12" s="1639" customFormat="1" ht="27.75" customHeight="1" x14ac:dyDescent="0.25">
      <c r="A37" s="1637"/>
      <c r="B37" s="2900"/>
      <c r="C37" s="509" t="s">
        <v>2440</v>
      </c>
      <c r="D37" s="5110">
        <v>659925000</v>
      </c>
      <c r="E37" s="3879">
        <v>0</v>
      </c>
      <c r="F37" s="2846">
        <f t="shared" si="1"/>
        <v>0</v>
      </c>
      <c r="G37" s="3630">
        <v>0</v>
      </c>
      <c r="H37" s="1638"/>
    </row>
    <row r="38" spans="1:12" s="1639" customFormat="1" ht="21" customHeight="1" x14ac:dyDescent="0.25">
      <c r="A38" s="1637"/>
      <c r="B38" s="2900"/>
      <c r="C38" s="509" t="s">
        <v>2441</v>
      </c>
      <c r="D38" s="5110">
        <v>804993000</v>
      </c>
      <c r="E38" s="3879">
        <v>803887599</v>
      </c>
      <c r="F38" s="2846">
        <f t="shared" si="1"/>
        <v>99.862681911519729</v>
      </c>
      <c r="G38" s="3620">
        <v>100</v>
      </c>
      <c r="H38" s="1638"/>
    </row>
    <row r="39" spans="1:12" s="1639" customFormat="1" ht="15.75" customHeight="1" x14ac:dyDescent="0.25">
      <c r="A39" s="1637"/>
      <c r="B39" s="2900"/>
      <c r="C39" s="509" t="s">
        <v>2442</v>
      </c>
      <c r="D39" s="5110">
        <v>1952735000</v>
      </c>
      <c r="E39" s="3879">
        <v>911476467</v>
      </c>
      <c r="F39" s="2846">
        <f t="shared" si="1"/>
        <v>46.6769155568984</v>
      </c>
      <c r="G39" s="3479">
        <v>50</v>
      </c>
      <c r="H39" s="1638"/>
    </row>
    <row r="40" spans="1:12" s="1639" customFormat="1" ht="18" customHeight="1" x14ac:dyDescent="0.25">
      <c r="A40" s="1637"/>
      <c r="B40" s="2900"/>
      <c r="C40" s="509" t="s">
        <v>2443</v>
      </c>
      <c r="D40" s="5110">
        <v>960765000</v>
      </c>
      <c r="E40" s="3481">
        <v>958737968</v>
      </c>
      <c r="F40" s="2846">
        <f t="shared" si="1"/>
        <v>99.789018958850491</v>
      </c>
      <c r="G40" s="3630">
        <v>100</v>
      </c>
      <c r="H40" s="1638"/>
    </row>
    <row r="41" spans="1:12" s="1639" customFormat="1" ht="18" customHeight="1" x14ac:dyDescent="0.25">
      <c r="A41" s="1637"/>
      <c r="B41" s="2900"/>
      <c r="C41" s="1146"/>
      <c r="D41" s="5170"/>
      <c r="E41" s="5171"/>
      <c r="F41" s="4097"/>
      <c r="G41" s="804"/>
      <c r="H41" s="1638"/>
    </row>
    <row r="42" spans="1:12" s="269" customFormat="1" ht="14.25" customHeight="1" x14ac:dyDescent="0.25">
      <c r="A42" s="505"/>
      <c r="B42" s="2635" t="s">
        <v>232</v>
      </c>
      <c r="C42" s="507" t="s">
        <v>222</v>
      </c>
      <c r="D42" s="5172">
        <f>SUM(D43+D46)</f>
        <v>94606010690</v>
      </c>
      <c r="E42" s="5172">
        <f>SUM(E43+E46)</f>
        <v>81818166660</v>
      </c>
      <c r="F42" s="5165">
        <f>SUM(E42/D42*100)</f>
        <v>86.483053310531673</v>
      </c>
      <c r="G42" s="5173">
        <f>G46</f>
        <v>100</v>
      </c>
      <c r="H42" s="2623"/>
      <c r="J42" s="2069"/>
      <c r="K42" s="2069"/>
    </row>
    <row r="43" spans="1:12" ht="16.5" customHeight="1" x14ac:dyDescent="0.25">
      <c r="B43" s="317"/>
      <c r="C43" s="647" t="s">
        <v>2457</v>
      </c>
      <c r="D43" s="5174">
        <f>D44</f>
        <v>24818166660</v>
      </c>
      <c r="E43" s="5174">
        <f>E44</f>
        <v>24818166660</v>
      </c>
      <c r="F43" s="1489">
        <v>100</v>
      </c>
      <c r="G43" s="3629">
        <v>100</v>
      </c>
      <c r="H43" s="2634"/>
    </row>
    <row r="44" spans="1:12" ht="16.5" customHeight="1" x14ac:dyDescent="0.25">
      <c r="B44" s="317"/>
      <c r="C44" s="509" t="s">
        <v>2461</v>
      </c>
      <c r="D44" s="5175">
        <v>24818166660</v>
      </c>
      <c r="E44" s="2846">
        <v>24818166660</v>
      </c>
      <c r="F44" s="2846">
        <v>100</v>
      </c>
      <c r="G44" s="3630">
        <v>100</v>
      </c>
      <c r="H44" s="2634"/>
    </row>
    <row r="45" spans="1:12" ht="12" customHeight="1" x14ac:dyDescent="0.25">
      <c r="B45" s="317"/>
      <c r="C45" s="509"/>
      <c r="D45" s="5175"/>
      <c r="E45" s="5176"/>
      <c r="F45" s="5177"/>
      <c r="G45" s="5177"/>
      <c r="H45" s="2634"/>
    </row>
    <row r="46" spans="1:12" s="269" customFormat="1" ht="17.25" customHeight="1" x14ac:dyDescent="0.25">
      <c r="A46" s="505"/>
      <c r="B46" s="2630"/>
      <c r="C46" s="508" t="s">
        <v>2458</v>
      </c>
      <c r="D46" s="5168">
        <v>69787844030</v>
      </c>
      <c r="E46" s="2642">
        <v>57000000000</v>
      </c>
      <c r="F46" s="5167">
        <f>E46/D46*100</f>
        <v>81.676115364012631</v>
      </c>
      <c r="G46" s="5168">
        <v>100</v>
      </c>
      <c r="H46" s="2623"/>
      <c r="J46" s="2069"/>
      <c r="K46" s="2069"/>
    </row>
    <row r="47" spans="1:12" x14ac:dyDescent="0.25">
      <c r="B47" s="317"/>
      <c r="C47" s="509" t="s">
        <v>2459</v>
      </c>
      <c r="D47" s="1743">
        <v>69787844030</v>
      </c>
      <c r="E47" s="3488">
        <v>57000000000</v>
      </c>
      <c r="F47" s="2846">
        <f>E47/D47*100</f>
        <v>81.676115364012631</v>
      </c>
      <c r="G47" s="5178">
        <v>100</v>
      </c>
      <c r="H47" s="2634"/>
      <c r="L47" s="522"/>
    </row>
    <row r="48" spans="1:12" ht="12" customHeight="1" x14ac:dyDescent="0.25">
      <c r="B48" s="499"/>
      <c r="C48" s="509"/>
      <c r="D48" s="1314"/>
      <c r="E48" s="2335"/>
      <c r="F48" s="1316"/>
      <c r="G48" s="1314"/>
      <c r="H48" s="2634"/>
    </row>
    <row r="49" spans="1:12" s="276" customFormat="1" ht="18.75" customHeight="1" x14ac:dyDescent="0.25">
      <c r="A49" s="510"/>
      <c r="B49" s="2619" t="s">
        <v>79</v>
      </c>
      <c r="C49" s="1135" t="s">
        <v>17</v>
      </c>
      <c r="D49" s="5105">
        <f>SUM(D51+D73+D165+D243+D282+D323+D393+D465+D555+D626+D651+D720+D786)</f>
        <v>554419156940</v>
      </c>
      <c r="E49" s="5105">
        <f>SUM(E51+E73+E165+E243+E282+E323+E393+E465+E555+E626+E651+E720+E786)</f>
        <v>494211621735</v>
      </c>
      <c r="F49" s="5163">
        <f>SUM(E49/D49)*100</f>
        <v>89.140430222991782</v>
      </c>
      <c r="G49" s="787">
        <f>SUM(G51+G73+G165+G243+G282+G323+G393+G465+G555+G626+G651+G720+G786)/13</f>
        <v>85.294630525572998</v>
      </c>
      <c r="H49" s="2647"/>
      <c r="J49" s="2148"/>
      <c r="K49" s="2148"/>
      <c r="L49" s="606"/>
    </row>
    <row r="50" spans="1:12" ht="12" customHeight="1" x14ac:dyDescent="0.25">
      <c r="B50" s="2627"/>
      <c r="C50" s="648"/>
      <c r="D50" s="1314"/>
      <c r="E50" s="2335"/>
      <c r="F50" s="4454"/>
      <c r="G50" s="1314"/>
      <c r="H50" s="2634"/>
      <c r="L50" s="605"/>
    </row>
    <row r="51" spans="1:12" ht="18.75" customHeight="1" x14ac:dyDescent="0.25">
      <c r="B51" s="2649"/>
      <c r="C51" s="1253" t="s">
        <v>557</v>
      </c>
      <c r="D51" s="5106">
        <f>SUM(D53+D69)</f>
        <v>83381791411</v>
      </c>
      <c r="E51" s="2651">
        <f>SUM(E53+E69)</f>
        <v>74739914047</v>
      </c>
      <c r="F51" s="2236">
        <f>E51/D51*100</f>
        <v>89.635773928862918</v>
      </c>
      <c r="G51" s="2236">
        <f>SUM(G53+G69)/2</f>
        <v>95.222222222222229</v>
      </c>
      <c r="H51" s="2634"/>
      <c r="L51" s="607"/>
    </row>
    <row r="52" spans="1:12" ht="10.5" customHeight="1" x14ac:dyDescent="0.25">
      <c r="B52" s="2630"/>
      <c r="C52" s="1254"/>
      <c r="D52" s="1314"/>
      <c r="E52" s="2234"/>
      <c r="F52" s="1309"/>
      <c r="G52" s="1314"/>
      <c r="H52" s="2634"/>
      <c r="L52" s="607"/>
    </row>
    <row r="53" spans="1:12" s="1639" customFormat="1" ht="15.75" customHeight="1" x14ac:dyDescent="0.25">
      <c r="B53" s="2635"/>
      <c r="C53" s="3969" t="s">
        <v>2064</v>
      </c>
      <c r="D53" s="5107">
        <f>SUM(D54+D59+D66)</f>
        <v>51361399864</v>
      </c>
      <c r="E53" s="5107">
        <f>SUM(E54+E59+E66)</f>
        <v>42719522500</v>
      </c>
      <c r="F53" s="1462">
        <f>E53/D53*100</f>
        <v>83.174373387635754</v>
      </c>
      <c r="G53" s="2239">
        <f>SUM(G54+G59+G66)/3</f>
        <v>90.444444444444443</v>
      </c>
      <c r="H53" s="2634"/>
      <c r="J53" s="2093"/>
      <c r="K53" s="2093"/>
      <c r="L53" s="2093"/>
    </row>
    <row r="54" spans="1:12" s="1639" customFormat="1" ht="15.75" customHeight="1" x14ac:dyDescent="0.25">
      <c r="B54" s="2653"/>
      <c r="C54" s="3970" t="s">
        <v>288</v>
      </c>
      <c r="D54" s="5108">
        <f>SUM(D55:D57)</f>
        <v>4199950000</v>
      </c>
      <c r="E54" s="5108">
        <f>SUM(E55:E57)</f>
        <v>3121150000</v>
      </c>
      <c r="F54" s="2409">
        <f>E54/D54*100</f>
        <v>74.313979928332486</v>
      </c>
      <c r="G54" s="2409">
        <f>SUM(G55:G57)/3</f>
        <v>83.333333333333329</v>
      </c>
      <c r="H54" s="2634"/>
      <c r="J54" s="2093"/>
      <c r="K54" s="2093"/>
      <c r="L54" s="2095"/>
    </row>
    <row r="55" spans="1:12" s="1639" customFormat="1" ht="16.5" customHeight="1" x14ac:dyDescent="0.25">
      <c r="B55" s="2624"/>
      <c r="C55" s="3867" t="s">
        <v>620</v>
      </c>
      <c r="D55" s="1406">
        <v>2435900000</v>
      </c>
      <c r="E55" s="3489">
        <v>1425100000</v>
      </c>
      <c r="F55" s="4113">
        <f>E55/D55*100</f>
        <v>58.504043679954023</v>
      </c>
      <c r="G55" s="1111">
        <v>50</v>
      </c>
      <c r="H55" s="2634"/>
      <c r="J55" s="2093"/>
      <c r="K55" s="2093"/>
      <c r="L55" s="2095"/>
    </row>
    <row r="56" spans="1:12" s="1639" customFormat="1" ht="15.75" customHeight="1" x14ac:dyDescent="0.25">
      <c r="B56" s="2624"/>
      <c r="C56" s="3867" t="s">
        <v>2158</v>
      </c>
      <c r="D56" s="1406">
        <v>1263000000</v>
      </c>
      <c r="E56" s="3879">
        <v>1195000000</v>
      </c>
      <c r="F56" s="4113">
        <f t="shared" ref="F56:F57" si="2">E56/D56*100</f>
        <v>94.615993665874896</v>
      </c>
      <c r="G56" s="3630">
        <v>100</v>
      </c>
      <c r="H56" s="2634"/>
      <c r="J56" s="2093"/>
      <c r="K56" s="2093"/>
      <c r="L56" s="2095"/>
    </row>
    <row r="57" spans="1:12" s="1639" customFormat="1" ht="13.5" customHeight="1" x14ac:dyDescent="0.25">
      <c r="B57" s="2624"/>
      <c r="C57" s="622" t="s">
        <v>2159</v>
      </c>
      <c r="D57" s="1407">
        <v>501050000</v>
      </c>
      <c r="E57" s="3879">
        <v>501050000</v>
      </c>
      <c r="F57" s="4113">
        <f t="shared" si="2"/>
        <v>100</v>
      </c>
      <c r="G57" s="3630">
        <v>100</v>
      </c>
      <c r="H57" s="2634"/>
      <c r="J57" s="2093"/>
      <c r="K57" s="2093"/>
      <c r="L57" s="2095"/>
    </row>
    <row r="58" spans="1:12" s="1639" customFormat="1" ht="12" customHeight="1" x14ac:dyDescent="0.25">
      <c r="B58" s="2624"/>
      <c r="C58" s="3970"/>
      <c r="D58" s="5108"/>
      <c r="E58" s="3490"/>
      <c r="F58" s="1316"/>
      <c r="G58" s="2243"/>
      <c r="H58" s="2634"/>
      <c r="J58" s="2093"/>
      <c r="K58" s="2093"/>
      <c r="L58" s="2095"/>
    </row>
    <row r="59" spans="1:12" s="1639" customFormat="1" ht="12" customHeight="1" x14ac:dyDescent="0.25">
      <c r="B59" s="2624"/>
      <c r="C59" s="3938" t="s">
        <v>239</v>
      </c>
      <c r="D59" s="3629">
        <f>SUM(D60:D64)</f>
        <v>31074209864</v>
      </c>
      <c r="E59" s="3629">
        <f>SUM(E60:E64)</f>
        <v>25606435000</v>
      </c>
      <c r="F59" s="2409">
        <f>E59/D59*100</f>
        <v>82.404138712036854</v>
      </c>
      <c r="G59" s="2243">
        <f>SUM(G60:G64)/5</f>
        <v>88</v>
      </c>
      <c r="H59" s="2634"/>
      <c r="J59" s="2093"/>
      <c r="K59" s="2093"/>
      <c r="L59" s="2095"/>
    </row>
    <row r="60" spans="1:12" s="1639" customFormat="1" ht="15.75" customHeight="1" x14ac:dyDescent="0.25">
      <c r="B60" s="2624"/>
      <c r="C60" s="3866" t="s">
        <v>2230</v>
      </c>
      <c r="D60" s="1407">
        <v>3348640000</v>
      </c>
      <c r="E60" s="3879">
        <v>2863000000</v>
      </c>
      <c r="F60" s="4113">
        <f>E60/D60*100</f>
        <v>85.497395957761952</v>
      </c>
      <c r="G60" s="1111">
        <v>85</v>
      </c>
      <c r="H60" s="2634"/>
      <c r="J60" s="2093"/>
      <c r="K60" s="2093"/>
      <c r="L60" s="2095"/>
    </row>
    <row r="61" spans="1:12" s="1639" customFormat="1" ht="13.5" customHeight="1" x14ac:dyDescent="0.25">
      <c r="B61" s="2624"/>
      <c r="C61" s="622" t="s">
        <v>2242</v>
      </c>
      <c r="D61" s="1407">
        <v>4284545000</v>
      </c>
      <c r="E61" s="3879">
        <v>4216360000</v>
      </c>
      <c r="F61" s="4113">
        <f t="shared" ref="F61:F67" si="3">E61/D61*100</f>
        <v>98.408582474918575</v>
      </c>
      <c r="G61" s="1111">
        <v>100</v>
      </c>
      <c r="H61" s="2634"/>
      <c r="J61" s="2093"/>
      <c r="K61" s="2093"/>
    </row>
    <row r="62" spans="1:12" s="1639" customFormat="1" ht="15.75" customHeight="1" x14ac:dyDescent="0.25">
      <c r="B62" s="2624"/>
      <c r="C62" s="622" t="s">
        <v>2231</v>
      </c>
      <c r="D62" s="1407">
        <v>10749969864</v>
      </c>
      <c r="E62" s="3879">
        <v>8557500000</v>
      </c>
      <c r="F62" s="4113">
        <f t="shared" si="3"/>
        <v>79.604874323022571</v>
      </c>
      <c r="G62" s="1111">
        <v>80</v>
      </c>
      <c r="H62" s="2634"/>
      <c r="J62" s="2093"/>
      <c r="K62" s="2093"/>
    </row>
    <row r="63" spans="1:12" s="1639" customFormat="1" ht="15" customHeight="1" x14ac:dyDescent="0.25">
      <c r="B63" s="2624"/>
      <c r="C63" s="622" t="s">
        <v>2232</v>
      </c>
      <c r="D63" s="1407">
        <v>9661460000</v>
      </c>
      <c r="E63" s="3879">
        <v>7198000000</v>
      </c>
      <c r="F63" s="4113">
        <f t="shared" si="3"/>
        <v>74.502197390456516</v>
      </c>
      <c r="G63" s="1111">
        <v>75</v>
      </c>
      <c r="H63" s="2634"/>
      <c r="J63" s="2093"/>
      <c r="K63" s="2093"/>
    </row>
    <row r="64" spans="1:12" s="1639" customFormat="1" ht="16.5" customHeight="1" x14ac:dyDescent="0.25">
      <c r="B64" s="2624"/>
      <c r="C64" s="622" t="s">
        <v>2233</v>
      </c>
      <c r="D64" s="1407">
        <v>3029595000</v>
      </c>
      <c r="E64" s="3879">
        <v>2771575000</v>
      </c>
      <c r="F64" s="4113">
        <f t="shared" si="3"/>
        <v>91.4833500847473</v>
      </c>
      <c r="G64" s="1111">
        <v>100</v>
      </c>
      <c r="H64" s="2634"/>
      <c r="J64" s="2093"/>
      <c r="K64" s="2093"/>
    </row>
    <row r="65" spans="2:13" s="1639" customFormat="1" ht="12" customHeight="1" x14ac:dyDescent="0.25">
      <c r="B65" s="2627"/>
      <c r="C65" s="3971"/>
      <c r="D65" s="3557"/>
      <c r="E65" s="3879"/>
      <c r="F65" s="4113"/>
      <c r="G65" s="2246"/>
      <c r="H65" s="2634"/>
      <c r="J65" s="2093"/>
      <c r="K65" s="2093"/>
    </row>
    <row r="66" spans="2:13" s="1639" customFormat="1" ht="18.75" customHeight="1" x14ac:dyDescent="0.25">
      <c r="B66" s="2630"/>
      <c r="C66" s="3938" t="s">
        <v>240</v>
      </c>
      <c r="D66" s="3629">
        <f>D67</f>
        <v>16087240000</v>
      </c>
      <c r="E66" s="3629">
        <f>E67</f>
        <v>13991937500</v>
      </c>
      <c r="F66" s="4114">
        <f t="shared" si="3"/>
        <v>86.975376136615097</v>
      </c>
      <c r="G66" s="2409">
        <v>100</v>
      </c>
      <c r="H66" s="2634"/>
      <c r="J66" s="2093"/>
      <c r="K66" s="2093"/>
    </row>
    <row r="67" spans="2:13" s="1639" customFormat="1" ht="13.5" customHeight="1" x14ac:dyDescent="0.25">
      <c r="B67" s="2630"/>
      <c r="C67" s="4118" t="s">
        <v>2234</v>
      </c>
      <c r="D67" s="1406">
        <v>16087240000</v>
      </c>
      <c r="E67" s="3879">
        <v>13991937500</v>
      </c>
      <c r="F67" s="4113">
        <f t="shared" si="3"/>
        <v>86.975376136615097</v>
      </c>
      <c r="G67" s="1111">
        <v>100</v>
      </c>
      <c r="H67" s="2634"/>
      <c r="J67" s="2093"/>
      <c r="K67" s="2093"/>
    </row>
    <row r="68" spans="2:13" s="1639" customFormat="1" ht="12" customHeight="1" x14ac:dyDescent="0.25">
      <c r="B68" s="2630"/>
      <c r="C68" s="1254"/>
      <c r="D68" s="801"/>
      <c r="E68" s="2234"/>
      <c r="F68" s="4454"/>
      <c r="G68" s="1651"/>
      <c r="H68" s="2634"/>
      <c r="J68" s="2093"/>
      <c r="K68" s="2093"/>
    </row>
    <row r="69" spans="2:13" ht="15" customHeight="1" x14ac:dyDescent="0.25">
      <c r="B69" s="2635"/>
      <c r="C69" s="1180" t="s">
        <v>2213</v>
      </c>
      <c r="D69" s="3631">
        <f>SUM(D70)</f>
        <v>32020391547</v>
      </c>
      <c r="E69" s="3631">
        <f>SUM(E70)</f>
        <v>32020391547</v>
      </c>
      <c r="F69" s="1462">
        <f>E69/D69*100</f>
        <v>100</v>
      </c>
      <c r="G69" s="1645">
        <f>G70</f>
        <v>100</v>
      </c>
      <c r="H69" s="2634"/>
    </row>
    <row r="70" spans="2:13" ht="15.75" customHeight="1" x14ac:dyDescent="0.25">
      <c r="B70" s="2630"/>
      <c r="C70" s="1258" t="s">
        <v>2214</v>
      </c>
      <c r="D70" s="636">
        <f>SUM(D71:D71)</f>
        <v>32020391547</v>
      </c>
      <c r="E70" s="636">
        <f>SUM(E71:E71)</f>
        <v>32020391547</v>
      </c>
      <c r="F70" s="2409">
        <f>SUM(E70/D70)*100</f>
        <v>100</v>
      </c>
      <c r="G70" s="1309">
        <f>G71</f>
        <v>100</v>
      </c>
      <c r="H70" s="2634"/>
    </row>
    <row r="71" spans="2:13" s="1639" customFormat="1" ht="16.5" customHeight="1" x14ac:dyDescent="0.25">
      <c r="B71" s="2630"/>
      <c r="C71" s="622" t="s">
        <v>2216</v>
      </c>
      <c r="D71" s="1406">
        <v>32020391547</v>
      </c>
      <c r="E71" s="1111">
        <v>32020391547</v>
      </c>
      <c r="F71" s="4113">
        <f t="shared" ref="F71" si="4">E71/D71*100</f>
        <v>100</v>
      </c>
      <c r="G71" s="1111">
        <v>100</v>
      </c>
      <c r="H71" s="2634"/>
      <c r="J71" s="2093"/>
      <c r="K71" s="2093"/>
      <c r="L71" s="2093"/>
    </row>
    <row r="72" spans="2:13" ht="12" customHeight="1" x14ac:dyDescent="0.25">
      <c r="B72" s="2630"/>
      <c r="C72" s="1254"/>
      <c r="D72" s="791"/>
      <c r="E72" s="2346"/>
      <c r="F72" s="2409"/>
      <c r="G72" s="791"/>
      <c r="H72" s="2634"/>
    </row>
    <row r="73" spans="2:13" ht="16.5" customHeight="1" x14ac:dyDescent="0.25">
      <c r="B73" s="2649"/>
      <c r="C73" s="1253" t="s">
        <v>244</v>
      </c>
      <c r="D73" s="2651">
        <f>SUM(D75+D126+D130+D134+D138+D142+D146+D150+D154+D158)</f>
        <v>52757587300</v>
      </c>
      <c r="E73" s="2651">
        <f>SUM(E75+E126+E130+E134+E138+E142+E146+E150+E154+E158)</f>
        <v>41581504371</v>
      </c>
      <c r="F73" s="2530">
        <f>E73/D73*100</f>
        <v>78.816159909950997</v>
      </c>
      <c r="G73" s="2506">
        <f>SUM(G75+G126+G130+G134+G138+G142+G150+G158)/10</f>
        <v>80</v>
      </c>
      <c r="H73" s="2634"/>
      <c r="J73" s="522">
        <v>52757587300</v>
      </c>
      <c r="K73" s="522">
        <v>41581504371</v>
      </c>
      <c r="L73" s="3024">
        <v>78.816159909950997</v>
      </c>
      <c r="M73" s="3024">
        <v>89.642253508863092</v>
      </c>
    </row>
    <row r="74" spans="2:13" ht="8.25" customHeight="1" x14ac:dyDescent="0.25">
      <c r="B74" s="2630"/>
      <c r="C74" s="1254"/>
      <c r="D74" s="1449"/>
      <c r="E74" s="2335"/>
      <c r="F74" s="1309"/>
      <c r="G74" s="1314"/>
      <c r="H74" s="2634"/>
    </row>
    <row r="75" spans="2:13" s="1639" customFormat="1" ht="15.75" customHeight="1" x14ac:dyDescent="0.25">
      <c r="B75" s="2635"/>
      <c r="C75" s="507" t="s">
        <v>245</v>
      </c>
      <c r="D75" s="1462">
        <f>SUM(D76+D82+D96+D103+D109+D118+D123)</f>
        <v>42205087300</v>
      </c>
      <c r="E75" s="669">
        <f>SUM(E76+E82+E96+E103+E109+E118+E123)</f>
        <v>31600504371</v>
      </c>
      <c r="F75" s="1462">
        <f>E75/D75*100</f>
        <v>74.873685597138902</v>
      </c>
      <c r="G75" s="3635">
        <f>SUM(G76+G82+G96+G103+G109+G118+G123)/7</f>
        <v>100</v>
      </c>
      <c r="H75" s="2634"/>
      <c r="J75" s="2093"/>
      <c r="K75" s="2093"/>
      <c r="L75" s="2093"/>
    </row>
    <row r="76" spans="2:13" s="1639" customFormat="1" ht="16.5" customHeight="1" x14ac:dyDescent="0.25">
      <c r="B76" s="2630"/>
      <c r="C76" s="3953" t="s">
        <v>246</v>
      </c>
      <c r="D76" s="811">
        <f>SUM(D77:D80)</f>
        <v>670241000</v>
      </c>
      <c r="E76" s="811">
        <f>SUM(E77:E80)</f>
        <v>652241000</v>
      </c>
      <c r="F76" s="2409">
        <f>E76/D76*100</f>
        <v>97.314398850562711</v>
      </c>
      <c r="G76" s="3625">
        <v>100</v>
      </c>
      <c r="H76" s="2634"/>
      <c r="J76" s="2093"/>
      <c r="K76" s="2093"/>
    </row>
    <row r="77" spans="2:13" s="1639" customFormat="1" ht="15" customHeight="1" x14ac:dyDescent="0.25">
      <c r="B77" s="2630"/>
      <c r="C77" s="4106" t="s">
        <v>247</v>
      </c>
      <c r="D77" s="1429">
        <v>218503000</v>
      </c>
      <c r="E77" s="1955">
        <v>216253000</v>
      </c>
      <c r="F77" s="666">
        <f t="shared" ref="F77:F80" si="5">E77/D77*100</f>
        <v>98.970265854473396</v>
      </c>
      <c r="G77" s="3620">
        <v>100</v>
      </c>
      <c r="H77" s="2634"/>
      <c r="J77" s="2093"/>
      <c r="K77" s="2093"/>
    </row>
    <row r="78" spans="2:13" s="1639" customFormat="1" ht="15" customHeight="1" x14ac:dyDescent="0.25">
      <c r="B78" s="2630"/>
      <c r="C78" s="4106" t="s">
        <v>1518</v>
      </c>
      <c r="D78" s="813">
        <v>163650000</v>
      </c>
      <c r="E78" s="1955">
        <v>163650000</v>
      </c>
      <c r="F78" s="666">
        <f t="shared" si="5"/>
        <v>100</v>
      </c>
      <c r="G78" s="3620">
        <v>100</v>
      </c>
      <c r="H78" s="2634"/>
      <c r="J78" s="2093"/>
      <c r="K78" s="2093"/>
    </row>
    <row r="79" spans="2:13" s="1639" customFormat="1" ht="14.25" customHeight="1" x14ac:dyDescent="0.25">
      <c r="B79" s="2630"/>
      <c r="C79" s="3887" t="s">
        <v>1519</v>
      </c>
      <c r="D79" s="814">
        <v>98248000</v>
      </c>
      <c r="E79" s="1955">
        <v>94498000</v>
      </c>
      <c r="F79" s="666">
        <f t="shared" si="5"/>
        <v>96.183128409738615</v>
      </c>
      <c r="G79" s="3620">
        <v>100</v>
      </c>
      <c r="H79" s="2634"/>
      <c r="J79" s="2093"/>
      <c r="K79" s="2093"/>
    </row>
    <row r="80" spans="2:13" s="1639" customFormat="1" ht="18" customHeight="1" x14ac:dyDescent="0.25">
      <c r="B80" s="2630"/>
      <c r="C80" s="3888" t="s">
        <v>1520</v>
      </c>
      <c r="D80" s="813">
        <v>189840000</v>
      </c>
      <c r="E80" s="1955">
        <v>177840000</v>
      </c>
      <c r="F80" s="666">
        <f t="shared" si="5"/>
        <v>93.678887484197219</v>
      </c>
      <c r="G80" s="3620">
        <v>100</v>
      </c>
      <c r="H80" s="2634"/>
      <c r="J80" s="2093"/>
      <c r="K80" s="2093"/>
    </row>
    <row r="81" spans="2:11" s="1639" customFormat="1" ht="9" customHeight="1" x14ac:dyDescent="0.25">
      <c r="B81" s="2630"/>
      <c r="C81" s="3984"/>
      <c r="D81" s="815"/>
      <c r="E81" s="2370"/>
      <c r="F81" s="1314"/>
      <c r="G81" s="1314"/>
      <c r="H81" s="2634"/>
      <c r="J81" s="2093"/>
      <c r="K81" s="2093"/>
    </row>
    <row r="82" spans="2:11" s="1639" customFormat="1" ht="19.5" customHeight="1" x14ac:dyDescent="0.25">
      <c r="B82" s="2630"/>
      <c r="C82" s="4116" t="s">
        <v>1521</v>
      </c>
      <c r="D82" s="816">
        <f>SUM(D83:D94)</f>
        <v>34154662820</v>
      </c>
      <c r="E82" s="816">
        <f>SUM(E83:E94)</f>
        <v>23939574341</v>
      </c>
      <c r="F82" s="2409">
        <f>E82/D82*100</f>
        <v>70.091672305960131</v>
      </c>
      <c r="G82" s="1316">
        <v>100</v>
      </c>
      <c r="H82" s="2634"/>
      <c r="J82" s="2093"/>
      <c r="K82" s="2093"/>
    </row>
    <row r="83" spans="2:11" s="1639" customFormat="1" ht="15.75" customHeight="1" x14ac:dyDescent="0.25">
      <c r="B83" s="2630"/>
      <c r="C83" s="3985" t="s">
        <v>1522</v>
      </c>
      <c r="D83" s="817">
        <v>21272983620</v>
      </c>
      <c r="E83" s="1238">
        <v>11078090941</v>
      </c>
      <c r="F83" s="666">
        <f t="shared" ref="F83:F94" si="6">E83/D83*100</f>
        <v>52.075868335576715</v>
      </c>
      <c r="G83" s="1111">
        <v>100</v>
      </c>
      <c r="H83" s="2634"/>
      <c r="J83" s="2093"/>
      <c r="K83" s="2093"/>
    </row>
    <row r="84" spans="2:11" s="1639" customFormat="1" ht="14.25" customHeight="1" x14ac:dyDescent="0.25">
      <c r="B84" s="2630"/>
      <c r="C84" s="3889" t="s">
        <v>1523</v>
      </c>
      <c r="D84" s="813">
        <v>163385000</v>
      </c>
      <c r="E84" s="1238">
        <v>163385000</v>
      </c>
      <c r="F84" s="666">
        <f t="shared" si="6"/>
        <v>100</v>
      </c>
      <c r="G84" s="1111">
        <v>100</v>
      </c>
      <c r="H84" s="2634"/>
      <c r="J84" s="2093"/>
      <c r="K84" s="2093"/>
    </row>
    <row r="85" spans="2:11" s="1639" customFormat="1" ht="15" customHeight="1" x14ac:dyDescent="0.25">
      <c r="B85" s="2630"/>
      <c r="C85" s="4104" t="s">
        <v>1524</v>
      </c>
      <c r="D85" s="817">
        <v>577469000</v>
      </c>
      <c r="E85" s="1238">
        <v>577469000</v>
      </c>
      <c r="F85" s="666">
        <f t="shared" si="6"/>
        <v>100</v>
      </c>
      <c r="G85" s="1111">
        <v>100</v>
      </c>
      <c r="H85" s="2634"/>
      <c r="J85" s="2093"/>
      <c r="K85" s="2093"/>
    </row>
    <row r="86" spans="2:11" s="1639" customFormat="1" ht="48" customHeight="1" x14ac:dyDescent="0.25">
      <c r="B86" s="2630"/>
      <c r="C86" s="4104" t="s">
        <v>1525</v>
      </c>
      <c r="D86" s="817">
        <v>7717570800</v>
      </c>
      <c r="E86" s="1238">
        <v>7713875000</v>
      </c>
      <c r="F86" s="666">
        <f t="shared" si="6"/>
        <v>99.952111874373742</v>
      </c>
      <c r="G86" s="1111">
        <v>100</v>
      </c>
      <c r="H86" s="2634"/>
      <c r="J86" s="2093"/>
      <c r="K86" s="2093"/>
    </row>
    <row r="87" spans="2:11" s="1639" customFormat="1" ht="30" customHeight="1" x14ac:dyDescent="0.25">
      <c r="B87" s="2630"/>
      <c r="C87" s="4104" t="s">
        <v>1526</v>
      </c>
      <c r="D87" s="817">
        <v>243391000</v>
      </c>
      <c r="E87" s="1238">
        <v>243391000</v>
      </c>
      <c r="F87" s="666">
        <f t="shared" si="6"/>
        <v>100</v>
      </c>
      <c r="G87" s="1111">
        <v>100</v>
      </c>
      <c r="H87" s="2634"/>
      <c r="J87" s="2093"/>
      <c r="K87" s="2093"/>
    </row>
    <row r="88" spans="2:11" s="1639" customFormat="1" ht="17.25" customHeight="1" x14ac:dyDescent="0.25">
      <c r="B88" s="2630"/>
      <c r="C88" s="4104" t="s">
        <v>1527</v>
      </c>
      <c r="D88" s="817">
        <v>138131000</v>
      </c>
      <c r="E88" s="1238">
        <v>138131000</v>
      </c>
      <c r="F88" s="666">
        <f t="shared" si="6"/>
        <v>100</v>
      </c>
      <c r="G88" s="1111">
        <v>100</v>
      </c>
      <c r="H88" s="2634"/>
      <c r="J88" s="2093"/>
      <c r="K88" s="2093"/>
    </row>
    <row r="89" spans="2:11" s="1639" customFormat="1" ht="27.75" customHeight="1" x14ac:dyDescent="0.25">
      <c r="B89" s="2630"/>
      <c r="C89" s="4104" t="s">
        <v>1528</v>
      </c>
      <c r="D89" s="817">
        <v>109363000</v>
      </c>
      <c r="E89" s="1238">
        <v>102363000</v>
      </c>
      <c r="F89" s="666">
        <f t="shared" si="6"/>
        <v>93.59929775152473</v>
      </c>
      <c r="G89" s="1111">
        <v>100</v>
      </c>
      <c r="H89" s="2634"/>
      <c r="J89" s="2093"/>
      <c r="K89" s="2093"/>
    </row>
    <row r="90" spans="2:11" s="1639" customFormat="1" ht="18" customHeight="1" x14ac:dyDescent="0.25">
      <c r="B90" s="2630"/>
      <c r="C90" s="4104" t="s">
        <v>1529</v>
      </c>
      <c r="D90" s="817">
        <v>120698000</v>
      </c>
      <c r="E90" s="1238">
        <v>111198000</v>
      </c>
      <c r="F90" s="666">
        <f t="shared" si="6"/>
        <v>92.129115644004045</v>
      </c>
      <c r="G90" s="1111">
        <v>100</v>
      </c>
      <c r="H90" s="2634"/>
      <c r="J90" s="2093"/>
      <c r="K90" s="2093"/>
    </row>
    <row r="91" spans="2:11" s="1639" customFormat="1" ht="17.25" customHeight="1" x14ac:dyDescent="0.25">
      <c r="B91" s="2630"/>
      <c r="C91" s="3985" t="s">
        <v>1530</v>
      </c>
      <c r="D91" s="5109">
        <v>229431400</v>
      </c>
      <c r="E91" s="1238">
        <v>229431400</v>
      </c>
      <c r="F91" s="666">
        <f t="shared" si="6"/>
        <v>100</v>
      </c>
      <c r="G91" s="1111">
        <v>100</v>
      </c>
      <c r="H91" s="2634"/>
      <c r="J91" s="2093"/>
      <c r="K91" s="2093"/>
    </row>
    <row r="92" spans="2:11" s="1639" customFormat="1" ht="18" customHeight="1" x14ac:dyDescent="0.25">
      <c r="B92" s="2630"/>
      <c r="C92" s="4104" t="s">
        <v>1531</v>
      </c>
      <c r="D92" s="5109">
        <v>3342217250</v>
      </c>
      <c r="E92" s="1238">
        <v>3342217250</v>
      </c>
      <c r="F92" s="666">
        <f t="shared" si="6"/>
        <v>100</v>
      </c>
      <c r="G92" s="1111">
        <v>100</v>
      </c>
      <c r="H92" s="2634"/>
      <c r="J92" s="2093"/>
      <c r="K92" s="2093"/>
    </row>
    <row r="93" spans="2:11" s="1639" customFormat="1" ht="15" customHeight="1" x14ac:dyDescent="0.25">
      <c r="B93" s="2630"/>
      <c r="C93" s="4104" t="s">
        <v>1532</v>
      </c>
      <c r="D93" s="817">
        <v>67208500</v>
      </c>
      <c r="E93" s="1238">
        <v>67208500</v>
      </c>
      <c r="F93" s="666">
        <f t="shared" si="6"/>
        <v>100</v>
      </c>
      <c r="G93" s="1111">
        <v>100</v>
      </c>
      <c r="H93" s="2634"/>
      <c r="J93" s="2093"/>
      <c r="K93" s="2093"/>
    </row>
    <row r="94" spans="2:11" s="1639" customFormat="1" ht="16.5" customHeight="1" x14ac:dyDescent="0.25">
      <c r="B94" s="2630"/>
      <c r="C94" s="4104" t="s">
        <v>1533</v>
      </c>
      <c r="D94" s="817">
        <v>172814250</v>
      </c>
      <c r="E94" s="1238">
        <v>172814250</v>
      </c>
      <c r="F94" s="666">
        <f t="shared" si="6"/>
        <v>100</v>
      </c>
      <c r="G94" s="1111">
        <v>100</v>
      </c>
      <c r="H94" s="2634"/>
      <c r="J94" s="2093"/>
      <c r="K94" s="2093"/>
    </row>
    <row r="95" spans="2:11" s="1639" customFormat="1" ht="11.25" customHeight="1" x14ac:dyDescent="0.25">
      <c r="B95" s="2630"/>
      <c r="C95" s="3890"/>
      <c r="D95" s="5110"/>
      <c r="E95" s="2370"/>
      <c r="F95" s="1111"/>
      <c r="G95" s="1314"/>
      <c r="H95" s="2634"/>
      <c r="J95" s="2093"/>
      <c r="K95" s="2093"/>
    </row>
    <row r="96" spans="2:11" s="1639" customFormat="1" ht="14.25" customHeight="1" x14ac:dyDescent="0.25">
      <c r="B96" s="2630"/>
      <c r="C96" s="4116" t="s">
        <v>1534</v>
      </c>
      <c r="D96" s="2642">
        <f>SUM(D97:D101)</f>
        <v>1604365000</v>
      </c>
      <c r="E96" s="2642">
        <f>SUM(E97:E101)</f>
        <v>1604365000</v>
      </c>
      <c r="F96" s="2409">
        <f>E96/D96*100</f>
        <v>100</v>
      </c>
      <c r="G96" s="761">
        <v>100</v>
      </c>
      <c r="H96" s="2634"/>
      <c r="J96" s="2093"/>
      <c r="K96" s="2093"/>
    </row>
    <row r="97" spans="2:11" s="1639" customFormat="1" ht="15.75" customHeight="1" x14ac:dyDescent="0.25">
      <c r="B97" s="2630"/>
      <c r="C97" s="3889" t="s">
        <v>1535</v>
      </c>
      <c r="D97" s="5111">
        <v>788290000</v>
      </c>
      <c r="E97" s="1238">
        <v>788290000</v>
      </c>
      <c r="F97" s="666">
        <f t="shared" ref="F97:F101" si="7">E97/D97*100</f>
        <v>100</v>
      </c>
      <c r="G97" s="3620">
        <v>100</v>
      </c>
      <c r="H97" s="2634"/>
      <c r="J97" s="2093"/>
      <c r="K97" s="2093"/>
    </row>
    <row r="98" spans="2:11" s="1639" customFormat="1" ht="15.75" customHeight="1" x14ac:dyDescent="0.25">
      <c r="B98" s="2630"/>
      <c r="C98" s="3891" t="s">
        <v>1536</v>
      </c>
      <c r="D98" s="5112">
        <v>167217000</v>
      </c>
      <c r="E98" s="1238">
        <v>167217000</v>
      </c>
      <c r="F98" s="666">
        <f t="shared" si="7"/>
        <v>100</v>
      </c>
      <c r="G98" s="3620">
        <v>100</v>
      </c>
      <c r="H98" s="2634"/>
      <c r="J98" s="2093"/>
      <c r="K98" s="2093"/>
    </row>
    <row r="99" spans="2:11" s="1639" customFormat="1" ht="15" customHeight="1" x14ac:dyDescent="0.25">
      <c r="B99" s="2630"/>
      <c r="C99" s="3891" t="s">
        <v>1537</v>
      </c>
      <c r="D99" s="5112">
        <v>164707000</v>
      </c>
      <c r="E99" s="1238">
        <v>164707000</v>
      </c>
      <c r="F99" s="666">
        <f t="shared" si="7"/>
        <v>100</v>
      </c>
      <c r="G99" s="3620">
        <v>100</v>
      </c>
      <c r="H99" s="2634"/>
      <c r="J99" s="2093"/>
      <c r="K99" s="2093"/>
    </row>
    <row r="100" spans="2:11" s="1639" customFormat="1" ht="14.25" customHeight="1" x14ac:dyDescent="0.25">
      <c r="B100" s="2630"/>
      <c r="C100" s="3891" t="s">
        <v>1538</v>
      </c>
      <c r="D100" s="5112">
        <v>120367000</v>
      </c>
      <c r="E100" s="1238">
        <v>120367000</v>
      </c>
      <c r="F100" s="666">
        <f t="shared" si="7"/>
        <v>100</v>
      </c>
      <c r="G100" s="1111">
        <v>100</v>
      </c>
      <c r="H100" s="2634"/>
      <c r="J100" s="2093"/>
      <c r="K100" s="2093"/>
    </row>
    <row r="101" spans="2:11" s="1639" customFormat="1" ht="16.5" customHeight="1" x14ac:dyDescent="0.25">
      <c r="B101" s="2630"/>
      <c r="C101" s="3891" t="s">
        <v>1539</v>
      </c>
      <c r="D101" s="5112">
        <v>363784000</v>
      </c>
      <c r="E101" s="1238">
        <v>363784000</v>
      </c>
      <c r="F101" s="666">
        <f t="shared" si="7"/>
        <v>100</v>
      </c>
      <c r="G101" s="1314">
        <v>100</v>
      </c>
      <c r="H101" s="2634"/>
      <c r="J101" s="2093"/>
      <c r="K101" s="2093"/>
    </row>
    <row r="102" spans="2:11" s="1639" customFormat="1" ht="9" customHeight="1" x14ac:dyDescent="0.25">
      <c r="B102" s="2630"/>
      <c r="C102" s="3889"/>
      <c r="D102" s="5113"/>
      <c r="E102" s="2370"/>
      <c r="F102" s="1314"/>
      <c r="G102" s="1314"/>
      <c r="H102" s="2634"/>
      <c r="J102" s="2093"/>
      <c r="K102" s="2093"/>
    </row>
    <row r="103" spans="2:11" s="1639" customFormat="1" ht="19.5" customHeight="1" x14ac:dyDescent="0.25">
      <c r="B103" s="2630"/>
      <c r="C103" s="3873" t="s">
        <v>1540</v>
      </c>
      <c r="D103" s="2642">
        <f>SUM(D104:D107)</f>
        <v>1438274000</v>
      </c>
      <c r="E103" s="2642">
        <f>SUM(E104:E107)</f>
        <v>1416219550</v>
      </c>
      <c r="F103" s="2409">
        <f>E103/D103*100</f>
        <v>98.466603025570933</v>
      </c>
      <c r="G103" s="1316">
        <v>100</v>
      </c>
      <c r="H103" s="2634"/>
      <c r="J103" s="2093"/>
      <c r="K103" s="2093"/>
    </row>
    <row r="104" spans="2:11" s="1639" customFormat="1" ht="17.25" customHeight="1" x14ac:dyDescent="0.25">
      <c r="B104" s="2630"/>
      <c r="C104" s="4104" t="s">
        <v>1541</v>
      </c>
      <c r="D104" s="5114">
        <v>219480000</v>
      </c>
      <c r="E104" s="1238">
        <v>219480000</v>
      </c>
      <c r="F104" s="666">
        <f t="shared" ref="F104:F116" si="8">E104/D104*100</f>
        <v>100</v>
      </c>
      <c r="G104" s="971">
        <v>100</v>
      </c>
      <c r="H104" s="2634"/>
      <c r="J104" s="2093"/>
      <c r="K104" s="2093"/>
    </row>
    <row r="105" spans="2:11" s="1639" customFormat="1" ht="14.25" customHeight="1" x14ac:dyDescent="0.25">
      <c r="B105" s="2630"/>
      <c r="C105" s="4104" t="s">
        <v>1542</v>
      </c>
      <c r="D105" s="813">
        <v>594102000</v>
      </c>
      <c r="E105" s="1238">
        <v>594102000</v>
      </c>
      <c r="F105" s="666">
        <f t="shared" si="8"/>
        <v>100</v>
      </c>
      <c r="G105" s="971">
        <v>100</v>
      </c>
      <c r="H105" s="2634"/>
      <c r="J105" s="2093"/>
      <c r="K105" s="2093"/>
    </row>
    <row r="106" spans="2:11" s="1639" customFormat="1" ht="16.5" customHeight="1" x14ac:dyDescent="0.25">
      <c r="B106" s="2630"/>
      <c r="C106" s="4104" t="s">
        <v>1543</v>
      </c>
      <c r="D106" s="813">
        <v>382500000</v>
      </c>
      <c r="E106" s="1238">
        <v>360445550</v>
      </c>
      <c r="F106" s="666">
        <f t="shared" si="8"/>
        <v>94.234130718954248</v>
      </c>
      <c r="G106" s="971">
        <v>100</v>
      </c>
      <c r="H106" s="2634"/>
      <c r="J106" s="2093"/>
      <c r="K106" s="2093"/>
    </row>
    <row r="107" spans="2:11" s="1639" customFormat="1" ht="13.5" customHeight="1" x14ac:dyDescent="0.25">
      <c r="B107" s="2630"/>
      <c r="C107" s="4104" t="s">
        <v>1544</v>
      </c>
      <c r="D107" s="5114">
        <v>242192000</v>
      </c>
      <c r="E107" s="1238">
        <v>242192000</v>
      </c>
      <c r="F107" s="666">
        <f t="shared" si="8"/>
        <v>100</v>
      </c>
      <c r="G107" s="971">
        <v>100</v>
      </c>
      <c r="H107" s="2634"/>
      <c r="J107" s="2093"/>
      <c r="K107" s="2093"/>
    </row>
    <row r="108" spans="2:11" s="1639" customFormat="1" ht="9" customHeight="1" x14ac:dyDescent="0.25">
      <c r="B108" s="2630"/>
      <c r="C108" s="4104"/>
      <c r="D108" s="5115"/>
      <c r="E108" s="3360"/>
      <c r="F108" s="666"/>
      <c r="G108" s="1314"/>
      <c r="H108" s="2634"/>
      <c r="J108" s="2093"/>
      <c r="K108" s="2093"/>
    </row>
    <row r="109" spans="2:11" s="1639" customFormat="1" ht="17.25" customHeight="1" x14ac:dyDescent="0.25">
      <c r="B109" s="2630"/>
      <c r="C109" s="4116" t="s">
        <v>1545</v>
      </c>
      <c r="D109" s="5116">
        <f>SUM(D110:D116)</f>
        <v>2774235480</v>
      </c>
      <c r="E109" s="5116">
        <f>SUM(E110:E116)</f>
        <v>2672395480</v>
      </c>
      <c r="F109" s="2409">
        <f>E109/D109*100</f>
        <v>96.329078741361926</v>
      </c>
      <c r="G109" s="1316">
        <v>100</v>
      </c>
      <c r="H109" s="2634"/>
      <c r="J109" s="2093"/>
      <c r="K109" s="2093"/>
    </row>
    <row r="110" spans="2:11" s="1639" customFormat="1" ht="15" customHeight="1" x14ac:dyDescent="0.25">
      <c r="B110" s="2630"/>
      <c r="C110" s="4104" t="s">
        <v>314</v>
      </c>
      <c r="D110" s="5114">
        <v>271494000</v>
      </c>
      <c r="E110" s="1238">
        <v>271494000</v>
      </c>
      <c r="F110" s="666">
        <f t="shared" si="8"/>
        <v>100</v>
      </c>
      <c r="G110" s="1111">
        <v>100</v>
      </c>
      <c r="H110" s="2634"/>
      <c r="J110" s="2093"/>
      <c r="K110" s="2093"/>
    </row>
    <row r="111" spans="2:11" s="1639" customFormat="1" ht="13.5" customHeight="1" x14ac:dyDescent="0.25">
      <c r="B111" s="2630"/>
      <c r="C111" s="4104" t="s">
        <v>1546</v>
      </c>
      <c r="D111" s="5114">
        <v>174465000</v>
      </c>
      <c r="E111" s="1238">
        <v>133255000</v>
      </c>
      <c r="F111" s="666">
        <f t="shared" si="8"/>
        <v>76.37921646175451</v>
      </c>
      <c r="G111" s="1111">
        <v>100</v>
      </c>
      <c r="H111" s="2634"/>
      <c r="J111" s="2093"/>
      <c r="K111" s="2093"/>
    </row>
    <row r="112" spans="2:11" s="1639" customFormat="1" ht="24.75" customHeight="1" x14ac:dyDescent="0.25">
      <c r="B112" s="2630"/>
      <c r="C112" s="4104" t="s">
        <v>1547</v>
      </c>
      <c r="D112" s="813">
        <v>286608000</v>
      </c>
      <c r="E112" s="1238">
        <v>273978000</v>
      </c>
      <c r="F112" s="666">
        <f t="shared" si="8"/>
        <v>95.593284207000508</v>
      </c>
      <c r="G112" s="1111">
        <v>100</v>
      </c>
      <c r="H112" s="2634"/>
      <c r="J112" s="2093"/>
      <c r="K112" s="2093"/>
    </row>
    <row r="113" spans="2:11" s="1639" customFormat="1" ht="13.5" customHeight="1" x14ac:dyDescent="0.25">
      <c r="B113" s="2630"/>
      <c r="C113" s="4104" t="s">
        <v>1548</v>
      </c>
      <c r="D113" s="813">
        <v>533447480</v>
      </c>
      <c r="E113" s="1238">
        <v>533447480</v>
      </c>
      <c r="F113" s="666">
        <f t="shared" si="8"/>
        <v>100</v>
      </c>
      <c r="G113" s="1111">
        <v>100</v>
      </c>
      <c r="H113" s="2634"/>
      <c r="J113" s="2093"/>
      <c r="K113" s="2093"/>
    </row>
    <row r="114" spans="2:11" s="1639" customFormat="1" ht="15" customHeight="1" x14ac:dyDescent="0.25">
      <c r="B114" s="2630"/>
      <c r="C114" s="4104" t="s">
        <v>1550</v>
      </c>
      <c r="D114" s="813">
        <v>745500000</v>
      </c>
      <c r="E114" s="1238">
        <v>745500000</v>
      </c>
      <c r="F114" s="666">
        <f t="shared" si="8"/>
        <v>100</v>
      </c>
      <c r="G114" s="1111">
        <v>100</v>
      </c>
      <c r="H114" s="2634"/>
      <c r="J114" s="2093"/>
      <c r="K114" s="2093"/>
    </row>
    <row r="115" spans="2:11" s="1639" customFormat="1" ht="15" customHeight="1" x14ac:dyDescent="0.25">
      <c r="B115" s="2630"/>
      <c r="C115" s="4104" t="s">
        <v>1551</v>
      </c>
      <c r="D115" s="813">
        <v>239843000</v>
      </c>
      <c r="E115" s="1238">
        <v>191843000</v>
      </c>
      <c r="F115" s="666">
        <f t="shared" si="8"/>
        <v>79.986908102383651</v>
      </c>
      <c r="G115" s="1111">
        <v>100</v>
      </c>
      <c r="H115" s="2634"/>
      <c r="J115" s="2093"/>
      <c r="K115" s="2093"/>
    </row>
    <row r="116" spans="2:11" s="1639" customFormat="1" ht="15" customHeight="1" x14ac:dyDescent="0.25">
      <c r="B116" s="2630"/>
      <c r="C116" s="4104" t="s">
        <v>1549</v>
      </c>
      <c r="D116" s="823">
        <v>522878000</v>
      </c>
      <c r="E116" s="1238">
        <v>522878000</v>
      </c>
      <c r="F116" s="666">
        <f t="shared" si="8"/>
        <v>100</v>
      </c>
      <c r="G116" s="1111">
        <v>100</v>
      </c>
      <c r="H116" s="2634"/>
      <c r="J116" s="2093"/>
      <c r="K116" s="2093"/>
    </row>
    <row r="117" spans="2:11" s="1639" customFormat="1" ht="12" customHeight="1" x14ac:dyDescent="0.25">
      <c r="B117" s="2630"/>
      <c r="C117" s="519"/>
      <c r="D117" s="824"/>
      <c r="E117" s="804"/>
      <c r="F117" s="3634"/>
      <c r="G117" s="3634"/>
      <c r="H117" s="2634"/>
      <c r="J117" s="2093"/>
      <c r="K117" s="2093"/>
    </row>
    <row r="118" spans="2:11" s="1639" customFormat="1" ht="15.75" customHeight="1" x14ac:dyDescent="0.25">
      <c r="B118" s="2630"/>
      <c r="C118" s="4116" t="s">
        <v>1590</v>
      </c>
      <c r="D118" s="825">
        <f>SUM(D119:D121)</f>
        <v>1263430000</v>
      </c>
      <c r="E118" s="825">
        <f>SUM(E119:E121)</f>
        <v>1047830000</v>
      </c>
      <c r="F118" s="673">
        <f>E118/D118*100</f>
        <v>82.935342678264718</v>
      </c>
      <c r="G118" s="3629">
        <v>100</v>
      </c>
      <c r="H118" s="2634"/>
      <c r="J118" s="2093"/>
      <c r="K118" s="2093"/>
    </row>
    <row r="119" spans="2:11" s="1639" customFormat="1" ht="13.5" customHeight="1" x14ac:dyDescent="0.25">
      <c r="B119" s="2630"/>
      <c r="C119" s="4104" t="s">
        <v>1593</v>
      </c>
      <c r="D119" s="826">
        <v>255290000</v>
      </c>
      <c r="E119" s="1238">
        <v>255290000</v>
      </c>
      <c r="F119" s="666">
        <f t="shared" ref="F119:F121" si="9">E119/D119*100</f>
        <v>100</v>
      </c>
      <c r="G119" s="971">
        <v>100</v>
      </c>
      <c r="H119" s="2634"/>
      <c r="J119" s="2093"/>
      <c r="K119" s="2093"/>
    </row>
    <row r="120" spans="2:11" s="1639" customFormat="1" ht="13.5" customHeight="1" x14ac:dyDescent="0.25">
      <c r="B120" s="2630"/>
      <c r="C120" s="4104" t="s">
        <v>1594</v>
      </c>
      <c r="D120" s="826">
        <v>391550000</v>
      </c>
      <c r="E120" s="1238">
        <v>175950000</v>
      </c>
      <c r="F120" s="666">
        <f t="shared" si="9"/>
        <v>44.936789682032945</v>
      </c>
      <c r="G120" s="971">
        <v>100</v>
      </c>
      <c r="H120" s="2634"/>
      <c r="J120" s="2093"/>
      <c r="K120" s="2093"/>
    </row>
    <row r="121" spans="2:11" s="1639" customFormat="1" ht="15" customHeight="1" x14ac:dyDescent="0.25">
      <c r="B121" s="2630"/>
      <c r="C121" s="4104" t="s">
        <v>1595</v>
      </c>
      <c r="D121" s="826">
        <v>616590000</v>
      </c>
      <c r="E121" s="1238">
        <v>616590000</v>
      </c>
      <c r="F121" s="666">
        <f t="shared" si="9"/>
        <v>100</v>
      </c>
      <c r="G121" s="971">
        <v>100</v>
      </c>
      <c r="H121" s="2634"/>
      <c r="J121" s="2093"/>
      <c r="K121" s="2093"/>
    </row>
    <row r="122" spans="2:11" s="1639" customFormat="1" ht="12" customHeight="1" x14ac:dyDescent="0.25">
      <c r="B122" s="2630"/>
      <c r="C122" s="4104"/>
      <c r="D122" s="826"/>
      <c r="E122" s="1975"/>
      <c r="F122" s="3620"/>
      <c r="G122" s="3620"/>
      <c r="H122" s="2634"/>
      <c r="J122" s="2093"/>
      <c r="K122" s="2093"/>
    </row>
    <row r="123" spans="2:11" s="1639" customFormat="1" ht="16.5" customHeight="1" x14ac:dyDescent="0.25">
      <c r="B123" s="2630"/>
      <c r="C123" s="4116" t="s">
        <v>1591</v>
      </c>
      <c r="D123" s="825">
        <f>D124</f>
        <v>299879000</v>
      </c>
      <c r="E123" s="825">
        <f>E124</f>
        <v>267879000</v>
      </c>
      <c r="F123" s="2409">
        <f>E123/D123*100</f>
        <v>89.329029375181321</v>
      </c>
      <c r="G123" s="3621">
        <v>100</v>
      </c>
      <c r="H123" s="2634"/>
      <c r="J123" s="2093"/>
      <c r="K123" s="2093"/>
    </row>
    <row r="124" spans="2:11" s="1639" customFormat="1" ht="28.5" customHeight="1" x14ac:dyDescent="0.25">
      <c r="B124" s="2630"/>
      <c r="C124" s="4104" t="s">
        <v>1592</v>
      </c>
      <c r="D124" s="826">
        <v>299879000</v>
      </c>
      <c r="E124" s="1238">
        <v>267879000</v>
      </c>
      <c r="F124" s="666">
        <f t="shared" ref="F124" si="10">E124/D124*100</f>
        <v>89.329029375181321</v>
      </c>
      <c r="G124" s="3620">
        <v>100</v>
      </c>
      <c r="H124" s="2634"/>
      <c r="J124" s="2093"/>
      <c r="K124" s="2093"/>
    </row>
    <row r="125" spans="2:11" ht="12" customHeight="1" x14ac:dyDescent="0.25">
      <c r="B125" s="2630"/>
      <c r="C125" s="3892"/>
      <c r="D125" s="824"/>
      <c r="E125" s="2258"/>
      <c r="F125" s="804"/>
      <c r="G125" s="804"/>
      <c r="H125" s="2634"/>
    </row>
    <row r="126" spans="2:11" s="1639" customFormat="1" ht="18" customHeight="1" x14ac:dyDescent="0.25">
      <c r="B126" s="2635"/>
      <c r="C126" s="3895" t="s">
        <v>6681</v>
      </c>
      <c r="D126" s="5117">
        <f>SUM(D127)</f>
        <v>50000000</v>
      </c>
      <c r="E126" s="5117">
        <f>SUM(E127)</f>
        <v>50000000</v>
      </c>
      <c r="F126" s="1462">
        <f>E126/D126*100</f>
        <v>100</v>
      </c>
      <c r="G126" s="3631">
        <v>100</v>
      </c>
      <c r="H126" s="2634"/>
      <c r="J126" s="2093"/>
      <c r="K126" s="2093"/>
    </row>
    <row r="127" spans="2:11" s="1639" customFormat="1" ht="17.25" customHeight="1" x14ac:dyDescent="0.25">
      <c r="B127" s="2630"/>
      <c r="C127" s="3893" t="s">
        <v>4706</v>
      </c>
      <c r="D127" s="856">
        <f>D128</f>
        <v>50000000</v>
      </c>
      <c r="E127" s="856">
        <f>E128</f>
        <v>50000000</v>
      </c>
      <c r="F127" s="1316">
        <f t="shared" ref="F127:F128" si="11">E127/D127*100</f>
        <v>100</v>
      </c>
      <c r="G127" s="3633">
        <v>100</v>
      </c>
      <c r="H127" s="795"/>
      <c r="J127" s="2093"/>
      <c r="K127" s="2093"/>
    </row>
    <row r="128" spans="2:11" s="1639" customFormat="1" ht="16.5" customHeight="1" x14ac:dyDescent="0.25">
      <c r="B128" s="2630"/>
      <c r="C128" s="3861" t="s">
        <v>6683</v>
      </c>
      <c r="D128" s="813">
        <v>50000000</v>
      </c>
      <c r="E128" s="813">
        <v>50000000</v>
      </c>
      <c r="F128" s="1111">
        <f t="shared" si="11"/>
        <v>100</v>
      </c>
      <c r="G128" s="798">
        <v>100</v>
      </c>
      <c r="H128" s="798"/>
      <c r="J128" s="2093"/>
      <c r="K128" s="2093"/>
    </row>
    <row r="129" spans="2:11" ht="12" customHeight="1" x14ac:dyDescent="0.25">
      <c r="B129" s="2630"/>
      <c r="C129" s="1184"/>
      <c r="D129" s="1450"/>
      <c r="E129" s="2335"/>
      <c r="F129" s="1316"/>
      <c r="G129" s="1314"/>
      <c r="H129" s="2634"/>
    </row>
    <row r="130" spans="2:11" s="1639" customFormat="1" ht="20.25" customHeight="1" x14ac:dyDescent="0.25">
      <c r="B130" s="2635"/>
      <c r="C130" s="3858" t="s">
        <v>6682</v>
      </c>
      <c r="D130" s="858">
        <f>SUM(D131)</f>
        <v>70000000</v>
      </c>
      <c r="E130" s="858">
        <f>SUM(E131)</f>
        <v>70000000</v>
      </c>
      <c r="F130" s="858">
        <f>SUM(F131)</f>
        <v>100</v>
      </c>
      <c r="G130" s="858">
        <v>100</v>
      </c>
      <c r="H130" s="2634"/>
      <c r="J130" s="2093"/>
      <c r="K130" s="2093"/>
    </row>
    <row r="131" spans="2:11" s="1639" customFormat="1" ht="15.75" customHeight="1" x14ac:dyDescent="0.25">
      <c r="B131" s="2630"/>
      <c r="C131" s="3893" t="s">
        <v>4721</v>
      </c>
      <c r="D131" s="856">
        <f>D132</f>
        <v>70000000</v>
      </c>
      <c r="E131" s="856">
        <f>E132</f>
        <v>70000000</v>
      </c>
      <c r="F131" s="3629">
        <f>E131/D131*100</f>
        <v>100</v>
      </c>
      <c r="G131" s="3629">
        <v>100</v>
      </c>
      <c r="H131" s="2634"/>
      <c r="J131" s="2093"/>
      <c r="K131" s="2093"/>
    </row>
    <row r="132" spans="2:11" s="1639" customFormat="1" ht="19.5" customHeight="1" x14ac:dyDescent="0.25">
      <c r="B132" s="2630"/>
      <c r="C132" s="3861" t="s">
        <v>4722</v>
      </c>
      <c r="D132" s="813">
        <v>70000000</v>
      </c>
      <c r="E132" s="1238">
        <v>70000000</v>
      </c>
      <c r="F132" s="3620">
        <f>E132/D132*100</f>
        <v>100</v>
      </c>
      <c r="G132" s="3620">
        <v>100</v>
      </c>
      <c r="H132" s="2634"/>
      <c r="J132" s="2093"/>
      <c r="K132" s="2093"/>
    </row>
    <row r="133" spans="2:11" ht="12" customHeight="1" x14ac:dyDescent="0.25">
      <c r="B133" s="2630"/>
      <c r="C133" s="519"/>
      <c r="D133" s="1450"/>
      <c r="E133" s="2335"/>
      <c r="F133" s="1316"/>
      <c r="G133" s="1314"/>
      <c r="H133" s="2634"/>
    </row>
    <row r="134" spans="2:11" s="1639" customFormat="1" ht="18.75" customHeight="1" x14ac:dyDescent="0.25">
      <c r="B134" s="2635"/>
      <c r="C134" s="3858" t="s">
        <v>6704</v>
      </c>
      <c r="D134" s="858">
        <f>SUM(D135)</f>
        <v>70000000</v>
      </c>
      <c r="E134" s="858">
        <f>SUM(E135)</f>
        <v>70000000</v>
      </c>
      <c r="F134" s="1645">
        <v>100</v>
      </c>
      <c r="G134" s="1645">
        <v>100</v>
      </c>
      <c r="H134" s="2634"/>
      <c r="J134" s="2093"/>
      <c r="K134" s="2093"/>
    </row>
    <row r="135" spans="2:11" s="1639" customFormat="1" ht="17.25" customHeight="1" x14ac:dyDescent="0.25">
      <c r="B135" s="2630"/>
      <c r="C135" s="3893" t="s">
        <v>1596</v>
      </c>
      <c r="D135" s="860">
        <f>D136</f>
        <v>70000000</v>
      </c>
      <c r="E135" s="860">
        <f>E136</f>
        <v>70000000</v>
      </c>
      <c r="F135" s="3629">
        <f>E135/D135*100</f>
        <v>100</v>
      </c>
      <c r="G135" s="3625">
        <v>100</v>
      </c>
      <c r="H135" s="2634"/>
      <c r="J135" s="2093"/>
      <c r="K135" s="2093"/>
    </row>
    <row r="136" spans="2:11" s="1639" customFormat="1" ht="15.75" customHeight="1" x14ac:dyDescent="0.25">
      <c r="B136" s="2630"/>
      <c r="C136" s="3861" t="s">
        <v>1597</v>
      </c>
      <c r="D136" s="813">
        <v>70000000</v>
      </c>
      <c r="E136" s="971">
        <v>70000000</v>
      </c>
      <c r="F136" s="3620">
        <f>E136/D136*100</f>
        <v>100</v>
      </c>
      <c r="G136" s="3634">
        <v>100</v>
      </c>
      <c r="H136" s="2634"/>
      <c r="J136" s="2093"/>
      <c r="K136" s="2093"/>
    </row>
    <row r="137" spans="2:11" ht="12" customHeight="1" x14ac:dyDescent="0.25">
      <c r="B137" s="2630"/>
      <c r="C137" s="521"/>
      <c r="D137" s="2823"/>
      <c r="E137" s="2234"/>
      <c r="F137" s="1324"/>
      <c r="G137" s="1651"/>
      <c r="H137" s="2634"/>
    </row>
    <row r="138" spans="2:11" s="1639" customFormat="1" ht="14.25" customHeight="1" x14ac:dyDescent="0.25">
      <c r="B138" s="2635"/>
      <c r="C138" s="3858" t="s">
        <v>6710</v>
      </c>
      <c r="D138" s="866">
        <f>D139</f>
        <v>17000000</v>
      </c>
      <c r="E138" s="866">
        <f>E139</f>
        <v>17000000</v>
      </c>
      <c r="F138" s="858">
        <f>SUM(F139)</f>
        <v>100</v>
      </c>
      <c r="G138" s="3635">
        <v>100</v>
      </c>
      <c r="H138" s="2634"/>
      <c r="J138" s="2093"/>
      <c r="K138" s="2093"/>
    </row>
    <row r="139" spans="2:11" s="1639" customFormat="1" ht="15" customHeight="1" x14ac:dyDescent="0.25">
      <c r="B139" s="2630"/>
      <c r="C139" s="3893" t="s">
        <v>1601</v>
      </c>
      <c r="D139" s="856">
        <f>D140</f>
        <v>17000000</v>
      </c>
      <c r="E139" s="856">
        <f>E140</f>
        <v>17000000</v>
      </c>
      <c r="F139" s="3629">
        <f>E139/D139*100</f>
        <v>100</v>
      </c>
      <c r="G139" s="3625">
        <v>100</v>
      </c>
      <c r="H139" s="2634"/>
      <c r="J139" s="2093"/>
      <c r="K139" s="2093"/>
    </row>
    <row r="140" spans="2:11" s="1639" customFormat="1" ht="12" customHeight="1" x14ac:dyDescent="0.25">
      <c r="B140" s="2630"/>
      <c r="C140" s="3861" t="s">
        <v>6711</v>
      </c>
      <c r="D140" s="813">
        <v>17000000</v>
      </c>
      <c r="E140" s="813">
        <v>17000000</v>
      </c>
      <c r="F140" s="3620">
        <f>E140/D140*100</f>
        <v>100</v>
      </c>
      <c r="G140" s="3634">
        <v>100</v>
      </c>
      <c r="H140" s="2634"/>
      <c r="J140" s="2093"/>
      <c r="K140" s="2093"/>
    </row>
    <row r="141" spans="2:11" ht="12" customHeight="1" x14ac:dyDescent="0.25">
      <c r="B141" s="2630"/>
      <c r="C141" s="1184"/>
      <c r="D141" s="1450"/>
      <c r="E141" s="2335"/>
      <c r="F141" s="1316"/>
      <c r="G141" s="1314"/>
      <c r="H141" s="2634"/>
    </row>
    <row r="142" spans="2:11" s="1639" customFormat="1" ht="15" customHeight="1" x14ac:dyDescent="0.25">
      <c r="B142" s="2635"/>
      <c r="C142" s="3858" t="s">
        <v>6715</v>
      </c>
      <c r="D142" s="866">
        <f>D143</f>
        <v>23000000</v>
      </c>
      <c r="E142" s="866">
        <f>E143</f>
        <v>23000000</v>
      </c>
      <c r="F142" s="3635">
        <v>100</v>
      </c>
      <c r="G142" s="3635">
        <v>100</v>
      </c>
      <c r="H142" s="2634"/>
      <c r="J142" s="2093"/>
      <c r="K142" s="2093"/>
    </row>
    <row r="143" spans="2:11" s="1639" customFormat="1" ht="13.5" customHeight="1" x14ac:dyDescent="0.25">
      <c r="B143" s="2630"/>
      <c r="C143" s="3893" t="s">
        <v>1606</v>
      </c>
      <c r="D143" s="5108">
        <v>23000000</v>
      </c>
      <c r="E143" s="5108">
        <v>23000000</v>
      </c>
      <c r="F143" s="3629">
        <f>E143/D143*100</f>
        <v>100</v>
      </c>
      <c r="G143" s="2409">
        <v>100</v>
      </c>
      <c r="H143" s="2634"/>
      <c r="J143" s="2093"/>
      <c r="K143" s="2093"/>
    </row>
    <row r="144" spans="2:11" s="1639" customFormat="1" ht="13.5" customHeight="1" x14ac:dyDescent="0.25">
      <c r="B144" s="2630"/>
      <c r="C144" s="3861" t="s">
        <v>4748</v>
      </c>
      <c r="D144" s="5170">
        <v>23000000</v>
      </c>
      <c r="E144" s="971">
        <v>23000000</v>
      </c>
      <c r="F144" s="3620">
        <f>E144/D144*100</f>
        <v>100</v>
      </c>
      <c r="G144" s="2181">
        <v>100</v>
      </c>
      <c r="H144" s="2634"/>
      <c r="J144" s="2093"/>
      <c r="K144" s="2093"/>
    </row>
    <row r="145" spans="2:11" ht="12" customHeight="1" x14ac:dyDescent="0.25">
      <c r="B145" s="2630"/>
      <c r="C145" s="1184"/>
      <c r="D145" s="1450"/>
      <c r="E145" s="2234"/>
      <c r="F145" s="4454"/>
      <c r="G145" s="1651"/>
      <c r="H145" s="2634"/>
    </row>
    <row r="146" spans="2:11" s="1240" customFormat="1" ht="17.25" customHeight="1" x14ac:dyDescent="0.25">
      <c r="B146" s="2924"/>
      <c r="C146" s="3858" t="s">
        <v>6726</v>
      </c>
      <c r="D146" s="5179">
        <f>D147</f>
        <v>55500000</v>
      </c>
      <c r="E146" s="4157">
        <v>0</v>
      </c>
      <c r="F146" s="5180">
        <v>0</v>
      </c>
      <c r="G146" s="5180">
        <v>0</v>
      </c>
      <c r="H146" s="2929"/>
      <c r="J146" s="2930"/>
      <c r="K146" s="2930"/>
    </row>
    <row r="147" spans="2:11" s="1240" customFormat="1" ht="12.75" customHeight="1" x14ac:dyDescent="0.25">
      <c r="B147" s="2931"/>
      <c r="C147" s="3893" t="s">
        <v>1611</v>
      </c>
      <c r="D147" s="5181">
        <f>D148</f>
        <v>55500000</v>
      </c>
      <c r="E147" s="5182">
        <v>0</v>
      </c>
      <c r="F147" s="5182">
        <v>0</v>
      </c>
      <c r="G147" s="5182">
        <v>0</v>
      </c>
      <c r="H147" s="2929"/>
      <c r="J147" s="2930"/>
      <c r="K147" s="2930"/>
    </row>
    <row r="148" spans="2:11" s="1240" customFormat="1" ht="13.5" customHeight="1" x14ac:dyDescent="0.25">
      <c r="B148" s="2931"/>
      <c r="C148" s="4104" t="s">
        <v>6727</v>
      </c>
      <c r="D148" s="5183">
        <v>55500000</v>
      </c>
      <c r="E148" s="5184">
        <v>0</v>
      </c>
      <c r="F148" s="5184">
        <v>0</v>
      </c>
      <c r="G148" s="5185">
        <v>0</v>
      </c>
      <c r="H148" s="2929"/>
      <c r="J148" s="2930"/>
      <c r="K148" s="2930"/>
    </row>
    <row r="149" spans="2:11" ht="12" customHeight="1" x14ac:dyDescent="0.25">
      <c r="B149" s="2630"/>
      <c r="C149" s="504"/>
      <c r="D149" s="1450"/>
      <c r="E149" s="2234"/>
      <c r="F149" s="4454"/>
      <c r="G149" s="1651"/>
      <c r="H149" s="2634"/>
    </row>
    <row r="150" spans="2:11" s="1639" customFormat="1" ht="16.5" customHeight="1" x14ac:dyDescent="0.25">
      <c r="B150" s="2635"/>
      <c r="C150" s="3858" t="s">
        <v>6733</v>
      </c>
      <c r="D150" s="1445">
        <f>D151</f>
        <v>50000000</v>
      </c>
      <c r="E150" s="1445">
        <f>E151</f>
        <v>50000000</v>
      </c>
      <c r="F150" s="858">
        <f>SUM(F151)</f>
        <v>100</v>
      </c>
      <c r="G150" s="2239">
        <v>100</v>
      </c>
      <c r="H150" s="2634"/>
      <c r="J150" s="2093"/>
      <c r="K150" s="2093"/>
    </row>
    <row r="151" spans="2:11" s="1639" customFormat="1" ht="13.5" customHeight="1" x14ac:dyDescent="0.25">
      <c r="B151" s="2630"/>
      <c r="C151" s="3893" t="s">
        <v>1623</v>
      </c>
      <c r="D151" s="856">
        <f>D152</f>
        <v>50000000</v>
      </c>
      <c r="E151" s="856">
        <f>E152</f>
        <v>50000000</v>
      </c>
      <c r="F151" s="3629">
        <f>E151/D151*100</f>
        <v>100</v>
      </c>
      <c r="G151" s="2260">
        <v>100</v>
      </c>
      <c r="H151" s="2634"/>
      <c r="J151" s="2093"/>
      <c r="K151" s="2093"/>
    </row>
    <row r="152" spans="2:11" s="1639" customFormat="1" ht="15.75" customHeight="1" x14ac:dyDescent="0.25">
      <c r="B152" s="2630"/>
      <c r="C152" s="3861" t="s">
        <v>6734</v>
      </c>
      <c r="D152" s="813">
        <v>50000000</v>
      </c>
      <c r="E152" s="813">
        <v>50000000</v>
      </c>
      <c r="F152" s="3630">
        <f>E152/D152*100</f>
        <v>100</v>
      </c>
      <c r="G152" s="809">
        <v>100</v>
      </c>
      <c r="H152" s="2634"/>
      <c r="J152" s="2093"/>
      <c r="K152" s="2093"/>
    </row>
    <row r="153" spans="2:11" ht="12" customHeight="1" x14ac:dyDescent="0.25">
      <c r="B153" s="2630"/>
      <c r="C153" s="1148"/>
      <c r="D153" s="1450"/>
      <c r="E153" s="2346"/>
      <c r="F153" s="2409"/>
      <c r="G153" s="791"/>
      <c r="H153" s="2634"/>
    </row>
    <row r="154" spans="2:11" s="1639" customFormat="1" ht="16.5" customHeight="1" x14ac:dyDescent="0.25">
      <c r="B154" s="2635"/>
      <c r="C154" s="3858" t="s">
        <v>6740</v>
      </c>
      <c r="D154" s="1445">
        <f>D155</f>
        <v>25000000</v>
      </c>
      <c r="E154" s="3631">
        <v>0</v>
      </c>
      <c r="F154" s="3631">
        <v>0</v>
      </c>
      <c r="G154" s="3631">
        <v>0</v>
      </c>
      <c r="H154" s="2634"/>
      <c r="J154" s="2093"/>
      <c r="K154" s="2093"/>
    </row>
    <row r="155" spans="2:11" s="1639" customFormat="1" ht="16.5" customHeight="1" x14ac:dyDescent="0.25">
      <c r="B155" s="2630"/>
      <c r="C155" s="3893" t="s">
        <v>1627</v>
      </c>
      <c r="D155" s="2463">
        <f>D156</f>
        <v>25000000</v>
      </c>
      <c r="E155" s="3632">
        <v>0</v>
      </c>
      <c r="F155" s="3632">
        <v>0</v>
      </c>
      <c r="G155" s="3632">
        <v>0</v>
      </c>
      <c r="H155" s="2634"/>
      <c r="J155" s="2093"/>
      <c r="K155" s="2093"/>
    </row>
    <row r="156" spans="2:11" s="1639" customFormat="1" ht="13.5" customHeight="1" x14ac:dyDescent="0.25">
      <c r="B156" s="2630"/>
      <c r="C156" s="4104" t="s">
        <v>6741</v>
      </c>
      <c r="D156" s="1429">
        <v>25000000</v>
      </c>
      <c r="E156" s="3557">
        <v>0</v>
      </c>
      <c r="F156" s="3557">
        <v>0</v>
      </c>
      <c r="G156" s="3557">
        <v>0</v>
      </c>
      <c r="H156" s="2634"/>
      <c r="J156" s="2093"/>
      <c r="K156" s="2093"/>
    </row>
    <row r="157" spans="2:11" ht="12" customHeight="1" x14ac:dyDescent="0.25">
      <c r="B157" s="2630"/>
      <c r="C157" s="504"/>
      <c r="D157" s="1450"/>
      <c r="E157" s="2346"/>
      <c r="F157" s="2409"/>
      <c r="G157" s="791"/>
      <c r="H157" s="2634"/>
    </row>
    <row r="158" spans="2:11" ht="14.25" customHeight="1" x14ac:dyDescent="0.25">
      <c r="B158" s="2635"/>
      <c r="C158" s="507" t="s">
        <v>1680</v>
      </c>
      <c r="D158" s="866">
        <f>SUM(D159+D162)</f>
        <v>10192000000</v>
      </c>
      <c r="E158" s="866">
        <f>SUM(E159+E162)</f>
        <v>9701000000</v>
      </c>
      <c r="F158" s="669">
        <v>93.36</v>
      </c>
      <c r="G158" s="1645">
        <v>100</v>
      </c>
      <c r="H158" s="2634"/>
    </row>
    <row r="159" spans="2:11" s="1639" customFormat="1" ht="15" customHeight="1" x14ac:dyDescent="0.25">
      <c r="B159" s="2653"/>
      <c r="C159" s="1147" t="s">
        <v>1681</v>
      </c>
      <c r="D159" s="2463">
        <f>D160</f>
        <v>7392000000</v>
      </c>
      <c r="E159" s="2463">
        <f>E160</f>
        <v>6901000000</v>
      </c>
      <c r="F159" s="3629">
        <f>E159/D159*100</f>
        <v>93.35768398268398</v>
      </c>
      <c r="G159" s="1309">
        <v>100</v>
      </c>
      <c r="H159" s="2634"/>
      <c r="J159" s="2093"/>
      <c r="K159" s="2093"/>
    </row>
    <row r="160" spans="2:11" s="1639" customFormat="1" ht="15" customHeight="1" x14ac:dyDescent="0.25">
      <c r="B160" s="2624"/>
      <c r="C160" s="509" t="s">
        <v>1682</v>
      </c>
      <c r="D160" s="5118">
        <v>7392000000</v>
      </c>
      <c r="E160" s="1238">
        <v>6901000000</v>
      </c>
      <c r="F160" s="3630">
        <f>E160/D160*100</f>
        <v>93.35768398268398</v>
      </c>
      <c r="G160" s="1111">
        <v>100</v>
      </c>
      <c r="H160" s="2634"/>
      <c r="J160" s="2093"/>
      <c r="K160" s="2093"/>
    </row>
    <row r="161" spans="1:11" ht="7.5" customHeight="1" x14ac:dyDescent="0.25">
      <c r="B161" s="2627"/>
      <c r="C161" s="519"/>
      <c r="D161" s="5186"/>
      <c r="E161" s="5187"/>
      <c r="F161" s="4454"/>
      <c r="G161" s="1316"/>
      <c r="H161" s="2634"/>
    </row>
    <row r="162" spans="1:11" s="1639" customFormat="1" ht="16.5" customHeight="1" x14ac:dyDescent="0.25">
      <c r="B162" s="2627"/>
      <c r="C162" s="1132" t="s">
        <v>1683</v>
      </c>
      <c r="D162" s="1426">
        <f>D163</f>
        <v>2800000000</v>
      </c>
      <c r="E162" s="1426">
        <f>E163</f>
        <v>2800000000</v>
      </c>
      <c r="F162" s="3629">
        <f>E162/D162*100</f>
        <v>100</v>
      </c>
      <c r="G162" s="1316">
        <v>100</v>
      </c>
      <c r="H162" s="2634"/>
      <c r="J162" s="2093"/>
      <c r="K162" s="2093"/>
    </row>
    <row r="163" spans="1:11" s="1639" customFormat="1" ht="17.25" customHeight="1" x14ac:dyDescent="0.25">
      <c r="B163" s="2627"/>
      <c r="C163" s="1152" t="s">
        <v>1684</v>
      </c>
      <c r="D163" s="1429">
        <v>2800000000</v>
      </c>
      <c r="E163" s="1238">
        <v>2800000000</v>
      </c>
      <c r="F163" s="3557">
        <f>E163/D163*100</f>
        <v>100</v>
      </c>
      <c r="G163" s="1111">
        <v>100</v>
      </c>
      <c r="H163" s="2634"/>
      <c r="J163" s="2093"/>
      <c r="K163" s="2093"/>
    </row>
    <row r="164" spans="1:11" ht="15.75" customHeight="1" x14ac:dyDescent="0.25">
      <c r="B164" s="2627"/>
      <c r="C164" s="648"/>
      <c r="D164" s="1314"/>
      <c r="E164" s="2335"/>
      <c r="F164" s="1316"/>
      <c r="G164" s="1314"/>
      <c r="H164" s="2634"/>
    </row>
    <row r="165" spans="1:11" s="266" customFormat="1" ht="17.25" customHeight="1" x14ac:dyDescent="0.25">
      <c r="A165" s="506"/>
      <c r="B165" s="2698"/>
      <c r="C165" s="1297" t="s">
        <v>601</v>
      </c>
      <c r="D165" s="5119">
        <f>SUM(D166+D232+D236)</f>
        <v>50635902740</v>
      </c>
      <c r="E165" s="2700">
        <f>SUM(E166+E232+E236)</f>
        <v>39496936950</v>
      </c>
      <c r="F165" s="2506">
        <f>SUM(E165/D165)*100</f>
        <v>78.001842196444656</v>
      </c>
      <c r="G165" s="3035">
        <f>SUM(G166+G236+G232)/3</f>
        <v>90.295370370370378</v>
      </c>
      <c r="H165" s="2702"/>
      <c r="J165" s="2126"/>
      <c r="K165" s="2126"/>
    </row>
    <row r="166" spans="1:11" s="2074" customFormat="1" ht="21" customHeight="1" x14ac:dyDescent="0.25">
      <c r="A166" s="2080"/>
      <c r="B166" s="2703"/>
      <c r="C166" s="1153" t="s">
        <v>238</v>
      </c>
      <c r="D166" s="3011">
        <f>SUM(D167+D170+D176+D194+D201+D204+D209+D215+D225)</f>
        <v>31340248366</v>
      </c>
      <c r="E166" s="3011">
        <f>SUM(E167+E170+E176+E194+E201+E204+E209+E215+E225)</f>
        <v>29427929510</v>
      </c>
      <c r="F166" s="1713">
        <f>SUM(E166/D166)*100</f>
        <v>93.898201336289944</v>
      </c>
      <c r="G166" s="2290">
        <f>SUM(G167+G170+G176+G194+G201+G204+G209+G215+G225)/9</f>
        <v>98.861111111111114</v>
      </c>
      <c r="H166" s="2702"/>
      <c r="J166" s="2127"/>
      <c r="K166" s="2127"/>
    </row>
    <row r="167" spans="1:11" s="2074" customFormat="1" ht="15.75" customHeight="1" x14ac:dyDescent="0.25">
      <c r="A167" s="2080"/>
      <c r="B167" s="2706"/>
      <c r="C167" s="4102" t="s">
        <v>870</v>
      </c>
      <c r="D167" s="1394">
        <f>D168</f>
        <v>337500000</v>
      </c>
      <c r="E167" s="1394">
        <f>E168</f>
        <v>337500000</v>
      </c>
      <c r="F167" s="877">
        <f>E167/D167*100</f>
        <v>100</v>
      </c>
      <c r="G167" s="877">
        <v>100</v>
      </c>
      <c r="H167" s="2702"/>
      <c r="J167" s="2127"/>
      <c r="K167" s="2127"/>
    </row>
    <row r="168" spans="1:11" s="2074" customFormat="1" ht="15" customHeight="1" x14ac:dyDescent="0.25">
      <c r="A168" s="2080"/>
      <c r="B168" s="2706"/>
      <c r="C168" s="3856" t="s">
        <v>1029</v>
      </c>
      <c r="D168" s="1126">
        <v>337500000</v>
      </c>
      <c r="E168" s="878">
        <v>337500000</v>
      </c>
      <c r="F168" s="878">
        <f>E168/D168*100</f>
        <v>100</v>
      </c>
      <c r="G168" s="878">
        <v>100</v>
      </c>
      <c r="H168" s="2702"/>
      <c r="J168" s="2127"/>
      <c r="K168" s="2127"/>
    </row>
    <row r="169" spans="1:11" s="2074" customFormat="1" ht="11.25" customHeight="1" x14ac:dyDescent="0.25">
      <c r="A169" s="2080"/>
      <c r="B169" s="2706"/>
      <c r="C169" s="4104"/>
      <c r="D169" s="1343"/>
      <c r="E169" s="878"/>
      <c r="F169" s="1111"/>
      <c r="G169" s="1109"/>
      <c r="H169" s="2702"/>
      <c r="J169" s="2127"/>
      <c r="K169" s="2127"/>
    </row>
    <row r="170" spans="1:11" s="2074" customFormat="1" ht="14.25" customHeight="1" x14ac:dyDescent="0.25">
      <c r="A170" s="2080"/>
      <c r="B170" s="2706"/>
      <c r="C170" s="4103" t="s">
        <v>1030</v>
      </c>
      <c r="D170" s="1413">
        <f>SUM(D171:D174)</f>
        <v>1098400000</v>
      </c>
      <c r="E170" s="1413">
        <f>SUM(E171:E174)</f>
        <v>1079986200</v>
      </c>
      <c r="F170" s="877">
        <f>E170/D170*100</f>
        <v>98.323579752367067</v>
      </c>
      <c r="G170" s="1110">
        <v>100</v>
      </c>
      <c r="H170" s="2702"/>
      <c r="J170" s="2127"/>
      <c r="K170" s="2127"/>
    </row>
    <row r="171" spans="1:11" s="2074" customFormat="1" ht="16.5" customHeight="1" x14ac:dyDescent="0.25">
      <c r="A171" s="2080"/>
      <c r="B171" s="2706"/>
      <c r="C171" s="3856" t="s">
        <v>1031</v>
      </c>
      <c r="D171" s="1126">
        <v>427970000</v>
      </c>
      <c r="E171" s="878">
        <v>426065000</v>
      </c>
      <c r="F171" s="878">
        <f>E171/D171*100</f>
        <v>99.55487534172957</v>
      </c>
      <c r="G171" s="1109">
        <v>100</v>
      </c>
      <c r="H171" s="2702"/>
      <c r="J171" s="2127"/>
      <c r="K171" s="2127"/>
    </row>
    <row r="172" spans="1:11" s="2074" customFormat="1" ht="13.5" customHeight="1" x14ac:dyDescent="0.25">
      <c r="A172" s="2080"/>
      <c r="B172" s="2706"/>
      <c r="C172" s="3856" t="s">
        <v>1005</v>
      </c>
      <c r="D172" s="1126">
        <v>175000000</v>
      </c>
      <c r="E172" s="878">
        <v>174690000</v>
      </c>
      <c r="F172" s="878">
        <f t="shared" ref="F172:F174" si="12">E172/D172*100</f>
        <v>99.822857142857146</v>
      </c>
      <c r="G172" s="1109">
        <v>100</v>
      </c>
      <c r="H172" s="2702"/>
      <c r="J172" s="2127"/>
      <c r="K172" s="2127"/>
    </row>
    <row r="173" spans="1:11" s="2074" customFormat="1" ht="19.5" customHeight="1" x14ac:dyDescent="0.25">
      <c r="A173" s="2080"/>
      <c r="B173" s="2706"/>
      <c r="C173" s="3856" t="s">
        <v>1032</v>
      </c>
      <c r="D173" s="1126">
        <v>204775000</v>
      </c>
      <c r="E173" s="878">
        <v>198255000</v>
      </c>
      <c r="F173" s="878">
        <f t="shared" si="12"/>
        <v>96.816017580271023</v>
      </c>
      <c r="G173" s="1109">
        <v>100</v>
      </c>
      <c r="H173" s="2702"/>
      <c r="J173" s="2127"/>
      <c r="K173" s="2127"/>
    </row>
    <row r="174" spans="1:11" s="2074" customFormat="1" ht="26.25" customHeight="1" x14ac:dyDescent="0.25">
      <c r="A174" s="2080"/>
      <c r="B174" s="2706"/>
      <c r="C174" s="4111" t="s">
        <v>1033</v>
      </c>
      <c r="D174" s="1126">
        <v>290655000</v>
      </c>
      <c r="E174" s="878">
        <v>280976200</v>
      </c>
      <c r="F174" s="878">
        <f t="shared" si="12"/>
        <v>96.670003956580828</v>
      </c>
      <c r="G174" s="1109">
        <v>100</v>
      </c>
      <c r="H174" s="2702"/>
      <c r="J174" s="2127"/>
      <c r="K174" s="2127"/>
    </row>
    <row r="175" spans="1:11" s="2074" customFormat="1" ht="12" customHeight="1" x14ac:dyDescent="0.25">
      <c r="A175" s="2080"/>
      <c r="B175" s="2706"/>
      <c r="C175" s="4104"/>
      <c r="D175" s="1343"/>
      <c r="E175" s="878"/>
      <c r="F175" s="1111"/>
      <c r="G175" s="1109"/>
      <c r="H175" s="2702"/>
      <c r="J175" s="2127"/>
      <c r="K175" s="2127"/>
    </row>
    <row r="176" spans="1:11" s="2074" customFormat="1" ht="14.25" customHeight="1" x14ac:dyDescent="0.25">
      <c r="A176" s="2080"/>
      <c r="B176" s="2706"/>
      <c r="C176" s="4102" t="s">
        <v>366</v>
      </c>
      <c r="D176" s="1413">
        <f>SUM(D177:D192)</f>
        <v>13460486406</v>
      </c>
      <c r="E176" s="1413">
        <f>SUM(E177:E192)</f>
        <v>13318849600</v>
      </c>
      <c r="F176" s="877">
        <f>E176/D176*100</f>
        <v>98.9477586342135</v>
      </c>
      <c r="G176" s="1110">
        <v>100</v>
      </c>
      <c r="H176" s="2702"/>
      <c r="J176" s="2127"/>
      <c r="K176" s="2127"/>
    </row>
    <row r="177" spans="1:11" s="2074" customFormat="1" ht="16.5" customHeight="1" x14ac:dyDescent="0.25">
      <c r="A177" s="2080"/>
      <c r="B177" s="2706"/>
      <c r="C177" s="4104" t="s">
        <v>1034</v>
      </c>
      <c r="D177" s="879">
        <v>6560942264</v>
      </c>
      <c r="E177" s="878">
        <v>6548704000</v>
      </c>
      <c r="F177" s="878">
        <f>E177/D177*100</f>
        <v>99.813467890623713</v>
      </c>
      <c r="G177" s="1109">
        <v>100</v>
      </c>
      <c r="H177" s="2702"/>
      <c r="J177" s="2127"/>
      <c r="K177" s="2127"/>
    </row>
    <row r="178" spans="1:11" s="2074" customFormat="1" ht="15.75" customHeight="1" x14ac:dyDescent="0.25">
      <c r="A178" s="2080"/>
      <c r="B178" s="2706"/>
      <c r="C178" s="4111" t="s">
        <v>1035</v>
      </c>
      <c r="D178" s="880">
        <v>668750000</v>
      </c>
      <c r="E178" s="878">
        <v>667100000</v>
      </c>
      <c r="F178" s="878">
        <f t="shared" ref="F178:F192" si="13">E178/D178*100</f>
        <v>99.753271028037389</v>
      </c>
      <c r="G178" s="1109">
        <v>100</v>
      </c>
      <c r="H178" s="2702"/>
      <c r="J178" s="2127"/>
      <c r="K178" s="2127"/>
    </row>
    <row r="179" spans="1:11" s="2074" customFormat="1" ht="13.5" customHeight="1" x14ac:dyDescent="0.25">
      <c r="A179" s="2080"/>
      <c r="B179" s="2706"/>
      <c r="C179" s="4104" t="s">
        <v>1036</v>
      </c>
      <c r="D179" s="880">
        <v>214500000</v>
      </c>
      <c r="E179" s="878">
        <v>212750000</v>
      </c>
      <c r="F179" s="878">
        <f t="shared" si="13"/>
        <v>99.184149184149177</v>
      </c>
      <c r="G179" s="1109">
        <v>100</v>
      </c>
      <c r="H179" s="2702"/>
      <c r="J179" s="2127"/>
      <c r="K179" s="2127"/>
    </row>
    <row r="180" spans="1:11" s="2074" customFormat="1" ht="12.75" customHeight="1" x14ac:dyDescent="0.25">
      <c r="A180" s="2080"/>
      <c r="B180" s="2706"/>
      <c r="C180" s="4111" t="s">
        <v>1037</v>
      </c>
      <c r="D180" s="880">
        <v>218350000</v>
      </c>
      <c r="E180" s="878">
        <v>217600000</v>
      </c>
      <c r="F180" s="878">
        <f t="shared" si="13"/>
        <v>99.656514769864899</v>
      </c>
      <c r="G180" s="1109">
        <v>100</v>
      </c>
      <c r="H180" s="2702"/>
      <c r="J180" s="2127"/>
      <c r="K180" s="2127"/>
    </row>
    <row r="181" spans="1:11" s="2074" customFormat="1" ht="15" customHeight="1" x14ac:dyDescent="0.25">
      <c r="A181" s="2080"/>
      <c r="B181" s="2706"/>
      <c r="C181" s="4104" t="s">
        <v>2146</v>
      </c>
      <c r="D181" s="879">
        <v>1184688842</v>
      </c>
      <c r="E181" s="878">
        <v>1166530000</v>
      </c>
      <c r="F181" s="878">
        <f t="shared" si="13"/>
        <v>98.467205788032558</v>
      </c>
      <c r="G181" s="1109">
        <v>100</v>
      </c>
      <c r="H181" s="2702"/>
      <c r="J181" s="2127"/>
      <c r="K181" s="2127"/>
    </row>
    <row r="182" spans="1:11" s="2074" customFormat="1" ht="13.5" customHeight="1" x14ac:dyDescent="0.25">
      <c r="A182" s="2080"/>
      <c r="B182" s="2706"/>
      <c r="C182" s="4104" t="s">
        <v>1039</v>
      </c>
      <c r="D182" s="879">
        <v>549450000</v>
      </c>
      <c r="E182" s="878">
        <v>544100000</v>
      </c>
      <c r="F182" s="878">
        <f t="shared" si="13"/>
        <v>99.026299026299029</v>
      </c>
      <c r="G182" s="1109">
        <v>100</v>
      </c>
      <c r="H182" s="2702"/>
      <c r="J182" s="2127"/>
      <c r="K182" s="2127"/>
    </row>
    <row r="183" spans="1:11" s="2074" customFormat="1" ht="14.25" customHeight="1" x14ac:dyDescent="0.25">
      <c r="A183" s="2080"/>
      <c r="B183" s="2706"/>
      <c r="C183" s="4104" t="s">
        <v>1040</v>
      </c>
      <c r="D183" s="879">
        <v>445154000</v>
      </c>
      <c r="E183" s="878">
        <v>438596200</v>
      </c>
      <c r="F183" s="878">
        <f t="shared" si="13"/>
        <v>98.526846888941805</v>
      </c>
      <c r="G183" s="1109">
        <v>100</v>
      </c>
      <c r="H183" s="2702"/>
      <c r="J183" s="2127"/>
      <c r="K183" s="2127"/>
    </row>
    <row r="184" spans="1:11" s="2074" customFormat="1" ht="13.5" customHeight="1" x14ac:dyDescent="0.25">
      <c r="A184" s="2080"/>
      <c r="B184" s="2706"/>
      <c r="C184" s="4104" t="s">
        <v>1041</v>
      </c>
      <c r="D184" s="879">
        <v>327495000</v>
      </c>
      <c r="E184" s="878">
        <v>316347800</v>
      </c>
      <c r="F184" s="878">
        <f t="shared" si="13"/>
        <v>96.596222843096839</v>
      </c>
      <c r="G184" s="1109">
        <v>100</v>
      </c>
      <c r="H184" s="2702"/>
      <c r="J184" s="2127"/>
      <c r="K184" s="2127"/>
    </row>
    <row r="185" spans="1:11" s="2074" customFormat="1" ht="15.75" customHeight="1" x14ac:dyDescent="0.25">
      <c r="A185" s="2080"/>
      <c r="B185" s="2706"/>
      <c r="C185" s="4104" t="s">
        <v>1042</v>
      </c>
      <c r="D185" s="879">
        <v>949832500</v>
      </c>
      <c r="E185" s="878">
        <v>919050500</v>
      </c>
      <c r="F185" s="878">
        <f t="shared" si="13"/>
        <v>96.759218072660175</v>
      </c>
      <c r="G185" s="1109">
        <v>100</v>
      </c>
      <c r="H185" s="2702"/>
      <c r="J185" s="2127"/>
      <c r="K185" s="2127"/>
    </row>
    <row r="186" spans="1:11" s="2074" customFormat="1" ht="12.75" customHeight="1" x14ac:dyDescent="0.25">
      <c r="A186" s="2080"/>
      <c r="B186" s="2706"/>
      <c r="C186" s="4104" t="s">
        <v>1043</v>
      </c>
      <c r="D186" s="879">
        <v>169100000</v>
      </c>
      <c r="E186" s="1616">
        <v>169100000</v>
      </c>
      <c r="F186" s="878">
        <f t="shared" si="13"/>
        <v>100</v>
      </c>
      <c r="G186" s="1109">
        <v>100</v>
      </c>
      <c r="H186" s="2702"/>
      <c r="J186" s="2127"/>
      <c r="K186" s="2127"/>
    </row>
    <row r="187" spans="1:11" s="2074" customFormat="1" ht="13.5" customHeight="1" x14ac:dyDescent="0.25">
      <c r="A187" s="2080"/>
      <c r="B187" s="2706"/>
      <c r="C187" s="4104" t="s">
        <v>1044</v>
      </c>
      <c r="D187" s="879">
        <v>780022800</v>
      </c>
      <c r="E187" s="878">
        <v>759097200</v>
      </c>
      <c r="F187" s="878">
        <f t="shared" si="13"/>
        <v>97.317309186346861</v>
      </c>
      <c r="G187" s="1109">
        <v>100</v>
      </c>
      <c r="H187" s="2702"/>
      <c r="J187" s="2127"/>
      <c r="K187" s="2127"/>
    </row>
    <row r="188" spans="1:11" s="2074" customFormat="1" ht="13.5" customHeight="1" x14ac:dyDescent="0.25">
      <c r="A188" s="2080"/>
      <c r="B188" s="2706"/>
      <c r="C188" s="4104" t="s">
        <v>1045</v>
      </c>
      <c r="D188" s="879">
        <v>732940500</v>
      </c>
      <c r="E188" s="878">
        <v>731536900</v>
      </c>
      <c r="F188" s="878">
        <f t="shared" si="13"/>
        <v>99.808497415547365</v>
      </c>
      <c r="G188" s="1109">
        <v>100</v>
      </c>
      <c r="H188" s="2702"/>
      <c r="J188" s="2127"/>
      <c r="K188" s="2127"/>
    </row>
    <row r="189" spans="1:11" s="2074" customFormat="1" ht="15.75" customHeight="1" x14ac:dyDescent="0.25">
      <c r="A189" s="2080"/>
      <c r="B189" s="2706"/>
      <c r="C189" s="4104" t="s">
        <v>1046</v>
      </c>
      <c r="D189" s="879">
        <v>202200000</v>
      </c>
      <c r="E189" s="878">
        <v>176567800</v>
      </c>
      <c r="F189" s="878">
        <f t="shared" si="13"/>
        <v>87.323343224530163</v>
      </c>
      <c r="G189" s="1109">
        <v>100</v>
      </c>
      <c r="H189" s="2702"/>
      <c r="J189" s="2127"/>
      <c r="K189" s="2127"/>
    </row>
    <row r="190" spans="1:11" s="2074" customFormat="1" ht="16.5" customHeight="1" x14ac:dyDescent="0.25">
      <c r="A190" s="2080"/>
      <c r="B190" s="2706"/>
      <c r="C190" s="4111" t="s">
        <v>1047</v>
      </c>
      <c r="D190" s="880">
        <v>113300500</v>
      </c>
      <c r="E190" s="878">
        <v>111300500</v>
      </c>
      <c r="F190" s="878">
        <f t="shared" si="13"/>
        <v>98.234782723818512</v>
      </c>
      <c r="G190" s="1109">
        <v>100</v>
      </c>
      <c r="H190" s="2702"/>
      <c r="J190" s="2127"/>
      <c r="K190" s="2127"/>
    </row>
    <row r="191" spans="1:11" s="2074" customFormat="1" ht="13.5" customHeight="1" x14ac:dyDescent="0.25">
      <c r="A191" s="2080"/>
      <c r="B191" s="2706"/>
      <c r="C191" s="3856" t="s">
        <v>1048</v>
      </c>
      <c r="D191" s="880">
        <v>162900000</v>
      </c>
      <c r="E191" s="878">
        <v>159608700</v>
      </c>
      <c r="F191" s="878">
        <f t="shared" si="13"/>
        <v>97.979558011049733</v>
      </c>
      <c r="G191" s="1109">
        <v>100</v>
      </c>
      <c r="H191" s="2702"/>
      <c r="J191" s="2127"/>
      <c r="K191" s="2127"/>
    </row>
    <row r="192" spans="1:11" s="2074" customFormat="1" ht="16.5" customHeight="1" x14ac:dyDescent="0.25">
      <c r="A192" s="2080"/>
      <c r="B192" s="2706"/>
      <c r="C192" s="4111" t="s">
        <v>1049</v>
      </c>
      <c r="D192" s="880">
        <v>180860000</v>
      </c>
      <c r="E192" s="878">
        <v>180860000</v>
      </c>
      <c r="F192" s="878">
        <f t="shared" si="13"/>
        <v>100</v>
      </c>
      <c r="G192" s="1109">
        <v>100</v>
      </c>
      <c r="H192" s="2702"/>
      <c r="J192" s="2127"/>
      <c r="K192" s="2127"/>
    </row>
    <row r="193" spans="1:11" s="2074" customFormat="1" ht="12" customHeight="1" x14ac:dyDescent="0.25">
      <c r="A193" s="2080"/>
      <c r="B193" s="2706"/>
      <c r="C193" s="4106"/>
      <c r="D193" s="880"/>
      <c r="E193" s="878"/>
      <c r="F193" s="1111"/>
      <c r="G193" s="1109"/>
      <c r="H193" s="2702"/>
      <c r="J193" s="2127"/>
      <c r="K193" s="2127"/>
    </row>
    <row r="194" spans="1:11" s="2074" customFormat="1" ht="13.5" customHeight="1" x14ac:dyDescent="0.25">
      <c r="A194" s="2080"/>
      <c r="B194" s="2706"/>
      <c r="C194" s="4102" t="s">
        <v>367</v>
      </c>
      <c r="D194" s="1464">
        <f>SUM(D195:D199)</f>
        <v>4465514000</v>
      </c>
      <c r="E194" s="1464">
        <f>SUM(E195:E199)</f>
        <v>4032607600</v>
      </c>
      <c r="F194" s="877">
        <f>E194/D194*100</f>
        <v>90.305563928363014</v>
      </c>
      <c r="G194" s="1110">
        <v>100</v>
      </c>
      <c r="H194" s="2702"/>
      <c r="J194" s="2127"/>
      <c r="K194" s="2127"/>
    </row>
    <row r="195" spans="1:11" s="2074" customFormat="1" ht="14.25" customHeight="1" x14ac:dyDescent="0.25">
      <c r="A195" s="2080"/>
      <c r="B195" s="2706"/>
      <c r="C195" s="3876" t="s">
        <v>1050</v>
      </c>
      <c r="D195" s="880">
        <v>170760000</v>
      </c>
      <c r="E195" s="878">
        <v>168430000</v>
      </c>
      <c r="F195" s="878">
        <f>E195/D195*100</f>
        <v>98.635511829468257</v>
      </c>
      <c r="G195" s="1109">
        <v>100</v>
      </c>
      <c r="H195" s="2702"/>
      <c r="J195" s="2127"/>
      <c r="K195" s="2127"/>
    </row>
    <row r="196" spans="1:11" s="2074" customFormat="1" ht="13.5" customHeight="1" x14ac:dyDescent="0.25">
      <c r="A196" s="2080"/>
      <c r="B196" s="2706"/>
      <c r="C196" s="3876" t="s">
        <v>1051</v>
      </c>
      <c r="D196" s="880">
        <v>2572979000</v>
      </c>
      <c r="E196" s="878">
        <v>2300000000</v>
      </c>
      <c r="F196" s="878">
        <f t="shared" ref="F196:F199" si="14">E196/D196*100</f>
        <v>89.390546910798733</v>
      </c>
      <c r="G196" s="1109">
        <v>100</v>
      </c>
      <c r="H196" s="2702"/>
      <c r="J196" s="2127"/>
      <c r="K196" s="2127"/>
    </row>
    <row r="197" spans="1:11" s="2074" customFormat="1" ht="13.5" customHeight="1" x14ac:dyDescent="0.25">
      <c r="A197" s="2080"/>
      <c r="B197" s="2706"/>
      <c r="C197" s="3876" t="s">
        <v>1052</v>
      </c>
      <c r="D197" s="880">
        <v>375095000</v>
      </c>
      <c r="E197" s="878">
        <v>367252600</v>
      </c>
      <c r="F197" s="878">
        <f t="shared" si="14"/>
        <v>97.909222996840811</v>
      </c>
      <c r="G197" s="1109">
        <v>100</v>
      </c>
      <c r="H197" s="2702"/>
      <c r="J197" s="2127"/>
      <c r="K197" s="2127"/>
    </row>
    <row r="198" spans="1:11" s="2074" customFormat="1" ht="12.75" customHeight="1" x14ac:dyDescent="0.25">
      <c r="A198" s="2080"/>
      <c r="B198" s="2706"/>
      <c r="C198" s="3876" t="s">
        <v>1053</v>
      </c>
      <c r="D198" s="880">
        <v>585400000</v>
      </c>
      <c r="E198" s="878">
        <v>453655000</v>
      </c>
      <c r="F198" s="878">
        <f t="shared" si="14"/>
        <v>77.494875298940897</v>
      </c>
      <c r="G198" s="1109">
        <v>100</v>
      </c>
      <c r="H198" s="2702"/>
      <c r="J198" s="2127"/>
      <c r="K198" s="2127"/>
    </row>
    <row r="199" spans="1:11" s="2074" customFormat="1" ht="15" customHeight="1" x14ac:dyDescent="0.25">
      <c r="A199" s="2080"/>
      <c r="B199" s="2706"/>
      <c r="C199" s="3876" t="s">
        <v>1054</v>
      </c>
      <c r="D199" s="880">
        <v>761280000</v>
      </c>
      <c r="E199" s="878">
        <v>743270000</v>
      </c>
      <c r="F199" s="878">
        <f t="shared" si="14"/>
        <v>97.63424758301808</v>
      </c>
      <c r="G199" s="1109">
        <v>100</v>
      </c>
      <c r="H199" s="2702"/>
      <c r="J199" s="2127"/>
      <c r="K199" s="2127"/>
    </row>
    <row r="200" spans="1:11" s="2074" customFormat="1" ht="12" customHeight="1" x14ac:dyDescent="0.25">
      <c r="A200" s="2080"/>
      <c r="B200" s="2706"/>
      <c r="C200" s="4106"/>
      <c r="D200" s="880"/>
      <c r="E200" s="878"/>
      <c r="F200" s="1111"/>
      <c r="G200" s="1109"/>
      <c r="H200" s="2702"/>
      <c r="J200" s="2127"/>
      <c r="K200" s="2127"/>
    </row>
    <row r="201" spans="1:11" s="2074" customFormat="1" ht="13.5" customHeight="1" x14ac:dyDescent="0.25">
      <c r="A201" s="2080"/>
      <c r="B201" s="2706"/>
      <c r="C201" s="4102" t="s">
        <v>1055</v>
      </c>
      <c r="D201" s="811">
        <f>D202</f>
        <v>112800000</v>
      </c>
      <c r="E201" s="811">
        <f>E202</f>
        <v>112750000</v>
      </c>
      <c r="F201" s="877">
        <f>E201/D201*100</f>
        <v>99.955673758865245</v>
      </c>
      <c r="G201" s="877">
        <v>100</v>
      </c>
      <c r="H201" s="2702"/>
      <c r="J201" s="2127"/>
      <c r="K201" s="2127"/>
    </row>
    <row r="202" spans="1:11" s="2074" customFormat="1" ht="16.5" customHeight="1" x14ac:dyDescent="0.25">
      <c r="A202" s="2080"/>
      <c r="B202" s="2706"/>
      <c r="C202" s="3856" t="s">
        <v>1056</v>
      </c>
      <c r="D202" s="880">
        <v>112800000</v>
      </c>
      <c r="E202" s="878">
        <v>112750000</v>
      </c>
      <c r="F202" s="878">
        <f>E202/D202*100</f>
        <v>99.955673758865245</v>
      </c>
      <c r="G202" s="878">
        <v>100</v>
      </c>
      <c r="H202" s="2702"/>
      <c r="J202" s="2127"/>
      <c r="K202" s="2127"/>
    </row>
    <row r="203" spans="1:11" s="2074" customFormat="1" ht="12" customHeight="1" x14ac:dyDescent="0.25">
      <c r="A203" s="2080"/>
      <c r="B203" s="2706"/>
      <c r="C203" s="3986"/>
      <c r="D203" s="1463"/>
      <c r="E203" s="877"/>
      <c r="F203" s="877"/>
      <c r="G203" s="877"/>
      <c r="H203" s="2702"/>
      <c r="J203" s="2127"/>
      <c r="K203" s="2127"/>
    </row>
    <row r="204" spans="1:11" s="2074" customFormat="1" ht="12.75" customHeight="1" x14ac:dyDescent="0.25">
      <c r="A204" s="2080"/>
      <c r="B204" s="2706"/>
      <c r="C204" s="3901" t="s">
        <v>1057</v>
      </c>
      <c r="D204" s="1415">
        <f>SUM(D205:D207)</f>
        <v>1955415000</v>
      </c>
      <c r="E204" s="1415">
        <f>SUM(E205:E207)</f>
        <v>1940502200</v>
      </c>
      <c r="F204" s="877">
        <f>E204/D204*100</f>
        <v>99.237358821528929</v>
      </c>
      <c r="G204" s="877">
        <v>100</v>
      </c>
      <c r="H204" s="2702"/>
      <c r="J204" s="2127"/>
      <c r="K204" s="2127"/>
    </row>
    <row r="205" spans="1:11" s="2074" customFormat="1" ht="15" customHeight="1" x14ac:dyDescent="0.25">
      <c r="A205" s="2080"/>
      <c r="B205" s="2706"/>
      <c r="C205" s="3902" t="s">
        <v>1058</v>
      </c>
      <c r="D205" s="880">
        <v>133090000</v>
      </c>
      <c r="E205" s="878">
        <v>132165000</v>
      </c>
      <c r="F205" s="878">
        <f>E205/D205*100</f>
        <v>99.304981591404314</v>
      </c>
      <c r="G205" s="1109">
        <v>100</v>
      </c>
      <c r="H205" s="2702"/>
      <c r="J205" s="2127"/>
      <c r="K205" s="2127"/>
    </row>
    <row r="206" spans="1:11" s="2074" customFormat="1" ht="12" customHeight="1" x14ac:dyDescent="0.25">
      <c r="A206" s="2080"/>
      <c r="B206" s="2706"/>
      <c r="C206" s="3902" t="s">
        <v>1059</v>
      </c>
      <c r="D206" s="880">
        <v>1677940000</v>
      </c>
      <c r="E206" s="1818">
        <v>1664627200</v>
      </c>
      <c r="F206" s="878">
        <f t="shared" ref="F206:F207" si="15">E206/D206*100</f>
        <v>99.206598567290854</v>
      </c>
      <c r="G206" s="1109">
        <v>100</v>
      </c>
      <c r="H206" s="2702"/>
      <c r="J206" s="2127"/>
      <c r="K206" s="2127"/>
    </row>
    <row r="207" spans="1:11" s="2074" customFormat="1" ht="30" customHeight="1" x14ac:dyDescent="0.25">
      <c r="A207" s="2080"/>
      <c r="B207" s="2706"/>
      <c r="C207" s="3902" t="s">
        <v>1060</v>
      </c>
      <c r="D207" s="880">
        <v>144385000</v>
      </c>
      <c r="E207" s="878">
        <v>143710000</v>
      </c>
      <c r="F207" s="878">
        <f t="shared" si="15"/>
        <v>99.532499913425909</v>
      </c>
      <c r="G207" s="1109">
        <v>100</v>
      </c>
      <c r="H207" s="2702"/>
      <c r="J207" s="2127"/>
      <c r="K207" s="2127"/>
    </row>
    <row r="208" spans="1:11" s="2074" customFormat="1" ht="12" customHeight="1" x14ac:dyDescent="0.25">
      <c r="A208" s="2080"/>
      <c r="B208" s="2706"/>
      <c r="C208" s="3852"/>
      <c r="D208" s="5120"/>
      <c r="E208" s="878"/>
      <c r="F208" s="1111"/>
      <c r="G208" s="1109"/>
      <c r="H208" s="2702"/>
      <c r="J208" s="2127"/>
      <c r="K208" s="2127"/>
    </row>
    <row r="209" spans="1:11" s="2074" customFormat="1" ht="12.75" customHeight="1" x14ac:dyDescent="0.25">
      <c r="A209" s="2080"/>
      <c r="B209" s="2706"/>
      <c r="C209" s="3878" t="s">
        <v>1061</v>
      </c>
      <c r="D209" s="1415">
        <f>SUM(D210:D213)</f>
        <v>4269324160</v>
      </c>
      <c r="E209" s="1415">
        <f>SUM(E210:E213)</f>
        <v>4017988910</v>
      </c>
      <c r="F209" s="877">
        <f>E209/D209*100</f>
        <v>94.112996798069332</v>
      </c>
      <c r="G209" s="1110">
        <v>100</v>
      </c>
      <c r="H209" s="2702"/>
      <c r="J209" s="2127"/>
      <c r="K209" s="2127"/>
    </row>
    <row r="210" spans="1:11" s="2074" customFormat="1" ht="15.75" customHeight="1" x14ac:dyDescent="0.25">
      <c r="A210" s="2080"/>
      <c r="B210" s="2706"/>
      <c r="C210" s="3876" t="s">
        <v>1062</v>
      </c>
      <c r="D210" s="880">
        <v>1055707500</v>
      </c>
      <c r="E210" s="878">
        <v>1019707500</v>
      </c>
      <c r="F210" s="878">
        <f>E210/D210*100</f>
        <v>96.589964549839806</v>
      </c>
      <c r="G210" s="1109">
        <v>100</v>
      </c>
      <c r="H210" s="2702"/>
      <c r="J210" s="2127"/>
      <c r="K210" s="2127"/>
    </row>
    <row r="211" spans="1:11" s="2074" customFormat="1" ht="15.75" customHeight="1" x14ac:dyDescent="0.25">
      <c r="A211" s="2080"/>
      <c r="B211" s="2706"/>
      <c r="C211" s="3876" t="s">
        <v>1063</v>
      </c>
      <c r="D211" s="880">
        <v>1532364570</v>
      </c>
      <c r="E211" s="878">
        <v>1506794920</v>
      </c>
      <c r="F211" s="878">
        <f t="shared" ref="F211:F213" si="16">E211/D211*100</f>
        <v>98.331359879979473</v>
      </c>
      <c r="G211" s="1109">
        <v>100</v>
      </c>
      <c r="H211" s="2702"/>
      <c r="J211" s="2127"/>
      <c r="K211" s="2127"/>
    </row>
    <row r="212" spans="1:11" s="2074" customFormat="1" ht="15" customHeight="1" x14ac:dyDescent="0.25">
      <c r="A212" s="2080"/>
      <c r="B212" s="2706"/>
      <c r="C212" s="3876" t="s">
        <v>1064</v>
      </c>
      <c r="D212" s="880">
        <v>413113750</v>
      </c>
      <c r="E212" s="878">
        <v>409211150</v>
      </c>
      <c r="F212" s="878">
        <f t="shared" si="16"/>
        <v>99.055320719777541</v>
      </c>
      <c r="G212" s="1109">
        <v>100</v>
      </c>
      <c r="H212" s="2702"/>
      <c r="J212" s="2127"/>
      <c r="K212" s="2127"/>
    </row>
    <row r="213" spans="1:11" s="2074" customFormat="1" ht="15.75" customHeight="1" x14ac:dyDescent="0.25">
      <c r="A213" s="2080"/>
      <c r="B213" s="2706"/>
      <c r="C213" s="3876" t="s">
        <v>1065</v>
      </c>
      <c r="D213" s="880">
        <v>1268138340</v>
      </c>
      <c r="E213" s="878">
        <v>1082275340</v>
      </c>
      <c r="F213" s="878">
        <f t="shared" si="16"/>
        <v>85.343633723746564</v>
      </c>
      <c r="G213" s="1109">
        <v>100</v>
      </c>
      <c r="H213" s="2702"/>
      <c r="J213" s="2127"/>
      <c r="K213" s="2127"/>
    </row>
    <row r="214" spans="1:11" s="2074" customFormat="1" ht="12" customHeight="1" x14ac:dyDescent="0.25">
      <c r="A214" s="2080"/>
      <c r="B214" s="2706"/>
      <c r="C214" s="3986"/>
      <c r="D214" s="1463"/>
      <c r="E214" s="1381"/>
      <c r="F214" s="1316"/>
      <c r="G214" s="1110"/>
      <c r="H214" s="2702"/>
      <c r="J214" s="2127"/>
      <c r="K214" s="2127"/>
    </row>
    <row r="215" spans="1:11" s="2074" customFormat="1" ht="17.25" customHeight="1" x14ac:dyDescent="0.25">
      <c r="A215" s="2080"/>
      <c r="B215" s="2706"/>
      <c r="C215" s="3878" t="s">
        <v>272</v>
      </c>
      <c r="D215" s="1415">
        <f>SUM(D216:D223)</f>
        <v>3048980000</v>
      </c>
      <c r="E215" s="1415">
        <f>SUM(E216:E223)</f>
        <v>2433148000</v>
      </c>
      <c r="F215" s="877">
        <f>E215/D215*100</f>
        <v>79.80203215501578</v>
      </c>
      <c r="G215" s="1110">
        <f>SUM(G216:G223)/8</f>
        <v>93.75</v>
      </c>
      <c r="H215" s="2702"/>
      <c r="J215" s="2127"/>
      <c r="K215" s="2127"/>
    </row>
    <row r="216" spans="1:11" s="2074" customFormat="1" ht="13.5" customHeight="1" x14ac:dyDescent="0.25">
      <c r="A216" s="2080"/>
      <c r="B216" s="2706"/>
      <c r="C216" s="3987" t="s">
        <v>1066</v>
      </c>
      <c r="D216" s="886">
        <v>185970000</v>
      </c>
      <c r="E216" s="878">
        <v>175089800</v>
      </c>
      <c r="F216" s="878">
        <f>E216/D216*100</f>
        <v>94.149486476313385</v>
      </c>
      <c r="G216" s="1109">
        <v>100</v>
      </c>
      <c r="H216" s="2702"/>
      <c r="J216" s="2127"/>
      <c r="K216" s="2127"/>
    </row>
    <row r="217" spans="1:11" s="2074" customFormat="1" ht="16.5" customHeight="1" x14ac:dyDescent="0.25">
      <c r="A217" s="2080"/>
      <c r="B217" s="2706"/>
      <c r="C217" s="4111" t="s">
        <v>1067</v>
      </c>
      <c r="D217" s="880">
        <v>8000000</v>
      </c>
      <c r="E217" s="878">
        <v>8000000</v>
      </c>
      <c r="F217" s="878">
        <f t="shared" ref="F217:F223" si="17">E217/D217*100</f>
        <v>100</v>
      </c>
      <c r="G217" s="878">
        <v>100</v>
      </c>
      <c r="H217" s="2702"/>
      <c r="J217" s="2127"/>
      <c r="K217" s="2127"/>
    </row>
    <row r="218" spans="1:11" s="2074" customFormat="1" ht="29.25" customHeight="1" x14ac:dyDescent="0.25">
      <c r="A218" s="2080"/>
      <c r="B218" s="2706"/>
      <c r="C218" s="3876" t="s">
        <v>1068</v>
      </c>
      <c r="D218" s="880">
        <v>675800000</v>
      </c>
      <c r="E218" s="878">
        <v>336490000</v>
      </c>
      <c r="F218" s="878">
        <f t="shared" si="17"/>
        <v>49.791358390056232</v>
      </c>
      <c r="G218" s="1109">
        <v>50</v>
      </c>
      <c r="H218" s="2702"/>
      <c r="J218" s="2127"/>
      <c r="K218" s="2127"/>
    </row>
    <row r="219" spans="1:11" s="2074" customFormat="1" ht="30" customHeight="1" x14ac:dyDescent="0.25">
      <c r="A219" s="2080"/>
      <c r="B219" s="2706"/>
      <c r="C219" s="3876" t="s">
        <v>1069</v>
      </c>
      <c r="D219" s="880">
        <v>743000000</v>
      </c>
      <c r="E219" s="1818">
        <v>719000000</v>
      </c>
      <c r="F219" s="878">
        <f t="shared" si="17"/>
        <v>96.769851951547778</v>
      </c>
      <c r="G219" s="1109">
        <v>100</v>
      </c>
      <c r="H219" s="2702"/>
      <c r="J219" s="2127"/>
      <c r="K219" s="2127"/>
    </row>
    <row r="220" spans="1:11" s="2074" customFormat="1" ht="33" customHeight="1" x14ac:dyDescent="0.25">
      <c r="A220" s="2080"/>
      <c r="B220" s="2706"/>
      <c r="C220" s="3876" t="s">
        <v>1070</v>
      </c>
      <c r="D220" s="880">
        <v>720000000</v>
      </c>
      <c r="E220" s="878">
        <v>480000000</v>
      </c>
      <c r="F220" s="878">
        <f t="shared" si="17"/>
        <v>66.666666666666657</v>
      </c>
      <c r="G220" s="1109">
        <v>100</v>
      </c>
      <c r="H220" s="2702"/>
      <c r="J220" s="2127"/>
      <c r="K220" s="2127"/>
    </row>
    <row r="221" spans="1:11" s="2074" customFormat="1" ht="28.5" customHeight="1" x14ac:dyDescent="0.25">
      <c r="A221" s="2080"/>
      <c r="B221" s="2706"/>
      <c r="C221" s="4106" t="s">
        <v>1071</v>
      </c>
      <c r="D221" s="880">
        <v>117900000</v>
      </c>
      <c r="E221" s="882">
        <v>117900000</v>
      </c>
      <c r="F221" s="878">
        <f t="shared" si="17"/>
        <v>100</v>
      </c>
      <c r="G221" s="1109">
        <v>100</v>
      </c>
      <c r="H221" s="2702"/>
      <c r="J221" s="2127"/>
      <c r="K221" s="2127"/>
    </row>
    <row r="222" spans="1:11" s="2074" customFormat="1" ht="19.5" customHeight="1" x14ac:dyDescent="0.25">
      <c r="A222" s="2080"/>
      <c r="B222" s="2706"/>
      <c r="C222" s="4106" t="s">
        <v>1072</v>
      </c>
      <c r="D222" s="880">
        <v>424800000</v>
      </c>
      <c r="E222" s="1818">
        <v>424675000</v>
      </c>
      <c r="F222" s="878">
        <f t="shared" si="17"/>
        <v>99.970574387947266</v>
      </c>
      <c r="G222" s="1109">
        <v>100</v>
      </c>
      <c r="H222" s="2702"/>
      <c r="J222" s="2127"/>
      <c r="K222" s="2127"/>
    </row>
    <row r="223" spans="1:11" s="2074" customFormat="1" ht="24" customHeight="1" x14ac:dyDescent="0.25">
      <c r="A223" s="2080"/>
      <c r="B223" s="2706"/>
      <c r="C223" s="3903" t="s">
        <v>1073</v>
      </c>
      <c r="D223" s="886">
        <v>173510000</v>
      </c>
      <c r="E223" s="883">
        <v>171993200</v>
      </c>
      <c r="F223" s="878">
        <f t="shared" si="17"/>
        <v>99.125814074116775</v>
      </c>
      <c r="G223" s="1109">
        <v>100</v>
      </c>
      <c r="H223" s="2702"/>
      <c r="J223" s="2127"/>
      <c r="K223" s="2127"/>
    </row>
    <row r="224" spans="1:11" s="2074" customFormat="1" ht="12" customHeight="1" x14ac:dyDescent="0.25">
      <c r="A224" s="2080"/>
      <c r="B224" s="2706"/>
      <c r="C224" s="4106"/>
      <c r="D224" s="880"/>
      <c r="E224" s="878"/>
      <c r="F224" s="878"/>
      <c r="G224" s="878"/>
      <c r="H224" s="2702"/>
      <c r="J224" s="2127"/>
      <c r="K224" s="2127"/>
    </row>
    <row r="225" spans="1:11" s="2074" customFormat="1" ht="17.25" customHeight="1" x14ac:dyDescent="0.25">
      <c r="A225" s="2080"/>
      <c r="B225" s="2706"/>
      <c r="C225" s="4102" t="s">
        <v>1074</v>
      </c>
      <c r="D225" s="811">
        <f>SUM(D226:D230)</f>
        <v>2591828800</v>
      </c>
      <c r="E225" s="811">
        <f>SUM(E226:E230)</f>
        <v>2154597000</v>
      </c>
      <c r="F225" s="877">
        <f>E225/D225*100</f>
        <v>83.130374969210934</v>
      </c>
      <c r="G225" s="877">
        <f>SUM(G226:G230)/5</f>
        <v>96</v>
      </c>
      <c r="H225" s="2702"/>
      <c r="J225" s="2127"/>
      <c r="K225" s="2127"/>
    </row>
    <row r="226" spans="1:11" s="2074" customFormat="1" ht="18.75" customHeight="1" x14ac:dyDescent="0.25">
      <c r="A226" s="2080"/>
      <c r="B226" s="2706"/>
      <c r="C226" s="3902" t="s">
        <v>1075</v>
      </c>
      <c r="D226" s="880">
        <v>20000000</v>
      </c>
      <c r="E226" s="878">
        <v>19413200</v>
      </c>
      <c r="F226" s="878">
        <f>E226/D226*100</f>
        <v>97.066000000000003</v>
      </c>
      <c r="G226" s="878">
        <v>100</v>
      </c>
      <c r="H226" s="2702"/>
      <c r="J226" s="2127"/>
      <c r="K226" s="2127"/>
    </row>
    <row r="227" spans="1:11" s="2074" customFormat="1" ht="14.25" customHeight="1" x14ac:dyDescent="0.25">
      <c r="A227" s="2080"/>
      <c r="B227" s="2706"/>
      <c r="C227" s="4111" t="s">
        <v>1076</v>
      </c>
      <c r="D227" s="880">
        <v>665600000</v>
      </c>
      <c r="E227" s="878">
        <v>488875300</v>
      </c>
      <c r="F227" s="878">
        <f t="shared" ref="F227:F230" si="18">E227/D227*100</f>
        <v>73.448813100961544</v>
      </c>
      <c r="G227" s="878">
        <v>80</v>
      </c>
      <c r="H227" s="2702"/>
      <c r="J227" s="2127"/>
      <c r="K227" s="2127"/>
    </row>
    <row r="228" spans="1:11" s="2074" customFormat="1" ht="13.5" customHeight="1" x14ac:dyDescent="0.25">
      <c r="A228" s="2080"/>
      <c r="B228" s="2706"/>
      <c r="C228" s="3856" t="s">
        <v>1077</v>
      </c>
      <c r="D228" s="880">
        <v>222850000</v>
      </c>
      <c r="E228" s="878">
        <v>222850000</v>
      </c>
      <c r="F228" s="878">
        <f t="shared" si="18"/>
        <v>100</v>
      </c>
      <c r="G228" s="878">
        <v>100</v>
      </c>
      <c r="H228" s="2702"/>
      <c r="J228" s="2127"/>
      <c r="K228" s="2127"/>
    </row>
    <row r="229" spans="1:11" s="2074" customFormat="1" ht="14.25" customHeight="1" x14ac:dyDescent="0.25">
      <c r="A229" s="2080"/>
      <c r="B229" s="2706"/>
      <c r="C229" s="4106" t="s">
        <v>1078</v>
      </c>
      <c r="D229" s="885">
        <v>46528800</v>
      </c>
      <c r="E229" s="1855">
        <v>46528800</v>
      </c>
      <c r="F229" s="878">
        <f t="shared" si="18"/>
        <v>100</v>
      </c>
      <c r="G229" s="878">
        <v>100</v>
      </c>
      <c r="H229" s="2702"/>
      <c r="J229" s="2127"/>
      <c r="K229" s="2127"/>
    </row>
    <row r="230" spans="1:11" s="5660" customFormat="1" ht="16.5" customHeight="1" x14ac:dyDescent="0.25">
      <c r="A230" s="5656"/>
      <c r="B230" s="5657"/>
      <c r="C230" s="5658" t="s">
        <v>1079</v>
      </c>
      <c r="D230" s="5051">
        <v>1636850000</v>
      </c>
      <c r="E230" s="5659">
        <v>1376929700</v>
      </c>
      <c r="F230" s="5659">
        <f t="shared" si="18"/>
        <v>84.120701347099612</v>
      </c>
      <c r="G230" s="5659">
        <v>100</v>
      </c>
      <c r="H230" s="5648"/>
      <c r="J230" s="5661"/>
      <c r="K230" s="5661"/>
    </row>
    <row r="231" spans="1:11" s="266" customFormat="1" ht="7.5" customHeight="1" x14ac:dyDescent="0.25">
      <c r="A231" s="506"/>
      <c r="B231" s="2719"/>
      <c r="C231" s="519"/>
      <c r="D231" s="5121"/>
      <c r="E231" s="1167"/>
      <c r="F231" s="1111"/>
      <c r="G231" s="1109"/>
      <c r="H231" s="2702"/>
      <c r="J231" s="2126"/>
      <c r="K231" s="2126"/>
    </row>
    <row r="232" spans="1:11" s="2074" customFormat="1" ht="18.75" customHeight="1" x14ac:dyDescent="0.25">
      <c r="A232" s="2080"/>
      <c r="B232" s="2720"/>
      <c r="C232" s="507" t="s">
        <v>334</v>
      </c>
      <c r="D232" s="5122">
        <f>SUM(D233)</f>
        <v>219756240</v>
      </c>
      <c r="E232" s="992">
        <f>SUM(E233)</f>
        <v>219756240</v>
      </c>
      <c r="F232" s="888">
        <v>100</v>
      </c>
      <c r="G232" s="888">
        <v>100</v>
      </c>
      <c r="H232" s="2702"/>
      <c r="J232" s="2127"/>
      <c r="K232" s="2127"/>
    </row>
    <row r="233" spans="1:11" s="2074" customFormat="1" ht="15.75" customHeight="1" x14ac:dyDescent="0.25">
      <c r="A233" s="2080"/>
      <c r="B233" s="2703"/>
      <c r="C233" s="2721" t="s">
        <v>1233</v>
      </c>
      <c r="D233" s="673">
        <f>D234</f>
        <v>219756240</v>
      </c>
      <c r="E233" s="1415">
        <f>E234</f>
        <v>219756240</v>
      </c>
      <c r="F233" s="1308">
        <f>SUM(E233/D233)*100</f>
        <v>100</v>
      </c>
      <c r="G233" s="877">
        <v>100</v>
      </c>
      <c r="H233" s="2702"/>
      <c r="J233" s="2127"/>
      <c r="K233" s="2127"/>
    </row>
    <row r="234" spans="1:11" s="2074" customFormat="1" ht="15" customHeight="1" x14ac:dyDescent="0.25">
      <c r="A234" s="2080"/>
      <c r="B234" s="2706"/>
      <c r="C234" s="2715" t="s">
        <v>1234</v>
      </c>
      <c r="D234" s="880">
        <v>219756240</v>
      </c>
      <c r="E234" s="878">
        <v>219756240</v>
      </c>
      <c r="F234" s="1310">
        <f>SUM(E234/D234)*100</f>
        <v>100</v>
      </c>
      <c r="G234" s="878">
        <v>100</v>
      </c>
      <c r="H234" s="2702"/>
      <c r="J234" s="2127"/>
      <c r="K234" s="2127"/>
    </row>
    <row r="235" spans="1:11" ht="12" customHeight="1" x14ac:dyDescent="0.25">
      <c r="B235" s="2627"/>
      <c r="C235" s="519"/>
      <c r="D235" s="5121"/>
      <c r="E235" s="2738"/>
      <c r="F235" s="1324"/>
      <c r="G235" s="1324"/>
      <c r="H235" s="2634"/>
    </row>
    <row r="236" spans="1:11" ht="18.75" customHeight="1" x14ac:dyDescent="0.25">
      <c r="B236" s="2635"/>
      <c r="C236" s="507" t="s">
        <v>1315</v>
      </c>
      <c r="D236" s="5122">
        <f>SUM(D237+D240)</f>
        <v>19075898134</v>
      </c>
      <c r="E236" s="992">
        <f>SUM(E237+E240)</f>
        <v>9849251200</v>
      </c>
      <c r="F236" s="1645">
        <f>E236/D236*100</f>
        <v>51.631913374737252</v>
      </c>
      <c r="G236" s="1645">
        <f>SUM(G237+G240)/2</f>
        <v>72.025000000000006</v>
      </c>
      <c r="H236" s="2634"/>
    </row>
    <row r="237" spans="1:11" s="1639" customFormat="1" ht="16.5" customHeight="1" x14ac:dyDescent="0.25">
      <c r="B237" s="2653"/>
      <c r="C237" s="1131" t="s">
        <v>1316</v>
      </c>
      <c r="D237" s="5123">
        <f>SUM(D238:D238)</f>
        <v>1792500000</v>
      </c>
      <c r="E237" s="1394">
        <f>SUM(E238:E238)</f>
        <v>1432500000</v>
      </c>
      <c r="F237" s="1309">
        <f>F238</f>
        <v>79.9163179916318</v>
      </c>
      <c r="G237" s="1309">
        <f>G238</f>
        <v>71.430000000000007</v>
      </c>
      <c r="H237" s="2634"/>
      <c r="J237" s="2093"/>
      <c r="K237" s="2093"/>
    </row>
    <row r="238" spans="1:11" s="1639" customFormat="1" ht="15" customHeight="1" x14ac:dyDescent="0.25">
      <c r="B238" s="2624"/>
      <c r="C238" s="1169" t="s">
        <v>1330</v>
      </c>
      <c r="D238" s="880">
        <v>1792500000</v>
      </c>
      <c r="E238" s="1111">
        <v>1432500000</v>
      </c>
      <c r="F238" s="1310">
        <f t="shared" ref="F238" si="19">E238/D238*100</f>
        <v>79.9163179916318</v>
      </c>
      <c r="G238" s="1111">
        <v>71.430000000000007</v>
      </c>
      <c r="H238" s="2634"/>
      <c r="J238" s="2093"/>
      <c r="K238" s="2093"/>
    </row>
    <row r="239" spans="1:11" ht="12" customHeight="1" x14ac:dyDescent="0.25">
      <c r="B239" s="2624"/>
      <c r="C239" s="509"/>
      <c r="D239" s="5124"/>
      <c r="E239" s="1167"/>
      <c r="F239" s="1111"/>
      <c r="G239" s="1111"/>
      <c r="H239" s="2634"/>
    </row>
    <row r="240" spans="1:11" s="1639" customFormat="1" ht="18.75" customHeight="1" x14ac:dyDescent="0.25">
      <c r="B240" s="2624"/>
      <c r="C240" s="1132" t="s">
        <v>1318</v>
      </c>
      <c r="D240" s="5125">
        <f>D241</f>
        <v>17283398134</v>
      </c>
      <c r="E240" s="1413">
        <f>E241</f>
        <v>8416751200</v>
      </c>
      <c r="F240" s="1316">
        <f>F241</f>
        <v>48.698474308952697</v>
      </c>
      <c r="G240" s="1316">
        <f>G241</f>
        <v>72.62</v>
      </c>
      <c r="H240" s="2634"/>
      <c r="J240" s="2093"/>
      <c r="K240" s="2093"/>
    </row>
    <row r="241" spans="1:12" s="1639" customFormat="1" ht="16.5" customHeight="1" x14ac:dyDescent="0.25">
      <c r="B241" s="2624"/>
      <c r="C241" s="2722" t="s">
        <v>1320</v>
      </c>
      <c r="D241" s="880">
        <v>17283398134</v>
      </c>
      <c r="E241" s="1111">
        <v>8416751200</v>
      </c>
      <c r="F241" s="1310">
        <f t="shared" ref="F241" si="20">E241/D241*100</f>
        <v>48.698474308952697</v>
      </c>
      <c r="G241" s="1111">
        <v>72.62</v>
      </c>
      <c r="H241" s="2634"/>
      <c r="J241" s="2093"/>
      <c r="K241" s="2093"/>
    </row>
    <row r="242" spans="1:12" ht="18.75" customHeight="1" thickBot="1" x14ac:dyDescent="0.3">
      <c r="B242" s="2630"/>
      <c r="C242" s="1147"/>
      <c r="D242" s="791"/>
      <c r="E242" s="2346"/>
      <c r="F242" s="2409"/>
      <c r="G242" s="791"/>
      <c r="H242" s="2634"/>
    </row>
    <row r="243" spans="1:12" ht="20.25" customHeight="1" thickBot="1" x14ac:dyDescent="0.3">
      <c r="B243" s="2724"/>
      <c r="C243" s="1276" t="s">
        <v>602</v>
      </c>
      <c r="D243" s="2725">
        <f>SUM(D245+D279)</f>
        <v>57028756640</v>
      </c>
      <c r="E243" s="2491">
        <f>SUM(E245+E279)</f>
        <v>49595270660</v>
      </c>
      <c r="F243" s="5188">
        <f>SUM(E243/D243*100)</f>
        <v>86.965372527890338</v>
      </c>
      <c r="G243" s="2365">
        <f>SUM(G245+G279)/2</f>
        <v>92.129807692307693</v>
      </c>
      <c r="H243" s="2084"/>
      <c r="L243" s="522"/>
    </row>
    <row r="244" spans="1:12" s="2029" customFormat="1" ht="10.5" customHeight="1" x14ac:dyDescent="0.25">
      <c r="A244" s="3048"/>
      <c r="B244" s="5152"/>
      <c r="C244" s="3968"/>
      <c r="D244" s="790"/>
      <c r="E244" s="3625"/>
      <c r="F244" s="5189"/>
      <c r="G244" s="5190"/>
      <c r="H244" s="2144"/>
      <c r="J244" s="2142"/>
      <c r="K244" s="2142"/>
      <c r="L244" s="2142"/>
    </row>
    <row r="245" spans="1:12" s="1639" customFormat="1" ht="18" customHeight="1" x14ac:dyDescent="0.25">
      <c r="B245" s="2635"/>
      <c r="C245" s="4047" t="s">
        <v>342</v>
      </c>
      <c r="D245" s="3631">
        <f>SUM(D246+D261+D265+D275)</f>
        <v>41609695473</v>
      </c>
      <c r="E245" s="3631">
        <f>SUM(E246+E261+E265+E275)</f>
        <v>37236219493</v>
      </c>
      <c r="F245" s="3631">
        <f>SUM(E245/D245)*100</f>
        <v>89.489286258204189</v>
      </c>
      <c r="G245" s="669">
        <f>SUM(G246+G261+G265+G277)/4</f>
        <v>84.259615384615387</v>
      </c>
      <c r="H245" s="2634"/>
      <c r="J245" s="2093"/>
      <c r="K245" s="2093"/>
    </row>
    <row r="246" spans="1:12" s="1639" customFormat="1" ht="18.75" customHeight="1" x14ac:dyDescent="0.25">
      <c r="B246" s="2727"/>
      <c r="C246" s="1194" t="s">
        <v>239</v>
      </c>
      <c r="D246" s="3629">
        <f>SUM(D247:D259)</f>
        <v>37263475473</v>
      </c>
      <c r="E246" s="3629">
        <f>SUM(E247:E259)</f>
        <v>34278692228</v>
      </c>
      <c r="F246" s="2176">
        <f t="shared" ref="F246:F259" si="21">E246/D246*100</f>
        <v>91.990056732194276</v>
      </c>
      <c r="G246" s="2176">
        <f>SUM(G247:G259)/13</f>
        <v>99.538461538461533</v>
      </c>
      <c r="H246" s="554"/>
      <c r="J246" s="2093"/>
      <c r="K246" s="2093"/>
    </row>
    <row r="247" spans="1:12" s="1639" customFormat="1" ht="15" customHeight="1" x14ac:dyDescent="0.25">
      <c r="B247" s="2630"/>
      <c r="C247" s="509" t="s">
        <v>620</v>
      </c>
      <c r="D247" s="932">
        <v>18306325473</v>
      </c>
      <c r="E247" s="1968">
        <v>15502858728</v>
      </c>
      <c r="F247" s="880">
        <f t="shared" si="21"/>
        <v>84.685803007627968</v>
      </c>
      <c r="G247" s="2350">
        <v>94</v>
      </c>
      <c r="H247" s="554"/>
      <c r="J247" s="2093"/>
      <c r="K247" s="2093"/>
    </row>
    <row r="248" spans="1:12" s="1639" customFormat="1" ht="18" customHeight="1" x14ac:dyDescent="0.25">
      <c r="B248" s="2630"/>
      <c r="C248" s="1266" t="s">
        <v>621</v>
      </c>
      <c r="D248" s="932">
        <v>1626080000</v>
      </c>
      <c r="E248" s="1863">
        <v>1603200000</v>
      </c>
      <c r="F248" s="880">
        <f t="shared" si="21"/>
        <v>98.592935156941849</v>
      </c>
      <c r="G248" s="2297">
        <v>100</v>
      </c>
      <c r="H248" s="554"/>
      <c r="J248" s="2093"/>
      <c r="K248" s="2093"/>
    </row>
    <row r="249" spans="1:12" s="1639" customFormat="1" ht="14.25" customHeight="1" x14ac:dyDescent="0.25">
      <c r="B249" s="2630"/>
      <c r="C249" s="1266" t="s">
        <v>622</v>
      </c>
      <c r="D249" s="932">
        <v>640000000</v>
      </c>
      <c r="E249" s="1863">
        <v>640000000</v>
      </c>
      <c r="F249" s="880">
        <f t="shared" si="21"/>
        <v>100</v>
      </c>
      <c r="G249" s="2351">
        <v>100</v>
      </c>
      <c r="H249" s="554"/>
      <c r="J249" s="2093"/>
      <c r="K249" s="2093"/>
    </row>
    <row r="250" spans="1:12" s="1639" customFormat="1" ht="17.25" customHeight="1" x14ac:dyDescent="0.25">
      <c r="B250" s="2630"/>
      <c r="C250" s="1266" t="s">
        <v>623</v>
      </c>
      <c r="D250" s="932">
        <v>370000000</v>
      </c>
      <c r="E250" s="1969">
        <v>370000000</v>
      </c>
      <c r="F250" s="880">
        <f t="shared" si="21"/>
        <v>100</v>
      </c>
      <c r="G250" s="913">
        <v>100</v>
      </c>
      <c r="H250" s="554"/>
      <c r="J250" s="2093"/>
      <c r="K250" s="2093"/>
    </row>
    <row r="251" spans="1:12" s="1639" customFormat="1" ht="14.25" customHeight="1" x14ac:dyDescent="0.25">
      <c r="B251" s="2630"/>
      <c r="C251" s="1266" t="s">
        <v>624</v>
      </c>
      <c r="D251" s="932">
        <v>400000000</v>
      </c>
      <c r="E251" s="1863">
        <v>395000000</v>
      </c>
      <c r="F251" s="880">
        <f t="shared" si="21"/>
        <v>98.75</v>
      </c>
      <c r="G251" s="2351">
        <v>100</v>
      </c>
      <c r="H251" s="554"/>
      <c r="J251" s="2093"/>
      <c r="K251" s="2093"/>
    </row>
    <row r="252" spans="1:12" s="1639" customFormat="1" ht="16.5" customHeight="1" x14ac:dyDescent="0.25">
      <c r="B252" s="2630"/>
      <c r="C252" s="1266" t="s">
        <v>625</v>
      </c>
      <c r="D252" s="932">
        <v>65570000</v>
      </c>
      <c r="E252" s="1863">
        <v>64965000</v>
      </c>
      <c r="F252" s="880">
        <f t="shared" si="21"/>
        <v>99.077321946011892</v>
      </c>
      <c r="G252" s="2351">
        <v>100</v>
      </c>
      <c r="H252" s="554"/>
      <c r="J252" s="2093"/>
      <c r="K252" s="2093"/>
    </row>
    <row r="253" spans="1:12" s="1639" customFormat="1" ht="13.5" customHeight="1" x14ac:dyDescent="0.25">
      <c r="B253" s="2630"/>
      <c r="C253" s="1267" t="s">
        <v>626</v>
      </c>
      <c r="D253" s="932">
        <v>65570000</v>
      </c>
      <c r="E253" s="1863">
        <v>58145000</v>
      </c>
      <c r="F253" s="880">
        <f t="shared" si="21"/>
        <v>88.676223882873259</v>
      </c>
      <c r="G253" s="2293">
        <v>100</v>
      </c>
      <c r="H253" s="554"/>
      <c r="J253" s="2093"/>
      <c r="K253" s="2093"/>
    </row>
    <row r="254" spans="1:12" s="1639" customFormat="1" ht="14.25" customHeight="1" x14ac:dyDescent="0.25">
      <c r="B254" s="2630"/>
      <c r="C254" s="1169" t="s">
        <v>627</v>
      </c>
      <c r="D254" s="932">
        <v>7825500000</v>
      </c>
      <c r="E254" s="1969">
        <v>7825500000</v>
      </c>
      <c r="F254" s="880">
        <f t="shared" si="21"/>
        <v>100</v>
      </c>
      <c r="G254" s="913">
        <v>100</v>
      </c>
      <c r="H254" s="554"/>
      <c r="J254" s="2093"/>
      <c r="K254" s="2093"/>
    </row>
    <row r="255" spans="1:12" s="1639" customFormat="1" ht="17.25" customHeight="1" x14ac:dyDescent="0.25">
      <c r="B255" s="2630"/>
      <c r="C255" s="1169" t="s">
        <v>628</v>
      </c>
      <c r="D255" s="932">
        <v>5297620000</v>
      </c>
      <c r="E255" s="932">
        <v>5297620000</v>
      </c>
      <c r="F255" s="880">
        <f t="shared" si="21"/>
        <v>100</v>
      </c>
      <c r="G255" s="2350">
        <v>100</v>
      </c>
      <c r="H255" s="554"/>
      <c r="J255" s="2093"/>
      <c r="K255" s="2093"/>
    </row>
    <row r="256" spans="1:12" s="1639" customFormat="1" ht="16.5" customHeight="1" x14ac:dyDescent="0.25">
      <c r="B256" s="2630"/>
      <c r="C256" s="1169" t="s">
        <v>3426</v>
      </c>
      <c r="D256" s="932">
        <v>706340000</v>
      </c>
      <c r="E256" s="1863">
        <v>644517200</v>
      </c>
      <c r="F256" s="880">
        <f t="shared" si="21"/>
        <v>91.24744457343489</v>
      </c>
      <c r="G256" s="2350">
        <v>100</v>
      </c>
      <c r="H256" s="554"/>
      <c r="J256" s="2093"/>
      <c r="K256" s="2093"/>
    </row>
    <row r="257" spans="2:11" s="1639" customFormat="1" ht="15.75" customHeight="1" x14ac:dyDescent="0.25">
      <c r="B257" s="2630"/>
      <c r="C257" s="1169" t="s">
        <v>3427</v>
      </c>
      <c r="D257" s="932">
        <v>678690000</v>
      </c>
      <c r="E257" s="1863">
        <v>626634300</v>
      </c>
      <c r="F257" s="880">
        <f t="shared" si="21"/>
        <v>92.329973920346546</v>
      </c>
      <c r="G257" s="2350">
        <v>100</v>
      </c>
      <c r="H257" s="554"/>
      <c r="J257" s="2093"/>
      <c r="K257" s="2093"/>
    </row>
    <row r="258" spans="2:11" s="1639" customFormat="1" ht="15" customHeight="1" x14ac:dyDescent="0.25">
      <c r="B258" s="2630"/>
      <c r="C258" s="1169" t="s">
        <v>3428</v>
      </c>
      <c r="D258" s="932">
        <v>654340000</v>
      </c>
      <c r="E258" s="1969">
        <v>622812000</v>
      </c>
      <c r="F258" s="880">
        <f t="shared" si="21"/>
        <v>95.181709814469542</v>
      </c>
      <c r="G258" s="913">
        <v>100</v>
      </c>
      <c r="H258" s="554"/>
      <c r="J258" s="2093"/>
      <c r="K258" s="2093"/>
    </row>
    <row r="259" spans="2:11" s="1639" customFormat="1" ht="15.75" customHeight="1" x14ac:dyDescent="0.25">
      <c r="B259" s="2630"/>
      <c r="C259" s="1169" t="s">
        <v>3429</v>
      </c>
      <c r="D259" s="932">
        <v>627440000</v>
      </c>
      <c r="E259" s="932">
        <v>627440000</v>
      </c>
      <c r="F259" s="880">
        <f t="shared" si="21"/>
        <v>100</v>
      </c>
      <c r="G259" s="913">
        <v>100</v>
      </c>
      <c r="H259" s="554"/>
      <c r="J259" s="2093"/>
      <c r="K259" s="2093"/>
    </row>
    <row r="260" spans="2:11" s="1639" customFormat="1" ht="11.25" customHeight="1" x14ac:dyDescent="0.25">
      <c r="B260" s="2630"/>
      <c r="C260" s="1170"/>
      <c r="D260" s="914"/>
      <c r="E260" s="878"/>
      <c r="F260" s="1310"/>
      <c r="G260" s="2173"/>
      <c r="H260" s="554"/>
      <c r="J260" s="2093"/>
      <c r="K260" s="2093"/>
    </row>
    <row r="261" spans="2:11" s="1639" customFormat="1" ht="13.5" customHeight="1" x14ac:dyDescent="0.25">
      <c r="B261" s="2630"/>
      <c r="C261" s="1174" t="s">
        <v>629</v>
      </c>
      <c r="D261" s="917">
        <f>SUM(D262:D263)</f>
        <v>1206700000</v>
      </c>
      <c r="E261" s="917">
        <f>SUM(E262:E263)</f>
        <v>311358765</v>
      </c>
      <c r="F261" s="877">
        <f>E261/D261*100</f>
        <v>25.802499792823401</v>
      </c>
      <c r="G261" s="2449">
        <f>SUM(G262:G263)/2</f>
        <v>62.5</v>
      </c>
      <c r="H261" s="2634"/>
      <c r="J261" s="2093"/>
      <c r="K261" s="2093"/>
    </row>
    <row r="262" spans="2:11" s="1639" customFormat="1" ht="17.25" customHeight="1" x14ac:dyDescent="0.25">
      <c r="B262" s="2630"/>
      <c r="C262" s="1169" t="s">
        <v>630</v>
      </c>
      <c r="D262" s="918">
        <v>1022000000</v>
      </c>
      <c r="E262" s="1863">
        <v>166400000</v>
      </c>
      <c r="F262" s="1310">
        <f>E262/D262*100</f>
        <v>16.281800391389435</v>
      </c>
      <c r="G262" s="2737">
        <v>25</v>
      </c>
      <c r="H262" s="2634"/>
      <c r="J262" s="2093"/>
      <c r="K262" s="2093"/>
    </row>
    <row r="263" spans="2:11" s="1639" customFormat="1" ht="27" customHeight="1" x14ac:dyDescent="0.25">
      <c r="B263" s="2630"/>
      <c r="C263" s="1169" t="s">
        <v>631</v>
      </c>
      <c r="D263" s="918">
        <v>184700000</v>
      </c>
      <c r="E263" s="1863">
        <v>144958765</v>
      </c>
      <c r="F263" s="1310">
        <f>E263/D263*100</f>
        <v>78.483359501894967</v>
      </c>
      <c r="G263" s="2296">
        <v>100</v>
      </c>
      <c r="H263" s="2634"/>
      <c r="J263" s="2093"/>
      <c r="K263" s="2093"/>
    </row>
    <row r="264" spans="2:11" s="1639" customFormat="1" ht="11.25" customHeight="1" x14ac:dyDescent="0.25">
      <c r="B264" s="2630"/>
      <c r="C264" s="1170"/>
      <c r="D264" s="914"/>
      <c r="E264" s="878"/>
      <c r="F264" s="2173"/>
      <c r="G264" s="2173"/>
      <c r="H264" s="2634"/>
      <c r="J264" s="2093"/>
      <c r="K264" s="2093"/>
    </row>
    <row r="265" spans="2:11" s="1639" customFormat="1" ht="14.25" customHeight="1" x14ac:dyDescent="0.25">
      <c r="B265" s="2630"/>
      <c r="C265" s="1172" t="s">
        <v>632</v>
      </c>
      <c r="D265" s="1347">
        <f>SUM(D266:D273)</f>
        <v>2469500000</v>
      </c>
      <c r="E265" s="917">
        <f>SUM(E266:E273)</f>
        <v>1978318500</v>
      </c>
      <c r="F265" s="2176">
        <f>E265/D265*100</f>
        <v>80.110083012755624</v>
      </c>
      <c r="G265" s="2449">
        <f>SUM(G266:G273)/8</f>
        <v>75</v>
      </c>
      <c r="H265" s="2634"/>
      <c r="J265" s="2093"/>
      <c r="K265" s="2093"/>
    </row>
    <row r="266" spans="2:11" s="5633" customFormat="1" ht="13.5" customHeight="1" x14ac:dyDescent="0.25">
      <c r="B266" s="5627"/>
      <c r="C266" s="5628" t="s">
        <v>633</v>
      </c>
      <c r="D266" s="5629">
        <v>199000000</v>
      </c>
      <c r="E266" s="5630">
        <v>174134500</v>
      </c>
      <c r="F266" s="5051">
        <f>E266/D266*100</f>
        <v>87.504773869346735</v>
      </c>
      <c r="G266" s="5631">
        <v>100</v>
      </c>
      <c r="H266" s="5632"/>
      <c r="J266" s="5634"/>
      <c r="K266" s="5634"/>
    </row>
    <row r="267" spans="2:11" s="5633" customFormat="1" ht="15" customHeight="1" x14ac:dyDescent="0.25">
      <c r="B267" s="5627"/>
      <c r="C267" s="5628" t="s">
        <v>634</v>
      </c>
      <c r="D267" s="5629">
        <v>100250000</v>
      </c>
      <c r="E267" s="5630">
        <v>89961000</v>
      </c>
      <c r="F267" s="5051">
        <f>E267/D267*100</f>
        <v>89.736658354114724</v>
      </c>
      <c r="G267" s="5631">
        <v>100</v>
      </c>
      <c r="H267" s="5632"/>
      <c r="J267" s="5634"/>
      <c r="K267" s="5634"/>
    </row>
    <row r="268" spans="2:11" s="1639" customFormat="1" ht="28.5" customHeight="1" x14ac:dyDescent="0.25">
      <c r="B268" s="2727"/>
      <c r="C268" s="1169" t="s">
        <v>635</v>
      </c>
      <c r="D268" s="932">
        <v>653250000</v>
      </c>
      <c r="E268" s="1863">
        <v>588373000</v>
      </c>
      <c r="F268" s="880">
        <f>E268/D268*100</f>
        <v>90.068580176042872</v>
      </c>
      <c r="G268" s="2296">
        <v>100</v>
      </c>
      <c r="H268" s="2634"/>
      <c r="J268" s="2093"/>
      <c r="K268" s="2093"/>
    </row>
    <row r="269" spans="2:11" s="1639" customFormat="1" ht="16.5" customHeight="1" x14ac:dyDescent="0.25">
      <c r="B269" s="2727"/>
      <c r="C269" s="1169" t="s">
        <v>3430</v>
      </c>
      <c r="D269" s="932">
        <v>104300000</v>
      </c>
      <c r="E269" s="1969">
        <v>0</v>
      </c>
      <c r="F269" s="1969">
        <v>0</v>
      </c>
      <c r="G269" s="1969">
        <v>0</v>
      </c>
      <c r="H269" s="2634"/>
      <c r="J269" s="2093"/>
      <c r="K269" s="2093"/>
    </row>
    <row r="270" spans="2:11" s="1639" customFormat="1" ht="15" customHeight="1" x14ac:dyDescent="0.25">
      <c r="B270" s="2727"/>
      <c r="C270" s="1169" t="s">
        <v>3431</v>
      </c>
      <c r="D270" s="932">
        <v>104300000</v>
      </c>
      <c r="E270" s="1969">
        <v>0</v>
      </c>
      <c r="F270" s="1969">
        <v>0</v>
      </c>
      <c r="G270" s="1969">
        <v>0</v>
      </c>
      <c r="H270" s="2634"/>
      <c r="J270" s="2093"/>
      <c r="K270" s="2093"/>
    </row>
    <row r="271" spans="2:11" s="1639" customFormat="1" ht="25.5" customHeight="1" x14ac:dyDescent="0.25">
      <c r="B271" s="2727"/>
      <c r="C271" s="1169" t="s">
        <v>3432</v>
      </c>
      <c r="D271" s="932">
        <v>740600000</v>
      </c>
      <c r="E271" s="1969">
        <v>640250000</v>
      </c>
      <c r="F271" s="880">
        <f>E271/D271*100</f>
        <v>86.450175533351342</v>
      </c>
      <c r="G271" s="915">
        <v>100</v>
      </c>
      <c r="H271" s="2634"/>
      <c r="J271" s="2093"/>
      <c r="K271" s="2093"/>
    </row>
    <row r="272" spans="2:11" s="1639" customFormat="1" ht="18" customHeight="1" x14ac:dyDescent="0.25">
      <c r="B272" s="2727"/>
      <c r="C272" s="1169" t="s">
        <v>3433</v>
      </c>
      <c r="D272" s="932">
        <v>465200000</v>
      </c>
      <c r="E272" s="1969">
        <v>389600000</v>
      </c>
      <c r="F272" s="880">
        <f>E272/D272*100</f>
        <v>83.748925193465169</v>
      </c>
      <c r="G272" s="915">
        <v>100</v>
      </c>
      <c r="H272" s="2634"/>
      <c r="J272" s="2093"/>
      <c r="K272" s="2093"/>
    </row>
    <row r="273" spans="1:12" s="1639" customFormat="1" ht="27.75" customHeight="1" x14ac:dyDescent="0.25">
      <c r="B273" s="2727"/>
      <c r="C273" s="1170" t="s">
        <v>3434</v>
      </c>
      <c r="D273" s="1578">
        <v>102600000</v>
      </c>
      <c r="E273" s="1969">
        <v>96000000</v>
      </c>
      <c r="F273" s="880">
        <f>E273/D273*100</f>
        <v>93.567251461988292</v>
      </c>
      <c r="G273" s="915">
        <v>100</v>
      </c>
      <c r="H273" s="2634"/>
      <c r="J273" s="2093"/>
      <c r="K273" s="2093"/>
    </row>
    <row r="274" spans="1:12" s="1639" customFormat="1" ht="15" customHeight="1" x14ac:dyDescent="0.25">
      <c r="B274" s="2727"/>
      <c r="C274" s="1170"/>
      <c r="D274" s="5488"/>
      <c r="E274" s="1969"/>
      <c r="F274" s="880"/>
      <c r="G274" s="2737"/>
      <c r="H274" s="2634"/>
      <c r="J274" s="2093"/>
      <c r="K274" s="2093"/>
    </row>
    <row r="275" spans="1:12" s="1639" customFormat="1" ht="18" customHeight="1" x14ac:dyDescent="0.25">
      <c r="B275" s="2727"/>
      <c r="C275" s="1174" t="s">
        <v>636</v>
      </c>
      <c r="D275" s="920">
        <f>SUM(D276:D277)</f>
        <v>670020000</v>
      </c>
      <c r="E275" s="927">
        <f>SUM(E276:E277)</f>
        <v>667850000</v>
      </c>
      <c r="F275" s="1308">
        <f t="shared" ref="F275:F277" si="22">E275/D275*100</f>
        <v>99.67612907077401</v>
      </c>
      <c r="G275" s="4452">
        <v>100</v>
      </c>
      <c r="H275" s="2634"/>
      <c r="J275" s="2093"/>
      <c r="K275" s="2093"/>
    </row>
    <row r="276" spans="1:12" s="1639" customFormat="1" ht="17.25" customHeight="1" x14ac:dyDescent="0.25">
      <c r="B276" s="2727"/>
      <c r="C276" s="1169" t="s">
        <v>637</v>
      </c>
      <c r="D276" s="921">
        <v>520020000</v>
      </c>
      <c r="E276" s="1863">
        <v>518850000</v>
      </c>
      <c r="F276" s="1310">
        <f t="shared" si="22"/>
        <v>99.775008653513325</v>
      </c>
      <c r="G276" s="934">
        <v>100</v>
      </c>
      <c r="H276" s="2634"/>
      <c r="J276" s="2093"/>
      <c r="K276" s="2093"/>
    </row>
    <row r="277" spans="1:12" s="1639" customFormat="1" ht="18.75" customHeight="1" x14ac:dyDescent="0.25">
      <c r="B277" s="2727"/>
      <c r="C277" s="1170" t="s">
        <v>1025</v>
      </c>
      <c r="D277" s="922">
        <v>150000000</v>
      </c>
      <c r="E277" s="1863">
        <v>149000000</v>
      </c>
      <c r="F277" s="1310">
        <f t="shared" si="22"/>
        <v>99.333333333333329</v>
      </c>
      <c r="G277" s="934">
        <v>100</v>
      </c>
      <c r="H277" s="2634"/>
      <c r="J277" s="2093"/>
      <c r="K277" s="2093"/>
    </row>
    <row r="278" spans="1:12" ht="11.25" customHeight="1" x14ac:dyDescent="0.25">
      <c r="B278" s="2727"/>
      <c r="C278" s="3982"/>
      <c r="D278" s="940"/>
      <c r="E278" s="2328"/>
      <c r="F278" s="2181"/>
      <c r="G278" s="2181"/>
      <c r="H278" s="2634"/>
    </row>
    <row r="279" spans="1:12" ht="18" customHeight="1" x14ac:dyDescent="0.25">
      <c r="B279" s="2727"/>
      <c r="C279" s="1180" t="s">
        <v>351</v>
      </c>
      <c r="D279" s="3635">
        <f>D280</f>
        <v>15419061167</v>
      </c>
      <c r="E279" s="1306">
        <f>E280</f>
        <v>12359051167</v>
      </c>
      <c r="F279" s="1645">
        <f>F280</f>
        <v>80.154368888885017</v>
      </c>
      <c r="G279" s="1645">
        <f>SUM(G280)/1</f>
        <v>100</v>
      </c>
      <c r="H279" s="2634"/>
    </row>
    <row r="280" spans="1:12" ht="18" customHeight="1" x14ac:dyDescent="0.25">
      <c r="B280" s="2727"/>
      <c r="C280" s="1255" t="s">
        <v>701</v>
      </c>
      <c r="D280" s="1346">
        <v>15419061167</v>
      </c>
      <c r="E280" s="1346">
        <v>12359051167</v>
      </c>
      <c r="F280" s="1310">
        <v>80.154368888885017</v>
      </c>
      <c r="G280" s="1111">
        <v>100</v>
      </c>
      <c r="H280" s="2634"/>
      <c r="L280" s="522"/>
    </row>
    <row r="281" spans="1:12" ht="11.25" customHeight="1" x14ac:dyDescent="0.25">
      <c r="B281" s="2727"/>
      <c r="C281" s="1150"/>
      <c r="D281" s="3634"/>
      <c r="E281" s="2174"/>
      <c r="F281" s="1324"/>
      <c r="G281" s="2181"/>
      <c r="H281" s="2634"/>
    </row>
    <row r="282" spans="1:12" s="269" customFormat="1" ht="17.25" customHeight="1" x14ac:dyDescent="0.25">
      <c r="A282" s="505"/>
      <c r="B282" s="2724"/>
      <c r="C282" s="1297" t="s">
        <v>616</v>
      </c>
      <c r="D282" s="2700">
        <f>D284+D320</f>
        <v>34122035000</v>
      </c>
      <c r="E282" s="2700">
        <f>E284+E320</f>
        <v>33075492460</v>
      </c>
      <c r="F282" s="2506">
        <f>SUM(E282/D282)*100</f>
        <v>96.932942188237021</v>
      </c>
      <c r="G282" s="2506">
        <f>SUM(G284+G320)/2</f>
        <v>82.638888888888886</v>
      </c>
      <c r="H282" s="3425"/>
      <c r="J282" s="2069"/>
      <c r="K282" s="2069"/>
    </row>
    <row r="283" spans="1:12" ht="6" customHeight="1" x14ac:dyDescent="0.25">
      <c r="B283" s="2630"/>
      <c r="C283" s="1147"/>
      <c r="D283" s="2370"/>
      <c r="E283" s="3383"/>
      <c r="F283" s="2409"/>
      <c r="G283" s="791"/>
      <c r="H283" s="2634"/>
    </row>
    <row r="284" spans="1:12" s="269" customFormat="1" ht="18.75" customHeight="1" x14ac:dyDescent="0.25">
      <c r="A284" s="505"/>
      <c r="B284" s="2635"/>
      <c r="C284" s="507" t="s">
        <v>238</v>
      </c>
      <c r="D284" s="5122">
        <f>D285+D288+D296+D302+D305+D312</f>
        <v>32622035000</v>
      </c>
      <c r="E284" s="5122">
        <f>E285+E288+E296+E302+E305+E312</f>
        <v>32305492460</v>
      </c>
      <c r="F284" s="3631">
        <f>SUM(E284/D284)*100</f>
        <v>99.029666481566835</v>
      </c>
      <c r="G284" s="2298">
        <f>SUM(G285+G288+G296+G302+G305+G312)/6</f>
        <v>95.277777777777771</v>
      </c>
      <c r="H284" s="2623"/>
      <c r="J284" s="2069"/>
      <c r="K284" s="2069"/>
    </row>
    <row r="285" spans="1:12" s="269" customFormat="1" ht="15.75" customHeight="1" x14ac:dyDescent="0.25">
      <c r="A285" s="505"/>
      <c r="B285" s="2630"/>
      <c r="C285" s="1131" t="s">
        <v>223</v>
      </c>
      <c r="D285" s="1394">
        <f>D286</f>
        <v>2880000000</v>
      </c>
      <c r="E285" s="1394">
        <f>E286</f>
        <v>2880000000</v>
      </c>
      <c r="F285" s="3629">
        <f>E285/D285*100</f>
        <v>100</v>
      </c>
      <c r="G285" s="3629">
        <v>100</v>
      </c>
      <c r="H285" s="2623"/>
      <c r="J285" s="2069"/>
      <c r="K285" s="2069"/>
    </row>
    <row r="286" spans="1:12" s="266" customFormat="1" ht="15.75" customHeight="1" x14ac:dyDescent="0.25">
      <c r="A286" s="506"/>
      <c r="B286" s="2742"/>
      <c r="C286" s="509" t="s">
        <v>1685</v>
      </c>
      <c r="D286" s="1343">
        <v>2880000000</v>
      </c>
      <c r="E286" s="878">
        <v>2880000000</v>
      </c>
      <c r="F286" s="878">
        <f>E286/D286*100</f>
        <v>100</v>
      </c>
      <c r="G286" s="878">
        <v>100</v>
      </c>
      <c r="H286" s="2702"/>
      <c r="J286" s="2126"/>
      <c r="K286" s="2126"/>
    </row>
    <row r="287" spans="1:12" s="266" customFormat="1" ht="9.75" customHeight="1" x14ac:dyDescent="0.25">
      <c r="A287" s="506"/>
      <c r="B287" s="2742"/>
      <c r="C287" s="509"/>
      <c r="D287" s="1343"/>
      <c r="E287" s="1111"/>
      <c r="F287" s="1111"/>
      <c r="G287" s="1111"/>
      <c r="H287" s="2702"/>
      <c r="J287" s="2126"/>
      <c r="K287" s="2126"/>
    </row>
    <row r="288" spans="1:12" s="269" customFormat="1" ht="15" customHeight="1" x14ac:dyDescent="0.25">
      <c r="A288" s="505"/>
      <c r="B288" s="2630"/>
      <c r="C288" s="1132" t="s">
        <v>279</v>
      </c>
      <c r="D288" s="1413">
        <f>SUM(D289:D294)</f>
        <v>2040537000</v>
      </c>
      <c r="E288" s="1413">
        <f>SUM(E289:E294)</f>
        <v>2040537000</v>
      </c>
      <c r="F288" s="3629">
        <f>E288/D288*100</f>
        <v>100</v>
      </c>
      <c r="G288" s="3629">
        <v>100</v>
      </c>
      <c r="H288" s="2623"/>
      <c r="J288" s="2069"/>
      <c r="K288" s="2069"/>
    </row>
    <row r="289" spans="1:11" s="266" customFormat="1" ht="13.5" customHeight="1" x14ac:dyDescent="0.25">
      <c r="A289" s="506"/>
      <c r="B289" s="2742"/>
      <c r="C289" s="509" t="s">
        <v>1686</v>
      </c>
      <c r="D289" s="1343">
        <v>118500000</v>
      </c>
      <c r="E289" s="1818">
        <v>118500000</v>
      </c>
      <c r="F289" s="878">
        <f>E289/D289*100</f>
        <v>100</v>
      </c>
      <c r="G289" s="878">
        <v>100</v>
      </c>
      <c r="H289" s="2702"/>
      <c r="J289" s="2126"/>
      <c r="K289" s="2126"/>
    </row>
    <row r="290" spans="1:11" s="266" customFormat="1" ht="14.25" customHeight="1" x14ac:dyDescent="0.25">
      <c r="A290" s="506"/>
      <c r="B290" s="2742"/>
      <c r="C290" s="509" t="s">
        <v>1687</v>
      </c>
      <c r="D290" s="1343">
        <v>138250000</v>
      </c>
      <c r="E290" s="1818">
        <v>138250000</v>
      </c>
      <c r="F290" s="1310">
        <v>100</v>
      </c>
      <c r="G290" s="1310">
        <v>100</v>
      </c>
      <c r="H290" s="2702"/>
      <c r="J290" s="2126"/>
      <c r="K290" s="2126"/>
    </row>
    <row r="291" spans="1:11" s="266" customFormat="1" ht="30.75" customHeight="1" x14ac:dyDescent="0.25">
      <c r="A291" s="506"/>
      <c r="B291" s="2742"/>
      <c r="C291" s="509" t="s">
        <v>1688</v>
      </c>
      <c r="D291" s="1343">
        <v>250000000</v>
      </c>
      <c r="E291" s="1818">
        <v>250000000</v>
      </c>
      <c r="F291" s="1310">
        <v>100</v>
      </c>
      <c r="G291" s="1310">
        <v>100</v>
      </c>
      <c r="H291" s="2702"/>
      <c r="J291" s="2126"/>
      <c r="K291" s="2126"/>
    </row>
    <row r="292" spans="1:11" s="5649" customFormat="1" ht="15" customHeight="1" x14ac:dyDescent="0.25">
      <c r="A292" s="5642"/>
      <c r="B292" s="5643"/>
      <c r="C292" s="5644" t="s">
        <v>1689</v>
      </c>
      <c r="D292" s="5645">
        <v>195200000</v>
      </c>
      <c r="E292" s="5646">
        <v>195200000</v>
      </c>
      <c r="F292" s="5647">
        <v>100</v>
      </c>
      <c r="G292" s="5647">
        <v>100</v>
      </c>
      <c r="H292" s="5648"/>
      <c r="J292" s="5650"/>
      <c r="K292" s="5650"/>
    </row>
    <row r="293" spans="1:11" s="269" customFormat="1" ht="14.25" customHeight="1" x14ac:dyDescent="0.25">
      <c r="A293" s="505"/>
      <c r="B293" s="2630"/>
      <c r="C293" s="509" t="s">
        <v>1691</v>
      </c>
      <c r="D293" s="1343">
        <v>151750000</v>
      </c>
      <c r="E293" s="1818">
        <v>151750000</v>
      </c>
      <c r="F293" s="1310">
        <v>100</v>
      </c>
      <c r="G293" s="1310">
        <v>100</v>
      </c>
      <c r="H293" s="2623"/>
      <c r="J293" s="2069"/>
      <c r="K293" s="2069"/>
    </row>
    <row r="294" spans="1:11" s="266" customFormat="1" ht="15" customHeight="1" x14ac:dyDescent="0.25">
      <c r="A294" s="506"/>
      <c r="B294" s="2742"/>
      <c r="C294" s="509" t="s">
        <v>1690</v>
      </c>
      <c r="D294" s="1343">
        <v>1186837000</v>
      </c>
      <c r="E294" s="1109">
        <v>1186837000</v>
      </c>
      <c r="F294" s="1310">
        <v>100</v>
      </c>
      <c r="G294" s="1310">
        <v>100</v>
      </c>
      <c r="H294" s="2702"/>
      <c r="J294" s="2126"/>
      <c r="K294" s="2126"/>
    </row>
    <row r="295" spans="1:11" s="266" customFormat="1" ht="12" customHeight="1" x14ac:dyDescent="0.25">
      <c r="A295" s="506"/>
      <c r="B295" s="2742"/>
      <c r="C295" s="509"/>
      <c r="D295" s="1343"/>
      <c r="E295" s="5191"/>
      <c r="F295" s="1109"/>
      <c r="G295" s="1109"/>
      <c r="H295" s="2702"/>
      <c r="J295" s="2126"/>
      <c r="K295" s="2126"/>
    </row>
    <row r="296" spans="1:11" s="266" customFormat="1" ht="20.25" customHeight="1" x14ac:dyDescent="0.25">
      <c r="A296" s="506"/>
      <c r="B296" s="2742"/>
      <c r="C296" s="1132" t="s">
        <v>2249</v>
      </c>
      <c r="D296" s="1413">
        <f>SUM(D297:D300)</f>
        <v>870637500</v>
      </c>
      <c r="E296" s="1413">
        <f>SUM(E297:E300)</f>
        <v>834037500</v>
      </c>
      <c r="F296" s="3629">
        <f>E296/D296*100</f>
        <v>95.796183830813632</v>
      </c>
      <c r="G296" s="1110">
        <f>SUM(G297:G300)/4</f>
        <v>75</v>
      </c>
      <c r="H296" s="2702"/>
      <c r="J296" s="2126"/>
      <c r="K296" s="2126"/>
    </row>
    <row r="297" spans="1:11" s="269" customFormat="1" ht="27.75" customHeight="1" x14ac:dyDescent="0.25">
      <c r="A297" s="505"/>
      <c r="B297" s="2630"/>
      <c r="C297" s="509" t="s">
        <v>2250</v>
      </c>
      <c r="D297" s="1343">
        <v>494140000</v>
      </c>
      <c r="E297" s="1818">
        <v>494140000</v>
      </c>
      <c r="F297" s="878">
        <f>E297/D297*100</f>
        <v>100</v>
      </c>
      <c r="G297" s="1109">
        <v>100</v>
      </c>
      <c r="H297" s="2623"/>
      <c r="J297" s="2069"/>
      <c r="K297" s="2069"/>
    </row>
    <row r="298" spans="1:11" s="266" customFormat="1" ht="13.5" customHeight="1" x14ac:dyDescent="0.25">
      <c r="A298" s="506"/>
      <c r="B298" s="2742"/>
      <c r="C298" s="509" t="s">
        <v>2251</v>
      </c>
      <c r="D298" s="1343">
        <v>36600000</v>
      </c>
      <c r="E298" s="878">
        <v>0</v>
      </c>
      <c r="F298" s="878">
        <f>E298/D298*100</f>
        <v>0</v>
      </c>
      <c r="G298" s="878">
        <v>0</v>
      </c>
      <c r="H298" s="2702"/>
      <c r="J298" s="2126"/>
      <c r="K298" s="2126"/>
    </row>
    <row r="299" spans="1:11" s="266" customFormat="1" ht="13.5" customHeight="1" x14ac:dyDescent="0.25">
      <c r="A299" s="506"/>
      <c r="B299" s="2742"/>
      <c r="C299" s="509" t="s">
        <v>2252</v>
      </c>
      <c r="D299" s="1343">
        <v>278930000</v>
      </c>
      <c r="E299" s="878">
        <v>278930000</v>
      </c>
      <c r="F299" s="878">
        <f>E299/D299*100</f>
        <v>100</v>
      </c>
      <c r="G299" s="1109">
        <v>100</v>
      </c>
      <c r="H299" s="2702"/>
      <c r="J299" s="2126"/>
      <c r="K299" s="2126"/>
    </row>
    <row r="300" spans="1:11" s="266" customFormat="1" ht="14.25" customHeight="1" x14ac:dyDescent="0.25">
      <c r="A300" s="506"/>
      <c r="B300" s="2742"/>
      <c r="C300" s="509" t="s">
        <v>2253</v>
      </c>
      <c r="D300" s="1343">
        <v>60967500</v>
      </c>
      <c r="E300" s="1818">
        <v>60967500</v>
      </c>
      <c r="F300" s="878">
        <f>E300/D300*100</f>
        <v>100</v>
      </c>
      <c r="G300" s="1109">
        <v>100</v>
      </c>
      <c r="H300" s="2702"/>
      <c r="J300" s="2126"/>
      <c r="K300" s="2126"/>
    </row>
    <row r="301" spans="1:11" s="266" customFormat="1" ht="12" customHeight="1" x14ac:dyDescent="0.25">
      <c r="A301" s="506"/>
      <c r="B301" s="2742"/>
      <c r="C301" s="509"/>
      <c r="D301" s="1343"/>
      <c r="E301" s="1111"/>
      <c r="F301" s="1111"/>
      <c r="G301" s="1111"/>
      <c r="H301" s="2702"/>
      <c r="J301" s="2126"/>
      <c r="K301" s="2126"/>
    </row>
    <row r="302" spans="1:11" s="269" customFormat="1" ht="16.5" customHeight="1" x14ac:dyDescent="0.25">
      <c r="A302" s="505"/>
      <c r="B302" s="2630"/>
      <c r="C302" s="1132" t="s">
        <v>2254</v>
      </c>
      <c r="D302" s="1413">
        <f>SUM(D303:D303)</f>
        <v>30000000</v>
      </c>
      <c r="E302" s="1413">
        <f>SUM(E303:E303)</f>
        <v>30000000</v>
      </c>
      <c r="F302" s="3629">
        <f>E302/D302*100</f>
        <v>100</v>
      </c>
      <c r="G302" s="3629">
        <v>100</v>
      </c>
      <c r="H302" s="2623"/>
      <c r="J302" s="2069"/>
      <c r="K302" s="2069"/>
    </row>
    <row r="303" spans="1:11" s="266" customFormat="1" ht="16.5" customHeight="1" x14ac:dyDescent="0.25">
      <c r="A303" s="506"/>
      <c r="B303" s="2742"/>
      <c r="C303" s="509" t="s">
        <v>2255</v>
      </c>
      <c r="D303" s="1343">
        <v>30000000</v>
      </c>
      <c r="E303" s="878">
        <v>30000000</v>
      </c>
      <c r="F303" s="878">
        <f>E303/D303*100</f>
        <v>100</v>
      </c>
      <c r="G303" s="878">
        <v>100</v>
      </c>
      <c r="H303" s="2702"/>
      <c r="J303" s="2126"/>
      <c r="K303" s="2126"/>
    </row>
    <row r="304" spans="1:11" s="266" customFormat="1" ht="9" customHeight="1" x14ac:dyDescent="0.25">
      <c r="A304" s="506"/>
      <c r="B304" s="2742"/>
      <c r="C304" s="509"/>
      <c r="D304" s="1343"/>
      <c r="E304" s="1111"/>
      <c r="F304" s="1111"/>
      <c r="G304" s="1111"/>
      <c r="H304" s="2702"/>
      <c r="J304" s="2126"/>
      <c r="K304" s="2126"/>
    </row>
    <row r="305" spans="1:11" s="266" customFormat="1" ht="18.75" customHeight="1" x14ac:dyDescent="0.25">
      <c r="A305" s="506"/>
      <c r="B305" s="2742"/>
      <c r="C305" s="1132" t="s">
        <v>2256</v>
      </c>
      <c r="D305" s="1413">
        <f>SUM(D306:D310)</f>
        <v>851570000</v>
      </c>
      <c r="E305" s="1413">
        <f>SUM(E306:E310)</f>
        <v>851570000</v>
      </c>
      <c r="F305" s="3629">
        <f t="shared" ref="F305:F310" si="23">E305/D305*100</f>
        <v>100</v>
      </c>
      <c r="G305" s="3629">
        <v>100</v>
      </c>
      <c r="H305" s="2702"/>
      <c r="J305" s="2126"/>
      <c r="K305" s="2126"/>
    </row>
    <row r="306" spans="1:11" s="266" customFormat="1" ht="17.25" customHeight="1" x14ac:dyDescent="0.25">
      <c r="A306" s="506"/>
      <c r="B306" s="2742"/>
      <c r="C306" s="509" t="s">
        <v>2257</v>
      </c>
      <c r="D306" s="1343">
        <v>241425000</v>
      </c>
      <c r="E306" s="1818">
        <v>241425000</v>
      </c>
      <c r="F306" s="878">
        <f t="shared" si="23"/>
        <v>100</v>
      </c>
      <c r="G306" s="878">
        <v>100</v>
      </c>
      <c r="H306" s="2702"/>
      <c r="J306" s="2126"/>
      <c r="K306" s="2126"/>
    </row>
    <row r="307" spans="1:11" s="269" customFormat="1" ht="15.75" customHeight="1" x14ac:dyDescent="0.25">
      <c r="A307" s="505"/>
      <c r="B307" s="2630"/>
      <c r="C307" s="509" t="s">
        <v>2258</v>
      </c>
      <c r="D307" s="1343">
        <v>122500000</v>
      </c>
      <c r="E307" s="878">
        <v>122500000</v>
      </c>
      <c r="F307" s="878">
        <f t="shared" si="23"/>
        <v>100</v>
      </c>
      <c r="G307" s="878">
        <v>100</v>
      </c>
      <c r="H307" s="2623"/>
      <c r="J307" s="2069"/>
      <c r="K307" s="2069"/>
    </row>
    <row r="308" spans="1:11" s="266" customFormat="1" ht="14.25" customHeight="1" x14ac:dyDescent="0.25">
      <c r="A308" s="506"/>
      <c r="B308" s="2742"/>
      <c r="C308" s="509" t="s">
        <v>2259</v>
      </c>
      <c r="D308" s="1343">
        <v>30100000</v>
      </c>
      <c r="E308" s="1818">
        <v>30100000</v>
      </c>
      <c r="F308" s="878">
        <f t="shared" si="23"/>
        <v>100</v>
      </c>
      <c r="G308" s="878">
        <v>100</v>
      </c>
      <c r="H308" s="2702"/>
      <c r="J308" s="2126"/>
      <c r="K308" s="2126"/>
    </row>
    <row r="309" spans="1:11" s="266" customFormat="1" ht="13.5" customHeight="1" x14ac:dyDescent="0.25">
      <c r="A309" s="506"/>
      <c r="B309" s="2742"/>
      <c r="C309" s="509" t="s">
        <v>2260</v>
      </c>
      <c r="D309" s="1343">
        <v>140425000</v>
      </c>
      <c r="E309" s="878">
        <v>140425000</v>
      </c>
      <c r="F309" s="878">
        <f t="shared" si="23"/>
        <v>100</v>
      </c>
      <c r="G309" s="878">
        <v>100</v>
      </c>
      <c r="H309" s="2702"/>
      <c r="J309" s="2126"/>
      <c r="K309" s="2126"/>
    </row>
    <row r="310" spans="1:11" s="266" customFormat="1" ht="14.25" customHeight="1" x14ac:dyDescent="0.25">
      <c r="A310" s="506"/>
      <c r="B310" s="2742"/>
      <c r="C310" s="509" t="s">
        <v>2261</v>
      </c>
      <c r="D310" s="1343">
        <v>317120000</v>
      </c>
      <c r="E310" s="1818">
        <v>317120000</v>
      </c>
      <c r="F310" s="878">
        <f t="shared" si="23"/>
        <v>100</v>
      </c>
      <c r="G310" s="878">
        <v>100</v>
      </c>
      <c r="H310" s="2702"/>
      <c r="J310" s="2126"/>
      <c r="K310" s="2126"/>
    </row>
    <row r="311" spans="1:11" s="266" customFormat="1" ht="12" customHeight="1" x14ac:dyDescent="0.25">
      <c r="A311" s="506"/>
      <c r="B311" s="2742"/>
      <c r="C311" s="509"/>
      <c r="D311" s="1343"/>
      <c r="E311" s="1111"/>
      <c r="F311" s="1111"/>
      <c r="G311" s="1111"/>
      <c r="H311" s="2702"/>
      <c r="J311" s="2126"/>
      <c r="K311" s="2126"/>
    </row>
    <row r="312" spans="1:11" s="266" customFormat="1" ht="18" customHeight="1" x14ac:dyDescent="0.25">
      <c r="A312" s="506"/>
      <c r="B312" s="2742"/>
      <c r="C312" s="1132" t="s">
        <v>2262</v>
      </c>
      <c r="D312" s="1413">
        <f>SUM(D313:D318)</f>
        <v>25949290500</v>
      </c>
      <c r="E312" s="1413">
        <f>SUM(E313:E318)</f>
        <v>25669347960</v>
      </c>
      <c r="F312" s="3629">
        <f t="shared" ref="F312:F318" si="24">E312/D312*100</f>
        <v>98.921193856918748</v>
      </c>
      <c r="G312" s="3629">
        <f>SUM(G313:G318)/6</f>
        <v>96.666666666666671</v>
      </c>
      <c r="H312" s="2702"/>
      <c r="J312" s="2126"/>
      <c r="K312" s="2126"/>
    </row>
    <row r="313" spans="1:11" s="269" customFormat="1" ht="15.75" customHeight="1" x14ac:dyDescent="0.25">
      <c r="A313" s="505"/>
      <c r="B313" s="2630"/>
      <c r="C313" s="509" t="s">
        <v>2263</v>
      </c>
      <c r="D313" s="1343">
        <v>2835000000</v>
      </c>
      <c r="E313" s="878">
        <v>2808262710</v>
      </c>
      <c r="F313" s="878">
        <f t="shared" si="24"/>
        <v>99.056885714285713</v>
      </c>
      <c r="G313" s="878">
        <v>100</v>
      </c>
      <c r="H313" s="2623"/>
      <c r="J313" s="2069"/>
      <c r="K313" s="2069"/>
    </row>
    <row r="314" spans="1:11" s="266" customFormat="1" ht="16.5" customHeight="1" x14ac:dyDescent="0.25">
      <c r="A314" s="506"/>
      <c r="B314" s="2742"/>
      <c r="C314" s="509" t="s">
        <v>2264</v>
      </c>
      <c r="D314" s="1343">
        <v>191650000</v>
      </c>
      <c r="E314" s="1818">
        <v>191650000</v>
      </c>
      <c r="F314" s="878">
        <f t="shared" si="24"/>
        <v>100</v>
      </c>
      <c r="G314" s="878">
        <v>100</v>
      </c>
      <c r="H314" s="2702"/>
      <c r="J314" s="2126"/>
      <c r="K314" s="2126"/>
    </row>
    <row r="315" spans="1:11" s="266" customFormat="1" ht="25.5" customHeight="1" x14ac:dyDescent="0.25">
      <c r="A315" s="506"/>
      <c r="B315" s="2742"/>
      <c r="C315" s="509" t="s">
        <v>2265</v>
      </c>
      <c r="D315" s="1343">
        <v>66950000</v>
      </c>
      <c r="E315" s="878">
        <v>50020000</v>
      </c>
      <c r="F315" s="878">
        <f t="shared" si="24"/>
        <v>74.712471994025393</v>
      </c>
      <c r="G315" s="878">
        <v>80</v>
      </c>
      <c r="H315" s="2702"/>
      <c r="J315" s="2126"/>
      <c r="K315" s="2126"/>
    </row>
    <row r="316" spans="1:11" s="266" customFormat="1" ht="13.5" customHeight="1" x14ac:dyDescent="0.25">
      <c r="A316" s="506"/>
      <c r="B316" s="2742"/>
      <c r="C316" s="509" t="s">
        <v>2266</v>
      </c>
      <c r="D316" s="1343">
        <v>887600000</v>
      </c>
      <c r="E316" s="1818">
        <v>887600000</v>
      </c>
      <c r="F316" s="878">
        <f t="shared" si="24"/>
        <v>100</v>
      </c>
      <c r="G316" s="878">
        <v>100</v>
      </c>
      <c r="H316" s="2702"/>
      <c r="J316" s="2126"/>
      <c r="K316" s="2126"/>
    </row>
    <row r="317" spans="1:11" s="266" customFormat="1" ht="16.5" customHeight="1" x14ac:dyDescent="0.25">
      <c r="A317" s="506"/>
      <c r="B317" s="2742"/>
      <c r="C317" s="509" t="s">
        <v>2267</v>
      </c>
      <c r="D317" s="1343">
        <v>21590740500</v>
      </c>
      <c r="E317" s="878">
        <v>21354465250</v>
      </c>
      <c r="F317" s="878">
        <f t="shared" si="24"/>
        <v>98.905663981279375</v>
      </c>
      <c r="G317" s="878">
        <v>100</v>
      </c>
      <c r="H317" s="2702"/>
      <c r="J317" s="2126"/>
      <c r="K317" s="2126"/>
    </row>
    <row r="318" spans="1:11" s="266" customFormat="1" ht="15" customHeight="1" x14ac:dyDescent="0.25">
      <c r="A318" s="506"/>
      <c r="B318" s="2742"/>
      <c r="C318" s="519" t="s">
        <v>2268</v>
      </c>
      <c r="D318" s="5126">
        <v>377350000</v>
      </c>
      <c r="E318" s="878">
        <v>377350000</v>
      </c>
      <c r="F318" s="878">
        <f t="shared" si="24"/>
        <v>100</v>
      </c>
      <c r="G318" s="878">
        <v>100</v>
      </c>
      <c r="H318" s="2702"/>
      <c r="J318" s="2126"/>
      <c r="K318" s="2126"/>
    </row>
    <row r="319" spans="1:11" ht="12" customHeight="1" x14ac:dyDescent="0.25">
      <c r="B319" s="2743"/>
      <c r="C319" s="1184"/>
      <c r="D319" s="2842"/>
      <c r="E319" s="791"/>
      <c r="F319" s="791"/>
      <c r="G319" s="791"/>
      <c r="H319" s="2634"/>
    </row>
    <row r="320" spans="1:11" s="269" customFormat="1" ht="16.5" customHeight="1" x14ac:dyDescent="0.25">
      <c r="A320" s="505"/>
      <c r="B320" s="2635"/>
      <c r="C320" s="507" t="s">
        <v>3424</v>
      </c>
      <c r="D320" s="5122">
        <f>D321</f>
        <v>1500000000</v>
      </c>
      <c r="E320" s="5122">
        <f>E321</f>
        <v>770000000</v>
      </c>
      <c r="F320" s="669">
        <f>E320/D320*100</f>
        <v>51.333333333333329</v>
      </c>
      <c r="G320" s="1645">
        <v>70</v>
      </c>
      <c r="H320" s="2623"/>
      <c r="J320" s="2069"/>
      <c r="K320" s="2069"/>
    </row>
    <row r="321" spans="1:11" s="266" customFormat="1" ht="17.25" customHeight="1" x14ac:dyDescent="0.25">
      <c r="A321" s="506"/>
      <c r="B321" s="2703"/>
      <c r="C321" s="509" t="s">
        <v>3425</v>
      </c>
      <c r="D321" s="1343">
        <v>1500000000</v>
      </c>
      <c r="E321" s="1818">
        <v>770000000</v>
      </c>
      <c r="F321" s="1310">
        <f>SUM(E321/D321)*100</f>
        <v>51.333333333333329</v>
      </c>
      <c r="G321" s="1109">
        <v>70</v>
      </c>
      <c r="H321" s="2702"/>
      <c r="J321" s="2126"/>
      <c r="K321" s="2126"/>
    </row>
    <row r="322" spans="1:11" ht="12" customHeight="1" x14ac:dyDescent="0.25">
      <c r="B322" s="2627"/>
      <c r="C322" s="648"/>
      <c r="D322" s="1651"/>
      <c r="E322" s="2234"/>
      <c r="F322" s="1651"/>
      <c r="G322" s="1651"/>
      <c r="H322" s="2634"/>
    </row>
    <row r="323" spans="1:11" ht="18.75" customHeight="1" x14ac:dyDescent="0.25">
      <c r="B323" s="2746"/>
      <c r="C323" s="2747" t="s">
        <v>258</v>
      </c>
      <c r="D323" s="5127">
        <f>SUM(D325+D385+D376)</f>
        <v>27404283000</v>
      </c>
      <c r="E323" s="2749">
        <f>SUM(E325+E385+E376)</f>
        <v>23704418000</v>
      </c>
      <c r="F323" s="3427">
        <f>E323/D323*100</f>
        <v>86.498953466507416</v>
      </c>
      <c r="G323" s="3427">
        <f>SUM(G325+G376+G385)/3</f>
        <v>82.345679012345684</v>
      </c>
      <c r="H323" s="2084"/>
    </row>
    <row r="324" spans="1:11" s="2029" customFormat="1" ht="9.75" customHeight="1" x14ac:dyDescent="0.25">
      <c r="A324" s="3048"/>
      <c r="B324" s="4868"/>
      <c r="C324" s="3977"/>
      <c r="D324" s="5153"/>
      <c r="E324" s="5154"/>
      <c r="F324" s="2404"/>
      <c r="G324" s="2404"/>
      <c r="H324" s="2144"/>
      <c r="J324" s="2142"/>
      <c r="K324" s="2142"/>
    </row>
    <row r="325" spans="1:11" ht="15" customHeight="1" x14ac:dyDescent="0.25">
      <c r="B325" s="3654"/>
      <c r="C325" s="1153" t="s">
        <v>259</v>
      </c>
      <c r="D325" s="5192">
        <f>SUM(D326+D329+D332+D340+D349+D352+D358+D361+D369+D372)</f>
        <v>21151300000</v>
      </c>
      <c r="E325" s="5192">
        <f>SUM(E326+E329+E332+E340+E349+E352+E358+E361+E369+E372)</f>
        <v>17513425000</v>
      </c>
      <c r="F325" s="1713">
        <f>E325/D325*100</f>
        <v>82.800702557289611</v>
      </c>
      <c r="G325" s="1713">
        <f>SUM(G326+G329+G332+G340+G349+G352+G358+G361+G369)/9</f>
        <v>92.037037037037038</v>
      </c>
      <c r="H325" s="2634"/>
      <c r="J325" s="299">
        <v>21151300000</v>
      </c>
      <c r="K325" s="522">
        <v>17464425000</v>
      </c>
    </row>
    <row r="326" spans="1:11" ht="17.25" customHeight="1" x14ac:dyDescent="0.25">
      <c r="B326" s="3655"/>
      <c r="C326" s="1185" t="s">
        <v>702</v>
      </c>
      <c r="D326" s="5128">
        <f>D327</f>
        <v>6621300000</v>
      </c>
      <c r="E326" s="5143">
        <f>E327</f>
        <v>6525475000</v>
      </c>
      <c r="F326" s="1394">
        <f>E326/D326*100</f>
        <v>98.552776645069699</v>
      </c>
      <c r="G326" s="1309">
        <v>50</v>
      </c>
      <c r="H326" s="2634"/>
      <c r="J326" s="522">
        <v>6621300000</v>
      </c>
      <c r="K326" s="522">
        <v>6525475000</v>
      </c>
    </row>
    <row r="327" spans="1:11" ht="14.25" customHeight="1" x14ac:dyDescent="0.25">
      <c r="B327" s="2624"/>
      <c r="C327" s="1186" t="s">
        <v>777</v>
      </c>
      <c r="D327" s="971">
        <v>6621300000</v>
      </c>
      <c r="E327" s="1891">
        <v>6525475000</v>
      </c>
      <c r="F327" s="3557">
        <f>E327/D327*100</f>
        <v>98.552776645069699</v>
      </c>
      <c r="G327" s="3557">
        <v>50</v>
      </c>
      <c r="H327" s="2634"/>
    </row>
    <row r="328" spans="1:11" ht="12" customHeight="1" x14ac:dyDescent="0.25">
      <c r="B328" s="2624"/>
      <c r="C328" s="521"/>
      <c r="D328" s="666"/>
      <c r="E328" s="1310"/>
      <c r="F328" s="1111"/>
      <c r="G328" s="3557"/>
      <c r="H328" s="2634"/>
    </row>
    <row r="329" spans="1:11" ht="21" customHeight="1" x14ac:dyDescent="0.25">
      <c r="B329" s="2624"/>
      <c r="C329" s="1185" t="s">
        <v>703</v>
      </c>
      <c r="D329" s="1329">
        <f>D330</f>
        <v>20000000</v>
      </c>
      <c r="E329" s="1379">
        <f>E330</f>
        <v>20000000</v>
      </c>
      <c r="F329" s="1394">
        <f>E329/D329*100</f>
        <v>100</v>
      </c>
      <c r="G329" s="3632">
        <v>100</v>
      </c>
      <c r="H329" s="2634"/>
    </row>
    <row r="330" spans="1:11" ht="18.75" customHeight="1" x14ac:dyDescent="0.25">
      <c r="B330" s="2624"/>
      <c r="C330" s="1186" t="s">
        <v>778</v>
      </c>
      <c r="D330" s="1238">
        <v>20000000</v>
      </c>
      <c r="E330" s="5144">
        <v>20000000</v>
      </c>
      <c r="F330" s="3557">
        <f>E330/D330*100</f>
        <v>100</v>
      </c>
      <c r="G330" s="3557">
        <v>100</v>
      </c>
      <c r="H330" s="2634"/>
    </row>
    <row r="331" spans="1:11" ht="11.25" customHeight="1" x14ac:dyDescent="0.25">
      <c r="B331" s="2624"/>
      <c r="C331" s="521"/>
      <c r="D331" s="666"/>
      <c r="E331" s="3557"/>
      <c r="F331" s="3557"/>
      <c r="G331" s="3557"/>
      <c r="H331" s="2634"/>
    </row>
    <row r="332" spans="1:11" ht="15.75" customHeight="1" x14ac:dyDescent="0.25">
      <c r="A332" s="352"/>
      <c r="B332" s="1242"/>
      <c r="C332" s="1185" t="s">
        <v>2277</v>
      </c>
      <c r="D332" s="673">
        <f>SUM(D333:D338)</f>
        <v>4000000000</v>
      </c>
      <c r="E332" s="673">
        <f>SUM(E333:E338)</f>
        <v>4000000000</v>
      </c>
      <c r="F332" s="3641">
        <f>SUM(E332/D332)*100</f>
        <v>100</v>
      </c>
      <c r="G332" s="3641">
        <v>100</v>
      </c>
      <c r="H332" s="554"/>
      <c r="J332" s="522">
        <v>4000000000</v>
      </c>
      <c r="K332" s="522">
        <v>4000000000</v>
      </c>
    </row>
    <row r="333" spans="1:11" ht="15" customHeight="1" x14ac:dyDescent="0.25">
      <c r="A333" s="352"/>
      <c r="B333" s="1242"/>
      <c r="C333" s="1277" t="s">
        <v>2278</v>
      </c>
      <c r="D333" s="1167">
        <v>500000000</v>
      </c>
      <c r="E333" s="1975">
        <v>500000000</v>
      </c>
      <c r="F333" s="937">
        <f>SUM(E333/D333)*100</f>
        <v>100</v>
      </c>
      <c r="G333" s="937">
        <v>100</v>
      </c>
      <c r="H333" s="554"/>
    </row>
    <row r="334" spans="1:11" ht="12.75" customHeight="1" x14ac:dyDescent="0.25">
      <c r="A334" s="352"/>
      <c r="B334" s="1242"/>
      <c r="C334" s="1277" t="s">
        <v>2279</v>
      </c>
      <c r="D334" s="1167">
        <v>1500000000</v>
      </c>
      <c r="E334" s="878">
        <v>1500000000</v>
      </c>
      <c r="F334" s="937">
        <f t="shared" ref="F334:F338" si="25">SUM(E334/D334)*100</f>
        <v>100</v>
      </c>
      <c r="G334" s="878">
        <v>100</v>
      </c>
      <c r="H334" s="554"/>
    </row>
    <row r="335" spans="1:11" ht="15.75" customHeight="1" x14ac:dyDescent="0.25">
      <c r="A335" s="352"/>
      <c r="B335" s="1242"/>
      <c r="C335" s="1277" t="s">
        <v>2280</v>
      </c>
      <c r="D335" s="1167">
        <v>500000000</v>
      </c>
      <c r="E335" s="878">
        <v>500000000</v>
      </c>
      <c r="F335" s="937">
        <f t="shared" si="25"/>
        <v>100</v>
      </c>
      <c r="G335" s="878">
        <v>100</v>
      </c>
      <c r="H335" s="554"/>
    </row>
    <row r="336" spans="1:11" ht="13.5" customHeight="1" x14ac:dyDescent="0.25">
      <c r="A336" s="352"/>
      <c r="B336" s="1242"/>
      <c r="C336" s="1277" t="s">
        <v>2281</v>
      </c>
      <c r="D336" s="1167">
        <v>500000000</v>
      </c>
      <c r="E336" s="878">
        <v>500000000</v>
      </c>
      <c r="F336" s="937">
        <f t="shared" si="25"/>
        <v>100</v>
      </c>
      <c r="G336" s="878">
        <v>100</v>
      </c>
      <c r="H336" s="554"/>
    </row>
    <row r="337" spans="1:11" ht="18" customHeight="1" x14ac:dyDescent="0.25">
      <c r="A337" s="352"/>
      <c r="B337" s="1242"/>
      <c r="C337" s="1277" t="s">
        <v>2282</v>
      </c>
      <c r="D337" s="1343">
        <v>500000000</v>
      </c>
      <c r="E337" s="1975">
        <v>500000000</v>
      </c>
      <c r="F337" s="937">
        <f t="shared" si="25"/>
        <v>100</v>
      </c>
      <c r="G337" s="878">
        <v>100</v>
      </c>
      <c r="H337" s="554"/>
    </row>
    <row r="338" spans="1:11" ht="14.25" customHeight="1" x14ac:dyDescent="0.25">
      <c r="B338" s="2624"/>
      <c r="C338" s="1277" t="s">
        <v>2948</v>
      </c>
      <c r="D338" s="1343">
        <v>500000000</v>
      </c>
      <c r="E338" s="1975">
        <v>500000000</v>
      </c>
      <c r="F338" s="937">
        <f t="shared" si="25"/>
        <v>100</v>
      </c>
      <c r="G338" s="937">
        <v>100</v>
      </c>
      <c r="H338" s="2634"/>
    </row>
    <row r="339" spans="1:11" s="4099" customFormat="1" ht="11.25" customHeight="1" x14ac:dyDescent="0.25">
      <c r="A339" s="4100"/>
      <c r="B339" s="2630"/>
      <c r="C339" s="4009"/>
      <c r="D339" s="666"/>
      <c r="E339" s="937"/>
      <c r="F339" s="937"/>
      <c r="G339" s="937"/>
      <c r="H339" s="3653"/>
      <c r="J339" s="522"/>
      <c r="K339" s="522"/>
    </row>
    <row r="340" spans="1:11" ht="15.75" customHeight="1" x14ac:dyDescent="0.25">
      <c r="A340" s="352"/>
      <c r="B340" s="1242"/>
      <c r="C340" s="1185" t="s">
        <v>280</v>
      </c>
      <c r="D340" s="1379">
        <f>SUM(D341:D347)</f>
        <v>1930000000</v>
      </c>
      <c r="E340" s="1379">
        <f>SUM(E341:E347)</f>
        <v>1916400000</v>
      </c>
      <c r="F340" s="1394">
        <f>E340/D340*100</f>
        <v>99.295336787564764</v>
      </c>
      <c r="G340" s="877">
        <f>SUM(G341:G347)/7</f>
        <v>100</v>
      </c>
      <c r="H340" s="554"/>
      <c r="J340" s="522">
        <v>1930000000</v>
      </c>
      <c r="K340" s="522">
        <v>1916400000</v>
      </c>
    </row>
    <row r="341" spans="1:11" ht="16.5" customHeight="1" x14ac:dyDescent="0.25">
      <c r="A341" s="352"/>
      <c r="B341" s="1242"/>
      <c r="C341" s="652" t="s">
        <v>2283</v>
      </c>
      <c r="D341" s="971">
        <v>100000000</v>
      </c>
      <c r="E341" s="1891">
        <v>100000000</v>
      </c>
      <c r="F341" s="3557">
        <f>E341/D341*100</f>
        <v>100</v>
      </c>
      <c r="G341" s="937">
        <v>100</v>
      </c>
      <c r="H341" s="554"/>
    </row>
    <row r="342" spans="1:11" ht="18.75" customHeight="1" x14ac:dyDescent="0.25">
      <c r="A342" s="352"/>
      <c r="B342" s="1242"/>
      <c r="C342" s="652" t="s">
        <v>2320</v>
      </c>
      <c r="D342" s="1167">
        <v>200000000</v>
      </c>
      <c r="E342" s="1975">
        <v>200000000</v>
      </c>
      <c r="F342" s="3557">
        <f t="shared" ref="F342:F347" si="26">E342/D342*100</f>
        <v>100</v>
      </c>
      <c r="G342" s="937">
        <v>100</v>
      </c>
      <c r="H342" s="554"/>
    </row>
    <row r="343" spans="1:11" ht="17.25" customHeight="1" x14ac:dyDescent="0.25">
      <c r="A343" s="352"/>
      <c r="B343" s="1242"/>
      <c r="C343" s="652" t="s">
        <v>2284</v>
      </c>
      <c r="D343" s="1167">
        <v>350000000</v>
      </c>
      <c r="E343" s="1891">
        <v>350000000</v>
      </c>
      <c r="F343" s="3557">
        <f t="shared" si="26"/>
        <v>100</v>
      </c>
      <c r="G343" s="878">
        <v>100</v>
      </c>
      <c r="H343" s="554"/>
    </row>
    <row r="344" spans="1:11" ht="16.5" customHeight="1" x14ac:dyDescent="0.25">
      <c r="A344" s="352"/>
      <c r="B344" s="1242"/>
      <c r="C344" s="652" t="s">
        <v>2285</v>
      </c>
      <c r="D344" s="1167">
        <v>280000000</v>
      </c>
      <c r="E344" s="1891">
        <v>266400000</v>
      </c>
      <c r="F344" s="3557">
        <f t="shared" si="26"/>
        <v>95.142857142857139</v>
      </c>
      <c r="G344" s="878">
        <v>100</v>
      </c>
      <c r="H344" s="554"/>
    </row>
    <row r="345" spans="1:11" ht="17.25" customHeight="1" x14ac:dyDescent="0.25">
      <c r="A345" s="352"/>
      <c r="B345" s="1242"/>
      <c r="C345" s="652" t="s">
        <v>2322</v>
      </c>
      <c r="D345" s="1167">
        <v>500000000</v>
      </c>
      <c r="E345" s="1891">
        <v>500000000</v>
      </c>
      <c r="F345" s="3557">
        <f t="shared" si="26"/>
        <v>100</v>
      </c>
      <c r="G345" s="878">
        <v>100</v>
      </c>
      <c r="H345" s="554"/>
    </row>
    <row r="346" spans="1:11" ht="16.5" customHeight="1" x14ac:dyDescent="0.25">
      <c r="A346" s="352"/>
      <c r="B346" s="1242"/>
      <c r="C346" s="652" t="s">
        <v>2286</v>
      </c>
      <c r="D346" s="1167">
        <v>250000000</v>
      </c>
      <c r="E346" s="1891">
        <v>250000000</v>
      </c>
      <c r="F346" s="3557">
        <f t="shared" si="26"/>
        <v>100</v>
      </c>
      <c r="G346" s="878">
        <v>100</v>
      </c>
      <c r="H346" s="554"/>
    </row>
    <row r="347" spans="1:11" ht="18.75" customHeight="1" x14ac:dyDescent="0.25">
      <c r="A347" s="352"/>
      <c r="B347" s="1242"/>
      <c r="C347" s="652" t="s">
        <v>2287</v>
      </c>
      <c r="D347" s="1167">
        <v>250000000</v>
      </c>
      <c r="E347" s="1891">
        <v>250000000</v>
      </c>
      <c r="F347" s="3557">
        <f t="shared" si="26"/>
        <v>100</v>
      </c>
      <c r="G347" s="878">
        <v>100</v>
      </c>
      <c r="H347" s="554"/>
    </row>
    <row r="348" spans="1:11" ht="12.75" customHeight="1" x14ac:dyDescent="0.25">
      <c r="B348" s="2624"/>
      <c r="C348" s="1277"/>
      <c r="D348" s="666"/>
      <c r="E348" s="1310"/>
      <c r="F348" s="1111"/>
      <c r="G348" s="1111"/>
      <c r="H348" s="2634"/>
    </row>
    <row r="349" spans="1:11" ht="17.25" customHeight="1" x14ac:dyDescent="0.25">
      <c r="A349" s="352"/>
      <c r="B349" s="1242"/>
      <c r="C349" s="1185" t="s">
        <v>2288</v>
      </c>
      <c r="D349" s="1379">
        <f>D350</f>
        <v>150000000</v>
      </c>
      <c r="E349" s="1379">
        <f>E350</f>
        <v>124150000</v>
      </c>
      <c r="F349" s="3632">
        <f>E349/D349*100</f>
        <v>82.766666666666666</v>
      </c>
      <c r="G349" s="3632">
        <v>100</v>
      </c>
      <c r="H349" s="554"/>
      <c r="J349" s="522">
        <v>150000000</v>
      </c>
      <c r="K349" s="522">
        <v>124150000</v>
      </c>
    </row>
    <row r="350" spans="1:11" ht="16.5" customHeight="1" x14ac:dyDescent="0.25">
      <c r="A350" s="352"/>
      <c r="B350" s="1242"/>
      <c r="C350" s="652" t="s">
        <v>2289</v>
      </c>
      <c r="D350" s="971">
        <v>150000000</v>
      </c>
      <c r="E350" s="3557">
        <v>124150000</v>
      </c>
      <c r="F350" s="3557">
        <f>E350/D350*100</f>
        <v>82.766666666666666</v>
      </c>
      <c r="G350" s="3557">
        <v>100</v>
      </c>
      <c r="H350" s="554"/>
    </row>
    <row r="351" spans="1:11" ht="11.25" customHeight="1" x14ac:dyDescent="0.25">
      <c r="A351" s="352"/>
      <c r="B351" s="1242"/>
      <c r="C351" s="509"/>
      <c r="D351" s="5124"/>
      <c r="E351" s="3557"/>
      <c r="F351" s="3557"/>
      <c r="G351" s="3557"/>
      <c r="H351" s="554"/>
    </row>
    <row r="352" spans="1:11" ht="17.25" customHeight="1" x14ac:dyDescent="0.25">
      <c r="A352" s="352"/>
      <c r="B352" s="1242"/>
      <c r="C352" s="1185" t="s">
        <v>2290</v>
      </c>
      <c r="D352" s="1379">
        <f>SUM(D353:D356)</f>
        <v>1334600000</v>
      </c>
      <c r="E352" s="1379">
        <f>SUM(E353:E356)</f>
        <v>1334600000</v>
      </c>
      <c r="F352" s="3641">
        <f>SUM(E352/D352)*100</f>
        <v>100</v>
      </c>
      <c r="G352" s="1316">
        <f>SUM(G353:G356)/4</f>
        <v>95</v>
      </c>
      <c r="H352" s="554"/>
      <c r="J352" s="522">
        <v>1334600000</v>
      </c>
      <c r="K352" s="522">
        <v>1334600000</v>
      </c>
    </row>
    <row r="353" spans="1:11" s="303" customFormat="1" ht="29.25" customHeight="1" x14ac:dyDescent="0.25">
      <c r="A353" s="3005"/>
      <c r="B353" s="1242"/>
      <c r="C353" s="652" t="s">
        <v>2291</v>
      </c>
      <c r="D353" s="971">
        <v>930000000</v>
      </c>
      <c r="E353" s="1891">
        <v>930000000</v>
      </c>
      <c r="F353" s="3557">
        <f>E353/D353*100</f>
        <v>100</v>
      </c>
      <c r="G353" s="3557">
        <v>80</v>
      </c>
      <c r="H353" s="554"/>
      <c r="J353" s="522"/>
      <c r="K353" s="522"/>
    </row>
    <row r="354" spans="1:11" ht="15.75" customHeight="1" x14ac:dyDescent="0.25">
      <c r="A354" s="352"/>
      <c r="B354" s="1242"/>
      <c r="C354" s="652" t="s">
        <v>2292</v>
      </c>
      <c r="D354" s="971">
        <v>100000000</v>
      </c>
      <c r="E354" s="1238">
        <v>100000000</v>
      </c>
      <c r="F354" s="3557">
        <f>E354/D354*100</f>
        <v>100</v>
      </c>
      <c r="G354" s="3557">
        <v>100</v>
      </c>
      <c r="H354" s="554"/>
    </row>
    <row r="355" spans="1:11" ht="17.25" customHeight="1" x14ac:dyDescent="0.25">
      <c r="A355" s="352"/>
      <c r="B355" s="1242"/>
      <c r="C355" s="652" t="s">
        <v>2293</v>
      </c>
      <c r="D355" s="971">
        <v>154600000</v>
      </c>
      <c r="E355" s="1238">
        <v>154600000</v>
      </c>
      <c r="F355" s="3557">
        <f>E355/D355*100</f>
        <v>100</v>
      </c>
      <c r="G355" s="3557">
        <v>100</v>
      </c>
      <c r="H355" s="554"/>
    </row>
    <row r="356" spans="1:11" ht="17.25" customHeight="1" x14ac:dyDescent="0.25">
      <c r="A356" s="352"/>
      <c r="B356" s="1242"/>
      <c r="C356" s="652" t="s">
        <v>2294</v>
      </c>
      <c r="D356" s="1167">
        <v>150000000</v>
      </c>
      <c r="E356" s="1979">
        <v>150000000</v>
      </c>
      <c r="F356" s="3557">
        <f>E356/D356*100</f>
        <v>100</v>
      </c>
      <c r="G356" s="3557">
        <v>100</v>
      </c>
      <c r="H356" s="554"/>
    </row>
    <row r="357" spans="1:11" ht="10.5" customHeight="1" x14ac:dyDescent="0.25">
      <c r="A357" s="352"/>
      <c r="B357" s="1242"/>
      <c r="C357" s="521"/>
      <c r="D357" s="5124"/>
      <c r="E357" s="3557"/>
      <c r="F357" s="3557"/>
      <c r="G357" s="3557"/>
      <c r="H357" s="554"/>
    </row>
    <row r="358" spans="1:11" ht="15" customHeight="1" x14ac:dyDescent="0.25">
      <c r="A358" s="352"/>
      <c r="B358" s="1242"/>
      <c r="C358" s="1187" t="s">
        <v>2295</v>
      </c>
      <c r="D358" s="5129">
        <f>D359</f>
        <v>45400000</v>
      </c>
      <c r="E358" s="5145">
        <f>E359</f>
        <v>45400000</v>
      </c>
      <c r="F358" s="3641">
        <f>SUM(E358/D358)*100</f>
        <v>100</v>
      </c>
      <c r="G358" s="3641">
        <v>100</v>
      </c>
      <c r="H358" s="554"/>
    </row>
    <row r="359" spans="1:11" ht="18" customHeight="1" x14ac:dyDescent="0.25">
      <c r="A359" s="352"/>
      <c r="B359" s="1242"/>
      <c r="C359" s="3877" t="s">
        <v>2296</v>
      </c>
      <c r="D359" s="971">
        <v>45400000</v>
      </c>
      <c r="E359" s="937">
        <v>45400000</v>
      </c>
      <c r="F359" s="3557">
        <f>E359/D359*100</f>
        <v>100</v>
      </c>
      <c r="G359" s="937">
        <v>100</v>
      </c>
      <c r="H359" s="554"/>
    </row>
    <row r="360" spans="1:11" ht="10.5" customHeight="1" x14ac:dyDescent="0.25">
      <c r="A360" s="352"/>
      <c r="B360" s="1242"/>
      <c r="C360" s="1277"/>
      <c r="D360" s="5124"/>
      <c r="E360" s="937"/>
      <c r="F360" s="3557"/>
      <c r="G360" s="937"/>
      <c r="H360" s="554"/>
    </row>
    <row r="361" spans="1:11" ht="16.5" customHeight="1" x14ac:dyDescent="0.25">
      <c r="A361" s="352"/>
      <c r="B361" s="1242"/>
      <c r="C361" s="1185" t="s">
        <v>2297</v>
      </c>
      <c r="D361" s="1329">
        <f>SUM(D362:D367)</f>
        <v>2750000000</v>
      </c>
      <c r="E361" s="1379">
        <f>SUM(E362:E367)</f>
        <v>748000000</v>
      </c>
      <c r="F361" s="3632">
        <f>E361/D361*100</f>
        <v>27.200000000000003</v>
      </c>
      <c r="G361" s="3769">
        <f>SUM(G362:G367)/6</f>
        <v>83.333333333333329</v>
      </c>
      <c r="H361" s="554"/>
    </row>
    <row r="362" spans="1:11" ht="14.25" customHeight="1" x14ac:dyDescent="0.25">
      <c r="A362" s="352"/>
      <c r="B362" s="1242"/>
      <c r="C362" s="652" t="s">
        <v>2298</v>
      </c>
      <c r="D362" s="971">
        <v>50000000</v>
      </c>
      <c r="E362" s="1891">
        <v>49000000</v>
      </c>
      <c r="F362" s="3557">
        <f t="shared" ref="F362:F366" si="27">E362/D362*100</f>
        <v>98</v>
      </c>
      <c r="G362" s="3557">
        <v>100</v>
      </c>
      <c r="H362" s="554"/>
    </row>
    <row r="363" spans="1:11" ht="15.75" customHeight="1" x14ac:dyDescent="0.25">
      <c r="A363" s="352"/>
      <c r="B363" s="1242"/>
      <c r="C363" s="652" t="s">
        <v>2299</v>
      </c>
      <c r="D363" s="5124">
        <v>300000000</v>
      </c>
      <c r="E363" s="1891">
        <v>300000000</v>
      </c>
      <c r="F363" s="3557">
        <f t="shared" si="27"/>
        <v>100</v>
      </c>
      <c r="G363" s="3557">
        <v>100</v>
      </c>
      <c r="H363" s="554"/>
    </row>
    <row r="364" spans="1:11" ht="19.5" customHeight="1" x14ac:dyDescent="0.25">
      <c r="A364" s="352"/>
      <c r="B364" s="1242"/>
      <c r="C364" s="652" t="s">
        <v>2300</v>
      </c>
      <c r="D364" s="5124">
        <v>50000000</v>
      </c>
      <c r="E364" s="1891">
        <v>50000000</v>
      </c>
      <c r="F364" s="3557">
        <f t="shared" si="27"/>
        <v>100</v>
      </c>
      <c r="G364" s="3557">
        <v>100</v>
      </c>
      <c r="H364" s="554"/>
    </row>
    <row r="365" spans="1:11" ht="15.75" customHeight="1" x14ac:dyDescent="0.25">
      <c r="A365" s="352"/>
      <c r="B365" s="1242"/>
      <c r="C365" s="652" t="s">
        <v>2301</v>
      </c>
      <c r="D365" s="5124">
        <v>150000000</v>
      </c>
      <c r="E365" s="1891">
        <v>150000000</v>
      </c>
      <c r="F365" s="3557">
        <f t="shared" si="27"/>
        <v>100</v>
      </c>
      <c r="G365" s="3557">
        <v>100</v>
      </c>
      <c r="H365" s="554"/>
    </row>
    <row r="366" spans="1:11" ht="15.75" customHeight="1" x14ac:dyDescent="0.25">
      <c r="A366" s="352"/>
      <c r="B366" s="1242"/>
      <c r="C366" s="652" t="s">
        <v>2302</v>
      </c>
      <c r="D366" s="5124">
        <v>200000000</v>
      </c>
      <c r="E366" s="1891">
        <v>199000000</v>
      </c>
      <c r="F366" s="3557">
        <f t="shared" si="27"/>
        <v>99.5</v>
      </c>
      <c r="G366" s="3557">
        <v>100</v>
      </c>
      <c r="H366" s="554"/>
    </row>
    <row r="367" spans="1:11" ht="15.75" customHeight="1" x14ac:dyDescent="0.25">
      <c r="A367" s="352"/>
      <c r="B367" s="1242"/>
      <c r="C367" s="652" t="s">
        <v>2303</v>
      </c>
      <c r="D367" s="5124">
        <v>2000000000</v>
      </c>
      <c r="E367" s="1891">
        <v>0</v>
      </c>
      <c r="F367" s="3557">
        <f t="shared" ref="F367" si="28">E367/D367*100</f>
        <v>0</v>
      </c>
      <c r="G367" s="1891">
        <v>0</v>
      </c>
      <c r="H367" s="554"/>
    </row>
    <row r="368" spans="1:11" ht="9.75" customHeight="1" x14ac:dyDescent="0.25">
      <c r="A368" s="352"/>
      <c r="B368" s="1242"/>
      <c r="C368" s="509"/>
      <c r="D368" s="5124"/>
      <c r="E368" s="1310"/>
      <c r="F368" s="1111"/>
      <c r="G368" s="1111"/>
      <c r="H368" s="554"/>
    </row>
    <row r="369" spans="1:8" ht="15.75" customHeight="1" x14ac:dyDescent="0.25">
      <c r="A369" s="352"/>
      <c r="B369" s="1242"/>
      <c r="C369" s="1185" t="s">
        <v>704</v>
      </c>
      <c r="D369" s="1379">
        <f>D370</f>
        <v>1300000000</v>
      </c>
      <c r="E369" s="1379">
        <f>E370</f>
        <v>1299400000</v>
      </c>
      <c r="F369" s="1394">
        <f>E369/D369*100</f>
        <v>99.953846153846143</v>
      </c>
      <c r="G369" s="1316">
        <v>100</v>
      </c>
      <c r="H369" s="554"/>
    </row>
    <row r="370" spans="1:8" ht="16.5" customHeight="1" x14ac:dyDescent="0.25">
      <c r="A370" s="352"/>
      <c r="B370" s="1242"/>
      <c r="C370" s="652" t="s">
        <v>784</v>
      </c>
      <c r="D370" s="971">
        <v>1300000000</v>
      </c>
      <c r="E370" s="1111">
        <v>1299400000</v>
      </c>
      <c r="F370" s="3557">
        <f>E370/D370*100</f>
        <v>99.953846153846143</v>
      </c>
      <c r="G370" s="3557">
        <v>100</v>
      </c>
      <c r="H370" s="554"/>
    </row>
    <row r="371" spans="1:8" ht="11.25" customHeight="1" x14ac:dyDescent="0.25">
      <c r="A371" s="352"/>
      <c r="B371" s="1242"/>
      <c r="C371" s="1147"/>
      <c r="D371" s="1651"/>
      <c r="E371" s="2234"/>
      <c r="F371" s="1651"/>
      <c r="G371" s="1651"/>
      <c r="H371" s="554"/>
    </row>
    <row r="372" spans="1:8" ht="30.75" customHeight="1" x14ac:dyDescent="0.25">
      <c r="A372" s="352"/>
      <c r="B372" s="1242"/>
      <c r="C372" s="1132" t="s">
        <v>2304</v>
      </c>
      <c r="D372" s="1166">
        <f>SUM(D373:D374)</f>
        <v>3000000000</v>
      </c>
      <c r="E372" s="1166">
        <f>SUM(E373:E374)</f>
        <v>1500000000</v>
      </c>
      <c r="F372" s="1413">
        <f>E372/D372*100</f>
        <v>50</v>
      </c>
      <c r="G372" s="3621">
        <f>SUM(G373:G374)/2</f>
        <v>50</v>
      </c>
      <c r="H372" s="554"/>
    </row>
    <row r="373" spans="1:8" ht="16.5" customHeight="1" x14ac:dyDescent="0.25">
      <c r="A373" s="352"/>
      <c r="B373" s="1242"/>
      <c r="C373" s="509" t="s">
        <v>2305</v>
      </c>
      <c r="D373" s="1167">
        <v>1500000000</v>
      </c>
      <c r="E373" s="1891">
        <v>0</v>
      </c>
      <c r="F373" s="3557">
        <f>E373/D373*100</f>
        <v>0</v>
      </c>
      <c r="G373" s="3557">
        <v>0</v>
      </c>
      <c r="H373" s="554"/>
    </row>
    <row r="374" spans="1:8" ht="16.5" customHeight="1" x14ac:dyDescent="0.25">
      <c r="A374" s="352"/>
      <c r="B374" s="1242"/>
      <c r="C374" s="509" t="s">
        <v>2306</v>
      </c>
      <c r="D374" s="1167">
        <v>1500000000</v>
      </c>
      <c r="E374" s="1891">
        <v>1500000000</v>
      </c>
      <c r="F374" s="3557">
        <f>E374/D374*100</f>
        <v>100</v>
      </c>
      <c r="G374" s="3557">
        <v>100</v>
      </c>
      <c r="H374" s="554"/>
    </row>
    <row r="375" spans="1:8" ht="17.25" customHeight="1" x14ac:dyDescent="0.25">
      <c r="B375" s="2630"/>
      <c r="C375" s="1188"/>
      <c r="D375" s="973"/>
      <c r="E375" s="5193"/>
      <c r="F375" s="1094"/>
      <c r="G375" s="791"/>
      <c r="H375" s="2634"/>
    </row>
    <row r="376" spans="1:8" ht="17.25" customHeight="1" x14ac:dyDescent="0.25">
      <c r="B376" s="2635"/>
      <c r="C376" s="1156" t="s">
        <v>6953</v>
      </c>
      <c r="D376" s="1587">
        <f>D377+D382</f>
        <v>1050000000</v>
      </c>
      <c r="E376" s="1587">
        <f>E377+E382</f>
        <v>1049450000</v>
      </c>
      <c r="F376" s="3635">
        <f>E376/D376*100</f>
        <v>99.947619047619057</v>
      </c>
      <c r="G376" s="1645">
        <f>SUM(G377+G382)/2</f>
        <v>75</v>
      </c>
      <c r="H376" s="2634"/>
    </row>
    <row r="377" spans="1:8" ht="30" customHeight="1" x14ac:dyDescent="0.25">
      <c r="A377" s="352"/>
      <c r="B377" s="1242"/>
      <c r="C377" s="3919" t="s">
        <v>6870</v>
      </c>
      <c r="D377" s="1379">
        <f>SUM(D378:D380)</f>
        <v>900000000</v>
      </c>
      <c r="E377" s="1379">
        <f>SUM(E378:E380)</f>
        <v>899950000</v>
      </c>
      <c r="F377" s="3629">
        <f>E377/D377*100</f>
        <v>99.99444444444444</v>
      </c>
      <c r="G377" s="1018">
        <v>100</v>
      </c>
      <c r="H377" s="554"/>
    </row>
    <row r="378" spans="1:8" ht="15.75" customHeight="1" x14ac:dyDescent="0.25">
      <c r="A378" s="352"/>
      <c r="B378" s="1242"/>
      <c r="C378" s="3877" t="s">
        <v>6871</v>
      </c>
      <c r="D378" s="971">
        <v>450000000</v>
      </c>
      <c r="E378" s="1238">
        <v>450000000</v>
      </c>
      <c r="F378" s="3557">
        <f>E378/D378*100</f>
        <v>100</v>
      </c>
      <c r="G378" s="3634">
        <v>100</v>
      </c>
      <c r="H378" s="554"/>
    </row>
    <row r="379" spans="1:8" ht="16.5" customHeight="1" x14ac:dyDescent="0.25">
      <c r="A379" s="352"/>
      <c r="B379" s="1242"/>
      <c r="C379" s="3877" t="s">
        <v>6872</v>
      </c>
      <c r="D379" s="971">
        <v>350000000</v>
      </c>
      <c r="E379" s="865">
        <v>350000000</v>
      </c>
      <c r="F379" s="3557">
        <f>E379/D379*100</f>
        <v>100</v>
      </c>
      <c r="G379" s="3634">
        <v>100</v>
      </c>
      <c r="H379" s="554"/>
    </row>
    <row r="380" spans="1:8" ht="16.5" customHeight="1" x14ac:dyDescent="0.25">
      <c r="A380" s="352"/>
      <c r="B380" s="1242"/>
      <c r="C380" s="3877" t="s">
        <v>6873</v>
      </c>
      <c r="D380" s="971">
        <v>100000000</v>
      </c>
      <c r="E380" s="865">
        <v>99950000</v>
      </c>
      <c r="F380" s="3557">
        <f>E380/D380*100</f>
        <v>99.95</v>
      </c>
      <c r="G380" s="3634">
        <v>100</v>
      </c>
      <c r="H380" s="554"/>
    </row>
    <row r="381" spans="1:8" ht="9.75" customHeight="1" x14ac:dyDescent="0.25">
      <c r="A381" s="352"/>
      <c r="B381" s="1242"/>
      <c r="C381" s="1191"/>
      <c r="D381" s="1238"/>
      <c r="E381" s="798"/>
      <c r="F381" s="3634"/>
      <c r="G381" s="3634"/>
      <c r="H381" s="554"/>
    </row>
    <row r="382" spans="1:8" ht="16.5" customHeight="1" x14ac:dyDescent="0.25">
      <c r="A382" s="352"/>
      <c r="B382" s="1242"/>
      <c r="C382" s="3919" t="s">
        <v>6874</v>
      </c>
      <c r="D382" s="1329">
        <f>D383</f>
        <v>150000000</v>
      </c>
      <c r="E382" s="1329">
        <f>E383</f>
        <v>149500000</v>
      </c>
      <c r="F382" s="1308">
        <f>E382/D382*100</f>
        <v>99.666666666666671</v>
      </c>
      <c r="G382" s="1018">
        <f>SUM(G383:G383)/2</f>
        <v>50</v>
      </c>
      <c r="H382" s="554"/>
    </row>
    <row r="383" spans="1:8" ht="30" customHeight="1" x14ac:dyDescent="0.25">
      <c r="A383" s="352"/>
      <c r="B383" s="1242"/>
      <c r="C383" s="3877" t="s">
        <v>6876</v>
      </c>
      <c r="D383" s="971">
        <v>150000000</v>
      </c>
      <c r="E383" s="3879">
        <v>149500000</v>
      </c>
      <c r="F383" s="3557">
        <f>E383/D383*100</f>
        <v>99.666666666666671</v>
      </c>
      <c r="G383" s="3634">
        <v>100</v>
      </c>
      <c r="H383" s="554"/>
    </row>
    <row r="384" spans="1:8" ht="12" customHeight="1" x14ac:dyDescent="0.25">
      <c r="B384" s="3652"/>
      <c r="C384" s="1146"/>
      <c r="D384" s="3122"/>
      <c r="E384" s="1393"/>
      <c r="F384" s="791"/>
      <c r="G384" s="791"/>
      <c r="H384" s="2634"/>
    </row>
    <row r="385" spans="1:12" ht="19.5" customHeight="1" x14ac:dyDescent="0.25">
      <c r="B385" s="3654"/>
      <c r="C385" s="507" t="s">
        <v>780</v>
      </c>
      <c r="D385" s="5194">
        <f>D386</f>
        <v>5202983000</v>
      </c>
      <c r="E385" s="5195">
        <f>E386</f>
        <v>5141543000</v>
      </c>
      <c r="F385" s="669">
        <f>SUM(F386)/1</f>
        <v>98.819138943948118</v>
      </c>
      <c r="G385" s="1645">
        <f>SUM(G386)/1</f>
        <v>80</v>
      </c>
      <c r="H385" s="2634"/>
    </row>
    <row r="386" spans="1:12" ht="14.25" customHeight="1" x14ac:dyDescent="0.25">
      <c r="A386" s="352"/>
      <c r="B386" s="1242"/>
      <c r="C386" s="3881" t="s">
        <v>6945</v>
      </c>
      <c r="D386" s="1394">
        <f>SUM(D387:D391)</f>
        <v>5202983000</v>
      </c>
      <c r="E386" s="1394">
        <f>SUM(E387:E391)</f>
        <v>5141543000</v>
      </c>
      <c r="F386" s="3632">
        <f>E386/D386*100</f>
        <v>98.819138943948118</v>
      </c>
      <c r="G386" s="1309">
        <f>SUM(G387:G391)/5</f>
        <v>80</v>
      </c>
      <c r="H386" s="554"/>
      <c r="J386" s="522">
        <v>5202983000</v>
      </c>
      <c r="K386" s="522">
        <v>5141543000</v>
      </c>
      <c r="L386" s="522"/>
    </row>
    <row r="387" spans="1:12" ht="32.25" customHeight="1" x14ac:dyDescent="0.25">
      <c r="A387" s="352"/>
      <c r="B387" s="1242"/>
      <c r="C387" s="4019" t="s">
        <v>6946</v>
      </c>
      <c r="D387" s="1252">
        <v>1000000000</v>
      </c>
      <c r="E387" s="3879">
        <v>1000000000</v>
      </c>
      <c r="F387" s="3557">
        <f t="shared" ref="F387:F391" si="29">E387/D387*100</f>
        <v>100</v>
      </c>
      <c r="G387" s="3630">
        <v>100</v>
      </c>
      <c r="H387" s="554"/>
    </row>
    <row r="388" spans="1:12" ht="16.5" customHeight="1" x14ac:dyDescent="0.25">
      <c r="A388" s="352"/>
      <c r="B388" s="1242"/>
      <c r="C388" s="4049" t="s">
        <v>6956</v>
      </c>
      <c r="D388" s="3385">
        <v>3202983000</v>
      </c>
      <c r="E388" s="1891">
        <v>3192983000</v>
      </c>
      <c r="F388" s="3557">
        <f t="shared" si="29"/>
        <v>99.687791037292428</v>
      </c>
      <c r="G388" s="804">
        <v>100</v>
      </c>
      <c r="H388" s="554"/>
    </row>
    <row r="389" spans="1:12" ht="16.5" customHeight="1" x14ac:dyDescent="0.25">
      <c r="A389" s="352"/>
      <c r="B389" s="1242"/>
      <c r="C389" s="4049" t="s">
        <v>6955</v>
      </c>
      <c r="D389" s="798">
        <v>500000000</v>
      </c>
      <c r="E389" s="1891">
        <v>500000000</v>
      </c>
      <c r="F389" s="3557">
        <f t="shared" si="29"/>
        <v>100</v>
      </c>
      <c r="G389" s="804">
        <v>100</v>
      </c>
      <c r="H389" s="554"/>
    </row>
    <row r="390" spans="1:12" ht="16.5" customHeight="1" x14ac:dyDescent="0.25">
      <c r="A390" s="352"/>
      <c r="B390" s="1242"/>
      <c r="C390" s="4049" t="s">
        <v>6957</v>
      </c>
      <c r="D390" s="798">
        <v>448560000</v>
      </c>
      <c r="E390" s="5146">
        <v>448560000</v>
      </c>
      <c r="F390" s="3557">
        <f t="shared" si="29"/>
        <v>100</v>
      </c>
      <c r="G390" s="804">
        <v>100</v>
      </c>
      <c r="H390" s="554"/>
    </row>
    <row r="391" spans="1:12" ht="16.5" customHeight="1" x14ac:dyDescent="0.25">
      <c r="A391" s="352"/>
      <c r="B391" s="1242"/>
      <c r="C391" s="4049" t="s">
        <v>6958</v>
      </c>
      <c r="D391" s="3630">
        <f>425237000-373797000</f>
        <v>51440000</v>
      </c>
      <c r="E391" s="3879">
        <v>0</v>
      </c>
      <c r="F391" s="3630">
        <f t="shared" si="29"/>
        <v>0</v>
      </c>
      <c r="G391" s="3630">
        <v>0</v>
      </c>
      <c r="H391" s="554"/>
    </row>
    <row r="392" spans="1:12" ht="12" customHeight="1" x14ac:dyDescent="0.25">
      <c r="B392" s="2630"/>
      <c r="C392" s="1146"/>
      <c r="D392" s="791"/>
      <c r="E392" s="2346"/>
      <c r="F392" s="1660"/>
      <c r="G392" s="2370"/>
      <c r="H392" s="2634"/>
    </row>
    <row r="393" spans="1:12" ht="17.25" customHeight="1" x14ac:dyDescent="0.25">
      <c r="B393" s="2724"/>
      <c r="C393" s="1297" t="s">
        <v>267</v>
      </c>
      <c r="D393" s="5130">
        <f>SUM(D395+D460)</f>
        <v>39995780000</v>
      </c>
      <c r="E393" s="5147">
        <f>SUM(E395+E460)</f>
        <v>29953080000</v>
      </c>
      <c r="F393" s="1471">
        <f>SUM(E393/D393)*100</f>
        <v>74.890600958401109</v>
      </c>
      <c r="G393" s="2530">
        <f>SUM(G395+G460)/2</f>
        <v>55.289115646258502</v>
      </c>
      <c r="H393" s="3558"/>
    </row>
    <row r="394" spans="1:12" s="2029" customFormat="1" ht="5.25" customHeight="1" x14ac:dyDescent="0.25">
      <c r="A394" s="3048"/>
      <c r="B394" s="4868"/>
      <c r="C394" s="3977"/>
      <c r="D394" s="5155"/>
      <c r="E394" s="5156"/>
      <c r="F394" s="1468"/>
      <c r="G394" s="2404"/>
      <c r="H394" s="2144"/>
      <c r="J394" s="2142"/>
      <c r="K394" s="2142"/>
    </row>
    <row r="395" spans="1:12" ht="18" customHeight="1" x14ac:dyDescent="0.25">
      <c r="B395" s="3654"/>
      <c r="C395" s="1265" t="s">
        <v>238</v>
      </c>
      <c r="D395" s="3637">
        <f>SUM(D396+D399+D404+D421+D429+D438+D450)</f>
        <v>28995780000</v>
      </c>
      <c r="E395" s="3637">
        <f>SUM(E396+E399+E404+E421+E429+E438+E450)</f>
        <v>27903080000</v>
      </c>
      <c r="F395" s="1468">
        <f>SUM(E395/D395)*100</f>
        <v>96.231520586788832</v>
      </c>
      <c r="G395" s="1713">
        <f>SUM(G396+G399+G404+G421+G429+G438+G450)/7</f>
        <v>95.578231292517003</v>
      </c>
      <c r="H395" s="2634"/>
    </row>
    <row r="396" spans="1:12" ht="13.5" customHeight="1" x14ac:dyDescent="0.25">
      <c r="B396" s="3655"/>
      <c r="C396" s="1282" t="s">
        <v>899</v>
      </c>
      <c r="D396" s="3633">
        <f>D397</f>
        <v>1200000000</v>
      </c>
      <c r="E396" s="3633">
        <f>E397</f>
        <v>1197600000</v>
      </c>
      <c r="F396" s="3633">
        <f>E396/D396*100</f>
        <v>99.8</v>
      </c>
      <c r="G396" s="3633">
        <v>100</v>
      </c>
      <c r="H396" s="2634"/>
    </row>
    <row r="397" spans="1:12" ht="17.25" customHeight="1" x14ac:dyDescent="0.25">
      <c r="B397" s="2624"/>
      <c r="C397" s="1193" t="s">
        <v>900</v>
      </c>
      <c r="D397" s="880">
        <v>1200000000</v>
      </c>
      <c r="E397" s="1352">
        <v>1197600000</v>
      </c>
      <c r="F397" s="3557">
        <f>E397/D397*100</f>
        <v>99.8</v>
      </c>
      <c r="G397" s="3630">
        <v>100</v>
      </c>
      <c r="H397" s="2634"/>
    </row>
    <row r="398" spans="1:12" ht="13.5" customHeight="1" x14ac:dyDescent="0.25">
      <c r="B398" s="2624"/>
      <c r="C398" s="1183"/>
      <c r="D398" s="3638"/>
      <c r="E398" s="1927"/>
      <c r="F398" s="1472"/>
      <c r="G398" s="1314"/>
      <c r="H398" s="2634"/>
    </row>
    <row r="399" spans="1:12" ht="16.5" customHeight="1" x14ac:dyDescent="0.25">
      <c r="B399" s="2624"/>
      <c r="C399" s="1194" t="s">
        <v>268</v>
      </c>
      <c r="D399" s="3639">
        <f>SUM(D400:D402)</f>
        <v>876000000</v>
      </c>
      <c r="E399" s="3639">
        <f>SUM(E400:E402)</f>
        <v>876000000</v>
      </c>
      <c r="F399" s="3633">
        <f>E399/D399*100</f>
        <v>100</v>
      </c>
      <c r="G399" s="1316">
        <v>100</v>
      </c>
      <c r="H399" s="2634"/>
    </row>
    <row r="400" spans="1:12" ht="13.5" customHeight="1" x14ac:dyDescent="0.25">
      <c r="B400" s="2624"/>
      <c r="C400" s="1193" t="s">
        <v>901</v>
      </c>
      <c r="D400" s="880">
        <v>378000000</v>
      </c>
      <c r="E400" s="1352">
        <v>378000000</v>
      </c>
      <c r="F400" s="3557">
        <f>E400/D400*100</f>
        <v>100</v>
      </c>
      <c r="G400" s="827">
        <v>100</v>
      </c>
      <c r="H400" s="2634"/>
    </row>
    <row r="401" spans="2:8" ht="16.5" customHeight="1" x14ac:dyDescent="0.25">
      <c r="B401" s="2624"/>
      <c r="C401" s="1193" t="s">
        <v>902</v>
      </c>
      <c r="D401" s="880">
        <v>200000000</v>
      </c>
      <c r="E401" s="865">
        <v>200000000</v>
      </c>
      <c r="F401" s="3557">
        <f>E401/D401*100</f>
        <v>100</v>
      </c>
      <c r="G401" s="827">
        <v>100</v>
      </c>
      <c r="H401" s="2634"/>
    </row>
    <row r="402" spans="2:8" ht="16.5" customHeight="1" x14ac:dyDescent="0.25">
      <c r="B402" s="2624"/>
      <c r="C402" s="1193" t="s">
        <v>903</v>
      </c>
      <c r="D402" s="880">
        <v>298000000</v>
      </c>
      <c r="E402" s="865">
        <v>298000000</v>
      </c>
      <c r="F402" s="3557">
        <f>E402/D402*100</f>
        <v>100</v>
      </c>
      <c r="G402" s="827">
        <v>100</v>
      </c>
      <c r="H402" s="2634"/>
    </row>
    <row r="403" spans="2:8" ht="12" customHeight="1" x14ac:dyDescent="0.25">
      <c r="B403" s="2624"/>
      <c r="C403" s="1183"/>
      <c r="D403" s="827"/>
      <c r="E403" s="3879"/>
      <c r="F403" s="1126"/>
      <c r="G403" s="1314"/>
      <c r="H403" s="2634"/>
    </row>
    <row r="404" spans="2:8" ht="14.25" customHeight="1" x14ac:dyDescent="0.25">
      <c r="B404" s="2624"/>
      <c r="C404" s="1194" t="s">
        <v>269</v>
      </c>
      <c r="D404" s="3629">
        <f>SUM(D405:D419)</f>
        <v>5106280000</v>
      </c>
      <c r="E404" s="3629">
        <f>SUM(E405:E419)</f>
        <v>5106000000</v>
      </c>
      <c r="F404" s="3633">
        <f>E404/D404*100</f>
        <v>99.99451655608388</v>
      </c>
      <c r="G404" s="1316">
        <f>SUM(G405:G419)/15</f>
        <v>100</v>
      </c>
      <c r="H404" s="2634"/>
    </row>
    <row r="405" spans="2:8" ht="15" customHeight="1" x14ac:dyDescent="0.25">
      <c r="B405" s="2624"/>
      <c r="C405" s="1193" t="s">
        <v>904</v>
      </c>
      <c r="D405" s="880">
        <v>200000000</v>
      </c>
      <c r="E405" s="865">
        <v>200000000</v>
      </c>
      <c r="F405" s="3557">
        <f>E405/D405*100</f>
        <v>100</v>
      </c>
      <c r="G405" s="798">
        <v>100</v>
      </c>
      <c r="H405" s="2634"/>
    </row>
    <row r="406" spans="2:8" ht="13.5" customHeight="1" x14ac:dyDescent="0.25">
      <c r="B406" s="2624"/>
      <c r="C406" s="1193" t="s">
        <v>905</v>
      </c>
      <c r="D406" s="880">
        <v>1122000000</v>
      </c>
      <c r="E406" s="1352">
        <v>1122000000</v>
      </c>
      <c r="F406" s="3557">
        <f t="shared" ref="F406:F419" si="30">E406/D406*100</f>
        <v>100</v>
      </c>
      <c r="G406" s="798">
        <v>100</v>
      </c>
      <c r="H406" s="2634"/>
    </row>
    <row r="407" spans="2:8" ht="13.5" customHeight="1" x14ac:dyDescent="0.25">
      <c r="B407" s="2624"/>
      <c r="C407" s="1193" t="s">
        <v>906</v>
      </c>
      <c r="D407" s="880">
        <v>612000000</v>
      </c>
      <c r="E407" s="1352">
        <v>612000000</v>
      </c>
      <c r="F407" s="3557">
        <f t="shared" si="30"/>
        <v>100</v>
      </c>
      <c r="G407" s="798">
        <v>100</v>
      </c>
      <c r="H407" s="2634"/>
    </row>
    <row r="408" spans="2:8" ht="15" customHeight="1" x14ac:dyDescent="0.25">
      <c r="B408" s="2624"/>
      <c r="C408" s="1193" t="s">
        <v>907</v>
      </c>
      <c r="D408" s="880">
        <v>812280000</v>
      </c>
      <c r="E408" s="1352">
        <v>812000000</v>
      </c>
      <c r="F408" s="3557">
        <f t="shared" si="30"/>
        <v>99.965529127886938</v>
      </c>
      <c r="G408" s="1111">
        <v>100</v>
      </c>
      <c r="H408" s="2634"/>
    </row>
    <row r="409" spans="2:8" ht="13.5" customHeight="1" x14ac:dyDescent="0.25">
      <c r="B409" s="2624"/>
      <c r="C409" s="1193" t="s">
        <v>908</v>
      </c>
      <c r="D409" s="880">
        <v>200000000</v>
      </c>
      <c r="E409" s="1352">
        <v>200000000</v>
      </c>
      <c r="F409" s="3557">
        <f t="shared" si="30"/>
        <v>100</v>
      </c>
      <c r="G409" s="1310">
        <v>100</v>
      </c>
      <c r="H409" s="2634"/>
    </row>
    <row r="410" spans="2:8" ht="13.5" customHeight="1" x14ac:dyDescent="0.25">
      <c r="B410" s="2624"/>
      <c r="C410" s="1193" t="s">
        <v>909</v>
      </c>
      <c r="D410" s="880">
        <v>60000000</v>
      </c>
      <c r="E410" s="1352">
        <v>60000000</v>
      </c>
      <c r="F410" s="3557">
        <f t="shared" si="30"/>
        <v>100</v>
      </c>
      <c r="G410" s="1310">
        <v>100</v>
      </c>
      <c r="H410" s="2634"/>
    </row>
    <row r="411" spans="2:8" ht="15.75" customHeight="1" x14ac:dyDescent="0.25">
      <c r="B411" s="2624"/>
      <c r="C411" s="1193" t="s">
        <v>910</v>
      </c>
      <c r="D411" s="880">
        <v>600000000</v>
      </c>
      <c r="E411" s="1352">
        <v>600000000</v>
      </c>
      <c r="F411" s="3557">
        <f t="shared" si="30"/>
        <v>100</v>
      </c>
      <c r="G411" s="1310">
        <v>100</v>
      </c>
      <c r="H411" s="2634"/>
    </row>
    <row r="412" spans="2:8" ht="16.5" customHeight="1" x14ac:dyDescent="0.25">
      <c r="B412" s="2624"/>
      <c r="C412" s="1193" t="s">
        <v>911</v>
      </c>
      <c r="D412" s="880">
        <v>600000000</v>
      </c>
      <c r="E412" s="1352">
        <v>600000000</v>
      </c>
      <c r="F412" s="3557">
        <f t="shared" si="30"/>
        <v>100</v>
      </c>
      <c r="G412" s="1310">
        <v>100</v>
      </c>
      <c r="H412" s="2634"/>
    </row>
    <row r="413" spans="2:8" ht="15" customHeight="1" x14ac:dyDescent="0.25">
      <c r="B413" s="2624"/>
      <c r="C413" s="1193" t="s">
        <v>912</v>
      </c>
      <c r="D413" s="880">
        <v>100000000</v>
      </c>
      <c r="E413" s="1352">
        <v>100000000</v>
      </c>
      <c r="F413" s="3557">
        <f t="shared" si="30"/>
        <v>100</v>
      </c>
      <c r="G413" s="1310">
        <v>100</v>
      </c>
      <c r="H413" s="2634"/>
    </row>
    <row r="414" spans="2:8" ht="16.5" customHeight="1" x14ac:dyDescent="0.25">
      <c r="B414" s="2624"/>
      <c r="C414" s="1193" t="s">
        <v>913</v>
      </c>
      <c r="D414" s="880">
        <v>100000000</v>
      </c>
      <c r="E414" s="1352">
        <v>100000000</v>
      </c>
      <c r="F414" s="3557">
        <f t="shared" si="30"/>
        <v>100</v>
      </c>
      <c r="G414" s="1310">
        <v>100</v>
      </c>
      <c r="H414" s="2634"/>
    </row>
    <row r="415" spans="2:8" ht="15" customHeight="1" x14ac:dyDescent="0.25">
      <c r="B415" s="2624"/>
      <c r="C415" s="1193" t="s">
        <v>914</v>
      </c>
      <c r="D415" s="880">
        <v>100000000</v>
      </c>
      <c r="E415" s="1352">
        <v>100000000</v>
      </c>
      <c r="F415" s="3557">
        <f t="shared" si="30"/>
        <v>100</v>
      </c>
      <c r="G415" s="1310">
        <v>100</v>
      </c>
      <c r="H415" s="2634"/>
    </row>
    <row r="416" spans="2:8" ht="15" customHeight="1" x14ac:dyDescent="0.25">
      <c r="B416" s="2624"/>
      <c r="C416" s="1193" t="s">
        <v>915</v>
      </c>
      <c r="D416" s="880">
        <v>100000000</v>
      </c>
      <c r="E416" s="1352">
        <v>100000000</v>
      </c>
      <c r="F416" s="3557">
        <f t="shared" si="30"/>
        <v>100</v>
      </c>
      <c r="G416" s="1310">
        <v>100</v>
      </c>
      <c r="H416" s="2634"/>
    </row>
    <row r="417" spans="1:11" ht="15" customHeight="1" x14ac:dyDescent="0.25">
      <c r="B417" s="2624"/>
      <c r="C417" s="1193" t="s">
        <v>916</v>
      </c>
      <c r="D417" s="880">
        <v>100000000</v>
      </c>
      <c r="E417" s="1352">
        <v>100000000</v>
      </c>
      <c r="F417" s="3557">
        <f t="shared" si="30"/>
        <v>100</v>
      </c>
      <c r="G417" s="1310">
        <v>100</v>
      </c>
      <c r="H417" s="2634"/>
    </row>
    <row r="418" spans="1:11" ht="15" customHeight="1" x14ac:dyDescent="0.25">
      <c r="B418" s="2624"/>
      <c r="C418" s="1193" t="s">
        <v>917</v>
      </c>
      <c r="D418" s="880">
        <v>200000000</v>
      </c>
      <c r="E418" s="1352">
        <v>200000000</v>
      </c>
      <c r="F418" s="3557">
        <f t="shared" si="30"/>
        <v>100</v>
      </c>
      <c r="G418" s="1310">
        <v>100</v>
      </c>
      <c r="H418" s="2634"/>
    </row>
    <row r="419" spans="1:11" ht="15" customHeight="1" x14ac:dyDescent="0.25">
      <c r="B419" s="2624"/>
      <c r="C419" s="1193" t="s">
        <v>918</v>
      </c>
      <c r="D419" s="880">
        <v>200000000</v>
      </c>
      <c r="E419" s="1352">
        <v>200000000</v>
      </c>
      <c r="F419" s="3557">
        <f t="shared" si="30"/>
        <v>100</v>
      </c>
      <c r="G419" s="1310">
        <v>100</v>
      </c>
      <c r="H419" s="2634"/>
    </row>
    <row r="420" spans="1:11" ht="12" customHeight="1" x14ac:dyDescent="0.25">
      <c r="B420" s="2624"/>
      <c r="C420" s="1183"/>
      <c r="D420" s="3638"/>
      <c r="E420" s="3494"/>
      <c r="F420" s="2284"/>
      <c r="G420" s="2284"/>
      <c r="H420" s="2634"/>
    </row>
    <row r="421" spans="1:11" ht="18" customHeight="1" x14ac:dyDescent="0.25">
      <c r="B421" s="2624"/>
      <c r="C421" s="1194" t="s">
        <v>807</v>
      </c>
      <c r="D421" s="3639">
        <f>SUM(D422:D427)</f>
        <v>2100000000</v>
      </c>
      <c r="E421" s="3639">
        <f>SUM(E422:E427)</f>
        <v>1250000000</v>
      </c>
      <c r="F421" s="3629">
        <f t="shared" ref="F421:F426" si="31">E421/D421*100</f>
        <v>59.523809523809526</v>
      </c>
      <c r="G421" s="1316">
        <f>SUM(G422:G427)/6</f>
        <v>83.333333333333329</v>
      </c>
      <c r="H421" s="2634"/>
    </row>
    <row r="422" spans="1:11" ht="15.75" customHeight="1" x14ac:dyDescent="0.25">
      <c r="B422" s="2624"/>
      <c r="C422" s="1193" t="s">
        <v>919</v>
      </c>
      <c r="D422" s="880">
        <v>500000000</v>
      </c>
      <c r="E422" s="1352">
        <v>500000000</v>
      </c>
      <c r="F422" s="3557">
        <f t="shared" si="31"/>
        <v>100</v>
      </c>
      <c r="G422" s="3630">
        <v>100</v>
      </c>
      <c r="H422" s="2634"/>
    </row>
    <row r="423" spans="1:11" ht="15" customHeight="1" x14ac:dyDescent="0.25">
      <c r="B423" s="2624"/>
      <c r="C423" s="1193" t="s">
        <v>920</v>
      </c>
      <c r="D423" s="880">
        <v>200000000</v>
      </c>
      <c r="E423" s="1352">
        <v>200000000</v>
      </c>
      <c r="F423" s="3557">
        <f t="shared" si="31"/>
        <v>100</v>
      </c>
      <c r="G423" s="3630">
        <v>100</v>
      </c>
      <c r="H423" s="2634"/>
    </row>
    <row r="424" spans="1:11" s="2008" customFormat="1" ht="18" customHeight="1" x14ac:dyDescent="0.25">
      <c r="A424" s="5635"/>
      <c r="B424" s="5636"/>
      <c r="C424" s="5637" t="s">
        <v>921</v>
      </c>
      <c r="D424" s="5051">
        <v>200000000</v>
      </c>
      <c r="E424" s="5638">
        <v>200000000</v>
      </c>
      <c r="F424" s="5639">
        <f t="shared" si="31"/>
        <v>100</v>
      </c>
      <c r="G424" s="5640">
        <v>100</v>
      </c>
      <c r="H424" s="5632"/>
      <c r="J424" s="5641"/>
      <c r="K424" s="5641"/>
    </row>
    <row r="425" spans="1:11" s="2008" customFormat="1" ht="14.25" customHeight="1" x14ac:dyDescent="0.25">
      <c r="A425" s="5635"/>
      <c r="B425" s="5636"/>
      <c r="C425" s="5637" t="s">
        <v>922</v>
      </c>
      <c r="D425" s="5051">
        <v>200000000</v>
      </c>
      <c r="E425" s="5638">
        <v>200000000</v>
      </c>
      <c r="F425" s="5639">
        <f t="shared" si="31"/>
        <v>100</v>
      </c>
      <c r="G425" s="5049">
        <v>100</v>
      </c>
      <c r="H425" s="5632"/>
      <c r="J425" s="5641"/>
      <c r="K425" s="5641"/>
    </row>
    <row r="426" spans="1:11" ht="15.75" customHeight="1" x14ac:dyDescent="0.25">
      <c r="B426" s="2624"/>
      <c r="C426" s="1193" t="s">
        <v>923</v>
      </c>
      <c r="D426" s="880">
        <v>150000000</v>
      </c>
      <c r="E426" s="1352">
        <v>150000000</v>
      </c>
      <c r="F426" s="3557">
        <f t="shared" si="31"/>
        <v>100</v>
      </c>
      <c r="G426" s="3630">
        <v>100</v>
      </c>
      <c r="H426" s="2634"/>
    </row>
    <row r="427" spans="1:11" ht="15.75" customHeight="1" x14ac:dyDescent="0.25">
      <c r="B427" s="2624"/>
      <c r="C427" s="1193" t="s">
        <v>924</v>
      </c>
      <c r="D427" s="880">
        <v>850000000</v>
      </c>
      <c r="E427" s="865">
        <v>0</v>
      </c>
      <c r="F427" s="865">
        <v>0</v>
      </c>
      <c r="G427" s="798">
        <v>0</v>
      </c>
      <c r="H427" s="2634"/>
    </row>
    <row r="428" spans="1:11" ht="12" customHeight="1" x14ac:dyDescent="0.25">
      <c r="B428" s="2624"/>
      <c r="C428" s="1183"/>
      <c r="D428" s="3638"/>
      <c r="E428" s="3879"/>
      <c r="F428" s="1474"/>
      <c r="G428" s="1314"/>
      <c r="H428" s="2634"/>
    </row>
    <row r="429" spans="1:11" ht="14.25" customHeight="1" x14ac:dyDescent="0.25">
      <c r="B429" s="2624"/>
      <c r="C429" s="1194" t="s">
        <v>926</v>
      </c>
      <c r="D429" s="3639">
        <f>SUM(D430:D436)</f>
        <v>1500000000</v>
      </c>
      <c r="E429" s="3639">
        <f>SUM(E430:E436)</f>
        <v>1300000000</v>
      </c>
      <c r="F429" s="3633">
        <f>E429/D429*100</f>
        <v>86.666666666666671</v>
      </c>
      <c r="G429" s="1316">
        <f>SUM(G430:G437)/7</f>
        <v>85.714285714285708</v>
      </c>
      <c r="H429" s="2634"/>
    </row>
    <row r="430" spans="1:11" ht="13.5" customHeight="1" x14ac:dyDescent="0.25">
      <c r="B430" s="2624"/>
      <c r="C430" s="1193" t="s">
        <v>925</v>
      </c>
      <c r="D430" s="880">
        <v>500000000</v>
      </c>
      <c r="E430" s="1352">
        <v>500000000</v>
      </c>
      <c r="F430" s="3557">
        <f t="shared" ref="F430:F436" si="32">E430/D430*100</f>
        <v>100</v>
      </c>
      <c r="G430" s="1111">
        <v>100</v>
      </c>
      <c r="H430" s="2634"/>
    </row>
    <row r="431" spans="1:11" ht="13.5" customHeight="1" x14ac:dyDescent="0.25">
      <c r="B431" s="2624"/>
      <c r="C431" s="1193" t="s">
        <v>927</v>
      </c>
      <c r="D431" s="880">
        <v>100000000</v>
      </c>
      <c r="E431" s="1352">
        <v>100000000</v>
      </c>
      <c r="F431" s="3557">
        <f t="shared" si="32"/>
        <v>100</v>
      </c>
      <c r="G431" s="1111">
        <v>100</v>
      </c>
      <c r="H431" s="2634"/>
    </row>
    <row r="432" spans="1:11" ht="13.5" customHeight="1" x14ac:dyDescent="0.25">
      <c r="B432" s="2624"/>
      <c r="C432" s="1193" t="s">
        <v>928</v>
      </c>
      <c r="D432" s="880">
        <v>100000000</v>
      </c>
      <c r="E432" s="1352">
        <v>100000000</v>
      </c>
      <c r="F432" s="3557">
        <f t="shared" si="32"/>
        <v>100</v>
      </c>
      <c r="G432" s="1111">
        <v>100</v>
      </c>
      <c r="H432" s="2634"/>
    </row>
    <row r="433" spans="2:8" ht="15.75" customHeight="1" x14ac:dyDescent="0.25">
      <c r="B433" s="2624"/>
      <c r="C433" s="1193" t="s">
        <v>929</v>
      </c>
      <c r="D433" s="880">
        <v>200000000</v>
      </c>
      <c r="E433" s="1352">
        <v>200000000</v>
      </c>
      <c r="F433" s="3557">
        <f t="shared" si="32"/>
        <v>100</v>
      </c>
      <c r="G433" s="1111">
        <v>100</v>
      </c>
      <c r="H433" s="2634"/>
    </row>
    <row r="434" spans="2:8" ht="15" customHeight="1" x14ac:dyDescent="0.25">
      <c r="B434" s="2624"/>
      <c r="C434" s="1193" t="s">
        <v>930</v>
      </c>
      <c r="D434" s="880">
        <v>200000000</v>
      </c>
      <c r="E434" s="1352">
        <v>200000000</v>
      </c>
      <c r="F434" s="3557">
        <f t="shared" si="32"/>
        <v>100</v>
      </c>
      <c r="G434" s="1111">
        <v>100</v>
      </c>
      <c r="H434" s="2634"/>
    </row>
    <row r="435" spans="2:8" ht="13.5" customHeight="1" x14ac:dyDescent="0.25">
      <c r="B435" s="2624"/>
      <c r="C435" s="1193" t="s">
        <v>931</v>
      </c>
      <c r="D435" s="880">
        <v>200000000</v>
      </c>
      <c r="E435" s="865">
        <v>0</v>
      </c>
      <c r="F435" s="3557">
        <f t="shared" si="32"/>
        <v>0</v>
      </c>
      <c r="G435" s="798">
        <v>0</v>
      </c>
      <c r="H435" s="2634"/>
    </row>
    <row r="436" spans="2:8" ht="15.75" customHeight="1" x14ac:dyDescent="0.25">
      <c r="B436" s="2624"/>
      <c r="C436" s="1193" t="s">
        <v>932</v>
      </c>
      <c r="D436" s="880">
        <v>200000000</v>
      </c>
      <c r="E436" s="1352">
        <v>200000000</v>
      </c>
      <c r="F436" s="3557">
        <f t="shared" si="32"/>
        <v>100</v>
      </c>
      <c r="G436" s="1111">
        <v>100</v>
      </c>
      <c r="H436" s="2634"/>
    </row>
    <row r="437" spans="2:8" ht="12" customHeight="1" x14ac:dyDescent="0.25">
      <c r="B437" s="2624"/>
      <c r="C437" s="1183"/>
      <c r="D437" s="3638"/>
      <c r="E437" s="3879"/>
      <c r="F437" s="1474"/>
      <c r="G437" s="1314"/>
      <c r="H437" s="2634"/>
    </row>
    <row r="438" spans="2:8" ht="14.25" customHeight="1" x14ac:dyDescent="0.25">
      <c r="B438" s="2624"/>
      <c r="C438" s="1194" t="s">
        <v>809</v>
      </c>
      <c r="D438" s="3639">
        <f>SUM(D439:D448)</f>
        <v>14513500000</v>
      </c>
      <c r="E438" s="3639">
        <f>SUM(E439:E448)</f>
        <v>14513500000</v>
      </c>
      <c r="F438" s="3633">
        <f>E438/D438*100</f>
        <v>100</v>
      </c>
      <c r="G438" s="3629">
        <f>SUM(G439:G448)/10</f>
        <v>100</v>
      </c>
      <c r="H438" s="2634"/>
    </row>
    <row r="439" spans="2:8" ht="12.75" customHeight="1" x14ac:dyDescent="0.25">
      <c r="B439" s="2624"/>
      <c r="C439" s="1193" t="s">
        <v>933</v>
      </c>
      <c r="D439" s="880">
        <v>200000000</v>
      </c>
      <c r="E439" s="1352">
        <v>200000000</v>
      </c>
      <c r="F439" s="3557">
        <f t="shared" ref="F439:F448" si="33">E439/D439*100</f>
        <v>100</v>
      </c>
      <c r="G439" s="3630">
        <v>100</v>
      </c>
      <c r="H439" s="2634"/>
    </row>
    <row r="440" spans="2:8" ht="15" customHeight="1" x14ac:dyDescent="0.25">
      <c r="B440" s="2624"/>
      <c r="C440" s="1193" t="s">
        <v>934</v>
      </c>
      <c r="D440" s="880">
        <v>813500000</v>
      </c>
      <c r="E440" s="1352">
        <v>813500000</v>
      </c>
      <c r="F440" s="3557">
        <f t="shared" si="33"/>
        <v>100</v>
      </c>
      <c r="G440" s="3630">
        <v>100</v>
      </c>
      <c r="H440" s="2634"/>
    </row>
    <row r="441" spans="2:8" ht="17.25" customHeight="1" x14ac:dyDescent="0.25">
      <c r="B441" s="2624"/>
      <c r="C441" s="1193" t="s">
        <v>935</v>
      </c>
      <c r="D441" s="880">
        <v>100000000</v>
      </c>
      <c r="E441" s="1352">
        <v>100000000</v>
      </c>
      <c r="F441" s="3557">
        <f t="shared" si="33"/>
        <v>100</v>
      </c>
      <c r="G441" s="3630">
        <v>100</v>
      </c>
      <c r="H441" s="2634"/>
    </row>
    <row r="442" spans="2:8" ht="15.75" customHeight="1" x14ac:dyDescent="0.25">
      <c r="B442" s="2624"/>
      <c r="C442" s="1193" t="s">
        <v>936</v>
      </c>
      <c r="D442" s="880">
        <v>200000000</v>
      </c>
      <c r="E442" s="1352">
        <v>200000000</v>
      </c>
      <c r="F442" s="3557">
        <f t="shared" si="33"/>
        <v>100</v>
      </c>
      <c r="G442" s="3630">
        <v>100</v>
      </c>
      <c r="H442" s="2634"/>
    </row>
    <row r="443" spans="2:8" ht="15" customHeight="1" x14ac:dyDescent="0.25">
      <c r="B443" s="2624"/>
      <c r="C443" s="1193" t="s">
        <v>937</v>
      </c>
      <c r="D443" s="880">
        <v>1700000000</v>
      </c>
      <c r="E443" s="1352">
        <v>1700000000</v>
      </c>
      <c r="F443" s="3557">
        <f t="shared" si="33"/>
        <v>100</v>
      </c>
      <c r="G443" s="3630">
        <v>100</v>
      </c>
      <c r="H443" s="2634"/>
    </row>
    <row r="444" spans="2:8" ht="13.5" customHeight="1" x14ac:dyDescent="0.25">
      <c r="B444" s="2624"/>
      <c r="C444" s="1193" t="s">
        <v>938</v>
      </c>
      <c r="D444" s="880">
        <v>200000000</v>
      </c>
      <c r="E444" s="1352">
        <v>200000000</v>
      </c>
      <c r="F444" s="3557">
        <f t="shared" si="33"/>
        <v>100</v>
      </c>
      <c r="G444" s="3634">
        <v>100</v>
      </c>
      <c r="H444" s="2634"/>
    </row>
    <row r="445" spans="2:8" ht="15" customHeight="1" x14ac:dyDescent="0.25">
      <c r="B445" s="2624"/>
      <c r="C445" s="1193" t="s">
        <v>939</v>
      </c>
      <c r="D445" s="880">
        <v>150000000</v>
      </c>
      <c r="E445" s="1352">
        <v>150000000</v>
      </c>
      <c r="F445" s="3557">
        <f t="shared" si="33"/>
        <v>100</v>
      </c>
      <c r="G445" s="3634">
        <v>100</v>
      </c>
      <c r="H445" s="2634"/>
    </row>
    <row r="446" spans="2:8" ht="13.5" customHeight="1" x14ac:dyDescent="0.25">
      <c r="B446" s="2624"/>
      <c r="C446" s="1193" t="s">
        <v>940</v>
      </c>
      <c r="D446" s="880">
        <v>5000000000</v>
      </c>
      <c r="E446" s="1352">
        <v>5000000000</v>
      </c>
      <c r="F446" s="3557">
        <f t="shared" si="33"/>
        <v>100</v>
      </c>
      <c r="G446" s="3634">
        <v>100</v>
      </c>
      <c r="H446" s="2634"/>
    </row>
    <row r="447" spans="2:8" ht="16.5" customHeight="1" x14ac:dyDescent="0.25">
      <c r="B447" s="2624"/>
      <c r="C447" s="1193" t="s">
        <v>941</v>
      </c>
      <c r="D447" s="880">
        <v>6000000000</v>
      </c>
      <c r="E447" s="865">
        <v>6000000000</v>
      </c>
      <c r="F447" s="3557">
        <f t="shared" si="33"/>
        <v>100</v>
      </c>
      <c r="G447" s="798">
        <v>100</v>
      </c>
      <c r="H447" s="2634"/>
    </row>
    <row r="448" spans="2:8" ht="18.75" customHeight="1" x14ac:dyDescent="0.25">
      <c r="B448" s="2624"/>
      <c r="C448" s="1193" t="s">
        <v>942</v>
      </c>
      <c r="D448" s="880">
        <v>150000000</v>
      </c>
      <c r="E448" s="1352">
        <v>150000000</v>
      </c>
      <c r="F448" s="3557">
        <f t="shared" si="33"/>
        <v>100</v>
      </c>
      <c r="G448" s="3634">
        <v>100</v>
      </c>
      <c r="H448" s="2634"/>
    </row>
    <row r="449" spans="2:8" ht="12" customHeight="1" x14ac:dyDescent="0.25">
      <c r="B449" s="2624"/>
      <c r="C449" s="1271"/>
      <c r="D449" s="1007"/>
      <c r="E449" s="3879"/>
      <c r="F449" s="3620"/>
      <c r="G449" s="3634"/>
      <c r="H449" s="2634"/>
    </row>
    <row r="450" spans="2:8" ht="16.5" customHeight="1" x14ac:dyDescent="0.25">
      <c r="B450" s="2624"/>
      <c r="C450" s="1256" t="s">
        <v>943</v>
      </c>
      <c r="D450" s="954">
        <f>SUM(D451:D458)</f>
        <v>3700000000</v>
      </c>
      <c r="E450" s="954">
        <f>SUM(E451:E458)</f>
        <v>3659980000</v>
      </c>
      <c r="F450" s="3633">
        <f>E450/D450*100</f>
        <v>98.918378378378378</v>
      </c>
      <c r="G450" s="1018">
        <f>SUM(G451:G458)/8</f>
        <v>100</v>
      </c>
      <c r="H450" s="2634"/>
    </row>
    <row r="451" spans="2:8" ht="15.75" customHeight="1" x14ac:dyDescent="0.25">
      <c r="B451" s="2624"/>
      <c r="C451" s="1193" t="s">
        <v>944</v>
      </c>
      <c r="D451" s="880">
        <v>200000000</v>
      </c>
      <c r="E451" s="865">
        <v>200000000</v>
      </c>
      <c r="F451" s="3557">
        <f t="shared" ref="F451:F458" si="34">E451/D451*100</f>
        <v>100</v>
      </c>
      <c r="G451" s="798">
        <v>100</v>
      </c>
      <c r="H451" s="2634"/>
    </row>
    <row r="452" spans="2:8" ht="15" customHeight="1" x14ac:dyDescent="0.25">
      <c r="B452" s="2624"/>
      <c r="C452" s="1193" t="s">
        <v>945</v>
      </c>
      <c r="D452" s="880">
        <v>300000000</v>
      </c>
      <c r="E452" s="865">
        <v>299980000</v>
      </c>
      <c r="F452" s="3557">
        <f t="shared" si="34"/>
        <v>99.993333333333339</v>
      </c>
      <c r="G452" s="798">
        <v>100</v>
      </c>
      <c r="H452" s="2634"/>
    </row>
    <row r="453" spans="2:8" ht="15" customHeight="1" x14ac:dyDescent="0.25">
      <c r="B453" s="2624"/>
      <c r="C453" s="1193" t="s">
        <v>946</v>
      </c>
      <c r="D453" s="880">
        <v>500000000</v>
      </c>
      <c r="E453" s="1352">
        <v>500000000</v>
      </c>
      <c r="F453" s="3557">
        <f t="shared" si="34"/>
        <v>100</v>
      </c>
      <c r="G453" s="798">
        <v>100</v>
      </c>
      <c r="H453" s="2634"/>
    </row>
    <row r="454" spans="2:8" ht="15.75" customHeight="1" x14ac:dyDescent="0.25">
      <c r="B454" s="2624"/>
      <c r="C454" s="1193" t="s">
        <v>947</v>
      </c>
      <c r="D454" s="880">
        <v>600000000</v>
      </c>
      <c r="E454" s="1352">
        <v>579000000</v>
      </c>
      <c r="F454" s="3557">
        <f t="shared" si="34"/>
        <v>96.5</v>
      </c>
      <c r="G454" s="798">
        <v>100</v>
      </c>
      <c r="H454" s="2634"/>
    </row>
    <row r="455" spans="2:8" ht="13.5" customHeight="1" x14ac:dyDescent="0.25">
      <c r="B455" s="2624"/>
      <c r="C455" s="1193" t="s">
        <v>948</v>
      </c>
      <c r="D455" s="880">
        <v>500000000</v>
      </c>
      <c r="E455" s="1352">
        <v>500000000</v>
      </c>
      <c r="F455" s="3557">
        <f t="shared" si="34"/>
        <v>100</v>
      </c>
      <c r="G455" s="798">
        <v>100</v>
      </c>
      <c r="H455" s="2634"/>
    </row>
    <row r="456" spans="2:8" ht="15.75" customHeight="1" x14ac:dyDescent="0.25">
      <c r="B456" s="2624"/>
      <c r="C456" s="1193" t="s">
        <v>949</v>
      </c>
      <c r="D456" s="880">
        <v>600000000</v>
      </c>
      <c r="E456" s="1352">
        <v>582000000</v>
      </c>
      <c r="F456" s="3557">
        <f t="shared" si="34"/>
        <v>97</v>
      </c>
      <c r="G456" s="798">
        <v>100</v>
      </c>
      <c r="H456" s="2634"/>
    </row>
    <row r="457" spans="2:8" ht="15" customHeight="1" x14ac:dyDescent="0.25">
      <c r="B457" s="2624"/>
      <c r="C457" s="1193" t="s">
        <v>950</v>
      </c>
      <c r="D457" s="880">
        <v>500000000</v>
      </c>
      <c r="E457" s="1352">
        <v>500000000</v>
      </c>
      <c r="F457" s="3557">
        <f t="shared" si="34"/>
        <v>100</v>
      </c>
      <c r="G457" s="798">
        <v>100</v>
      </c>
      <c r="H457" s="2634"/>
    </row>
    <row r="458" spans="2:8" ht="13.5" customHeight="1" x14ac:dyDescent="0.25">
      <c r="B458" s="2624"/>
      <c r="C458" s="1193" t="s">
        <v>951</v>
      </c>
      <c r="D458" s="880">
        <v>500000000</v>
      </c>
      <c r="E458" s="865">
        <v>499000000</v>
      </c>
      <c r="F458" s="3557">
        <f t="shared" si="34"/>
        <v>99.8</v>
      </c>
      <c r="G458" s="798">
        <v>100</v>
      </c>
      <c r="H458" s="2634"/>
    </row>
    <row r="459" spans="2:8" ht="12" customHeight="1" x14ac:dyDescent="0.25">
      <c r="B459" s="2624"/>
      <c r="C459" s="1271"/>
      <c r="D459" s="5131"/>
      <c r="E459" s="3491"/>
      <c r="F459" s="827"/>
      <c r="G459" s="973"/>
      <c r="H459" s="2634"/>
    </row>
    <row r="460" spans="2:8" ht="14.25" customHeight="1" x14ac:dyDescent="0.25">
      <c r="B460" s="2624"/>
      <c r="C460" s="1180" t="s">
        <v>994</v>
      </c>
      <c r="D460" s="3631">
        <f>SUM(D461)</f>
        <v>11000000000</v>
      </c>
      <c r="E460" s="3631">
        <f>SUM(E461)</f>
        <v>2050000000</v>
      </c>
      <c r="F460" s="1445">
        <f>SUM(E460/D460)*100</f>
        <v>18.636363636363637</v>
      </c>
      <c r="G460" s="1645">
        <f>SUM(G461)/1</f>
        <v>15</v>
      </c>
      <c r="H460" s="2634"/>
    </row>
    <row r="461" spans="2:8" ht="15" customHeight="1" x14ac:dyDescent="0.25">
      <c r="B461" s="2624"/>
      <c r="C461" s="1282" t="s">
        <v>995</v>
      </c>
      <c r="D461" s="3641">
        <f>SUM(D462:D463)</f>
        <v>11000000000</v>
      </c>
      <c r="E461" s="3641">
        <f>SUM(E462:E463)</f>
        <v>2050000000</v>
      </c>
      <c r="F461" s="1446">
        <f>SUM(E461/D461)*100</f>
        <v>18.636363636363637</v>
      </c>
      <c r="G461" s="1309">
        <f>SUM(G462:G463)/2</f>
        <v>15</v>
      </c>
      <c r="H461" s="2634"/>
    </row>
    <row r="462" spans="2:8" ht="13.5" customHeight="1" x14ac:dyDescent="0.25">
      <c r="B462" s="2624"/>
      <c r="C462" s="1193" t="s">
        <v>996</v>
      </c>
      <c r="D462" s="5132">
        <v>10000000000</v>
      </c>
      <c r="E462" s="5132">
        <v>2050000000</v>
      </c>
      <c r="F462" s="3557">
        <f t="shared" ref="F462:F463" si="35">E462/D462*100</f>
        <v>20.5</v>
      </c>
      <c r="G462" s="1111">
        <v>30</v>
      </c>
      <c r="H462" s="2634"/>
    </row>
    <row r="463" spans="2:8" ht="13.5" customHeight="1" x14ac:dyDescent="0.25">
      <c r="B463" s="2627"/>
      <c r="C463" s="1195" t="s">
        <v>1000</v>
      </c>
      <c r="D463" s="638">
        <v>1000000000</v>
      </c>
      <c r="E463" s="3634">
        <v>0</v>
      </c>
      <c r="F463" s="3557">
        <f t="shared" si="35"/>
        <v>0</v>
      </c>
      <c r="G463" s="3634">
        <v>0</v>
      </c>
      <c r="H463" s="2634"/>
    </row>
    <row r="464" spans="2:8" ht="12" customHeight="1" x14ac:dyDescent="0.25">
      <c r="B464" s="2627"/>
      <c r="C464" s="1271"/>
      <c r="D464" s="1651"/>
      <c r="E464" s="2234"/>
      <c r="F464" s="1324"/>
      <c r="G464" s="788"/>
      <c r="H464" s="2634"/>
    </row>
    <row r="465" spans="1:11" s="269" customFormat="1" ht="16.5" customHeight="1" x14ac:dyDescent="0.25">
      <c r="A465" s="505"/>
      <c r="B465" s="2724"/>
      <c r="C465" s="1297" t="s">
        <v>604</v>
      </c>
      <c r="D465" s="5130">
        <f>SUM(D467+D540)</f>
        <v>34975190900</v>
      </c>
      <c r="E465" s="5147">
        <f>SUM(E467+E540)</f>
        <v>34085083739</v>
      </c>
      <c r="F465" s="1471">
        <f>E465/D465*100</f>
        <v>97.455032730071537</v>
      </c>
      <c r="G465" s="2530">
        <f>SUM(G467+G540)/2</f>
        <v>99.046734114146261</v>
      </c>
      <c r="H465" s="3425"/>
      <c r="J465" s="2069"/>
      <c r="K465" s="2069"/>
    </row>
    <row r="466" spans="1:11" s="276" customFormat="1" ht="7.5" customHeight="1" x14ac:dyDescent="0.25">
      <c r="A466" s="5157"/>
      <c r="B466" s="5158"/>
      <c r="C466" s="3977"/>
      <c r="D466" s="5155"/>
      <c r="E466" s="5159"/>
      <c r="F466" s="1468"/>
      <c r="G466" s="2792"/>
      <c r="H466" s="5160"/>
      <c r="J466" s="2148"/>
      <c r="K466" s="2148"/>
    </row>
    <row r="467" spans="1:11" ht="17.25" customHeight="1" x14ac:dyDescent="0.25">
      <c r="B467" s="2743"/>
      <c r="C467" s="1284" t="s">
        <v>238</v>
      </c>
      <c r="D467" s="1022">
        <f>SUM(D468+D471+D499+D503+D510+D513+D529+D535)</f>
        <v>31478042900</v>
      </c>
      <c r="E467" s="1022">
        <f>SUM(E468+E471+E499+E503+E510+E513+E529+E535)</f>
        <v>30587935739</v>
      </c>
      <c r="F467" s="1907">
        <f>E467/D467*100</f>
        <v>97.172291924794337</v>
      </c>
      <c r="G467" s="4147">
        <f>SUM(G468+G471+G499+G503+G510+G513+G529+G535)/8</f>
        <v>98.093468228292537</v>
      </c>
      <c r="H467" s="2634"/>
    </row>
    <row r="468" spans="1:11" ht="18.75" customHeight="1" x14ac:dyDescent="0.25">
      <c r="B468" s="2630"/>
      <c r="C468" s="1200" t="s">
        <v>355</v>
      </c>
      <c r="D468" s="4114">
        <v>150000000</v>
      </c>
      <c r="E468" s="4114">
        <v>149500000</v>
      </c>
      <c r="F468" s="1908">
        <f>E468/D468*100</f>
        <v>99.666666666666671</v>
      </c>
      <c r="G468" s="1316">
        <f>G469</f>
        <v>99.67</v>
      </c>
      <c r="H468" s="2634"/>
    </row>
    <row r="469" spans="1:11" ht="18" customHeight="1" x14ac:dyDescent="0.25">
      <c r="B469" s="2630"/>
      <c r="C469" s="1196" t="s">
        <v>1898</v>
      </c>
      <c r="D469" s="4113">
        <v>150000000</v>
      </c>
      <c r="E469" s="1328">
        <v>149500000</v>
      </c>
      <c r="F469" s="1310">
        <f>E469/D469*100</f>
        <v>99.666666666666671</v>
      </c>
      <c r="G469" s="1929">
        <v>99.67</v>
      </c>
      <c r="H469" s="2634"/>
    </row>
    <row r="470" spans="1:11" ht="12" customHeight="1" x14ac:dyDescent="0.25">
      <c r="B470" s="2630"/>
      <c r="C470" s="1196"/>
      <c r="D470" s="311"/>
      <c r="E470" s="666"/>
      <c r="F470" s="1929"/>
      <c r="G470" s="1929"/>
      <c r="H470" s="2634"/>
    </row>
    <row r="471" spans="1:11" ht="16.5" customHeight="1" x14ac:dyDescent="0.25">
      <c r="B471" s="2630"/>
      <c r="C471" s="1200" t="s">
        <v>356</v>
      </c>
      <c r="D471" s="4053">
        <f>SUM(D472:D497)</f>
        <v>13608042900</v>
      </c>
      <c r="E471" s="4053">
        <f>SUM(E472:E497)</f>
        <v>12983591641</v>
      </c>
      <c r="F471" s="1908">
        <f>E471/D471*100</f>
        <v>95.411160417491033</v>
      </c>
      <c r="G471" s="2410">
        <f>SUM(G472:G497)/26</f>
        <v>93.865213047428369</v>
      </c>
      <c r="H471" s="2634">
        <v>93.865213047428369</v>
      </c>
    </row>
    <row r="472" spans="1:11" ht="15.75" customHeight="1" x14ac:dyDescent="0.25">
      <c r="B472" s="2630"/>
      <c r="C472" s="1196" t="s">
        <v>3643</v>
      </c>
      <c r="D472" s="4113">
        <v>4500000000</v>
      </c>
      <c r="E472" s="1929">
        <v>4411830000</v>
      </c>
      <c r="F472" s="1310">
        <f>E472/D472*100</f>
        <v>98.040666666666667</v>
      </c>
      <c r="G472" s="1929">
        <v>98.040666666666667</v>
      </c>
      <c r="H472" s="2634"/>
    </row>
    <row r="473" spans="1:11" ht="15.75" customHeight="1" x14ac:dyDescent="0.25">
      <c r="B473" s="2630"/>
      <c r="C473" s="1196" t="s">
        <v>3644</v>
      </c>
      <c r="D473" s="4113">
        <v>943975000</v>
      </c>
      <c r="E473" s="1929">
        <v>941538641</v>
      </c>
      <c r="F473" s="1929">
        <f t="shared" ref="F473:F497" si="36">E473/D473*100</f>
        <v>99.741904287719478</v>
      </c>
      <c r="G473" s="3495">
        <v>99.741904287719478</v>
      </c>
      <c r="H473" s="2634"/>
    </row>
    <row r="474" spans="1:11" ht="13.5" customHeight="1" x14ac:dyDescent="0.25">
      <c r="B474" s="2630"/>
      <c r="C474" s="1196" t="s">
        <v>3645</v>
      </c>
      <c r="D474" s="4113">
        <v>500000000</v>
      </c>
      <c r="E474" s="666">
        <v>499600000</v>
      </c>
      <c r="F474" s="1310">
        <f t="shared" si="36"/>
        <v>99.92</v>
      </c>
      <c r="G474" s="1111">
        <v>99.92</v>
      </c>
      <c r="H474" s="2634"/>
    </row>
    <row r="475" spans="1:11" ht="16.5" customHeight="1" x14ac:dyDescent="0.25">
      <c r="B475" s="2630"/>
      <c r="C475" s="1196" t="s">
        <v>3646</v>
      </c>
      <c r="D475" s="4113">
        <v>200000000</v>
      </c>
      <c r="E475" s="666">
        <v>199600000</v>
      </c>
      <c r="F475" s="1929">
        <f t="shared" si="36"/>
        <v>99.8</v>
      </c>
      <c r="G475" s="3768">
        <v>99.8</v>
      </c>
      <c r="H475" s="2634"/>
    </row>
    <row r="476" spans="1:11" ht="14.25" customHeight="1" x14ac:dyDescent="0.25">
      <c r="B476" s="2630"/>
      <c r="C476" s="1196" t="s">
        <v>3605</v>
      </c>
      <c r="D476" s="4113">
        <v>300000000</v>
      </c>
      <c r="E476" s="666">
        <v>299500000</v>
      </c>
      <c r="F476" s="1310">
        <f t="shared" si="36"/>
        <v>99.833333333333329</v>
      </c>
      <c r="G476" s="1929">
        <v>99.833333333333329</v>
      </c>
      <c r="H476" s="2634"/>
    </row>
    <row r="477" spans="1:11" ht="14.25" customHeight="1" x14ac:dyDescent="0.25">
      <c r="B477" s="2630"/>
      <c r="C477" s="1196" t="s">
        <v>3606</v>
      </c>
      <c r="D477" s="4113">
        <v>300000000</v>
      </c>
      <c r="E477" s="666">
        <v>299500000</v>
      </c>
      <c r="F477" s="1929">
        <f t="shared" si="36"/>
        <v>99.833333333333329</v>
      </c>
      <c r="G477" s="1929">
        <v>99.833333333333329</v>
      </c>
      <c r="H477" s="2634"/>
    </row>
    <row r="478" spans="1:11" ht="15" customHeight="1" x14ac:dyDescent="0.25">
      <c r="B478" s="2630"/>
      <c r="C478" s="1196" t="s">
        <v>3607</v>
      </c>
      <c r="D478" s="4113">
        <v>350000000</v>
      </c>
      <c r="E478" s="1929">
        <v>349500000</v>
      </c>
      <c r="F478" s="1310">
        <f t="shared" si="36"/>
        <v>99.857142857142861</v>
      </c>
      <c r="G478" s="1929">
        <v>99.857142857142861</v>
      </c>
      <c r="H478" s="2634"/>
    </row>
    <row r="479" spans="1:11" ht="16.5" customHeight="1" x14ac:dyDescent="0.25">
      <c r="B479" s="2630"/>
      <c r="C479" s="1196" t="s">
        <v>3608</v>
      </c>
      <c r="D479" s="4113">
        <v>200000000</v>
      </c>
      <c r="E479" s="1929">
        <v>193500000</v>
      </c>
      <c r="F479" s="1929">
        <f t="shared" si="36"/>
        <v>96.75</v>
      </c>
      <c r="G479" s="1929">
        <v>96.75</v>
      </c>
      <c r="H479" s="2634"/>
    </row>
    <row r="480" spans="1:11" ht="15.75" customHeight="1" x14ac:dyDescent="0.25">
      <c r="B480" s="2630"/>
      <c r="C480" s="1196" t="s">
        <v>3609</v>
      </c>
      <c r="D480" s="4113">
        <v>500000000</v>
      </c>
      <c r="E480" s="1929">
        <v>450000000</v>
      </c>
      <c r="F480" s="1310">
        <f t="shared" si="36"/>
        <v>90</v>
      </c>
      <c r="G480" s="1929">
        <v>90</v>
      </c>
      <c r="H480" s="2634"/>
    </row>
    <row r="481" spans="2:8" ht="13.5" customHeight="1" x14ac:dyDescent="0.25">
      <c r="B481" s="2630"/>
      <c r="C481" s="1196" t="s">
        <v>3610</v>
      </c>
      <c r="D481" s="4113">
        <v>545000000</v>
      </c>
      <c r="E481" s="666">
        <v>545000000</v>
      </c>
      <c r="F481" s="1929">
        <f t="shared" si="36"/>
        <v>100</v>
      </c>
      <c r="G481" s="1929">
        <v>100</v>
      </c>
      <c r="H481" s="2634"/>
    </row>
    <row r="482" spans="2:8" ht="13.5" customHeight="1" x14ac:dyDescent="0.25">
      <c r="B482" s="2630"/>
      <c r="C482" s="1196" t="s">
        <v>3611</v>
      </c>
      <c r="D482" s="4113">
        <v>350000000</v>
      </c>
      <c r="E482" s="666">
        <v>349600000</v>
      </c>
      <c r="F482" s="1310">
        <f t="shared" si="36"/>
        <v>99.885714285714286</v>
      </c>
      <c r="G482" s="1929">
        <v>99.885714285714286</v>
      </c>
      <c r="H482" s="2634"/>
    </row>
    <row r="483" spans="2:8" ht="14.25" customHeight="1" x14ac:dyDescent="0.25">
      <c r="B483" s="2630"/>
      <c r="C483" s="1196" t="s">
        <v>3612</v>
      </c>
      <c r="D483" s="4113">
        <v>250000000</v>
      </c>
      <c r="E483" s="666">
        <v>249750000</v>
      </c>
      <c r="F483" s="1929">
        <f t="shared" si="36"/>
        <v>99.9</v>
      </c>
      <c r="G483" s="1929">
        <v>99.9</v>
      </c>
      <c r="H483" s="2634"/>
    </row>
    <row r="484" spans="2:8" ht="15" customHeight="1" x14ac:dyDescent="0.25">
      <c r="B484" s="2630"/>
      <c r="C484" s="1196" t="s">
        <v>3613</v>
      </c>
      <c r="D484" s="4113">
        <v>306894900</v>
      </c>
      <c r="E484" s="666">
        <v>299500000</v>
      </c>
      <c r="F484" s="1310">
        <f t="shared" si="36"/>
        <v>97.590412874244564</v>
      </c>
      <c r="G484" s="1929">
        <v>97.590412874244564</v>
      </c>
      <c r="H484" s="2634"/>
    </row>
    <row r="485" spans="2:8" ht="15.75" customHeight="1" x14ac:dyDescent="0.25">
      <c r="B485" s="2630"/>
      <c r="C485" s="1196" t="s">
        <v>3614</v>
      </c>
      <c r="D485" s="4113">
        <v>300000000</v>
      </c>
      <c r="E485" s="666">
        <v>299500000</v>
      </c>
      <c r="F485" s="1929">
        <f t="shared" si="36"/>
        <v>99.833333333333329</v>
      </c>
      <c r="G485" s="1314">
        <v>99.833333333333329</v>
      </c>
      <c r="H485" s="2634"/>
    </row>
    <row r="486" spans="2:8" ht="12.75" customHeight="1" x14ac:dyDescent="0.25">
      <c r="B486" s="2630"/>
      <c r="C486" s="1196" t="s">
        <v>3615</v>
      </c>
      <c r="D486" s="4113">
        <v>300000000</v>
      </c>
      <c r="E486" s="666">
        <v>299500000</v>
      </c>
      <c r="F486" s="1310">
        <f t="shared" si="36"/>
        <v>99.833333333333329</v>
      </c>
      <c r="G486" s="1111">
        <v>99.833333333333329</v>
      </c>
      <c r="H486" s="2634"/>
    </row>
    <row r="487" spans="2:8" ht="15" customHeight="1" x14ac:dyDescent="0.25">
      <c r="B487" s="2630"/>
      <c r="C487" s="1196" t="s">
        <v>3616</v>
      </c>
      <c r="D487" s="4113">
        <v>350000000</v>
      </c>
      <c r="E487" s="3879">
        <v>349050000</v>
      </c>
      <c r="F487" s="1929">
        <f t="shared" si="36"/>
        <v>99.728571428571428</v>
      </c>
      <c r="G487" s="1929">
        <v>99.728571428571428</v>
      </c>
      <c r="H487" s="2634"/>
    </row>
    <row r="488" spans="2:8" ht="15.75" customHeight="1" x14ac:dyDescent="0.25">
      <c r="B488" s="2630"/>
      <c r="C488" s="1196" t="s">
        <v>3617</v>
      </c>
      <c r="D488" s="4113">
        <v>350000000</v>
      </c>
      <c r="E488" s="3879">
        <v>349500000</v>
      </c>
      <c r="F488" s="1310">
        <f t="shared" si="36"/>
        <v>99.857142857142861</v>
      </c>
      <c r="G488" s="3630">
        <v>99.857142857142861</v>
      </c>
      <c r="H488" s="2634"/>
    </row>
    <row r="489" spans="2:8" ht="15.75" customHeight="1" x14ac:dyDescent="0.25">
      <c r="B489" s="2630"/>
      <c r="C489" s="1196" t="s">
        <v>3618</v>
      </c>
      <c r="D489" s="4113">
        <v>350000000</v>
      </c>
      <c r="E489" s="3879">
        <v>337000000</v>
      </c>
      <c r="F489" s="1929">
        <f t="shared" si="36"/>
        <v>96.285714285714292</v>
      </c>
      <c r="G489" s="3630">
        <v>96.285714285714292</v>
      </c>
      <c r="H489" s="2634"/>
    </row>
    <row r="490" spans="2:8" ht="15" customHeight="1" x14ac:dyDescent="0.25">
      <c r="B490" s="2630"/>
      <c r="C490" s="1196" t="s">
        <v>3619</v>
      </c>
      <c r="D490" s="4113">
        <v>350000000</v>
      </c>
      <c r="E490" s="3879">
        <v>349500000</v>
      </c>
      <c r="F490" s="1310">
        <f t="shared" si="36"/>
        <v>99.857142857142861</v>
      </c>
      <c r="G490" s="3630">
        <v>99.857142857142861</v>
      </c>
      <c r="H490" s="2634"/>
    </row>
    <row r="491" spans="2:8" ht="14.25" customHeight="1" x14ac:dyDescent="0.25">
      <c r="B491" s="2630"/>
      <c r="C491" s="1196" t="s">
        <v>3620</v>
      </c>
      <c r="D491" s="4113">
        <v>350000000</v>
      </c>
      <c r="E491" s="3879">
        <v>338500000</v>
      </c>
      <c r="F491" s="1929">
        <f t="shared" si="36"/>
        <v>96.714285714285722</v>
      </c>
      <c r="G491" s="3630">
        <v>96.714285714285722</v>
      </c>
      <c r="H491" s="2634"/>
    </row>
    <row r="492" spans="2:8" ht="18" customHeight="1" x14ac:dyDescent="0.25">
      <c r="B492" s="2630"/>
      <c r="C492" s="1196" t="s">
        <v>3621</v>
      </c>
      <c r="D492" s="4113">
        <v>350000000</v>
      </c>
      <c r="E492" s="3879">
        <v>129850000</v>
      </c>
      <c r="F492" s="1310">
        <f t="shared" si="36"/>
        <v>37.1</v>
      </c>
      <c r="G492" s="3630">
        <v>37.1</v>
      </c>
      <c r="H492" s="2634"/>
    </row>
    <row r="493" spans="2:8" ht="18" customHeight="1" x14ac:dyDescent="0.25">
      <c r="B493" s="2630"/>
      <c r="C493" s="1196" t="s">
        <v>3622</v>
      </c>
      <c r="D493" s="4113">
        <v>200000000</v>
      </c>
      <c r="E493" s="666">
        <v>199500000</v>
      </c>
      <c r="F493" s="1929">
        <f t="shared" si="36"/>
        <v>99.75</v>
      </c>
      <c r="G493" s="3630">
        <v>99.75</v>
      </c>
      <c r="H493" s="2634"/>
    </row>
    <row r="494" spans="2:8" ht="14.25" customHeight="1" x14ac:dyDescent="0.25">
      <c r="B494" s="2630"/>
      <c r="C494" s="1196" t="s">
        <v>3623</v>
      </c>
      <c r="D494" s="4113">
        <v>300000000</v>
      </c>
      <c r="E494" s="666">
        <v>110850000</v>
      </c>
      <c r="F494" s="1310">
        <f t="shared" si="36"/>
        <v>36.950000000000003</v>
      </c>
      <c r="G494" s="1111">
        <v>36.950000000000003</v>
      </c>
      <c r="H494" s="2634"/>
    </row>
    <row r="495" spans="2:8" ht="19.5" customHeight="1" x14ac:dyDescent="0.25">
      <c r="B495" s="2630"/>
      <c r="C495" s="1196" t="s">
        <v>3624</v>
      </c>
      <c r="D495" s="4113">
        <v>250000000</v>
      </c>
      <c r="E495" s="3768">
        <v>244250000</v>
      </c>
      <c r="F495" s="1929">
        <f t="shared" si="36"/>
        <v>97.7</v>
      </c>
      <c r="G495" s="1111">
        <v>97.7</v>
      </c>
      <c r="H495" s="2634"/>
    </row>
    <row r="496" spans="2:8" ht="20.25" customHeight="1" x14ac:dyDescent="0.25">
      <c r="B496" s="2630"/>
      <c r="C496" s="1196" t="s">
        <v>3625</v>
      </c>
      <c r="D496" s="4113">
        <v>562523000</v>
      </c>
      <c r="E496" s="3879">
        <v>538523000</v>
      </c>
      <c r="F496" s="1310">
        <f t="shared" si="36"/>
        <v>95.733507785459437</v>
      </c>
      <c r="G496" s="3768">
        <v>95.733507785459437</v>
      </c>
      <c r="H496" s="2634"/>
    </row>
    <row r="497" spans="2:8" ht="28.5" customHeight="1" x14ac:dyDescent="0.25">
      <c r="B497" s="2630"/>
      <c r="C497" s="1196" t="s">
        <v>3626</v>
      </c>
      <c r="D497" s="971">
        <v>349650000</v>
      </c>
      <c r="E497" s="3879">
        <v>349650000</v>
      </c>
      <c r="F497" s="1929">
        <f t="shared" si="36"/>
        <v>100</v>
      </c>
      <c r="G497" s="3630">
        <v>100</v>
      </c>
      <c r="H497" s="2634"/>
    </row>
    <row r="498" spans="2:8" ht="12.75" customHeight="1" x14ac:dyDescent="0.25">
      <c r="B498" s="2630"/>
      <c r="C498" s="1196"/>
      <c r="D498" s="311"/>
      <c r="E498" s="3556"/>
      <c r="F498" s="1310"/>
      <c r="G498" s="1310"/>
      <c r="H498" s="2634"/>
    </row>
    <row r="499" spans="2:8" ht="14.25" customHeight="1" x14ac:dyDescent="0.25">
      <c r="B499" s="2630"/>
      <c r="C499" s="1200" t="s">
        <v>1334</v>
      </c>
      <c r="D499" s="4114">
        <v>450000000</v>
      </c>
      <c r="E499" s="4114">
        <v>445590000</v>
      </c>
      <c r="F499" s="1908">
        <f>E499/D499*100</f>
        <v>99.02</v>
      </c>
      <c r="G499" s="3629">
        <f>SUM(G500:G501)/2</f>
        <v>99.263666666666666</v>
      </c>
      <c r="H499" s="2634"/>
    </row>
    <row r="500" spans="2:8" ht="18.75" customHeight="1" x14ac:dyDescent="0.25">
      <c r="B500" s="2630"/>
      <c r="C500" s="1196" t="s">
        <v>1937</v>
      </c>
      <c r="D500" s="4113">
        <v>150000000</v>
      </c>
      <c r="E500" s="1111">
        <v>149992000</v>
      </c>
      <c r="F500" s="1310">
        <f>E500/D500*100</f>
        <v>99.99466666666666</v>
      </c>
      <c r="G500" s="1111">
        <v>99.99466666666666</v>
      </c>
      <c r="H500" s="2634"/>
    </row>
    <row r="501" spans="2:8" ht="15.75" customHeight="1" x14ac:dyDescent="0.25">
      <c r="B501" s="2630"/>
      <c r="C501" s="1196" t="s">
        <v>1938</v>
      </c>
      <c r="D501" s="4113">
        <v>300000000</v>
      </c>
      <c r="E501" s="3879">
        <v>295598000</v>
      </c>
      <c r="F501" s="1310">
        <f>E501/D501*100</f>
        <v>98.532666666666671</v>
      </c>
      <c r="G501" s="1111">
        <v>98.532666666666671</v>
      </c>
      <c r="H501" s="2634"/>
    </row>
    <row r="502" spans="2:8" ht="12.75" customHeight="1" x14ac:dyDescent="0.25">
      <c r="B502" s="2630"/>
      <c r="C502" s="1196"/>
      <c r="D502" s="311"/>
      <c r="E502" s="1111"/>
      <c r="F502" s="1310"/>
      <c r="G502" s="3630"/>
      <c r="H502" s="2634"/>
    </row>
    <row r="503" spans="2:8" ht="18" customHeight="1" x14ac:dyDescent="0.25">
      <c r="B503" s="2630"/>
      <c r="C503" s="1200" t="s">
        <v>1897</v>
      </c>
      <c r="D503" s="4114">
        <v>11570000000</v>
      </c>
      <c r="E503" s="4114">
        <v>11441080632</v>
      </c>
      <c r="F503" s="1908">
        <f t="shared" ref="F503:F508" si="37">E503/D503*100</f>
        <v>98.885744442523773</v>
      </c>
      <c r="G503" s="1316">
        <f>SUM(G504:G508)/5</f>
        <v>98.953449664286637</v>
      </c>
      <c r="H503" s="2634"/>
    </row>
    <row r="504" spans="2:8" ht="19.5" customHeight="1" x14ac:dyDescent="0.25">
      <c r="B504" s="2630"/>
      <c r="C504" s="1196" t="s">
        <v>3628</v>
      </c>
      <c r="D504" s="4113">
        <v>10420000000</v>
      </c>
      <c r="E504" s="3879">
        <v>10300760000</v>
      </c>
      <c r="F504" s="1310">
        <f t="shared" si="37"/>
        <v>98.855662188099814</v>
      </c>
      <c r="G504" s="1111">
        <v>98.855662188099814</v>
      </c>
      <c r="H504" s="2634"/>
    </row>
    <row r="505" spans="2:8" ht="18" customHeight="1" x14ac:dyDescent="0.25">
      <c r="B505" s="2630"/>
      <c r="C505" s="1196" t="s">
        <v>3627</v>
      </c>
      <c r="D505" s="4113">
        <v>500000000</v>
      </c>
      <c r="E505" s="1111">
        <v>499450000</v>
      </c>
      <c r="F505" s="1310">
        <f t="shared" si="37"/>
        <v>99.89</v>
      </c>
      <c r="G505" s="3768">
        <v>99.89</v>
      </c>
      <c r="H505" s="2634"/>
    </row>
    <row r="506" spans="2:8" ht="18" customHeight="1" x14ac:dyDescent="0.25">
      <c r="B506" s="2630"/>
      <c r="C506" s="1196" t="s">
        <v>3629</v>
      </c>
      <c r="D506" s="4113">
        <v>150000000</v>
      </c>
      <c r="E506" s="1314">
        <v>148775000</v>
      </c>
      <c r="F506" s="1310">
        <f t="shared" si="37"/>
        <v>99.183333333333337</v>
      </c>
      <c r="G506" s="3768">
        <v>99.183333333333337</v>
      </c>
      <c r="H506" s="2634"/>
    </row>
    <row r="507" spans="2:8" ht="18" customHeight="1" x14ac:dyDescent="0.25">
      <c r="B507" s="2630"/>
      <c r="C507" s="1196" t="s">
        <v>3630</v>
      </c>
      <c r="D507" s="4113">
        <v>250000000</v>
      </c>
      <c r="E507" s="1111">
        <v>243152000</v>
      </c>
      <c r="F507" s="1310">
        <f t="shared" si="37"/>
        <v>97.260800000000003</v>
      </c>
      <c r="G507" s="971">
        <v>97.260800000000003</v>
      </c>
      <c r="H507" s="2634"/>
    </row>
    <row r="508" spans="2:8" ht="15.75" customHeight="1" x14ac:dyDescent="0.25">
      <c r="B508" s="2630"/>
      <c r="C508" s="1196" t="s">
        <v>3631</v>
      </c>
      <c r="D508" s="4113">
        <v>250000000</v>
      </c>
      <c r="E508" s="1111">
        <v>248943632</v>
      </c>
      <c r="F508" s="1310">
        <f t="shared" si="37"/>
        <v>99.577452800000003</v>
      </c>
      <c r="G508" s="3768">
        <v>99.577452800000003</v>
      </c>
      <c r="H508" s="2634"/>
    </row>
    <row r="509" spans="2:8" ht="15" customHeight="1" x14ac:dyDescent="0.25">
      <c r="B509" s="2630"/>
      <c r="C509" s="1196"/>
      <c r="D509" s="4113"/>
      <c r="E509" s="1111"/>
      <c r="F509" s="1310"/>
      <c r="G509" s="3630"/>
      <c r="H509" s="2634"/>
    </row>
    <row r="510" spans="2:8" ht="13.5" customHeight="1" x14ac:dyDescent="0.25">
      <c r="B510" s="2630"/>
      <c r="C510" s="1200" t="s">
        <v>261</v>
      </c>
      <c r="D510" s="4114">
        <v>150000000</v>
      </c>
      <c r="E510" s="4114">
        <v>144500000</v>
      </c>
      <c r="F510" s="1908">
        <f>E510/D510*100</f>
        <v>96.333333333333343</v>
      </c>
      <c r="G510" s="1316">
        <f>G511</f>
        <v>96.333333333333343</v>
      </c>
      <c r="H510" s="2634"/>
    </row>
    <row r="511" spans="2:8" ht="14.25" customHeight="1" x14ac:dyDescent="0.25">
      <c r="B511" s="2630"/>
      <c r="C511" s="1196" t="s">
        <v>3632</v>
      </c>
      <c r="D511" s="4113">
        <v>150000000</v>
      </c>
      <c r="E511" s="1238">
        <v>144500000</v>
      </c>
      <c r="F511" s="1310">
        <f>E511/D511*100</f>
        <v>96.333333333333343</v>
      </c>
      <c r="G511" s="1111">
        <v>96.333333333333343</v>
      </c>
      <c r="H511" s="2634"/>
    </row>
    <row r="512" spans="2:8" ht="13.5" customHeight="1" x14ac:dyDescent="0.25">
      <c r="B512" s="2630"/>
      <c r="C512" s="1196"/>
      <c r="D512" s="4113"/>
      <c r="E512" s="1111"/>
      <c r="F512" s="3768"/>
      <c r="G512" s="3768"/>
      <c r="H512" s="2634"/>
    </row>
    <row r="513" spans="1:11" ht="13.5" customHeight="1" x14ac:dyDescent="0.25">
      <c r="B513" s="2630"/>
      <c r="C513" s="1200" t="s">
        <v>3633</v>
      </c>
      <c r="D513" s="4114">
        <v>4150000000</v>
      </c>
      <c r="E513" s="4114">
        <v>4031138466</v>
      </c>
      <c r="F513" s="1908">
        <f>E513/D513*100</f>
        <v>97.135866650602409</v>
      </c>
      <c r="G513" s="3769">
        <f>SUM(G514:G527)/14</f>
        <v>97.595208114625322</v>
      </c>
      <c r="H513" s="2634"/>
    </row>
    <row r="514" spans="1:11" ht="15.75" customHeight="1" x14ac:dyDescent="0.25">
      <c r="B514" s="2630"/>
      <c r="C514" s="1196" t="s">
        <v>3634</v>
      </c>
      <c r="D514" s="4113">
        <v>200000000</v>
      </c>
      <c r="E514" s="1111">
        <v>198963573</v>
      </c>
      <c r="F514" s="1310">
        <f>E514/D514*100</f>
        <v>99.481786499999998</v>
      </c>
      <c r="G514" s="3768">
        <v>99.481786499999998</v>
      </c>
      <c r="H514" s="2634"/>
    </row>
    <row r="515" spans="1:11" ht="13.5" customHeight="1" x14ac:dyDescent="0.25">
      <c r="B515" s="2630"/>
      <c r="C515" s="1196" t="s">
        <v>1901</v>
      </c>
      <c r="D515" s="4113">
        <v>300000000</v>
      </c>
      <c r="E515" s="1111">
        <v>269140000</v>
      </c>
      <c r="F515" s="1929">
        <f t="shared" ref="F515:F527" si="38">E515/D515*100</f>
        <v>89.713333333333338</v>
      </c>
      <c r="G515" s="3768">
        <v>89.713333333333338</v>
      </c>
      <c r="H515" s="2634"/>
    </row>
    <row r="516" spans="1:11" ht="14.25" customHeight="1" x14ac:dyDescent="0.25">
      <c r="B516" s="2630"/>
      <c r="C516" s="1196" t="s">
        <v>1902</v>
      </c>
      <c r="D516" s="4113">
        <v>50000000</v>
      </c>
      <c r="E516" s="3879">
        <v>50000000</v>
      </c>
      <c r="F516" s="1310">
        <f t="shared" si="38"/>
        <v>100</v>
      </c>
      <c r="G516" s="1111">
        <v>100</v>
      </c>
      <c r="H516" s="2634"/>
    </row>
    <row r="517" spans="1:11" ht="15.75" customHeight="1" x14ac:dyDescent="0.25">
      <c r="B517" s="2630"/>
      <c r="C517" s="1196" t="s">
        <v>3635</v>
      </c>
      <c r="D517" s="4113">
        <v>396000000</v>
      </c>
      <c r="E517" s="4058">
        <v>395228893</v>
      </c>
      <c r="F517" s="1929">
        <f t="shared" si="38"/>
        <v>99.805276010101011</v>
      </c>
      <c r="G517" s="1111">
        <v>99.805276010101011</v>
      </c>
      <c r="H517" s="2634"/>
    </row>
    <row r="518" spans="1:11" s="2008" customFormat="1" ht="15.75" customHeight="1" x14ac:dyDescent="0.25">
      <c r="A518" s="5635"/>
      <c r="B518" s="5627"/>
      <c r="C518" s="5662" t="s">
        <v>3636</v>
      </c>
      <c r="D518" s="5049">
        <v>374000000</v>
      </c>
      <c r="E518" s="5663">
        <v>361873800</v>
      </c>
      <c r="F518" s="5647">
        <f t="shared" si="38"/>
        <v>96.757700534759365</v>
      </c>
      <c r="G518" s="5640">
        <v>96.757700534759365</v>
      </c>
      <c r="H518" s="5632"/>
      <c r="J518" s="5641"/>
      <c r="K518" s="5641"/>
    </row>
    <row r="519" spans="1:11" s="2008" customFormat="1" ht="16.5" customHeight="1" x14ac:dyDescent="0.25">
      <c r="A519" s="5635"/>
      <c r="B519" s="5627"/>
      <c r="C519" s="5662" t="s">
        <v>1900</v>
      </c>
      <c r="D519" s="5049">
        <v>348000000</v>
      </c>
      <c r="E519" s="5664">
        <v>287670000</v>
      </c>
      <c r="F519" s="5665">
        <f t="shared" si="38"/>
        <v>82.663793103448285</v>
      </c>
      <c r="G519" s="5666">
        <v>82.663793103448285</v>
      </c>
      <c r="H519" s="5632"/>
      <c r="J519" s="5641"/>
      <c r="K519" s="5641"/>
    </row>
    <row r="520" spans="1:11" ht="18" customHeight="1" x14ac:dyDescent="0.25">
      <c r="B520" s="2630"/>
      <c r="C520" s="1196" t="s">
        <v>3637</v>
      </c>
      <c r="D520" s="4113">
        <v>400000000</v>
      </c>
      <c r="E520" s="1660">
        <v>399100000</v>
      </c>
      <c r="F520" s="1310">
        <f t="shared" si="38"/>
        <v>99.775000000000006</v>
      </c>
      <c r="G520" s="3768">
        <v>99.775000000000006</v>
      </c>
      <c r="H520" s="2634"/>
    </row>
    <row r="521" spans="1:11" ht="15.75" customHeight="1" x14ac:dyDescent="0.25">
      <c r="B521" s="2630"/>
      <c r="C521" s="1196" t="s">
        <v>3638</v>
      </c>
      <c r="D521" s="4113">
        <v>100000000</v>
      </c>
      <c r="E521" s="1660">
        <v>99988000</v>
      </c>
      <c r="F521" s="1929">
        <f t="shared" si="38"/>
        <v>99.988</v>
      </c>
      <c r="G521" s="1111">
        <v>99.988</v>
      </c>
      <c r="H521" s="2634"/>
    </row>
    <row r="522" spans="1:11" ht="17.25" customHeight="1" x14ac:dyDescent="0.25">
      <c r="B522" s="2630"/>
      <c r="C522" s="1196" t="s">
        <v>1899</v>
      </c>
      <c r="D522" s="4113">
        <v>250000000</v>
      </c>
      <c r="E522" s="1660">
        <v>249091200</v>
      </c>
      <c r="F522" s="1310">
        <f t="shared" si="38"/>
        <v>99.636480000000006</v>
      </c>
      <c r="G522" s="1111">
        <v>99.636480000000006</v>
      </c>
      <c r="H522" s="2634"/>
    </row>
    <row r="523" spans="1:11" ht="15" customHeight="1" x14ac:dyDescent="0.25">
      <c r="B523" s="2630"/>
      <c r="C523" s="1196" t="s">
        <v>3639</v>
      </c>
      <c r="D523" s="4113">
        <v>1000000000</v>
      </c>
      <c r="E523" s="1660">
        <v>988732900</v>
      </c>
      <c r="F523" s="1929">
        <f t="shared" si="38"/>
        <v>98.873289999999997</v>
      </c>
      <c r="G523" s="3630">
        <v>98.873289999999997</v>
      </c>
      <c r="H523" s="2634"/>
    </row>
    <row r="524" spans="1:11" ht="15.75" customHeight="1" x14ac:dyDescent="0.25">
      <c r="B524" s="2630"/>
      <c r="C524" s="1196" t="s">
        <v>3640</v>
      </c>
      <c r="D524" s="4113">
        <v>164000000</v>
      </c>
      <c r="E524" s="1660">
        <v>163843500</v>
      </c>
      <c r="F524" s="1310">
        <f t="shared" si="38"/>
        <v>99.904573170731709</v>
      </c>
      <c r="G524" s="3768">
        <v>99.904573170731709</v>
      </c>
      <c r="H524" s="2634"/>
    </row>
    <row r="525" spans="1:11" ht="15" customHeight="1" x14ac:dyDescent="0.25">
      <c r="B525" s="2630"/>
      <c r="C525" s="1196" t="s">
        <v>3641</v>
      </c>
      <c r="D525" s="4113">
        <v>200000000</v>
      </c>
      <c r="E525" s="1660">
        <v>199990600</v>
      </c>
      <c r="F525" s="1929">
        <f t="shared" si="38"/>
        <v>99.9953</v>
      </c>
      <c r="G525" s="1111">
        <v>99.9953</v>
      </c>
      <c r="H525" s="2634"/>
    </row>
    <row r="526" spans="1:11" ht="15.75" customHeight="1" x14ac:dyDescent="0.25">
      <c r="B526" s="2630"/>
      <c r="C526" s="1196" t="s">
        <v>3760</v>
      </c>
      <c r="D526" s="4113">
        <v>200000000</v>
      </c>
      <c r="E526" s="1660">
        <v>199722000</v>
      </c>
      <c r="F526" s="1310">
        <f t="shared" si="38"/>
        <v>99.861000000000004</v>
      </c>
      <c r="G526" s="1111">
        <v>99.861000000000004</v>
      </c>
      <c r="H526" s="2634"/>
    </row>
    <row r="527" spans="1:11" ht="16.5" customHeight="1" x14ac:dyDescent="0.25">
      <c r="B527" s="2630"/>
      <c r="C527" s="1196" t="s">
        <v>3642</v>
      </c>
      <c r="D527" s="4113">
        <v>168000000</v>
      </c>
      <c r="E527" s="1660">
        <v>167794000</v>
      </c>
      <c r="F527" s="1929">
        <f t="shared" si="38"/>
        <v>99.87738095238096</v>
      </c>
      <c r="G527" s="1111">
        <v>99.87738095238096</v>
      </c>
      <c r="H527" s="2634"/>
    </row>
    <row r="528" spans="1:11" ht="11.25" customHeight="1" x14ac:dyDescent="0.25">
      <c r="B528" s="2630"/>
      <c r="C528" s="1196"/>
      <c r="D528" s="4113"/>
      <c r="E528" s="2370"/>
      <c r="F528" s="1310"/>
      <c r="G528" s="1111"/>
      <c r="H528" s="2634"/>
    </row>
    <row r="529" spans="1:11" ht="18.75" customHeight="1" x14ac:dyDescent="0.25">
      <c r="B529" s="2630"/>
      <c r="C529" s="1200" t="s">
        <v>3752</v>
      </c>
      <c r="D529" s="4114">
        <v>800000000</v>
      </c>
      <c r="E529" s="4114">
        <v>792535000</v>
      </c>
      <c r="F529" s="1908">
        <f>E529/D529*100</f>
        <v>99.066874999999996</v>
      </c>
      <c r="G529" s="3629">
        <f>SUM(G530:G533)/4</f>
        <v>99.066874999999996</v>
      </c>
      <c r="H529" s="2634"/>
    </row>
    <row r="530" spans="1:11" ht="14.25" customHeight="1" x14ac:dyDescent="0.25">
      <c r="B530" s="2630"/>
      <c r="C530" s="1196" t="s">
        <v>3761</v>
      </c>
      <c r="D530" s="4113">
        <v>200000000</v>
      </c>
      <c r="E530" s="1111">
        <v>194819000</v>
      </c>
      <c r="F530" s="1310">
        <f>E530/D530*100</f>
        <v>97.409500000000008</v>
      </c>
      <c r="G530" s="3630">
        <v>97.409500000000008</v>
      </c>
      <c r="H530" s="2634"/>
    </row>
    <row r="531" spans="1:11" ht="14.25" customHeight="1" x14ac:dyDescent="0.25">
      <c r="B531" s="2630"/>
      <c r="C531" s="1146" t="s">
        <v>3753</v>
      </c>
      <c r="D531" s="3538">
        <v>200000000</v>
      </c>
      <c r="E531" s="1324">
        <v>198283000</v>
      </c>
      <c r="F531" s="1929">
        <f>E531/D531*100</f>
        <v>99.141500000000008</v>
      </c>
      <c r="G531" s="1111">
        <v>99.141500000000008</v>
      </c>
      <c r="H531" s="2634"/>
    </row>
    <row r="532" spans="1:11" ht="13.5" customHeight="1" x14ac:dyDescent="0.25">
      <c r="B532" s="2630"/>
      <c r="C532" s="509" t="s">
        <v>3754</v>
      </c>
      <c r="D532" s="971">
        <v>200000000</v>
      </c>
      <c r="E532" s="666">
        <v>199677000</v>
      </c>
      <c r="F532" s="1310">
        <f>E532/D532*100</f>
        <v>99.838499999999996</v>
      </c>
      <c r="G532" s="1111">
        <v>99.838499999999996</v>
      </c>
      <c r="H532" s="2634"/>
    </row>
    <row r="533" spans="1:11" ht="12.75" customHeight="1" x14ac:dyDescent="0.25">
      <c r="B533" s="2630"/>
      <c r="C533" s="509" t="s">
        <v>3755</v>
      </c>
      <c r="D533" s="971">
        <v>200000000</v>
      </c>
      <c r="E533" s="666">
        <v>199756000</v>
      </c>
      <c r="F533" s="1929">
        <f>E533/D533*100</f>
        <v>99.878</v>
      </c>
      <c r="G533" s="1111">
        <v>99.878</v>
      </c>
      <c r="H533" s="2634"/>
    </row>
    <row r="534" spans="1:11" ht="12" customHeight="1" x14ac:dyDescent="0.25">
      <c r="B534" s="2630"/>
      <c r="C534" s="1146"/>
      <c r="D534" s="5133"/>
      <c r="E534" s="2181"/>
      <c r="F534" s="1908"/>
      <c r="G534" s="4454"/>
      <c r="H534" s="2634"/>
    </row>
    <row r="535" spans="1:11" ht="18.75" customHeight="1" x14ac:dyDescent="0.25">
      <c r="B535" s="2630"/>
      <c r="C535" s="1132" t="s">
        <v>3756</v>
      </c>
      <c r="D535" s="1379">
        <v>600000000</v>
      </c>
      <c r="E535" s="1415">
        <v>600000000</v>
      </c>
      <c r="F535" s="1908">
        <f>E535/D535*100</f>
        <v>100</v>
      </c>
      <c r="G535" s="1379">
        <v>100</v>
      </c>
      <c r="H535" s="2634"/>
    </row>
    <row r="536" spans="1:11" ht="14.25" customHeight="1" x14ac:dyDescent="0.25">
      <c r="B536" s="2630"/>
      <c r="C536" s="509" t="s">
        <v>3757</v>
      </c>
      <c r="D536" s="971">
        <v>150000000</v>
      </c>
      <c r="E536" s="666">
        <v>150000000</v>
      </c>
      <c r="F536" s="1310">
        <f>E536/D536*100</f>
        <v>100</v>
      </c>
      <c r="G536" s="3768">
        <v>100</v>
      </c>
      <c r="H536" s="2634"/>
    </row>
    <row r="537" spans="1:11" ht="19.5" customHeight="1" x14ac:dyDescent="0.25">
      <c r="B537" s="2630"/>
      <c r="C537" s="509" t="s">
        <v>3758</v>
      </c>
      <c r="D537" s="971">
        <v>300000000</v>
      </c>
      <c r="E537" s="666">
        <v>300000000</v>
      </c>
      <c r="F537" s="1929">
        <f>E537/D537*100</f>
        <v>100</v>
      </c>
      <c r="G537" s="1111">
        <v>100</v>
      </c>
      <c r="H537" s="2634"/>
    </row>
    <row r="538" spans="1:11" ht="16.5" customHeight="1" x14ac:dyDescent="0.25">
      <c r="B538" s="2630"/>
      <c r="C538" s="509" t="s">
        <v>3759</v>
      </c>
      <c r="D538" s="971">
        <v>150000000</v>
      </c>
      <c r="E538" s="666">
        <v>150000000</v>
      </c>
      <c r="F538" s="1310">
        <f>E538/D538*100</f>
        <v>100</v>
      </c>
      <c r="G538" s="1111">
        <v>100</v>
      </c>
      <c r="H538" s="2634"/>
    </row>
    <row r="539" spans="1:11" s="3504" customFormat="1" ht="12" customHeight="1" x14ac:dyDescent="0.25">
      <c r="A539" s="303"/>
      <c r="B539" s="2630"/>
      <c r="C539" s="1146"/>
      <c r="D539" s="791"/>
      <c r="E539" s="2255"/>
      <c r="F539" s="1928"/>
      <c r="G539" s="2181"/>
      <c r="H539" s="2634"/>
      <c r="J539" s="522"/>
      <c r="K539" s="522"/>
    </row>
    <row r="540" spans="1:11" ht="19.5" customHeight="1" x14ac:dyDescent="0.25">
      <c r="B540" s="2635"/>
      <c r="C540" s="1285" t="s">
        <v>2033</v>
      </c>
      <c r="D540" s="1055">
        <f>SUM(D541+D545)</f>
        <v>3497148000</v>
      </c>
      <c r="E540" s="1055">
        <f>SUM(E541+E545)</f>
        <v>3497148000</v>
      </c>
      <c r="F540" s="1911">
        <f>E540/D540*100</f>
        <v>100</v>
      </c>
      <c r="G540" s="1645">
        <f>SUM(G541+G545)/2</f>
        <v>100</v>
      </c>
      <c r="H540" s="2634"/>
    </row>
    <row r="541" spans="1:11" ht="18" customHeight="1" x14ac:dyDescent="0.25">
      <c r="B541" s="2630"/>
      <c r="C541" s="1204" t="s">
        <v>2034</v>
      </c>
      <c r="D541" s="5134">
        <f>SUM(D542:D543)</f>
        <v>2400000000</v>
      </c>
      <c r="E541" s="1064">
        <f>SUM(E542:E543)</f>
        <v>2400000000</v>
      </c>
      <c r="F541" s="1908">
        <f>SUM(E541/D541)*100</f>
        <v>100</v>
      </c>
      <c r="G541" s="1316">
        <v>100</v>
      </c>
      <c r="H541" s="2634"/>
    </row>
    <row r="542" spans="1:11" ht="16.5" customHeight="1" x14ac:dyDescent="0.25">
      <c r="B542" s="2630"/>
      <c r="C542" s="1294" t="s">
        <v>2035</v>
      </c>
      <c r="D542" s="1059">
        <v>700000000</v>
      </c>
      <c r="E542" s="1923">
        <v>700000000</v>
      </c>
      <c r="F542" s="1929">
        <f>SUM(E542/D542)*100</f>
        <v>100</v>
      </c>
      <c r="G542" s="1111">
        <v>100</v>
      </c>
      <c r="H542" s="2634"/>
    </row>
    <row r="543" spans="1:11" ht="14.25" customHeight="1" x14ac:dyDescent="0.25">
      <c r="B543" s="2630"/>
      <c r="C543" s="1291" t="s">
        <v>2036</v>
      </c>
      <c r="D543" s="1060">
        <v>1700000000</v>
      </c>
      <c r="E543" s="666">
        <v>1700000000</v>
      </c>
      <c r="F543" s="1929">
        <f>SUM(E543/D543)*100</f>
        <v>100</v>
      </c>
      <c r="G543" s="1111">
        <v>100</v>
      </c>
      <c r="H543" s="2634"/>
    </row>
    <row r="544" spans="1:11" ht="10.5" customHeight="1" x14ac:dyDescent="0.25">
      <c r="B544" s="2630"/>
      <c r="C544" s="1291"/>
      <c r="D544" s="1238"/>
      <c r="E544" s="1463"/>
      <c r="F544" s="894"/>
      <c r="G544" s="894"/>
      <c r="H544" s="2634"/>
    </row>
    <row r="545" spans="2:11" ht="15.75" customHeight="1" x14ac:dyDescent="0.25">
      <c r="B545" s="2630"/>
      <c r="C545" s="1293" t="s">
        <v>2037</v>
      </c>
      <c r="D545" s="1061">
        <f>SUM(D546:D553)</f>
        <v>1097148000</v>
      </c>
      <c r="E545" s="1061">
        <f>SUM(E546:E553)</f>
        <v>1097148000</v>
      </c>
      <c r="F545" s="1908">
        <f>SUM(E545/D545)*100</f>
        <v>100</v>
      </c>
      <c r="G545" s="1316">
        <v>100</v>
      </c>
      <c r="H545" s="2634"/>
    </row>
    <row r="546" spans="2:11" ht="15.75" customHeight="1" x14ac:dyDescent="0.25">
      <c r="B546" s="2630"/>
      <c r="C546" s="1294" t="s">
        <v>2038</v>
      </c>
      <c r="D546" s="1060">
        <v>277160000</v>
      </c>
      <c r="E546" s="880">
        <v>277160000</v>
      </c>
      <c r="F546" s="1929">
        <f t="shared" ref="F546:F553" si="39">SUM(E546/D546)*100</f>
        <v>100</v>
      </c>
      <c r="G546" s="1111">
        <v>100</v>
      </c>
      <c r="H546" s="2634"/>
    </row>
    <row r="547" spans="2:11" ht="15.75" customHeight="1" x14ac:dyDescent="0.25">
      <c r="B547" s="2630"/>
      <c r="C547" s="1294" t="s">
        <v>2039</v>
      </c>
      <c r="D547" s="1060">
        <v>188864000</v>
      </c>
      <c r="E547" s="880">
        <v>188864000</v>
      </c>
      <c r="F547" s="1929">
        <f t="shared" si="39"/>
        <v>100</v>
      </c>
      <c r="G547" s="1111">
        <v>100</v>
      </c>
      <c r="H547" s="2634"/>
    </row>
    <row r="548" spans="2:11" ht="15.75" customHeight="1" x14ac:dyDescent="0.25">
      <c r="B548" s="2630"/>
      <c r="C548" s="1294" t="s">
        <v>2040</v>
      </c>
      <c r="D548" s="1060">
        <v>96564000</v>
      </c>
      <c r="E548" s="880">
        <v>96564000</v>
      </c>
      <c r="F548" s="1929">
        <f t="shared" si="39"/>
        <v>100</v>
      </c>
      <c r="G548" s="1111">
        <v>99.995857669524881</v>
      </c>
      <c r="H548" s="2634"/>
    </row>
    <row r="549" spans="2:11" ht="15.75" customHeight="1" x14ac:dyDescent="0.25">
      <c r="B549" s="2630"/>
      <c r="C549" s="1294" t="s">
        <v>2041</v>
      </c>
      <c r="D549" s="1060">
        <v>81120000</v>
      </c>
      <c r="E549" s="880">
        <v>81120000</v>
      </c>
      <c r="F549" s="1929">
        <f t="shared" si="39"/>
        <v>100</v>
      </c>
      <c r="G549" s="1111">
        <v>100</v>
      </c>
      <c r="H549" s="2634"/>
    </row>
    <row r="550" spans="2:11" ht="15.75" customHeight="1" x14ac:dyDescent="0.25">
      <c r="B550" s="2630"/>
      <c r="C550" s="1294" t="s">
        <v>2042</v>
      </c>
      <c r="D550" s="1060">
        <v>187200000</v>
      </c>
      <c r="E550" s="1060">
        <v>187200000</v>
      </c>
      <c r="F550" s="1929">
        <f t="shared" si="39"/>
        <v>100</v>
      </c>
      <c r="G550" s="1111">
        <v>100</v>
      </c>
      <c r="H550" s="2634"/>
    </row>
    <row r="551" spans="2:11" ht="15.75" customHeight="1" x14ac:dyDescent="0.25">
      <c r="B551" s="2630"/>
      <c r="C551" s="1294" t="s">
        <v>2043</v>
      </c>
      <c r="D551" s="1060">
        <v>104000000</v>
      </c>
      <c r="E551" s="1060">
        <v>104000000</v>
      </c>
      <c r="F551" s="1929">
        <f t="shared" si="39"/>
        <v>100</v>
      </c>
      <c r="G551" s="1111">
        <v>100</v>
      </c>
      <c r="H551" s="2634"/>
    </row>
    <row r="552" spans="2:11" ht="15.75" customHeight="1" x14ac:dyDescent="0.25">
      <c r="B552" s="2630"/>
      <c r="C552" s="1294" t="s">
        <v>2044</v>
      </c>
      <c r="D552" s="1060">
        <v>81120000</v>
      </c>
      <c r="E552" s="1060">
        <v>81120000</v>
      </c>
      <c r="F552" s="1929">
        <f t="shared" si="39"/>
        <v>100</v>
      </c>
      <c r="G552" s="1111">
        <v>100</v>
      </c>
      <c r="H552" s="2634"/>
    </row>
    <row r="553" spans="2:11" ht="15.75" customHeight="1" x14ac:dyDescent="0.25">
      <c r="B553" s="2630"/>
      <c r="C553" s="1294" t="s">
        <v>2045</v>
      </c>
      <c r="D553" s="1060">
        <v>81120000</v>
      </c>
      <c r="E553" s="1060">
        <v>81120000</v>
      </c>
      <c r="F553" s="1929">
        <f t="shared" si="39"/>
        <v>100</v>
      </c>
      <c r="G553" s="1111">
        <v>100</v>
      </c>
      <c r="H553" s="2634"/>
    </row>
    <row r="554" spans="2:11" ht="12" customHeight="1" x14ac:dyDescent="0.25">
      <c r="B554" s="2630"/>
      <c r="C554" s="1271"/>
      <c r="D554" s="3122"/>
      <c r="E554" s="5193"/>
      <c r="F554" s="2181"/>
      <c r="G554" s="791"/>
      <c r="H554" s="2634"/>
    </row>
    <row r="555" spans="2:11" ht="17.25" customHeight="1" x14ac:dyDescent="0.25">
      <c r="B555" s="2724"/>
      <c r="C555" s="1297" t="s">
        <v>605</v>
      </c>
      <c r="D555" s="1066">
        <f>SUM(D556+D622)</f>
        <v>49795833000</v>
      </c>
      <c r="E555" s="1067">
        <f>SUM(E556+E622)</f>
        <v>48136888273</v>
      </c>
      <c r="F555" s="1067">
        <f t="shared" ref="F555" si="40">E555/D555*100</f>
        <v>96.668506927075597</v>
      </c>
      <c r="G555" s="3123">
        <f>SUM(G556+G622)/2</f>
        <v>99.18452380952381</v>
      </c>
      <c r="H555" s="3558"/>
    </row>
    <row r="556" spans="2:11" ht="19.5" customHeight="1" x14ac:dyDescent="0.25">
      <c r="B556" s="2743"/>
      <c r="C556" s="2790" t="s">
        <v>287</v>
      </c>
      <c r="D556" s="1022">
        <f>SUM(D557+D563+D579+D605+D612)</f>
        <v>41375293000</v>
      </c>
      <c r="E556" s="1022">
        <f>SUM(E557+E563+E579+E605+E612)</f>
        <v>39716348273</v>
      </c>
      <c r="F556" s="2439">
        <f>E556/D556*100</f>
        <v>95.990494310215524</v>
      </c>
      <c r="G556" s="3625">
        <f>SUM(G557+G563+G579+G605+G612)/5</f>
        <v>98.36904761904762</v>
      </c>
      <c r="H556" s="2634"/>
      <c r="J556" s="522">
        <v>41375293000</v>
      </c>
      <c r="K556" s="522">
        <v>39716348273</v>
      </c>
    </row>
    <row r="557" spans="2:11" ht="15" customHeight="1" x14ac:dyDescent="0.25">
      <c r="B557" s="2630"/>
      <c r="C557" s="3930" t="s">
        <v>236</v>
      </c>
      <c r="D557" s="1246">
        <f>SUM(D558:D561)</f>
        <v>1591600000</v>
      </c>
      <c r="E557" s="1246">
        <f>SUM(E558:E561)</f>
        <v>1561739400</v>
      </c>
      <c r="F557" s="2441">
        <f>E557/D557*100</f>
        <v>98.123862779592869</v>
      </c>
      <c r="G557" s="3621">
        <v>100</v>
      </c>
      <c r="H557" s="2634"/>
    </row>
    <row r="558" spans="2:11" ht="15" customHeight="1" x14ac:dyDescent="0.25">
      <c r="B558" s="2630"/>
      <c r="C558" s="3945" t="s">
        <v>595</v>
      </c>
      <c r="D558" s="971">
        <v>354300000</v>
      </c>
      <c r="E558" s="3879">
        <v>336990000</v>
      </c>
      <c r="F558" s="4371">
        <f t="shared" ref="F558:F561" si="41">E558/D558*100</f>
        <v>95.114309906858594</v>
      </c>
      <c r="G558" s="3620">
        <v>100</v>
      </c>
      <c r="H558" s="2634"/>
    </row>
    <row r="559" spans="2:11" ht="15" customHeight="1" x14ac:dyDescent="0.25">
      <c r="B559" s="2630"/>
      <c r="C559" s="3945" t="s">
        <v>597</v>
      </c>
      <c r="D559" s="971">
        <v>200000000</v>
      </c>
      <c r="E559" s="1238">
        <v>200000000</v>
      </c>
      <c r="F559" s="4371">
        <f t="shared" si="41"/>
        <v>100</v>
      </c>
      <c r="G559" s="3620">
        <v>100</v>
      </c>
      <c r="H559" s="2634"/>
    </row>
    <row r="560" spans="2:11" ht="15" customHeight="1" x14ac:dyDescent="0.25">
      <c r="B560" s="2630"/>
      <c r="C560" s="3945" t="s">
        <v>596</v>
      </c>
      <c r="D560" s="971">
        <v>200000000</v>
      </c>
      <c r="E560" s="1238">
        <v>200000000</v>
      </c>
      <c r="F560" s="4371">
        <f t="shared" si="41"/>
        <v>100</v>
      </c>
      <c r="G560" s="3620">
        <v>100</v>
      </c>
      <c r="H560" s="2634"/>
    </row>
    <row r="561" spans="2:8" ht="14.25" customHeight="1" x14ac:dyDescent="0.25">
      <c r="B561" s="2630"/>
      <c r="C561" s="3945" t="s">
        <v>598</v>
      </c>
      <c r="D561" s="971">
        <v>837300000</v>
      </c>
      <c r="E561" s="3556">
        <v>824749400</v>
      </c>
      <c r="F561" s="4371">
        <f t="shared" si="41"/>
        <v>98.501062940403685</v>
      </c>
      <c r="G561" s="3620">
        <v>100</v>
      </c>
      <c r="H561" s="2634"/>
    </row>
    <row r="562" spans="2:8" ht="13.5" customHeight="1" x14ac:dyDescent="0.25">
      <c r="B562" s="2630"/>
      <c r="C562" s="3956"/>
      <c r="D562" s="827"/>
      <c r="E562" s="3879"/>
      <c r="F562" s="798"/>
      <c r="G562" s="3620"/>
      <c r="H562" s="2634"/>
    </row>
    <row r="563" spans="2:8" ht="20.25" customHeight="1" x14ac:dyDescent="0.25">
      <c r="B563" s="2630"/>
      <c r="C563" s="3930" t="s">
        <v>559</v>
      </c>
      <c r="D563" s="1379">
        <f>SUM(D564:D577)</f>
        <v>4851750000</v>
      </c>
      <c r="E563" s="1379">
        <f>SUM(E564:E577)</f>
        <v>4639485050</v>
      </c>
      <c r="F563" s="5218">
        <f t="shared" ref="F563:F577" si="42">E563/D563*100</f>
        <v>95.624981707631264</v>
      </c>
      <c r="G563" s="3621">
        <f>SUM(G564:G577)/14</f>
        <v>96.428571428571431</v>
      </c>
      <c r="H563" s="2634"/>
    </row>
    <row r="564" spans="2:8" ht="18" customHeight="1" x14ac:dyDescent="0.25">
      <c r="B564" s="2630"/>
      <c r="C564" s="3945" t="s">
        <v>5910</v>
      </c>
      <c r="D564" s="971">
        <v>524870000</v>
      </c>
      <c r="E564" s="3879">
        <v>499864300</v>
      </c>
      <c r="F564" s="5219">
        <f t="shared" si="42"/>
        <v>95.235829824527968</v>
      </c>
      <c r="G564" s="3620">
        <v>100</v>
      </c>
      <c r="H564" s="2634"/>
    </row>
    <row r="565" spans="2:8" ht="17.25" customHeight="1" x14ac:dyDescent="0.25">
      <c r="B565" s="2630"/>
      <c r="C565" s="3945" t="s">
        <v>5909</v>
      </c>
      <c r="D565" s="971">
        <v>524870000</v>
      </c>
      <c r="E565" s="3879">
        <v>499852900</v>
      </c>
      <c r="F565" s="5219">
        <f t="shared" si="42"/>
        <v>95.233657858136297</v>
      </c>
      <c r="G565" s="3620">
        <v>100</v>
      </c>
      <c r="H565" s="2634"/>
    </row>
    <row r="566" spans="2:8" ht="14.25" customHeight="1" x14ac:dyDescent="0.25">
      <c r="B566" s="2630"/>
      <c r="C566" s="3945" t="s">
        <v>5908</v>
      </c>
      <c r="D566" s="971">
        <v>524870000</v>
      </c>
      <c r="E566" s="3879">
        <v>499796850</v>
      </c>
      <c r="F566" s="5219">
        <f t="shared" si="42"/>
        <v>95.222979023377221</v>
      </c>
      <c r="G566" s="3620">
        <v>100</v>
      </c>
      <c r="H566" s="2634"/>
    </row>
    <row r="567" spans="2:8" ht="15.75" customHeight="1" x14ac:dyDescent="0.25">
      <c r="B567" s="2630"/>
      <c r="C567" s="3945" t="s">
        <v>5907</v>
      </c>
      <c r="D567" s="971">
        <v>474870000</v>
      </c>
      <c r="E567" s="3879">
        <v>474870000</v>
      </c>
      <c r="F567" s="5219">
        <f t="shared" si="42"/>
        <v>100</v>
      </c>
      <c r="G567" s="3620">
        <v>100</v>
      </c>
      <c r="H567" s="2634"/>
    </row>
    <row r="568" spans="2:8" ht="16.5" customHeight="1" x14ac:dyDescent="0.25">
      <c r="B568" s="2630"/>
      <c r="C568" s="3945" t="s">
        <v>5906</v>
      </c>
      <c r="D568" s="971">
        <v>494870000</v>
      </c>
      <c r="E568" s="3879">
        <v>494771000</v>
      </c>
      <c r="F568" s="5219">
        <f t="shared" si="42"/>
        <v>99.979994746094931</v>
      </c>
      <c r="G568" s="3620">
        <v>100</v>
      </c>
      <c r="H568" s="2634"/>
    </row>
    <row r="569" spans="2:8" ht="17.25" customHeight="1" x14ac:dyDescent="0.25">
      <c r="B569" s="2630"/>
      <c r="C569" s="3945" t="s">
        <v>5905</v>
      </c>
      <c r="D569" s="971">
        <v>276200000</v>
      </c>
      <c r="E569" s="1069">
        <v>262800000</v>
      </c>
      <c r="F569" s="5219">
        <f t="shared" si="42"/>
        <v>95.148443157132505</v>
      </c>
      <c r="G569" s="3620">
        <v>100</v>
      </c>
      <c r="H569" s="2634"/>
    </row>
    <row r="570" spans="2:8" ht="17.25" customHeight="1" x14ac:dyDescent="0.25">
      <c r="B570" s="2630"/>
      <c r="C570" s="3945" t="s">
        <v>5904</v>
      </c>
      <c r="D570" s="971">
        <v>351200000</v>
      </c>
      <c r="E570" s="1069">
        <v>227530000</v>
      </c>
      <c r="F570" s="5219">
        <f t="shared" si="42"/>
        <v>64.78644646924829</v>
      </c>
      <c r="G570" s="3620">
        <v>50</v>
      </c>
      <c r="H570" s="2634"/>
    </row>
    <row r="571" spans="2:8" ht="16.5" customHeight="1" x14ac:dyDescent="0.25">
      <c r="B571" s="2630"/>
      <c r="C571" s="3945" t="s">
        <v>5903</v>
      </c>
      <c r="D571" s="971">
        <v>250000000</v>
      </c>
      <c r="E571" s="1975">
        <v>250000000</v>
      </c>
      <c r="F571" s="5219">
        <f t="shared" si="42"/>
        <v>100</v>
      </c>
      <c r="G571" s="937">
        <v>100</v>
      </c>
      <c r="H571" s="2634"/>
    </row>
    <row r="572" spans="2:8" ht="15" customHeight="1" x14ac:dyDescent="0.25">
      <c r="B572" s="2630"/>
      <c r="C572" s="3945" t="s">
        <v>5902</v>
      </c>
      <c r="D572" s="971">
        <v>250000000</v>
      </c>
      <c r="E572" s="1024">
        <v>250000000</v>
      </c>
      <c r="F572" s="5219">
        <f t="shared" si="42"/>
        <v>100</v>
      </c>
      <c r="G572" s="937">
        <v>100</v>
      </c>
      <c r="H572" s="2634"/>
    </row>
    <row r="573" spans="2:8" ht="16.5" customHeight="1" x14ac:dyDescent="0.25">
      <c r="B573" s="2630"/>
      <c r="C573" s="3945" t="s">
        <v>5901</v>
      </c>
      <c r="D573" s="971">
        <v>250000000</v>
      </c>
      <c r="E573" s="3879">
        <v>250000000</v>
      </c>
      <c r="F573" s="5219">
        <f t="shared" si="42"/>
        <v>100</v>
      </c>
      <c r="G573" s="937">
        <v>100</v>
      </c>
      <c r="H573" s="2634"/>
    </row>
    <row r="574" spans="2:8" ht="16.5" customHeight="1" x14ac:dyDescent="0.25">
      <c r="B574" s="2630"/>
      <c r="C574" s="3945" t="s">
        <v>5900</v>
      </c>
      <c r="D574" s="971">
        <v>250000000</v>
      </c>
      <c r="E574" s="3879">
        <v>250000000</v>
      </c>
      <c r="F574" s="5219">
        <f t="shared" si="42"/>
        <v>100</v>
      </c>
      <c r="G574" s="937">
        <v>100</v>
      </c>
      <c r="H574" s="2634"/>
    </row>
    <row r="575" spans="2:8" ht="16.5" customHeight="1" x14ac:dyDescent="0.25">
      <c r="B575" s="2630"/>
      <c r="C575" s="3945" t="s">
        <v>5899</v>
      </c>
      <c r="D575" s="971">
        <v>250000000</v>
      </c>
      <c r="E575" s="1024">
        <v>250000000</v>
      </c>
      <c r="F575" s="5219">
        <f t="shared" si="42"/>
        <v>100</v>
      </c>
      <c r="G575" s="937">
        <v>100</v>
      </c>
      <c r="H575" s="2634"/>
    </row>
    <row r="576" spans="2:8" ht="17.25" customHeight="1" x14ac:dyDescent="0.25">
      <c r="B576" s="2630"/>
      <c r="C576" s="3945" t="s">
        <v>5898</v>
      </c>
      <c r="D576" s="971">
        <v>250000000</v>
      </c>
      <c r="E576" s="1975">
        <v>250000000</v>
      </c>
      <c r="F576" s="5219">
        <f t="shared" si="42"/>
        <v>100</v>
      </c>
      <c r="G576" s="937">
        <v>100</v>
      </c>
      <c r="H576" s="2634"/>
    </row>
    <row r="577" spans="2:8" ht="16.5" customHeight="1" x14ac:dyDescent="0.25">
      <c r="B577" s="2630"/>
      <c r="C577" s="3945" t="s">
        <v>5897</v>
      </c>
      <c r="D577" s="971">
        <v>180000000</v>
      </c>
      <c r="E577" s="3879">
        <v>180000000</v>
      </c>
      <c r="F577" s="5219">
        <f t="shared" si="42"/>
        <v>100</v>
      </c>
      <c r="G577" s="937">
        <v>100</v>
      </c>
      <c r="H577" s="2634"/>
    </row>
    <row r="578" spans="2:8" ht="12" customHeight="1" x14ac:dyDescent="0.25">
      <c r="B578" s="2630"/>
      <c r="C578" s="4038"/>
      <c r="D578" s="1038"/>
      <c r="E578" s="3879"/>
      <c r="F578" s="827"/>
      <c r="G578" s="3620"/>
      <c r="H578" s="2634"/>
    </row>
    <row r="579" spans="2:8" ht="19.5" customHeight="1" x14ac:dyDescent="0.25">
      <c r="B579" s="2630"/>
      <c r="C579" s="3930" t="s">
        <v>366</v>
      </c>
      <c r="D579" s="1379">
        <f>SUM(D580:D603)</f>
        <v>22458760609</v>
      </c>
      <c r="E579" s="1379">
        <f>SUM(E580:E603)</f>
        <v>21042087130</v>
      </c>
      <c r="F579" s="5220">
        <f>E579/D579*100</f>
        <v>93.692111939461654</v>
      </c>
      <c r="G579" s="3629">
        <f>SUM(G580:G603)/24</f>
        <v>95.416666666666671</v>
      </c>
      <c r="H579" s="2634"/>
    </row>
    <row r="580" spans="2:8" ht="16.5" customHeight="1" x14ac:dyDescent="0.25">
      <c r="B580" s="2630"/>
      <c r="C580" s="3945" t="s">
        <v>5911</v>
      </c>
      <c r="D580" s="971">
        <v>400000000</v>
      </c>
      <c r="E580" s="1069">
        <v>400000000</v>
      </c>
      <c r="F580" s="5221">
        <f t="shared" ref="F580:F620" si="43">E580/D580*100</f>
        <v>100</v>
      </c>
      <c r="G580" s="3630">
        <v>100</v>
      </c>
      <c r="H580" s="2634"/>
    </row>
    <row r="581" spans="2:8" ht="15" customHeight="1" x14ac:dyDescent="0.25">
      <c r="B581" s="2630"/>
      <c r="C581" s="3945" t="s">
        <v>5912</v>
      </c>
      <c r="D581" s="971">
        <v>900000000</v>
      </c>
      <c r="E581" s="1024">
        <v>780350000</v>
      </c>
      <c r="F581" s="5221">
        <f t="shared" si="43"/>
        <v>86.705555555555563</v>
      </c>
      <c r="G581" s="3630">
        <v>100</v>
      </c>
      <c r="H581" s="2634"/>
    </row>
    <row r="582" spans="2:8" ht="15" customHeight="1" x14ac:dyDescent="0.25">
      <c r="B582" s="2630"/>
      <c r="C582" s="3945" t="s">
        <v>5913</v>
      </c>
      <c r="D582" s="971">
        <v>500000000</v>
      </c>
      <c r="E582" s="1238">
        <v>500000000</v>
      </c>
      <c r="F582" s="5221">
        <f t="shared" si="43"/>
        <v>100</v>
      </c>
      <c r="G582" s="3630">
        <v>100</v>
      </c>
      <c r="H582" s="2634"/>
    </row>
    <row r="583" spans="2:8" ht="17.25" customHeight="1" x14ac:dyDescent="0.25">
      <c r="B583" s="2630"/>
      <c r="C583" s="3945" t="s">
        <v>5914</v>
      </c>
      <c r="D583" s="971">
        <v>1402620000</v>
      </c>
      <c r="E583" s="1069">
        <v>1312035000</v>
      </c>
      <c r="F583" s="5221">
        <f t="shared" si="43"/>
        <v>93.54172904992086</v>
      </c>
      <c r="G583" s="3630">
        <v>100</v>
      </c>
      <c r="H583" s="2634"/>
    </row>
    <row r="584" spans="2:8" ht="17.25" customHeight="1" x14ac:dyDescent="0.25">
      <c r="B584" s="2630"/>
      <c r="C584" s="3945" t="s">
        <v>5915</v>
      </c>
      <c r="D584" s="971">
        <v>887180000</v>
      </c>
      <c r="E584" s="1069">
        <v>877180000</v>
      </c>
      <c r="F584" s="5221">
        <f t="shared" si="43"/>
        <v>98.872833021483814</v>
      </c>
      <c r="G584" s="3630">
        <v>100</v>
      </c>
      <c r="H584" s="2634"/>
    </row>
    <row r="585" spans="2:8" ht="19.5" customHeight="1" x14ac:dyDescent="0.25">
      <c r="B585" s="2630"/>
      <c r="C585" s="3945" t="s">
        <v>5916</v>
      </c>
      <c r="D585" s="971">
        <v>1347140000</v>
      </c>
      <c r="E585" s="1069">
        <v>1240385150</v>
      </c>
      <c r="F585" s="5221">
        <f t="shared" si="43"/>
        <v>92.075445016850509</v>
      </c>
      <c r="G585" s="3630">
        <v>100</v>
      </c>
      <c r="H585" s="2634"/>
    </row>
    <row r="586" spans="2:8" ht="16.5" customHeight="1" x14ac:dyDescent="0.25">
      <c r="B586" s="2630"/>
      <c r="C586" s="3945" t="s">
        <v>5917</v>
      </c>
      <c r="D586" s="971">
        <v>1243760000</v>
      </c>
      <c r="E586" s="1069">
        <v>1240360000</v>
      </c>
      <c r="F586" s="5221">
        <f t="shared" si="43"/>
        <v>99.726635363735767</v>
      </c>
      <c r="G586" s="3630">
        <v>100</v>
      </c>
      <c r="H586" s="2634"/>
    </row>
    <row r="587" spans="2:8" ht="17.25" customHeight="1" x14ac:dyDescent="0.25">
      <c r="B587" s="2630"/>
      <c r="C587" s="3945" t="s">
        <v>5918</v>
      </c>
      <c r="D587" s="971">
        <v>994300000</v>
      </c>
      <c r="E587" s="1069">
        <v>614340000</v>
      </c>
      <c r="F587" s="5221">
        <f>E587/D587*100</f>
        <v>61.786181233028259</v>
      </c>
      <c r="G587" s="3557">
        <v>50</v>
      </c>
      <c r="H587" s="2634"/>
    </row>
    <row r="588" spans="2:8" ht="15" customHeight="1" x14ac:dyDescent="0.25">
      <c r="B588" s="2630"/>
      <c r="C588" s="3945" t="s">
        <v>5919</v>
      </c>
      <c r="D588" s="971">
        <v>1367420000</v>
      </c>
      <c r="E588" s="1069">
        <v>1362420000</v>
      </c>
      <c r="F588" s="5221">
        <f>E588/D588*100</f>
        <v>99.634347896037795</v>
      </c>
      <c r="G588" s="3630">
        <v>100</v>
      </c>
      <c r="H588" s="2634"/>
    </row>
    <row r="589" spans="2:8" ht="16.5" customHeight="1" x14ac:dyDescent="0.25">
      <c r="B589" s="2630"/>
      <c r="C589" s="3945" t="s">
        <v>5923</v>
      </c>
      <c r="D589" s="971">
        <v>1342700000</v>
      </c>
      <c r="E589" s="1069">
        <v>1299250000</v>
      </c>
      <c r="F589" s="5221">
        <f t="shared" si="43"/>
        <v>96.763983019289483</v>
      </c>
      <c r="G589" s="3630">
        <v>100</v>
      </c>
      <c r="H589" s="2634"/>
    </row>
    <row r="590" spans="2:8" ht="16.5" customHeight="1" x14ac:dyDescent="0.25">
      <c r="B590" s="2630"/>
      <c r="C590" s="3945" t="s">
        <v>5922</v>
      </c>
      <c r="D590" s="971">
        <v>521200000</v>
      </c>
      <c r="E590" s="1069">
        <v>516200000</v>
      </c>
      <c r="F590" s="5221">
        <f t="shared" si="43"/>
        <v>99.040675364543361</v>
      </c>
      <c r="G590" s="3630">
        <v>100</v>
      </c>
      <c r="H590" s="2634"/>
    </row>
    <row r="591" spans="2:8" ht="15.75" customHeight="1" x14ac:dyDescent="0.25">
      <c r="B591" s="2630"/>
      <c r="C591" s="3945" t="s">
        <v>5921</v>
      </c>
      <c r="D591" s="971">
        <v>1043280000</v>
      </c>
      <c r="E591" s="1975">
        <v>1022210000</v>
      </c>
      <c r="F591" s="5221">
        <f t="shared" si="43"/>
        <v>97.980407944176065</v>
      </c>
      <c r="G591" s="3630">
        <v>100</v>
      </c>
      <c r="H591" s="2634"/>
    </row>
    <row r="592" spans="2:8" ht="13.5" customHeight="1" x14ac:dyDescent="0.25">
      <c r="B592" s="2630"/>
      <c r="C592" s="3945" t="s">
        <v>5920</v>
      </c>
      <c r="D592" s="971">
        <v>616620000</v>
      </c>
      <c r="E592" s="1975">
        <v>604620000</v>
      </c>
      <c r="F592" s="5221">
        <f t="shared" si="43"/>
        <v>98.053906782134874</v>
      </c>
      <c r="G592" s="3630">
        <v>100</v>
      </c>
      <c r="H592" s="2634"/>
    </row>
    <row r="593" spans="2:8" ht="15.75" customHeight="1" x14ac:dyDescent="0.25">
      <c r="B593" s="2630"/>
      <c r="C593" s="3945" t="s">
        <v>5924</v>
      </c>
      <c r="D593" s="971">
        <v>956700000</v>
      </c>
      <c r="E593" s="1975">
        <v>937900000</v>
      </c>
      <c r="F593" s="5221">
        <f t="shared" si="43"/>
        <v>98.034911675551371</v>
      </c>
      <c r="G593" s="3630">
        <v>100</v>
      </c>
      <c r="H593" s="2634"/>
    </row>
    <row r="594" spans="2:8" ht="15.75" customHeight="1" x14ac:dyDescent="0.25">
      <c r="B594" s="2630"/>
      <c r="C594" s="3945" t="s">
        <v>5925</v>
      </c>
      <c r="D594" s="971">
        <v>842520000</v>
      </c>
      <c r="E594" s="1069">
        <v>841720000</v>
      </c>
      <c r="F594" s="5221">
        <f t="shared" si="43"/>
        <v>99.905046764468494</v>
      </c>
      <c r="G594" s="3630">
        <v>100</v>
      </c>
      <c r="H594" s="2634"/>
    </row>
    <row r="595" spans="2:8" ht="14.25" customHeight="1" x14ac:dyDescent="0.25">
      <c r="B595" s="2630"/>
      <c r="C595" s="3945" t="s">
        <v>5926</v>
      </c>
      <c r="D595" s="971">
        <v>1151400000</v>
      </c>
      <c r="E595" s="1069">
        <v>1118400000</v>
      </c>
      <c r="F595" s="5221">
        <f t="shared" si="43"/>
        <v>97.133923918707666</v>
      </c>
      <c r="G595" s="3630">
        <v>100</v>
      </c>
      <c r="H595" s="2634"/>
    </row>
    <row r="596" spans="2:8" ht="21" customHeight="1" x14ac:dyDescent="0.25">
      <c r="B596" s="2630"/>
      <c r="C596" s="3945" t="s">
        <v>5927</v>
      </c>
      <c r="D596" s="971">
        <v>1105505037</v>
      </c>
      <c r="E596" s="1975">
        <v>1089049000</v>
      </c>
      <c r="F596" s="5221">
        <f t="shared" si="43"/>
        <v>98.511446221479318</v>
      </c>
      <c r="G596" s="3630">
        <v>100</v>
      </c>
      <c r="H596" s="2634"/>
    </row>
    <row r="597" spans="2:8" ht="17.25" customHeight="1" x14ac:dyDescent="0.25">
      <c r="B597" s="2630"/>
      <c r="C597" s="3945" t="s">
        <v>5928</v>
      </c>
      <c r="D597" s="971">
        <v>202335572</v>
      </c>
      <c r="E597" s="1975">
        <v>188152000</v>
      </c>
      <c r="F597" s="5221">
        <f t="shared" si="43"/>
        <v>92.990074923652074</v>
      </c>
      <c r="G597" s="3630">
        <v>100</v>
      </c>
      <c r="H597" s="2634"/>
    </row>
    <row r="598" spans="2:8" ht="18.75" customHeight="1" x14ac:dyDescent="0.25">
      <c r="B598" s="2630"/>
      <c r="C598" s="3945" t="s">
        <v>5929</v>
      </c>
      <c r="D598" s="971">
        <v>1577250000</v>
      </c>
      <c r="E598" s="1975">
        <v>1349200000</v>
      </c>
      <c r="F598" s="5221">
        <f t="shared" si="43"/>
        <v>85.541290220320178</v>
      </c>
      <c r="G598" s="3557">
        <v>75</v>
      </c>
      <c r="H598" s="2634"/>
    </row>
    <row r="599" spans="2:8" ht="17.25" customHeight="1" x14ac:dyDescent="0.25">
      <c r="B599" s="2630"/>
      <c r="C599" s="3945" t="s">
        <v>5930</v>
      </c>
      <c r="D599" s="971">
        <v>423000000</v>
      </c>
      <c r="E599" s="1975">
        <v>420400000</v>
      </c>
      <c r="F599" s="5221">
        <f t="shared" si="43"/>
        <v>99.385342789598113</v>
      </c>
      <c r="G599" s="3557">
        <v>100</v>
      </c>
      <c r="H599" s="2634"/>
    </row>
    <row r="600" spans="2:8" ht="33" customHeight="1" x14ac:dyDescent="0.25">
      <c r="B600" s="2630"/>
      <c r="C600" s="3945" t="s">
        <v>5932</v>
      </c>
      <c r="D600" s="971">
        <v>516700000</v>
      </c>
      <c r="E600" s="1975">
        <v>513900000</v>
      </c>
      <c r="F600" s="5221">
        <f t="shared" si="43"/>
        <v>99.458099477453061</v>
      </c>
      <c r="G600" s="3557">
        <v>100</v>
      </c>
      <c r="H600" s="2634"/>
    </row>
    <row r="601" spans="2:8" ht="18.75" customHeight="1" x14ac:dyDescent="0.25">
      <c r="B601" s="2630"/>
      <c r="C601" s="3945" t="s">
        <v>5931</v>
      </c>
      <c r="D601" s="971">
        <v>766790000</v>
      </c>
      <c r="E601" s="3879">
        <v>729290000</v>
      </c>
      <c r="F601" s="5221">
        <f t="shared" si="43"/>
        <v>95.109482387615913</v>
      </c>
      <c r="G601" s="3557">
        <v>100</v>
      </c>
      <c r="H601" s="2634"/>
    </row>
    <row r="602" spans="2:8" ht="18.75" customHeight="1" x14ac:dyDescent="0.25">
      <c r="B602" s="2630"/>
      <c r="C602" s="3945" t="s">
        <v>5933</v>
      </c>
      <c r="D602" s="971">
        <v>955380000</v>
      </c>
      <c r="E602" s="3879">
        <v>761250000</v>
      </c>
      <c r="F602" s="5221">
        <f t="shared" si="43"/>
        <v>79.680336619983677</v>
      </c>
      <c r="G602" s="3630">
        <v>65</v>
      </c>
      <c r="H602" s="2634"/>
    </row>
    <row r="603" spans="2:8" ht="17.25" customHeight="1" x14ac:dyDescent="0.25">
      <c r="B603" s="2630"/>
      <c r="C603" s="3945" t="s">
        <v>5934</v>
      </c>
      <c r="D603" s="971">
        <v>1394960000</v>
      </c>
      <c r="E603" s="1069">
        <v>1323475980</v>
      </c>
      <c r="F603" s="5221">
        <f t="shared" si="43"/>
        <v>94.875550553420879</v>
      </c>
      <c r="G603" s="3630">
        <v>100</v>
      </c>
      <c r="H603" s="2634"/>
    </row>
    <row r="604" spans="2:8" ht="14.25" customHeight="1" x14ac:dyDescent="0.25">
      <c r="B604" s="2630"/>
      <c r="C604" s="4038"/>
      <c r="D604" s="1038"/>
      <c r="E604" s="3497"/>
      <c r="F604" s="5221"/>
      <c r="G604" s="3630"/>
      <c r="H604" s="2634"/>
    </row>
    <row r="605" spans="2:8" ht="16.5" customHeight="1" x14ac:dyDescent="0.25">
      <c r="B605" s="2630"/>
      <c r="C605" s="3930" t="s">
        <v>280</v>
      </c>
      <c r="D605" s="1379">
        <f>SUM(D606:D610)</f>
        <v>427342000</v>
      </c>
      <c r="E605" s="1379">
        <f>SUM(E606:E610)</f>
        <v>427342000</v>
      </c>
      <c r="F605" s="5222">
        <f t="shared" si="43"/>
        <v>100</v>
      </c>
      <c r="G605" s="3629">
        <v>100</v>
      </c>
      <c r="H605" s="2634"/>
    </row>
    <row r="606" spans="2:8" ht="15.75" customHeight="1" x14ac:dyDescent="0.25">
      <c r="B606" s="2630"/>
      <c r="C606" s="3945" t="s">
        <v>5935</v>
      </c>
      <c r="D606" s="971">
        <v>95700000</v>
      </c>
      <c r="E606" s="1238">
        <v>95700000</v>
      </c>
      <c r="F606" s="5221">
        <f t="shared" si="43"/>
        <v>100</v>
      </c>
      <c r="G606" s="3630">
        <v>100</v>
      </c>
      <c r="H606" s="2634"/>
    </row>
    <row r="607" spans="2:8" ht="16.5" customHeight="1" x14ac:dyDescent="0.25">
      <c r="B607" s="2630"/>
      <c r="C607" s="3945" t="s">
        <v>5936</v>
      </c>
      <c r="D607" s="971">
        <v>81930000</v>
      </c>
      <c r="E607" s="1975">
        <v>81930000</v>
      </c>
      <c r="F607" s="5221">
        <f>E607/D607*100</f>
        <v>100</v>
      </c>
      <c r="G607" s="3557">
        <v>100</v>
      </c>
      <c r="H607" s="2634"/>
    </row>
    <row r="608" spans="2:8" ht="15" customHeight="1" x14ac:dyDescent="0.25">
      <c r="B608" s="2630"/>
      <c r="C608" s="3945" t="s">
        <v>5937</v>
      </c>
      <c r="D608" s="971">
        <v>83280000</v>
      </c>
      <c r="E608" s="1238">
        <v>83280000</v>
      </c>
      <c r="F608" s="5221">
        <f t="shared" si="43"/>
        <v>100</v>
      </c>
      <c r="G608" s="3630">
        <v>100</v>
      </c>
      <c r="H608" s="2634"/>
    </row>
    <row r="609" spans="2:8" ht="14.25" customHeight="1" x14ac:dyDescent="0.25">
      <c r="B609" s="2630"/>
      <c r="C609" s="3945" t="s">
        <v>5938</v>
      </c>
      <c r="D609" s="971">
        <v>106000000</v>
      </c>
      <c r="E609" s="1238">
        <v>106000000</v>
      </c>
      <c r="F609" s="5221">
        <f t="shared" si="43"/>
        <v>100</v>
      </c>
      <c r="G609" s="3630">
        <v>100</v>
      </c>
      <c r="H609" s="2634"/>
    </row>
    <row r="610" spans="2:8" ht="15.75" customHeight="1" x14ac:dyDescent="0.25">
      <c r="B610" s="2630"/>
      <c r="C610" s="3945" t="s">
        <v>5939</v>
      </c>
      <c r="D610" s="971">
        <v>60432000</v>
      </c>
      <c r="E610" s="1975">
        <v>60432000</v>
      </c>
      <c r="F610" s="5221">
        <f t="shared" si="43"/>
        <v>100</v>
      </c>
      <c r="G610" s="3557">
        <v>100</v>
      </c>
      <c r="H610" s="2634"/>
    </row>
    <row r="611" spans="2:8" ht="8.25" customHeight="1" x14ac:dyDescent="0.25">
      <c r="B611" s="2630"/>
      <c r="C611" s="4033"/>
      <c r="D611" s="1038"/>
      <c r="E611" s="3879"/>
      <c r="F611" s="5221"/>
      <c r="G611" s="3630"/>
      <c r="H611" s="2634"/>
    </row>
    <row r="612" spans="2:8" ht="18" customHeight="1" x14ac:dyDescent="0.25">
      <c r="B612" s="2630"/>
      <c r="C612" s="4039" t="s">
        <v>261</v>
      </c>
      <c r="D612" s="1379">
        <f>SUM(D613:D620)</f>
        <v>12045840391</v>
      </c>
      <c r="E612" s="1379">
        <f>SUM(E613:E620)</f>
        <v>12045694693</v>
      </c>
      <c r="F612" s="5222">
        <f t="shared" si="43"/>
        <v>99.998790470442316</v>
      </c>
      <c r="G612" s="3629">
        <v>100</v>
      </c>
      <c r="H612" s="2634"/>
    </row>
    <row r="613" spans="2:8" ht="17.25" customHeight="1" x14ac:dyDescent="0.25">
      <c r="B613" s="2630"/>
      <c r="C613" s="3945" t="s">
        <v>5941</v>
      </c>
      <c r="D613" s="971">
        <v>5052000000</v>
      </c>
      <c r="E613" s="1069">
        <v>5052000000</v>
      </c>
      <c r="F613" s="5221">
        <f t="shared" si="43"/>
        <v>100</v>
      </c>
      <c r="G613" s="3630">
        <v>100</v>
      </c>
      <c r="H613" s="2634"/>
    </row>
    <row r="614" spans="2:8" ht="16.5" customHeight="1" x14ac:dyDescent="0.25">
      <c r="B614" s="2630"/>
      <c r="C614" s="3945" t="s">
        <v>5940</v>
      </c>
      <c r="D614" s="971">
        <v>3913120000</v>
      </c>
      <c r="E614" s="1069">
        <v>3913120000</v>
      </c>
      <c r="F614" s="5221">
        <f t="shared" si="43"/>
        <v>100</v>
      </c>
      <c r="G614" s="3630">
        <v>100</v>
      </c>
      <c r="H614" s="2634"/>
    </row>
    <row r="615" spans="2:8" ht="16.5" customHeight="1" x14ac:dyDescent="0.25">
      <c r="B615" s="2630"/>
      <c r="C615" s="3945" t="s">
        <v>5942</v>
      </c>
      <c r="D615" s="971">
        <v>100000000</v>
      </c>
      <c r="E615" s="1975">
        <v>100000000</v>
      </c>
      <c r="F615" s="5221">
        <f t="shared" si="43"/>
        <v>100</v>
      </c>
      <c r="G615" s="3630">
        <v>100</v>
      </c>
      <c r="H615" s="2634"/>
    </row>
    <row r="616" spans="2:8" ht="15.75" customHeight="1" x14ac:dyDescent="0.25">
      <c r="B616" s="2630"/>
      <c r="C616" s="3945" t="s">
        <v>5943</v>
      </c>
      <c r="D616" s="971">
        <v>1150000000</v>
      </c>
      <c r="E616" s="1975">
        <v>1149854302</v>
      </c>
      <c r="F616" s="5221">
        <f t="shared" si="43"/>
        <v>99.987330608695657</v>
      </c>
      <c r="G616" s="3630">
        <v>100</v>
      </c>
      <c r="H616" s="2634"/>
    </row>
    <row r="617" spans="2:8" ht="17.25" customHeight="1" x14ac:dyDescent="0.25">
      <c r="B617" s="2630"/>
      <c r="C617" s="3945" t="s">
        <v>5944</v>
      </c>
      <c r="D617" s="971">
        <v>500000000</v>
      </c>
      <c r="E617" s="1975">
        <v>500000000</v>
      </c>
      <c r="F617" s="5221">
        <f t="shared" si="43"/>
        <v>100</v>
      </c>
      <c r="G617" s="3630">
        <v>100</v>
      </c>
      <c r="H617" s="2634"/>
    </row>
    <row r="618" spans="2:8" ht="20.25" customHeight="1" x14ac:dyDescent="0.25">
      <c r="B618" s="2630"/>
      <c r="C618" s="3945" t="s">
        <v>5945</v>
      </c>
      <c r="D618" s="971">
        <v>645720391</v>
      </c>
      <c r="E618" s="1975">
        <v>645720391</v>
      </c>
      <c r="F618" s="5221">
        <f t="shared" si="43"/>
        <v>100</v>
      </c>
      <c r="G618" s="3630">
        <v>100</v>
      </c>
      <c r="H618" s="2634"/>
    </row>
    <row r="619" spans="2:8" ht="17.25" customHeight="1" x14ac:dyDescent="0.25">
      <c r="B619" s="2630"/>
      <c r="C619" s="3945" t="s">
        <v>5946</v>
      </c>
      <c r="D619" s="971">
        <v>325000000</v>
      </c>
      <c r="E619" s="1024">
        <v>325000000</v>
      </c>
      <c r="F619" s="5221">
        <f t="shared" si="43"/>
        <v>100</v>
      </c>
      <c r="G619" s="3630">
        <v>100</v>
      </c>
      <c r="H619" s="2634"/>
    </row>
    <row r="620" spans="2:8" ht="18.75" customHeight="1" x14ac:dyDescent="0.25">
      <c r="B620" s="2630"/>
      <c r="C620" s="3945" t="s">
        <v>560</v>
      </c>
      <c r="D620" s="971">
        <v>360000000</v>
      </c>
      <c r="E620" s="1975">
        <v>360000000</v>
      </c>
      <c r="F620" s="5221">
        <f t="shared" si="43"/>
        <v>100</v>
      </c>
      <c r="G620" s="3630">
        <v>100</v>
      </c>
      <c r="H620" s="2634"/>
    </row>
    <row r="621" spans="2:8" ht="12" customHeight="1" x14ac:dyDescent="0.25">
      <c r="B621" s="2653"/>
      <c r="C621" s="1292"/>
      <c r="D621" s="1038"/>
      <c r="E621" s="5196"/>
      <c r="F621" s="853"/>
      <c r="G621" s="940"/>
      <c r="H621" s="2634"/>
    </row>
    <row r="622" spans="2:8" ht="15.75" customHeight="1" x14ac:dyDescent="0.25">
      <c r="B622" s="2624"/>
      <c r="C622" s="1289" t="s">
        <v>599</v>
      </c>
      <c r="D622" s="1039">
        <f>D623</f>
        <v>8420540000</v>
      </c>
      <c r="E622" s="1039">
        <f>E623</f>
        <v>8420540000</v>
      </c>
      <c r="F622" s="3631">
        <v>100</v>
      </c>
      <c r="G622" s="3635">
        <v>100</v>
      </c>
      <c r="H622" s="2634"/>
    </row>
    <row r="623" spans="2:8" ht="20.25" customHeight="1" x14ac:dyDescent="0.25">
      <c r="B623" s="2624"/>
      <c r="C623" s="1290" t="s">
        <v>2332</v>
      </c>
      <c r="D623" s="1047">
        <f>D624</f>
        <v>8420540000</v>
      </c>
      <c r="E623" s="1047">
        <f>E624</f>
        <v>8420540000</v>
      </c>
      <c r="F623" s="2442">
        <f>E623/D623*100</f>
        <v>100</v>
      </c>
      <c r="G623" s="3629">
        <v>100</v>
      </c>
      <c r="H623" s="2634"/>
    </row>
    <row r="624" spans="2:8" ht="18" customHeight="1" x14ac:dyDescent="0.25">
      <c r="B624" s="2624"/>
      <c r="C624" s="1288" t="s">
        <v>593</v>
      </c>
      <c r="D624" s="671">
        <v>8420540000</v>
      </c>
      <c r="E624" s="798">
        <v>8420540000</v>
      </c>
      <c r="F624" s="1074">
        <f>E624/D624*100</f>
        <v>100</v>
      </c>
      <c r="G624" s="798">
        <v>100</v>
      </c>
      <c r="H624" s="2634"/>
    </row>
    <row r="625" spans="2:11" ht="10.5" customHeight="1" x14ac:dyDescent="0.25">
      <c r="B625" s="2627"/>
      <c r="C625" s="519"/>
      <c r="D625" s="1651"/>
      <c r="E625" s="2234"/>
      <c r="F625" s="1651"/>
      <c r="G625" s="788"/>
      <c r="H625" s="2634"/>
    </row>
    <row r="626" spans="2:11" ht="17.25" customHeight="1" x14ac:dyDescent="0.25">
      <c r="B626" s="2724"/>
      <c r="C626" s="1297" t="s">
        <v>606</v>
      </c>
      <c r="D626" s="2798">
        <f>D627</f>
        <v>19909496005</v>
      </c>
      <c r="E626" s="2798">
        <f>E627</f>
        <v>19821442689</v>
      </c>
      <c r="F626" s="2530">
        <f>E626/D626*100</f>
        <v>99.557732069270429</v>
      </c>
      <c r="G626" s="5197">
        <f>SUM(G627)</f>
        <v>100</v>
      </c>
      <c r="H626" s="3558"/>
    </row>
    <row r="627" spans="2:11" ht="19.5" customHeight="1" x14ac:dyDescent="0.25">
      <c r="B627" s="2743"/>
      <c r="C627" s="1209" t="s">
        <v>378</v>
      </c>
      <c r="D627" s="5135">
        <f>SUM(D629+D632+D635+D641+D645+D648)</f>
        <v>19909496005</v>
      </c>
      <c r="E627" s="5135">
        <f>SUM(E629+E632+E635+E641+E645+E648)</f>
        <v>19821442689</v>
      </c>
      <c r="F627" s="2289">
        <f>E627/D627*100</f>
        <v>99.557732069270429</v>
      </c>
      <c r="G627" s="1077">
        <f>SUM(G629+G632+G635+G641+G645+G648)/6</f>
        <v>100</v>
      </c>
      <c r="H627" s="2634"/>
      <c r="J627" s="522">
        <v>19909496005</v>
      </c>
      <c r="K627" s="522">
        <v>19821442689</v>
      </c>
    </row>
    <row r="628" spans="2:11" ht="4.5" customHeight="1" x14ac:dyDescent="0.25">
      <c r="B628" s="2630"/>
      <c r="C628" s="521"/>
      <c r="D628" s="663"/>
      <c r="E628" s="666"/>
      <c r="F628" s="1111"/>
      <c r="G628" s="2360"/>
      <c r="H628" s="2634"/>
    </row>
    <row r="629" spans="2:11" ht="15.75" customHeight="1" x14ac:dyDescent="0.25">
      <c r="B629" s="2630"/>
      <c r="C629" s="3949" t="s">
        <v>5702</v>
      </c>
      <c r="D629" s="1426">
        <f>SUM(D630:D630)</f>
        <v>455000000</v>
      </c>
      <c r="E629" s="1426">
        <f>SUM(E630:E630)</f>
        <v>453816000</v>
      </c>
      <c r="F629" s="1415">
        <f>E629/D629*100</f>
        <v>99.739780219780215</v>
      </c>
      <c r="G629" s="1110">
        <v>100</v>
      </c>
      <c r="H629" s="2634"/>
    </row>
    <row r="630" spans="2:11" ht="15.75" customHeight="1" x14ac:dyDescent="0.25">
      <c r="B630" s="2630"/>
      <c r="C630" s="3950" t="s">
        <v>5703</v>
      </c>
      <c r="D630" s="1081">
        <v>455000000</v>
      </c>
      <c r="E630" s="2454">
        <v>453816000</v>
      </c>
      <c r="F630" s="880">
        <f>E630/D630*100</f>
        <v>99.739780219780215</v>
      </c>
      <c r="G630" s="1109">
        <v>100</v>
      </c>
      <c r="H630" s="2634"/>
    </row>
    <row r="631" spans="2:11" ht="8.25" customHeight="1" x14ac:dyDescent="0.25">
      <c r="B631" s="2630"/>
      <c r="C631" s="3950"/>
      <c r="D631" s="1596"/>
      <c r="E631" s="666"/>
      <c r="F631" s="4230"/>
      <c r="G631" s="2360"/>
      <c r="H631" s="2634"/>
    </row>
    <row r="632" spans="2:11" ht="16.5" customHeight="1" x14ac:dyDescent="0.25">
      <c r="B632" s="2630"/>
      <c r="C632" s="3949" t="s">
        <v>5704</v>
      </c>
      <c r="D632" s="1426">
        <f>D633</f>
        <v>299858000</v>
      </c>
      <c r="E632" s="1426">
        <f>E633</f>
        <v>299858000</v>
      </c>
      <c r="F632" s="1415">
        <f>E632/D632*100</f>
        <v>100</v>
      </c>
      <c r="G632" s="1110">
        <v>100</v>
      </c>
      <c r="H632" s="2634"/>
    </row>
    <row r="633" spans="2:11" ht="18" customHeight="1" x14ac:dyDescent="0.25">
      <c r="B633" s="2630"/>
      <c r="C633" s="3950" t="s">
        <v>5705</v>
      </c>
      <c r="D633" s="1081">
        <v>299858000</v>
      </c>
      <c r="E633" s="2457">
        <v>299858000</v>
      </c>
      <c r="F633" s="880">
        <f>E633/D633*100</f>
        <v>100</v>
      </c>
      <c r="G633" s="1109">
        <v>100</v>
      </c>
      <c r="H633" s="2634"/>
    </row>
    <row r="634" spans="2:11" ht="10.5" customHeight="1" x14ac:dyDescent="0.25">
      <c r="B634" s="2630"/>
      <c r="C634" s="3951"/>
      <c r="D634" s="1429"/>
      <c r="E634" s="666"/>
      <c r="F634" s="4230"/>
      <c r="G634" s="2360"/>
      <c r="H634" s="2634"/>
    </row>
    <row r="635" spans="2:11" ht="15.75" customHeight="1" x14ac:dyDescent="0.25">
      <c r="B635" s="2630"/>
      <c r="C635" s="3949" t="s">
        <v>366</v>
      </c>
      <c r="D635" s="1426">
        <f>SUM(D636:D639)</f>
        <v>16298771316</v>
      </c>
      <c r="E635" s="1426">
        <f>SUM(E636:E639)</f>
        <v>16211902000</v>
      </c>
      <c r="F635" s="1415">
        <f>E635/D635*100</f>
        <v>99.467019235279892</v>
      </c>
      <c r="G635" s="1110">
        <v>100</v>
      </c>
      <c r="H635" s="2634"/>
    </row>
    <row r="636" spans="2:11" ht="16.5" customHeight="1" x14ac:dyDescent="0.25">
      <c r="B636" s="2630"/>
      <c r="C636" s="3950" t="s">
        <v>5706</v>
      </c>
      <c r="D636" s="1429">
        <v>6889240869</v>
      </c>
      <c r="E636" s="663">
        <v>6810372000</v>
      </c>
      <c r="F636" s="880">
        <f>E636/D636*100</f>
        <v>98.85518781387232</v>
      </c>
      <c r="G636" s="1109">
        <v>100</v>
      </c>
      <c r="H636" s="2634"/>
    </row>
    <row r="637" spans="2:11" ht="18" customHeight="1" x14ac:dyDescent="0.25">
      <c r="B637" s="2630"/>
      <c r="C637" s="3950" t="s">
        <v>5707</v>
      </c>
      <c r="D637" s="1429">
        <v>800000000</v>
      </c>
      <c r="E637" s="663">
        <v>792000000</v>
      </c>
      <c r="F637" s="880">
        <f t="shared" ref="F637:F639" si="44">E637/D637*100</f>
        <v>99</v>
      </c>
      <c r="G637" s="1109">
        <v>100</v>
      </c>
      <c r="H637" s="2634"/>
    </row>
    <row r="638" spans="2:11" ht="25.5" customHeight="1" x14ac:dyDescent="0.25">
      <c r="B638" s="2630"/>
      <c r="C638" s="3950" t="s">
        <v>5708</v>
      </c>
      <c r="D638" s="1429">
        <v>6120000000</v>
      </c>
      <c r="E638" s="663">
        <v>6120000000</v>
      </c>
      <c r="F638" s="880">
        <f t="shared" si="44"/>
        <v>100</v>
      </c>
      <c r="G638" s="1109">
        <v>100</v>
      </c>
      <c r="H638" s="2634"/>
    </row>
    <row r="639" spans="2:11" ht="18" customHeight="1" x14ac:dyDescent="0.25">
      <c r="B639" s="2630"/>
      <c r="C639" s="3950" t="s">
        <v>5709</v>
      </c>
      <c r="D639" s="1429">
        <v>2489530447</v>
      </c>
      <c r="E639" s="663">
        <v>2489530000</v>
      </c>
      <c r="F639" s="880">
        <f t="shared" si="44"/>
        <v>99.999982044806856</v>
      </c>
      <c r="G639" s="1109">
        <v>100</v>
      </c>
      <c r="H639" s="2634"/>
    </row>
    <row r="640" spans="2:11" ht="13.5" customHeight="1" x14ac:dyDescent="0.25">
      <c r="B640" s="2630"/>
      <c r="C640" s="3951"/>
      <c r="D640" s="1429"/>
      <c r="E640" s="666"/>
      <c r="F640" s="4230"/>
      <c r="G640" s="2360"/>
      <c r="H640" s="2634"/>
    </row>
    <row r="641" spans="1:11" ht="15.75" customHeight="1" x14ac:dyDescent="0.25">
      <c r="B641" s="2627"/>
      <c r="C641" s="3949" t="s">
        <v>367</v>
      </c>
      <c r="D641" s="1426">
        <f>SUM(D642:D643)</f>
        <v>1843215689</v>
      </c>
      <c r="E641" s="1426">
        <f>SUM(E642:E643)</f>
        <v>1843215689</v>
      </c>
      <c r="F641" s="1415">
        <f>E641/D641*100</f>
        <v>100</v>
      </c>
      <c r="G641" s="1415">
        <v>100</v>
      </c>
      <c r="H641" s="2634"/>
    </row>
    <row r="642" spans="1:11" s="4099" customFormat="1" ht="15.75" customHeight="1" x14ac:dyDescent="0.25">
      <c r="A642" s="4100"/>
      <c r="B642" s="2630"/>
      <c r="C642" s="3950" t="s">
        <v>5710</v>
      </c>
      <c r="D642" s="5136">
        <v>633215689</v>
      </c>
      <c r="E642" s="1238">
        <v>633215689</v>
      </c>
      <c r="F642" s="880">
        <f>E642/D642*100</f>
        <v>100</v>
      </c>
      <c r="G642" s="880">
        <v>100</v>
      </c>
      <c r="H642" s="3653"/>
      <c r="J642" s="522"/>
      <c r="K642" s="522"/>
    </row>
    <row r="643" spans="1:11" s="4099" customFormat="1" ht="15.75" customHeight="1" x14ac:dyDescent="0.25">
      <c r="A643" s="4100"/>
      <c r="B643" s="2630"/>
      <c r="C643" s="3950" t="s">
        <v>5711</v>
      </c>
      <c r="D643" s="5136">
        <v>1210000000</v>
      </c>
      <c r="E643" s="1238">
        <v>1210000000</v>
      </c>
      <c r="F643" s="880">
        <f>E643/D643*100</f>
        <v>100</v>
      </c>
      <c r="G643" s="880">
        <v>100</v>
      </c>
      <c r="H643" s="3653"/>
      <c r="J643" s="522"/>
      <c r="K643" s="522"/>
    </row>
    <row r="644" spans="1:11" s="4099" customFormat="1" ht="12" customHeight="1" x14ac:dyDescent="0.25">
      <c r="A644" s="4100"/>
      <c r="B644" s="2630"/>
      <c r="C644" s="3949"/>
      <c r="D644" s="5137"/>
      <c r="E644" s="1329"/>
      <c r="F644" s="966"/>
      <c r="G644" s="966"/>
      <c r="H644" s="3653"/>
      <c r="J644" s="522"/>
      <c r="K644" s="522"/>
    </row>
    <row r="645" spans="1:11" s="4099" customFormat="1" ht="12" customHeight="1" x14ac:dyDescent="0.25">
      <c r="A645" s="4100"/>
      <c r="B645" s="2630"/>
      <c r="C645" s="3949" t="s">
        <v>5712</v>
      </c>
      <c r="D645" s="5137">
        <f>D646</f>
        <v>910800000</v>
      </c>
      <c r="E645" s="1426">
        <f>E646</f>
        <v>910800000</v>
      </c>
      <c r="F645" s="1415">
        <f>E645/D645*100</f>
        <v>100</v>
      </c>
      <c r="G645" s="1415">
        <v>100</v>
      </c>
      <c r="H645" s="3653"/>
      <c r="J645" s="522"/>
      <c r="K645" s="522"/>
    </row>
    <row r="646" spans="1:11" s="4099" customFormat="1" ht="19.5" customHeight="1" x14ac:dyDescent="0.25">
      <c r="A646" s="4100"/>
      <c r="B646" s="2630"/>
      <c r="C646" s="3950" t="s">
        <v>5713</v>
      </c>
      <c r="D646" s="5136">
        <v>910800000</v>
      </c>
      <c r="E646" s="1238">
        <v>910800000</v>
      </c>
      <c r="F646" s="880">
        <f>E646/D646*100</f>
        <v>100</v>
      </c>
      <c r="G646" s="880">
        <v>100</v>
      </c>
      <c r="H646" s="3653"/>
      <c r="J646" s="522"/>
      <c r="K646" s="522"/>
    </row>
    <row r="647" spans="1:11" s="4099" customFormat="1" ht="12" customHeight="1" x14ac:dyDescent="0.25">
      <c r="A647" s="4100"/>
      <c r="B647" s="2630"/>
      <c r="C647" s="3949"/>
      <c r="D647" s="5137"/>
      <c r="E647" s="1329"/>
      <c r="F647" s="966"/>
      <c r="G647" s="966"/>
      <c r="H647" s="3653"/>
      <c r="J647" s="522"/>
      <c r="K647" s="522"/>
    </row>
    <row r="648" spans="1:11" s="4099" customFormat="1" ht="15.75" customHeight="1" x14ac:dyDescent="0.25">
      <c r="A648" s="4100"/>
      <c r="B648" s="2630"/>
      <c r="C648" s="3949" t="s">
        <v>2290</v>
      </c>
      <c r="D648" s="5137">
        <f>D649</f>
        <v>101851000</v>
      </c>
      <c r="E648" s="1426">
        <f>E649</f>
        <v>101851000</v>
      </c>
      <c r="F648" s="1415">
        <f>E648/D648*100</f>
        <v>100</v>
      </c>
      <c r="G648" s="1415">
        <v>100</v>
      </c>
      <c r="H648" s="3653"/>
      <c r="J648" s="522"/>
      <c r="K648" s="522"/>
    </row>
    <row r="649" spans="1:11" s="4099" customFormat="1" ht="15" customHeight="1" x14ac:dyDescent="0.25">
      <c r="A649" s="4100"/>
      <c r="B649" s="2630"/>
      <c r="C649" s="3950" t="s">
        <v>5714</v>
      </c>
      <c r="D649" s="5136">
        <v>101851000</v>
      </c>
      <c r="E649" s="1238">
        <v>101851000</v>
      </c>
      <c r="F649" s="880">
        <f>E649/D649*100</f>
        <v>100</v>
      </c>
      <c r="G649" s="880">
        <v>100</v>
      </c>
      <c r="H649" s="3653"/>
      <c r="J649" s="522"/>
      <c r="K649" s="522"/>
    </row>
    <row r="650" spans="1:11" ht="12" customHeight="1" x14ac:dyDescent="0.25">
      <c r="B650" s="2627"/>
      <c r="C650" s="1146"/>
      <c r="D650" s="1314"/>
      <c r="E650" s="2234"/>
      <c r="F650" s="1651"/>
      <c r="G650" s="788"/>
      <c r="H650" s="2634"/>
    </row>
    <row r="651" spans="1:11" ht="15" customHeight="1" x14ac:dyDescent="0.25">
      <c r="B651" s="2724"/>
      <c r="C651" s="2815" t="s">
        <v>607</v>
      </c>
      <c r="D651" s="2530">
        <f>(D653+D717)</f>
        <v>46006300000</v>
      </c>
      <c r="E651" s="2530">
        <f>(E653+E717)</f>
        <v>43953907000</v>
      </c>
      <c r="F651" s="5041">
        <f>SUM(E651/D651*100)</f>
        <v>95.538887065467122</v>
      </c>
      <c r="G651" s="5223">
        <f>SUM(G653+G717)/2</f>
        <v>50</v>
      </c>
      <c r="H651" s="3558"/>
    </row>
    <row r="652" spans="1:11" ht="9" customHeight="1" x14ac:dyDescent="0.25">
      <c r="B652" s="2630"/>
      <c r="C652" s="391"/>
      <c r="D652" s="3132"/>
      <c r="E652" s="2486"/>
      <c r="F652" s="3133"/>
      <c r="G652" s="2409"/>
      <c r="H652" s="2634"/>
    </row>
    <row r="653" spans="1:11" ht="18.75" customHeight="1" x14ac:dyDescent="0.25">
      <c r="B653" s="3654"/>
      <c r="C653" s="650" t="s">
        <v>365</v>
      </c>
      <c r="D653" s="866">
        <f>D654+D658+D694+D701+D707</f>
        <v>44506300000</v>
      </c>
      <c r="E653" s="866">
        <f>E654+E658+E694+E701+E707</f>
        <v>43953907000</v>
      </c>
      <c r="F653" s="1030">
        <f>SUM(E653/D653*100)</f>
        <v>98.758843130073714</v>
      </c>
      <c r="G653" s="2298">
        <f>SUM(G654+G659+G694+G701+G707)/5</f>
        <v>100</v>
      </c>
      <c r="H653" s="2634"/>
    </row>
    <row r="654" spans="1:11" ht="13.5" customHeight="1" x14ac:dyDescent="0.25">
      <c r="B654" s="3655"/>
      <c r="C654" s="391" t="s">
        <v>870</v>
      </c>
      <c r="D654" s="1426">
        <f>SUM(D655:D656)</f>
        <v>785000000</v>
      </c>
      <c r="E654" s="1426">
        <f>SUM(E655:E656)</f>
        <v>785000000</v>
      </c>
      <c r="F654" s="1912">
        <f>E654/D654*100</f>
        <v>100</v>
      </c>
      <c r="G654" s="1912">
        <v>100</v>
      </c>
      <c r="H654" s="2634"/>
    </row>
    <row r="655" spans="1:11" ht="16.5" customHeight="1" x14ac:dyDescent="0.25">
      <c r="B655" s="2624"/>
      <c r="C655" s="521" t="s">
        <v>871</v>
      </c>
      <c r="D655" s="1429">
        <v>250000000</v>
      </c>
      <c r="E655" s="5148">
        <v>250000000</v>
      </c>
      <c r="F655" s="1914">
        <f t="shared" ref="F655:F656" si="45">E655/D655*100</f>
        <v>100</v>
      </c>
      <c r="G655" s="1914">
        <v>100</v>
      </c>
      <c r="H655" s="2634"/>
    </row>
    <row r="656" spans="1:11" ht="13.5" customHeight="1" x14ac:dyDescent="0.25">
      <c r="B656" s="2624"/>
      <c r="C656" s="521" t="s">
        <v>872</v>
      </c>
      <c r="D656" s="1429">
        <v>535000000</v>
      </c>
      <c r="E656" s="5148">
        <v>535000000</v>
      </c>
      <c r="F656" s="1914">
        <f t="shared" si="45"/>
        <v>100</v>
      </c>
      <c r="G656" s="1914">
        <v>100</v>
      </c>
      <c r="H656" s="2634"/>
    </row>
    <row r="657" spans="2:8" ht="12" customHeight="1" x14ac:dyDescent="0.25">
      <c r="B657" s="2624"/>
      <c r="C657" s="521"/>
      <c r="D657" s="1429"/>
      <c r="E657" s="666"/>
      <c r="F657" s="1912"/>
      <c r="G657" s="2360"/>
      <c r="H657" s="2634"/>
    </row>
    <row r="658" spans="2:8" ht="15" customHeight="1" x14ac:dyDescent="0.25">
      <c r="B658" s="2624"/>
      <c r="C658" s="391" t="s">
        <v>279</v>
      </c>
      <c r="D658" s="1426">
        <f>SUM(D659:D692)</f>
        <v>40682220000</v>
      </c>
      <c r="E658" s="1426">
        <f>SUM(E659:E692)</f>
        <v>40129827000</v>
      </c>
      <c r="F658" s="1912">
        <f>E658/D658*100</f>
        <v>98.642175869458441</v>
      </c>
      <c r="G658" s="1110">
        <v>100</v>
      </c>
      <c r="H658" s="2634"/>
    </row>
    <row r="659" spans="2:8" ht="14.25" customHeight="1" x14ac:dyDescent="0.25">
      <c r="B659" s="2624"/>
      <c r="C659" s="521" t="s">
        <v>873</v>
      </c>
      <c r="D659" s="1429">
        <v>750000000</v>
      </c>
      <c r="E659" s="1986">
        <v>750000000</v>
      </c>
      <c r="F659" s="1914">
        <f t="shared" ref="F659:F699" si="46">E659/D659*100</f>
        <v>100</v>
      </c>
      <c r="G659" s="1109">
        <v>100</v>
      </c>
      <c r="H659" s="2634"/>
    </row>
    <row r="660" spans="2:8" ht="13.5" customHeight="1" x14ac:dyDescent="0.25">
      <c r="B660" s="2624"/>
      <c r="C660" s="521" t="s">
        <v>874</v>
      </c>
      <c r="D660" s="1429">
        <v>620000000</v>
      </c>
      <c r="E660" s="1986">
        <v>566750000</v>
      </c>
      <c r="F660" s="1914">
        <f t="shared" si="46"/>
        <v>91.411290322580641</v>
      </c>
      <c r="G660" s="1109">
        <v>100</v>
      </c>
      <c r="H660" s="2634"/>
    </row>
    <row r="661" spans="2:8" ht="14.25" customHeight="1" x14ac:dyDescent="0.25">
      <c r="B661" s="2624"/>
      <c r="C661" s="521" t="s">
        <v>875</v>
      </c>
      <c r="D661" s="1429">
        <v>3000000000</v>
      </c>
      <c r="E661" s="1986">
        <v>3000000000</v>
      </c>
      <c r="F661" s="1914">
        <f t="shared" si="46"/>
        <v>100</v>
      </c>
      <c r="G661" s="1109">
        <v>100</v>
      </c>
      <c r="H661" s="2634"/>
    </row>
    <row r="662" spans="2:8" ht="13.5" customHeight="1" x14ac:dyDescent="0.25">
      <c r="B662" s="2624"/>
      <c r="C662" s="521" t="s">
        <v>876</v>
      </c>
      <c r="D662" s="1429">
        <v>2040000000</v>
      </c>
      <c r="E662" s="1986">
        <v>2040000000</v>
      </c>
      <c r="F662" s="1914">
        <f t="shared" si="46"/>
        <v>100</v>
      </c>
      <c r="G662" s="1109">
        <v>100</v>
      </c>
      <c r="H662" s="2634"/>
    </row>
    <row r="663" spans="2:8" ht="13.5" customHeight="1" x14ac:dyDescent="0.25">
      <c r="B663" s="2624"/>
      <c r="C663" s="521" t="s">
        <v>877</v>
      </c>
      <c r="D663" s="1429">
        <v>1925000000</v>
      </c>
      <c r="E663" s="1986">
        <v>1919000000</v>
      </c>
      <c r="F663" s="1914">
        <f t="shared" si="46"/>
        <v>99.6883116883117</v>
      </c>
      <c r="G663" s="1109">
        <v>100</v>
      </c>
      <c r="H663" s="2634"/>
    </row>
    <row r="664" spans="2:8" ht="14.25" customHeight="1" x14ac:dyDescent="0.25">
      <c r="B664" s="2624"/>
      <c r="C664" s="521" t="s">
        <v>4768</v>
      </c>
      <c r="D664" s="1429">
        <v>1580000000</v>
      </c>
      <c r="E664" s="1986">
        <v>1577000000</v>
      </c>
      <c r="F664" s="1914">
        <f t="shared" si="46"/>
        <v>99.810126582278485</v>
      </c>
      <c r="G664" s="1109">
        <v>100</v>
      </c>
      <c r="H664" s="2634"/>
    </row>
    <row r="665" spans="2:8" ht="13.5" customHeight="1" x14ac:dyDescent="0.25">
      <c r="B665" s="2624"/>
      <c r="C665" s="521" t="s">
        <v>878</v>
      </c>
      <c r="D665" s="1429">
        <v>1300000000</v>
      </c>
      <c r="E665" s="1986">
        <v>1293500000</v>
      </c>
      <c r="F665" s="1914">
        <f t="shared" si="46"/>
        <v>99.5</v>
      </c>
      <c r="G665" s="1109">
        <v>100</v>
      </c>
      <c r="H665" s="2634"/>
    </row>
    <row r="666" spans="2:8" ht="14.25" customHeight="1" x14ac:dyDescent="0.25">
      <c r="B666" s="2624"/>
      <c r="C666" s="521" t="s">
        <v>4769</v>
      </c>
      <c r="D666" s="1429">
        <v>1700000000</v>
      </c>
      <c r="E666" s="1986">
        <v>1696482000</v>
      </c>
      <c r="F666" s="1914">
        <f t="shared" si="46"/>
        <v>99.793058823529407</v>
      </c>
      <c r="G666" s="1109">
        <v>100</v>
      </c>
      <c r="H666" s="2634"/>
    </row>
    <row r="667" spans="2:8" ht="15.75" customHeight="1" x14ac:dyDescent="0.25">
      <c r="B667" s="2624"/>
      <c r="C667" s="521" t="s">
        <v>4770</v>
      </c>
      <c r="D667" s="1429">
        <v>1450000000</v>
      </c>
      <c r="E667" s="1986">
        <v>1445500000</v>
      </c>
      <c r="F667" s="1914">
        <f t="shared" si="46"/>
        <v>99.689655172413794</v>
      </c>
      <c r="G667" s="1109">
        <v>100</v>
      </c>
      <c r="H667" s="2634"/>
    </row>
    <row r="668" spans="2:8" ht="13.5" customHeight="1" x14ac:dyDescent="0.25">
      <c r="B668" s="2624"/>
      <c r="C668" s="521" t="s">
        <v>4771</v>
      </c>
      <c r="D668" s="1429">
        <v>1535000000</v>
      </c>
      <c r="E668" s="1986">
        <v>1532000000</v>
      </c>
      <c r="F668" s="1914">
        <f t="shared" si="46"/>
        <v>99.804560260586314</v>
      </c>
      <c r="G668" s="1109">
        <v>100</v>
      </c>
      <c r="H668" s="2634"/>
    </row>
    <row r="669" spans="2:8" ht="15" customHeight="1" x14ac:dyDescent="0.25">
      <c r="B669" s="2624"/>
      <c r="C669" s="521" t="s">
        <v>4772</v>
      </c>
      <c r="D669" s="1429">
        <v>1310000000</v>
      </c>
      <c r="E669" s="1986">
        <v>1306500000</v>
      </c>
      <c r="F669" s="1914">
        <f t="shared" si="46"/>
        <v>99.732824427480921</v>
      </c>
      <c r="G669" s="1109">
        <v>100</v>
      </c>
      <c r="H669" s="2634"/>
    </row>
    <row r="670" spans="2:8" ht="13.5" customHeight="1" x14ac:dyDescent="0.25">
      <c r="B670" s="2624"/>
      <c r="C670" s="521" t="s">
        <v>4773</v>
      </c>
      <c r="D670" s="1429">
        <v>1000000000</v>
      </c>
      <c r="E670" s="1986">
        <v>995500000</v>
      </c>
      <c r="F670" s="1914">
        <f t="shared" si="46"/>
        <v>99.550000000000011</v>
      </c>
      <c r="G670" s="1109">
        <v>100</v>
      </c>
      <c r="H670" s="2634"/>
    </row>
    <row r="671" spans="2:8" ht="12.75" customHeight="1" x14ac:dyDescent="0.25">
      <c r="B671" s="2624"/>
      <c r="C671" s="521" t="s">
        <v>4774</v>
      </c>
      <c r="D671" s="1429">
        <v>1100000000</v>
      </c>
      <c r="E671" s="1986">
        <v>1097000000</v>
      </c>
      <c r="F671" s="1914">
        <f t="shared" si="46"/>
        <v>99.727272727272734</v>
      </c>
      <c r="G671" s="1109">
        <v>100</v>
      </c>
      <c r="H671" s="2634"/>
    </row>
    <row r="672" spans="2:8" ht="14.25" customHeight="1" x14ac:dyDescent="0.25">
      <c r="B672" s="2624"/>
      <c r="C672" s="521" t="s">
        <v>4775</v>
      </c>
      <c r="D672" s="1429">
        <v>1200000000</v>
      </c>
      <c r="E672" s="1986">
        <v>897625000</v>
      </c>
      <c r="F672" s="1914">
        <f t="shared" si="46"/>
        <v>74.802083333333343</v>
      </c>
      <c r="G672" s="1109">
        <v>100</v>
      </c>
      <c r="H672" s="2634"/>
    </row>
    <row r="673" spans="2:8" ht="13.5" customHeight="1" x14ac:dyDescent="0.25">
      <c r="B673" s="2624"/>
      <c r="C673" s="521" t="s">
        <v>4776</v>
      </c>
      <c r="D673" s="1429">
        <v>400000000</v>
      </c>
      <c r="E673" s="1986">
        <v>278250000</v>
      </c>
      <c r="F673" s="1914">
        <f t="shared" si="46"/>
        <v>69.5625</v>
      </c>
      <c r="G673" s="1109">
        <v>100</v>
      </c>
      <c r="H673" s="2634"/>
    </row>
    <row r="674" spans="2:8" ht="13.5" customHeight="1" x14ac:dyDescent="0.25">
      <c r="B674" s="2624"/>
      <c r="C674" s="521" t="s">
        <v>4777</v>
      </c>
      <c r="D674" s="1429">
        <v>345000000</v>
      </c>
      <c r="E674" s="1986">
        <v>340500000</v>
      </c>
      <c r="F674" s="1914">
        <f t="shared" si="46"/>
        <v>98.695652173913047</v>
      </c>
      <c r="G674" s="1109">
        <v>100</v>
      </c>
      <c r="H674" s="2634"/>
    </row>
    <row r="675" spans="2:8" ht="15" customHeight="1" x14ac:dyDescent="0.25">
      <c r="B675" s="2624"/>
      <c r="C675" s="521" t="s">
        <v>4778</v>
      </c>
      <c r="D675" s="1429">
        <v>230000000</v>
      </c>
      <c r="E675" s="1986">
        <v>227000000</v>
      </c>
      <c r="F675" s="1914">
        <f t="shared" si="46"/>
        <v>98.695652173913047</v>
      </c>
      <c r="G675" s="1109">
        <v>100</v>
      </c>
      <c r="H675" s="2634"/>
    </row>
    <row r="676" spans="2:8" ht="15.75" customHeight="1" x14ac:dyDescent="0.25">
      <c r="B676" s="2624"/>
      <c r="C676" s="521" t="s">
        <v>4779</v>
      </c>
      <c r="D676" s="1429">
        <v>1900000000</v>
      </c>
      <c r="E676" s="1986">
        <v>1896000000</v>
      </c>
      <c r="F676" s="1914">
        <f t="shared" si="46"/>
        <v>99.789473684210535</v>
      </c>
      <c r="G676" s="1109">
        <v>100</v>
      </c>
      <c r="H676" s="2634"/>
    </row>
    <row r="677" spans="2:8" ht="15" customHeight="1" x14ac:dyDescent="0.25">
      <c r="B677" s="2624"/>
      <c r="C677" s="521" t="s">
        <v>4780</v>
      </c>
      <c r="D677" s="1429">
        <v>250000000</v>
      </c>
      <c r="E677" s="1986">
        <v>250000000</v>
      </c>
      <c r="F677" s="1914">
        <f t="shared" si="46"/>
        <v>100</v>
      </c>
      <c r="G677" s="1109">
        <v>100</v>
      </c>
      <c r="H677" s="2634"/>
    </row>
    <row r="678" spans="2:8" ht="14.25" customHeight="1" x14ac:dyDescent="0.25">
      <c r="B678" s="2624"/>
      <c r="C678" s="521" t="s">
        <v>4781</v>
      </c>
      <c r="D678" s="1429">
        <v>1042220000</v>
      </c>
      <c r="E678" s="1986">
        <v>1042220000</v>
      </c>
      <c r="F678" s="1914">
        <f t="shared" si="46"/>
        <v>100</v>
      </c>
      <c r="G678" s="1109">
        <v>100</v>
      </c>
      <c r="H678" s="2634"/>
    </row>
    <row r="679" spans="2:8" ht="15" customHeight="1" x14ac:dyDescent="0.25">
      <c r="B679" s="2624"/>
      <c r="C679" s="521" t="s">
        <v>4782</v>
      </c>
      <c r="D679" s="1429">
        <v>1937500000</v>
      </c>
      <c r="E679" s="1986">
        <v>1930000000</v>
      </c>
      <c r="F679" s="1914">
        <f t="shared" si="46"/>
        <v>99.612903225806448</v>
      </c>
      <c r="G679" s="1109">
        <v>100</v>
      </c>
      <c r="H679" s="2634"/>
    </row>
    <row r="680" spans="2:8" ht="13.5" customHeight="1" x14ac:dyDescent="0.25">
      <c r="B680" s="2624"/>
      <c r="C680" s="521" t="s">
        <v>4783</v>
      </c>
      <c r="D680" s="1429">
        <v>73390000</v>
      </c>
      <c r="E680" s="1986">
        <v>73390000</v>
      </c>
      <c r="F680" s="1914">
        <f t="shared" si="46"/>
        <v>100</v>
      </c>
      <c r="G680" s="1109">
        <v>100</v>
      </c>
      <c r="H680" s="2634"/>
    </row>
    <row r="681" spans="2:8" ht="13.5" customHeight="1" x14ac:dyDescent="0.25">
      <c r="B681" s="2624"/>
      <c r="C681" s="521" t="s">
        <v>4784</v>
      </c>
      <c r="D681" s="1429">
        <v>75000000</v>
      </c>
      <c r="E681" s="1986">
        <v>75000000</v>
      </c>
      <c r="F681" s="1914">
        <f t="shared" si="46"/>
        <v>100</v>
      </c>
      <c r="G681" s="1109">
        <v>100</v>
      </c>
      <c r="H681" s="2634"/>
    </row>
    <row r="682" spans="2:8" ht="14.25" customHeight="1" x14ac:dyDescent="0.25">
      <c r="B682" s="2624"/>
      <c r="C682" s="521" t="s">
        <v>4785</v>
      </c>
      <c r="D682" s="1429">
        <v>70000000</v>
      </c>
      <c r="E682" s="1986">
        <v>70000000</v>
      </c>
      <c r="F682" s="1914">
        <f t="shared" si="46"/>
        <v>100</v>
      </c>
      <c r="G682" s="1109">
        <v>100</v>
      </c>
      <c r="H682" s="2634"/>
    </row>
    <row r="683" spans="2:8" ht="14.25" customHeight="1" x14ac:dyDescent="0.25">
      <c r="B683" s="2624"/>
      <c r="C683" s="521" t="s">
        <v>4786</v>
      </c>
      <c r="D683" s="1429">
        <v>300000000</v>
      </c>
      <c r="E683" s="1986">
        <v>300000000</v>
      </c>
      <c r="F683" s="1914">
        <f t="shared" si="46"/>
        <v>100</v>
      </c>
      <c r="G683" s="1109">
        <v>100</v>
      </c>
      <c r="H683" s="2634"/>
    </row>
    <row r="684" spans="2:8" ht="12" customHeight="1" x14ac:dyDescent="0.25">
      <c r="B684" s="2624"/>
      <c r="C684" s="521" t="s">
        <v>4787</v>
      </c>
      <c r="D684" s="1429">
        <v>190000000</v>
      </c>
      <c r="E684" s="1986">
        <v>190000000</v>
      </c>
      <c r="F684" s="1914">
        <f t="shared" si="46"/>
        <v>100</v>
      </c>
      <c r="G684" s="1109">
        <v>100</v>
      </c>
      <c r="H684" s="2634"/>
    </row>
    <row r="685" spans="2:8" ht="14.25" customHeight="1" x14ac:dyDescent="0.25">
      <c r="B685" s="2624"/>
      <c r="C685" s="521" t="s">
        <v>4788</v>
      </c>
      <c r="D685" s="1429">
        <v>144110000</v>
      </c>
      <c r="E685" s="5149">
        <v>144110000</v>
      </c>
      <c r="F685" s="1914">
        <f t="shared" si="46"/>
        <v>100</v>
      </c>
      <c r="G685" s="1109">
        <v>100</v>
      </c>
      <c r="H685" s="2634"/>
    </row>
    <row r="686" spans="2:8" ht="14.25" customHeight="1" x14ac:dyDescent="0.25">
      <c r="B686" s="2624"/>
      <c r="C686" s="521" t="s">
        <v>4789</v>
      </c>
      <c r="D686" s="1429">
        <v>60000000</v>
      </c>
      <c r="E686" s="1986">
        <v>60000000</v>
      </c>
      <c r="F686" s="1914">
        <f t="shared" si="46"/>
        <v>100</v>
      </c>
      <c r="G686" s="1109">
        <v>100</v>
      </c>
      <c r="H686" s="2634"/>
    </row>
    <row r="687" spans="2:8" ht="13.5" customHeight="1" x14ac:dyDescent="0.25">
      <c r="B687" s="2624"/>
      <c r="C687" s="521" t="s">
        <v>4790</v>
      </c>
      <c r="D687" s="1429">
        <v>150000000</v>
      </c>
      <c r="E687" s="1986">
        <v>150000000</v>
      </c>
      <c r="F687" s="1914">
        <f t="shared" si="46"/>
        <v>100</v>
      </c>
      <c r="G687" s="1109">
        <v>100</v>
      </c>
      <c r="H687" s="2634"/>
    </row>
    <row r="688" spans="2:8" ht="14.25" customHeight="1" x14ac:dyDescent="0.25">
      <c r="B688" s="2624"/>
      <c r="C688" s="521" t="s">
        <v>4791</v>
      </c>
      <c r="D688" s="1429">
        <v>150000000</v>
      </c>
      <c r="E688" s="1986">
        <v>150000000</v>
      </c>
      <c r="F688" s="1914">
        <f t="shared" si="46"/>
        <v>100</v>
      </c>
      <c r="G688" s="1109">
        <v>100</v>
      </c>
      <c r="H688" s="2634"/>
    </row>
    <row r="689" spans="2:8" ht="14.25" customHeight="1" x14ac:dyDescent="0.25">
      <c r="B689" s="2624"/>
      <c r="C689" s="521" t="s">
        <v>4792</v>
      </c>
      <c r="D689" s="1429">
        <v>150000000</v>
      </c>
      <c r="E689" s="1986">
        <v>150000000</v>
      </c>
      <c r="F689" s="1914">
        <f t="shared" si="46"/>
        <v>100</v>
      </c>
      <c r="G689" s="1109">
        <v>100</v>
      </c>
      <c r="H689" s="2634"/>
    </row>
    <row r="690" spans="2:8" ht="12.75" customHeight="1" x14ac:dyDescent="0.25">
      <c r="B690" s="2624"/>
      <c r="C690" s="521" t="s">
        <v>4793</v>
      </c>
      <c r="D690" s="1429">
        <v>380000000</v>
      </c>
      <c r="E690" s="1986">
        <v>378000000</v>
      </c>
      <c r="F690" s="1914">
        <f t="shared" si="46"/>
        <v>99.473684210526315</v>
      </c>
      <c r="G690" s="1109">
        <v>100</v>
      </c>
      <c r="H690" s="2634"/>
    </row>
    <row r="691" spans="2:8" ht="15" customHeight="1" x14ac:dyDescent="0.25">
      <c r="B691" s="2624"/>
      <c r="C691" s="521" t="s">
        <v>4794</v>
      </c>
      <c r="D691" s="1429">
        <v>4325000000</v>
      </c>
      <c r="E691" s="1986">
        <v>4318500000</v>
      </c>
      <c r="F691" s="1914">
        <f t="shared" si="46"/>
        <v>99.849710982658962</v>
      </c>
      <c r="G691" s="1109">
        <v>100</v>
      </c>
      <c r="H691" s="2634"/>
    </row>
    <row r="692" spans="2:8" ht="20.25" customHeight="1" x14ac:dyDescent="0.25">
      <c r="B692" s="2624"/>
      <c r="C692" s="521" t="s">
        <v>4795</v>
      </c>
      <c r="D692" s="1429">
        <v>8000000000</v>
      </c>
      <c r="E692" s="1986">
        <v>7990000000</v>
      </c>
      <c r="F692" s="1914">
        <f t="shared" si="46"/>
        <v>99.875</v>
      </c>
      <c r="G692" s="1109">
        <v>100</v>
      </c>
      <c r="H692" s="2634"/>
    </row>
    <row r="693" spans="2:8" ht="11.25" customHeight="1" x14ac:dyDescent="0.25">
      <c r="B693" s="2624"/>
      <c r="C693" s="521"/>
      <c r="D693" s="1429"/>
      <c r="E693" s="1986"/>
      <c r="F693" s="1111"/>
      <c r="G693" s="1111"/>
      <c r="H693" s="2634"/>
    </row>
    <row r="694" spans="2:8" ht="12.75" customHeight="1" x14ac:dyDescent="0.25">
      <c r="B694" s="2624"/>
      <c r="C694" s="391" t="s">
        <v>260</v>
      </c>
      <c r="D694" s="1426">
        <f>SUM(D695:D699)</f>
        <v>647000000</v>
      </c>
      <c r="E694" s="1426">
        <f>SUM(E695:E699)</f>
        <v>647000000</v>
      </c>
      <c r="F694" s="1912">
        <f t="shared" si="46"/>
        <v>100</v>
      </c>
      <c r="G694" s="1110">
        <v>100</v>
      </c>
      <c r="H694" s="2634"/>
    </row>
    <row r="695" spans="2:8" ht="13.5" customHeight="1" x14ac:dyDescent="0.25">
      <c r="B695" s="2624"/>
      <c r="C695" s="521" t="s">
        <v>879</v>
      </c>
      <c r="D695" s="1429">
        <v>50000000</v>
      </c>
      <c r="E695" s="663">
        <v>50000000</v>
      </c>
      <c r="F695" s="1914">
        <f t="shared" si="46"/>
        <v>100</v>
      </c>
      <c r="G695" s="1109">
        <v>100</v>
      </c>
      <c r="H695" s="2634"/>
    </row>
    <row r="696" spans="2:8" ht="13.5" customHeight="1" x14ac:dyDescent="0.25">
      <c r="B696" s="2624"/>
      <c r="C696" s="521" t="s">
        <v>880</v>
      </c>
      <c r="D696" s="1429">
        <v>110000000</v>
      </c>
      <c r="E696" s="663">
        <v>110000000</v>
      </c>
      <c r="F696" s="1914">
        <f t="shared" si="46"/>
        <v>100</v>
      </c>
      <c r="G696" s="1109">
        <v>100</v>
      </c>
      <c r="H696" s="2634"/>
    </row>
    <row r="697" spans="2:8" ht="12.75" customHeight="1" x14ac:dyDescent="0.25">
      <c r="B697" s="2624"/>
      <c r="C697" s="521" t="s">
        <v>881</v>
      </c>
      <c r="D697" s="1429">
        <v>120000000</v>
      </c>
      <c r="E697" s="663">
        <v>120000000</v>
      </c>
      <c r="F697" s="1914">
        <f t="shared" si="46"/>
        <v>100</v>
      </c>
      <c r="G697" s="1109">
        <v>100</v>
      </c>
      <c r="H697" s="2634"/>
    </row>
    <row r="698" spans="2:8" ht="15" customHeight="1" x14ac:dyDescent="0.25">
      <c r="B698" s="2624"/>
      <c r="C698" s="521" t="s">
        <v>882</v>
      </c>
      <c r="D698" s="1429">
        <v>100000000</v>
      </c>
      <c r="E698" s="663">
        <v>100000000</v>
      </c>
      <c r="F698" s="1914">
        <f t="shared" si="46"/>
        <v>100</v>
      </c>
      <c r="G698" s="1109">
        <v>100</v>
      </c>
      <c r="H698" s="2634"/>
    </row>
    <row r="699" spans="2:8" ht="11.25" customHeight="1" x14ac:dyDescent="0.25">
      <c r="B699" s="2624"/>
      <c r="C699" s="521" t="s">
        <v>883</v>
      </c>
      <c r="D699" s="1429">
        <v>267000000</v>
      </c>
      <c r="E699" s="663">
        <v>267000000</v>
      </c>
      <c r="F699" s="1914">
        <f t="shared" si="46"/>
        <v>100</v>
      </c>
      <c r="G699" s="1109">
        <v>100</v>
      </c>
      <c r="H699" s="2634"/>
    </row>
    <row r="700" spans="2:8" ht="12" customHeight="1" x14ac:dyDescent="0.25">
      <c r="B700" s="2624"/>
      <c r="C700" s="521"/>
      <c r="D700" s="2823"/>
      <c r="E700" s="1106"/>
      <c r="F700" s="1914"/>
      <c r="G700" s="1109"/>
      <c r="H700" s="2634"/>
    </row>
    <row r="701" spans="2:8" ht="12.75" customHeight="1" x14ac:dyDescent="0.25">
      <c r="B701" s="2624"/>
      <c r="C701" s="520" t="s">
        <v>884</v>
      </c>
      <c r="D701" s="1426">
        <f>SUM(D702:D705)</f>
        <v>750000000</v>
      </c>
      <c r="E701" s="1426">
        <f>SUM(E702:E705)</f>
        <v>750000000</v>
      </c>
      <c r="F701" s="1912">
        <v>100</v>
      </c>
      <c r="G701" s="1912">
        <v>100</v>
      </c>
      <c r="H701" s="2634"/>
    </row>
    <row r="702" spans="2:8" ht="13.5" customHeight="1" x14ac:dyDescent="0.25">
      <c r="B702" s="2624"/>
      <c r="C702" s="521" t="s">
        <v>885</v>
      </c>
      <c r="D702" s="1429">
        <v>500000000</v>
      </c>
      <c r="E702" s="663">
        <v>500000000</v>
      </c>
      <c r="F702" s="1914">
        <v>100</v>
      </c>
      <c r="G702" s="1914">
        <v>100</v>
      </c>
      <c r="H702" s="2634"/>
    </row>
    <row r="703" spans="2:8" ht="12.75" customHeight="1" x14ac:dyDescent="0.25">
      <c r="B703" s="2624"/>
      <c r="C703" s="521" t="s">
        <v>886</v>
      </c>
      <c r="D703" s="1429">
        <v>100000000</v>
      </c>
      <c r="E703" s="663">
        <v>100000000</v>
      </c>
      <c r="F703" s="1914">
        <v>100</v>
      </c>
      <c r="G703" s="1914">
        <v>100</v>
      </c>
      <c r="H703" s="2634"/>
    </row>
    <row r="704" spans="2:8" ht="16.5" customHeight="1" x14ac:dyDescent="0.25">
      <c r="B704" s="2624"/>
      <c r="C704" s="521" t="s">
        <v>887</v>
      </c>
      <c r="D704" s="1429">
        <v>50000000</v>
      </c>
      <c r="E704" s="663">
        <v>50000000</v>
      </c>
      <c r="F704" s="1914">
        <v>100</v>
      </c>
      <c r="G704" s="1914">
        <v>100</v>
      </c>
      <c r="H704" s="2634"/>
    </row>
    <row r="705" spans="1:11" ht="15" customHeight="1" x14ac:dyDescent="0.25">
      <c r="B705" s="2624"/>
      <c r="C705" s="521" t="s">
        <v>888</v>
      </c>
      <c r="D705" s="1429">
        <v>100000000</v>
      </c>
      <c r="E705" s="663">
        <v>100000000</v>
      </c>
      <c r="F705" s="1914">
        <v>100</v>
      </c>
      <c r="G705" s="1914">
        <v>100</v>
      </c>
      <c r="H705" s="2634"/>
    </row>
    <row r="706" spans="1:11" ht="12" customHeight="1" x14ac:dyDescent="0.25">
      <c r="B706" s="2624"/>
      <c r="C706" s="521"/>
      <c r="D706" s="1429"/>
      <c r="E706" s="894"/>
      <c r="F706" s="1314"/>
      <c r="G706" s="1109"/>
      <c r="H706" s="2634"/>
    </row>
    <row r="707" spans="1:11" ht="14.25" customHeight="1" x14ac:dyDescent="0.25">
      <c r="B707" s="2624"/>
      <c r="C707" s="391" t="s">
        <v>889</v>
      </c>
      <c r="D707" s="1426">
        <f>SUM(D708:D715)</f>
        <v>1642080000</v>
      </c>
      <c r="E707" s="1426">
        <f>SUM(E708:E715)</f>
        <v>1642080000</v>
      </c>
      <c r="F707" s="1912">
        <v>100</v>
      </c>
      <c r="G707" s="1912">
        <v>100</v>
      </c>
      <c r="H707" s="2634"/>
    </row>
    <row r="708" spans="1:11" ht="14.25" customHeight="1" x14ac:dyDescent="0.25">
      <c r="B708" s="2624"/>
      <c r="C708" s="521" t="s">
        <v>890</v>
      </c>
      <c r="D708" s="1429">
        <v>450000000</v>
      </c>
      <c r="E708" s="4517">
        <v>450000000</v>
      </c>
      <c r="F708" s="1914">
        <v>100</v>
      </c>
      <c r="G708" s="1914">
        <v>100</v>
      </c>
      <c r="H708" s="2634"/>
    </row>
    <row r="709" spans="1:11" ht="16.5" customHeight="1" x14ac:dyDescent="0.25">
      <c r="B709" s="2624"/>
      <c r="C709" s="521" t="s">
        <v>891</v>
      </c>
      <c r="D709" s="1429">
        <v>350000000</v>
      </c>
      <c r="E709" s="4517">
        <v>350000000</v>
      </c>
      <c r="F709" s="1914">
        <v>100</v>
      </c>
      <c r="G709" s="1914">
        <v>100</v>
      </c>
      <c r="H709" s="2634"/>
    </row>
    <row r="710" spans="1:11" ht="13.5" customHeight="1" x14ac:dyDescent="0.25">
      <c r="B710" s="2624"/>
      <c r="C710" s="521" t="s">
        <v>893</v>
      </c>
      <c r="D710" s="1429">
        <v>100000000</v>
      </c>
      <c r="E710" s="4517">
        <v>100000000</v>
      </c>
      <c r="F710" s="1914">
        <v>100</v>
      </c>
      <c r="G710" s="1914">
        <v>100</v>
      </c>
      <c r="H710" s="2634"/>
    </row>
    <row r="711" spans="1:11" ht="13.5" customHeight="1" x14ac:dyDescent="0.25">
      <c r="B711" s="2624"/>
      <c r="C711" s="521" t="s">
        <v>892</v>
      </c>
      <c r="D711" s="1429">
        <v>100000000</v>
      </c>
      <c r="E711" s="4517">
        <v>100000000</v>
      </c>
      <c r="F711" s="1914">
        <v>100</v>
      </c>
      <c r="G711" s="1914">
        <v>100</v>
      </c>
      <c r="H711" s="2634"/>
    </row>
    <row r="712" spans="1:11" ht="14.25" customHeight="1" x14ac:dyDescent="0.25">
      <c r="B712" s="2624"/>
      <c r="C712" s="521" t="s">
        <v>894</v>
      </c>
      <c r="D712" s="1429">
        <v>142080000</v>
      </c>
      <c r="E712" s="4517">
        <v>142080000</v>
      </c>
      <c r="F712" s="1914">
        <v>100</v>
      </c>
      <c r="G712" s="1914">
        <v>100</v>
      </c>
      <c r="H712" s="2634"/>
    </row>
    <row r="713" spans="1:11" ht="12.75" customHeight="1" x14ac:dyDescent="0.25">
      <c r="B713" s="2624"/>
      <c r="C713" s="521" t="s">
        <v>896</v>
      </c>
      <c r="D713" s="1429">
        <v>100000000</v>
      </c>
      <c r="E713" s="4517">
        <v>100000000</v>
      </c>
      <c r="F713" s="1914">
        <v>100</v>
      </c>
      <c r="G713" s="1914">
        <v>100</v>
      </c>
      <c r="H713" s="2634"/>
    </row>
    <row r="714" spans="1:11" ht="12.75" customHeight="1" x14ac:dyDescent="0.25">
      <c r="B714" s="2627"/>
      <c r="C714" s="521" t="s">
        <v>895</v>
      </c>
      <c r="D714" s="1429">
        <v>150000000</v>
      </c>
      <c r="E714" s="4517">
        <v>150000000</v>
      </c>
      <c r="F714" s="1914">
        <v>100</v>
      </c>
      <c r="G714" s="1914">
        <v>100</v>
      </c>
      <c r="H714" s="2634"/>
    </row>
    <row r="715" spans="1:11" ht="12" customHeight="1" x14ac:dyDescent="0.25">
      <c r="B715" s="2627"/>
      <c r="C715" s="521" t="s">
        <v>897</v>
      </c>
      <c r="D715" s="1429">
        <v>250000000</v>
      </c>
      <c r="E715" s="4517">
        <v>250000000</v>
      </c>
      <c r="F715" s="1914">
        <v>100</v>
      </c>
      <c r="G715" s="1914">
        <v>100</v>
      </c>
      <c r="H715" s="2634"/>
    </row>
    <row r="716" spans="1:11" s="3747" customFormat="1" ht="12" customHeight="1" x14ac:dyDescent="0.25">
      <c r="A716" s="3748"/>
      <c r="B716" s="2630"/>
      <c r="C716" s="1151"/>
      <c r="D716" s="1841"/>
      <c r="E716" s="1181"/>
      <c r="F716" s="5198"/>
      <c r="G716" s="2339"/>
      <c r="H716" s="2837"/>
      <c r="J716" s="522"/>
      <c r="K716" s="522"/>
    </row>
    <row r="717" spans="1:11" s="3747" customFormat="1" ht="16.5" customHeight="1" x14ac:dyDescent="0.25">
      <c r="A717" s="3748"/>
      <c r="B717" s="3654"/>
      <c r="C717" s="3994" t="s">
        <v>3213</v>
      </c>
      <c r="D717" s="1824">
        <f>D718</f>
        <v>1500000000</v>
      </c>
      <c r="E717" s="1911">
        <v>0</v>
      </c>
      <c r="F717" s="1911">
        <v>0</v>
      </c>
      <c r="G717" s="1107">
        <v>0</v>
      </c>
      <c r="H717" s="3756"/>
      <c r="J717" s="522"/>
      <c r="K717" s="522"/>
    </row>
    <row r="718" spans="1:11" s="3747" customFormat="1" ht="20.25" customHeight="1" x14ac:dyDescent="0.25">
      <c r="A718" s="3748"/>
      <c r="B718" s="2630"/>
      <c r="C718" s="3899" t="s">
        <v>4832</v>
      </c>
      <c r="D718" s="1843">
        <v>1500000000</v>
      </c>
      <c r="E718" s="5199">
        <v>0</v>
      </c>
      <c r="F718" s="5199">
        <v>0</v>
      </c>
      <c r="G718" s="3685">
        <v>0</v>
      </c>
      <c r="H718" s="3755"/>
      <c r="J718" s="522"/>
      <c r="K718" s="522"/>
    </row>
    <row r="719" spans="1:11" s="3747" customFormat="1" ht="12" customHeight="1" x14ac:dyDescent="0.25">
      <c r="A719" s="3748"/>
      <c r="B719" s="2630"/>
      <c r="C719" s="1151"/>
      <c r="D719" s="1841"/>
      <c r="E719" s="1181"/>
      <c r="F719" s="5198"/>
      <c r="G719" s="2339"/>
      <c r="H719" s="3653"/>
      <c r="J719" s="522"/>
      <c r="K719" s="522"/>
    </row>
    <row r="720" spans="1:11" ht="18.75" customHeight="1" x14ac:dyDescent="0.25">
      <c r="B720" s="2724"/>
      <c r="C720" s="1297" t="s">
        <v>608</v>
      </c>
      <c r="D720" s="5119">
        <f>SUM(D722+D764+D768+D772+D776+D781)</f>
        <v>23954227244</v>
      </c>
      <c r="E720" s="5119">
        <f>SUM(E722+E764+E768+E772+E776+E781)</f>
        <v>22741141944</v>
      </c>
      <c r="F720" s="2506">
        <f>E720/D720*100</f>
        <v>94.935819520941337</v>
      </c>
      <c r="G720" s="2506">
        <f>SUM(G722+G764+G768+G776+G781)/6</f>
        <v>82.736188409718778</v>
      </c>
      <c r="H720" s="3558"/>
    </row>
    <row r="721" spans="2:8" ht="9" customHeight="1" x14ac:dyDescent="0.25">
      <c r="B721" s="2630"/>
      <c r="C721" s="1147"/>
      <c r="D721" s="5200"/>
      <c r="E721" s="1455"/>
      <c r="F721" s="2409"/>
      <c r="G721" s="2409"/>
      <c r="H721" s="2634"/>
    </row>
    <row r="722" spans="2:8" ht="18.75" customHeight="1" x14ac:dyDescent="0.25">
      <c r="B722" s="2635"/>
      <c r="C722" s="507" t="s">
        <v>287</v>
      </c>
      <c r="D722" s="992">
        <v>15494877244</v>
      </c>
      <c r="E722" s="992">
        <v>14557911144</v>
      </c>
      <c r="F722" s="1645">
        <v>93.953058902981525</v>
      </c>
      <c r="G722" s="1645">
        <v>96.417130458312684</v>
      </c>
      <c r="H722" s="2634"/>
    </row>
    <row r="723" spans="2:8" ht="18.75" customHeight="1" x14ac:dyDescent="0.25">
      <c r="B723" s="2630"/>
      <c r="C723" s="1131" t="s">
        <v>702</v>
      </c>
      <c r="D723" s="5138">
        <v>1956000000</v>
      </c>
      <c r="E723" s="1618">
        <v>1956000000</v>
      </c>
      <c r="F723" s="1646">
        <v>100</v>
      </c>
      <c r="G723" s="1110">
        <v>100</v>
      </c>
      <c r="H723" s="2634"/>
    </row>
    <row r="724" spans="2:8" ht="18.75" customHeight="1" x14ac:dyDescent="0.25">
      <c r="B724" s="2630"/>
      <c r="C724" s="509" t="s">
        <v>785</v>
      </c>
      <c r="D724" s="1616">
        <v>1956000000</v>
      </c>
      <c r="E724" s="4113">
        <v>1956000000</v>
      </c>
      <c r="F724" s="1647">
        <v>100</v>
      </c>
      <c r="G724" s="1109">
        <v>100</v>
      </c>
      <c r="H724" s="2634"/>
    </row>
    <row r="725" spans="2:8" ht="10.5" customHeight="1" x14ac:dyDescent="0.25">
      <c r="B725" s="2630"/>
      <c r="C725" s="1132"/>
      <c r="D725" s="5124"/>
      <c r="E725" s="3638"/>
      <c r="F725" s="3638"/>
      <c r="G725" s="3630"/>
      <c r="H725" s="2634"/>
    </row>
    <row r="726" spans="2:8" ht="16.5" customHeight="1" x14ac:dyDescent="0.25">
      <c r="B726" s="2630"/>
      <c r="C726" s="391" t="s">
        <v>559</v>
      </c>
      <c r="D726" s="5139">
        <v>3675196144</v>
      </c>
      <c r="E726" s="5139">
        <v>3425661144</v>
      </c>
      <c r="F726" s="1308">
        <v>93.210294356469049</v>
      </c>
      <c r="G726" s="1316">
        <v>92.163333333333341</v>
      </c>
      <c r="H726" s="2634"/>
    </row>
    <row r="727" spans="2:8" ht="14.25" customHeight="1" x14ac:dyDescent="0.25">
      <c r="B727" s="2630"/>
      <c r="C727" s="509" t="s">
        <v>786</v>
      </c>
      <c r="D727" s="1619">
        <v>560000000</v>
      </c>
      <c r="E727" s="2830">
        <v>560000000</v>
      </c>
      <c r="F727" s="3630">
        <v>100</v>
      </c>
      <c r="G727" s="3620">
        <v>100</v>
      </c>
      <c r="H727" s="2634"/>
    </row>
    <row r="728" spans="2:8" ht="16.5" customHeight="1" x14ac:dyDescent="0.25">
      <c r="B728" s="2630"/>
      <c r="C728" s="509" t="s">
        <v>832</v>
      </c>
      <c r="D728" s="1619">
        <v>478500000</v>
      </c>
      <c r="E728" s="2830">
        <v>253500000</v>
      </c>
      <c r="F728" s="3630">
        <v>52.978056426332287</v>
      </c>
      <c r="G728" s="3620">
        <v>52.98</v>
      </c>
      <c r="H728" s="2634"/>
    </row>
    <row r="729" spans="2:8" ht="12.75" customHeight="1" x14ac:dyDescent="0.25">
      <c r="B729" s="2630"/>
      <c r="C729" s="509" t="s">
        <v>787</v>
      </c>
      <c r="D729" s="1619">
        <v>286808144</v>
      </c>
      <c r="E729" s="2830">
        <v>286808144</v>
      </c>
      <c r="F729" s="3630">
        <v>100</v>
      </c>
      <c r="G729" s="3620">
        <v>100</v>
      </c>
      <c r="H729" s="2634"/>
    </row>
    <row r="730" spans="2:8" ht="15.75" customHeight="1" x14ac:dyDescent="0.25">
      <c r="B730" s="2630"/>
      <c r="C730" s="509" t="s">
        <v>788</v>
      </c>
      <c r="D730" s="1619">
        <v>56146000</v>
      </c>
      <c r="E730" s="2830">
        <v>56146000</v>
      </c>
      <c r="F730" s="3630">
        <v>100</v>
      </c>
      <c r="G730" s="1111">
        <v>100</v>
      </c>
      <c r="H730" s="2634"/>
    </row>
    <row r="731" spans="2:8" ht="15" customHeight="1" x14ac:dyDescent="0.25">
      <c r="B731" s="2630"/>
      <c r="C731" s="509" t="s">
        <v>789</v>
      </c>
      <c r="D731" s="1619">
        <v>2190000000</v>
      </c>
      <c r="E731" s="2830">
        <v>2165465000</v>
      </c>
      <c r="F731" s="3630">
        <v>98.879680365296807</v>
      </c>
      <c r="G731" s="3620">
        <v>100</v>
      </c>
      <c r="H731" s="2634"/>
    </row>
    <row r="732" spans="2:8" ht="16.5" customHeight="1" x14ac:dyDescent="0.25">
      <c r="B732" s="2630"/>
      <c r="C732" s="509" t="s">
        <v>790</v>
      </c>
      <c r="D732" s="1619">
        <v>103742000</v>
      </c>
      <c r="E732" s="1109">
        <v>103742000</v>
      </c>
      <c r="F732" s="3630">
        <v>100</v>
      </c>
      <c r="G732" s="3630">
        <v>100</v>
      </c>
      <c r="H732" s="2634"/>
    </row>
    <row r="733" spans="2:8" ht="7.5" customHeight="1" x14ac:dyDescent="0.25">
      <c r="B733" s="2630"/>
      <c r="C733" s="509"/>
      <c r="D733" s="5201"/>
      <c r="E733" s="3360"/>
      <c r="F733" s="894"/>
      <c r="G733" s="1314"/>
      <c r="H733" s="2634"/>
    </row>
    <row r="734" spans="2:8" ht="18.75" customHeight="1" x14ac:dyDescent="0.25">
      <c r="B734" s="2630"/>
      <c r="C734" s="1132" t="s">
        <v>224</v>
      </c>
      <c r="D734" s="5139">
        <v>8922477100</v>
      </c>
      <c r="E734" s="5139">
        <v>8235046000</v>
      </c>
      <c r="F734" s="1308">
        <v>92.295512868281833</v>
      </c>
      <c r="G734" s="3621">
        <v>86.33944941654272</v>
      </c>
      <c r="H734" s="2634"/>
    </row>
    <row r="735" spans="2:8" ht="15.75" customHeight="1" x14ac:dyDescent="0.25">
      <c r="B735" s="2630"/>
      <c r="C735" s="509" t="s">
        <v>791</v>
      </c>
      <c r="D735" s="1620">
        <v>138000000</v>
      </c>
      <c r="E735" s="2832">
        <v>138000000</v>
      </c>
      <c r="F735" s="3630">
        <v>100</v>
      </c>
      <c r="G735" s="3620">
        <v>100</v>
      </c>
      <c r="H735" s="2634"/>
    </row>
    <row r="736" spans="2:8" ht="13.5" customHeight="1" x14ac:dyDescent="0.25">
      <c r="B736" s="2630"/>
      <c r="C736" s="509" t="s">
        <v>833</v>
      </c>
      <c r="D736" s="1620">
        <v>246000000</v>
      </c>
      <c r="E736" s="2832">
        <v>246000000</v>
      </c>
      <c r="F736" s="3630">
        <v>100</v>
      </c>
      <c r="G736" s="3620">
        <v>100</v>
      </c>
      <c r="H736" s="2634"/>
    </row>
    <row r="737" spans="2:8" ht="15.75" customHeight="1" x14ac:dyDescent="0.25">
      <c r="B737" s="2630"/>
      <c r="C737" s="509" t="s">
        <v>792</v>
      </c>
      <c r="D737" s="1620">
        <v>102500000</v>
      </c>
      <c r="E737" s="2832">
        <v>102500000</v>
      </c>
      <c r="F737" s="3630">
        <v>100</v>
      </c>
      <c r="G737" s="3620">
        <v>100</v>
      </c>
      <c r="H737" s="2634"/>
    </row>
    <row r="738" spans="2:8" ht="15" customHeight="1" x14ac:dyDescent="0.25">
      <c r="B738" s="2630"/>
      <c r="C738" s="509" t="s">
        <v>834</v>
      </c>
      <c r="D738" s="1620">
        <v>1681400000</v>
      </c>
      <c r="E738" s="2832">
        <v>1454000000</v>
      </c>
      <c r="F738" s="3630">
        <v>86.475556084215526</v>
      </c>
      <c r="G738" s="3620">
        <v>86.475556084215526</v>
      </c>
      <c r="H738" s="2634"/>
    </row>
    <row r="739" spans="2:8" ht="13.5" customHeight="1" x14ac:dyDescent="0.25">
      <c r="B739" s="2630"/>
      <c r="C739" s="509" t="s">
        <v>793</v>
      </c>
      <c r="D739" s="1620">
        <v>42400000</v>
      </c>
      <c r="E739" s="1647">
        <v>42400000</v>
      </c>
      <c r="F739" s="1647">
        <v>100</v>
      </c>
      <c r="G739" s="1647">
        <v>100</v>
      </c>
      <c r="H739" s="2634"/>
    </row>
    <row r="740" spans="2:8" ht="15.75" customHeight="1" x14ac:dyDescent="0.25">
      <c r="B740" s="2630"/>
      <c r="C740" s="509" t="s">
        <v>794</v>
      </c>
      <c r="D740" s="1620">
        <v>2261390000</v>
      </c>
      <c r="E740" s="2832">
        <v>1838398900</v>
      </c>
      <c r="F740" s="3630">
        <v>81.295083997010693</v>
      </c>
      <c r="G740" s="3620">
        <v>81.295083997010693</v>
      </c>
      <c r="H740" s="2634"/>
    </row>
    <row r="741" spans="2:8" ht="15" customHeight="1" x14ac:dyDescent="0.25">
      <c r="B741" s="2630"/>
      <c r="C741" s="509" t="s">
        <v>795</v>
      </c>
      <c r="D741" s="1620">
        <v>118680000</v>
      </c>
      <c r="E741" s="2832">
        <v>118680000</v>
      </c>
      <c r="F741" s="3630">
        <v>100</v>
      </c>
      <c r="G741" s="3620">
        <v>100</v>
      </c>
      <c r="H741" s="2634"/>
    </row>
    <row r="742" spans="2:8" ht="16.5" customHeight="1" x14ac:dyDescent="0.25">
      <c r="B742" s="2630"/>
      <c r="C742" s="509" t="s">
        <v>835</v>
      </c>
      <c r="D742" s="1620">
        <v>16400000</v>
      </c>
      <c r="E742" s="1647">
        <v>0</v>
      </c>
      <c r="F742" s="1647">
        <v>0</v>
      </c>
      <c r="G742" s="1647">
        <v>0</v>
      </c>
      <c r="H742" s="2634"/>
    </row>
    <row r="743" spans="2:8" ht="14.25" customHeight="1" x14ac:dyDescent="0.25">
      <c r="B743" s="2630"/>
      <c r="C743" s="509" t="s">
        <v>837</v>
      </c>
      <c r="D743" s="1620">
        <v>20640000</v>
      </c>
      <c r="E743" s="1647">
        <v>0</v>
      </c>
      <c r="F743" s="1647">
        <v>0</v>
      </c>
      <c r="G743" s="1647">
        <v>0</v>
      </c>
      <c r="H743" s="2634"/>
    </row>
    <row r="744" spans="2:8" ht="15.75" customHeight="1" x14ac:dyDescent="0.25">
      <c r="B744" s="2630"/>
      <c r="C744" s="509" t="s">
        <v>836</v>
      </c>
      <c r="D744" s="1620">
        <v>164857000</v>
      </c>
      <c r="E744" s="2832">
        <v>164857000</v>
      </c>
      <c r="F744" s="3630">
        <v>100</v>
      </c>
      <c r="G744" s="3620">
        <v>100</v>
      </c>
      <c r="H744" s="2634"/>
    </row>
    <row r="745" spans="2:8" ht="18" customHeight="1" x14ac:dyDescent="0.25">
      <c r="B745" s="2630"/>
      <c r="C745" s="509" t="s">
        <v>838</v>
      </c>
      <c r="D745" s="1620">
        <v>173460100</v>
      </c>
      <c r="E745" s="2832">
        <v>173460100</v>
      </c>
      <c r="F745" s="3630">
        <v>100</v>
      </c>
      <c r="G745" s="3620">
        <v>100</v>
      </c>
      <c r="H745" s="2634"/>
    </row>
    <row r="746" spans="2:8" ht="12.75" customHeight="1" x14ac:dyDescent="0.25">
      <c r="B746" s="2630"/>
      <c r="C746" s="509" t="s">
        <v>796</v>
      </c>
      <c r="D746" s="1620">
        <v>1948800000</v>
      </c>
      <c r="E746" s="2832">
        <v>1948800000</v>
      </c>
      <c r="F746" s="3630">
        <v>100</v>
      </c>
      <c r="G746" s="3620">
        <v>100</v>
      </c>
      <c r="H746" s="2634"/>
    </row>
    <row r="747" spans="2:8" ht="14.25" customHeight="1" x14ac:dyDescent="0.25">
      <c r="B747" s="2630"/>
      <c r="C747" s="509" t="s">
        <v>797</v>
      </c>
      <c r="D747" s="1620">
        <v>258000000</v>
      </c>
      <c r="E747" s="2832">
        <v>258000000</v>
      </c>
      <c r="F747" s="3630">
        <v>100</v>
      </c>
      <c r="G747" s="3620">
        <v>100</v>
      </c>
      <c r="H747" s="2634"/>
    </row>
    <row r="748" spans="2:8" ht="16.5" customHeight="1" x14ac:dyDescent="0.25">
      <c r="B748" s="2630"/>
      <c r="C748" s="509" t="s">
        <v>798</v>
      </c>
      <c r="D748" s="1620">
        <v>103200000</v>
      </c>
      <c r="E748" s="2832">
        <v>103200000</v>
      </c>
      <c r="F748" s="3630">
        <v>100</v>
      </c>
      <c r="G748" s="3620">
        <v>100</v>
      </c>
      <c r="H748" s="2634"/>
    </row>
    <row r="749" spans="2:8" ht="13.5" customHeight="1" x14ac:dyDescent="0.25">
      <c r="B749" s="2630"/>
      <c r="C749" s="509" t="s">
        <v>799</v>
      </c>
      <c r="D749" s="1620">
        <v>900000000</v>
      </c>
      <c r="E749" s="2832">
        <v>900000000</v>
      </c>
      <c r="F749" s="3630">
        <v>100</v>
      </c>
      <c r="G749" s="3620">
        <v>100</v>
      </c>
      <c r="H749" s="2634"/>
    </row>
    <row r="750" spans="2:8" ht="14.25" customHeight="1" x14ac:dyDescent="0.25">
      <c r="B750" s="2630"/>
      <c r="C750" s="509" t="s">
        <v>800</v>
      </c>
      <c r="D750" s="1620">
        <v>675000000</v>
      </c>
      <c r="E750" s="2832">
        <v>675000000</v>
      </c>
      <c r="F750" s="3630">
        <v>100</v>
      </c>
      <c r="G750" s="3620">
        <v>100</v>
      </c>
      <c r="H750" s="2634"/>
    </row>
    <row r="751" spans="2:8" ht="14.25" customHeight="1" x14ac:dyDescent="0.25">
      <c r="B751" s="2630"/>
      <c r="C751" s="509" t="s">
        <v>801</v>
      </c>
      <c r="D751" s="1620">
        <v>71750000</v>
      </c>
      <c r="E751" s="2832">
        <v>71750000</v>
      </c>
      <c r="F751" s="3630">
        <v>100</v>
      </c>
      <c r="G751" s="3620">
        <v>100</v>
      </c>
      <c r="H751" s="2634"/>
    </row>
    <row r="752" spans="2:8" ht="10.5" customHeight="1" x14ac:dyDescent="0.25">
      <c r="B752" s="2630"/>
      <c r="C752" s="509"/>
      <c r="D752" s="5201"/>
      <c r="E752" s="4306"/>
      <c r="F752" s="849"/>
      <c r="G752" s="3620"/>
      <c r="H752" s="2634"/>
    </row>
    <row r="753" spans="2:8" ht="15" customHeight="1" x14ac:dyDescent="0.25">
      <c r="B753" s="2630"/>
      <c r="C753" s="1194" t="s">
        <v>807</v>
      </c>
      <c r="D753" s="857">
        <v>766600000</v>
      </c>
      <c r="E753" s="857">
        <v>766600000</v>
      </c>
      <c r="F753" s="1308">
        <v>100</v>
      </c>
      <c r="G753" s="3621">
        <v>100</v>
      </c>
      <c r="H753" s="2634"/>
    </row>
    <row r="754" spans="2:8" ht="14.25" customHeight="1" x14ac:dyDescent="0.25">
      <c r="B754" s="2630"/>
      <c r="C754" s="509" t="s">
        <v>802</v>
      </c>
      <c r="D754" s="1621">
        <v>766600000</v>
      </c>
      <c r="E754" s="2834">
        <v>766600000</v>
      </c>
      <c r="F754" s="3630">
        <v>100</v>
      </c>
      <c r="G754" s="3620">
        <v>100</v>
      </c>
      <c r="H754" s="2634"/>
    </row>
    <row r="755" spans="2:8" ht="9.75" customHeight="1" x14ac:dyDescent="0.25">
      <c r="B755" s="2630"/>
      <c r="C755" s="509"/>
      <c r="D755" s="5201"/>
      <c r="E755" s="4306"/>
      <c r="F755" s="849"/>
      <c r="G755" s="3620"/>
      <c r="H755" s="2634"/>
    </row>
    <row r="756" spans="2:8" ht="14.25" customHeight="1" x14ac:dyDescent="0.25">
      <c r="B756" s="2630"/>
      <c r="C756" s="1194" t="s">
        <v>808</v>
      </c>
      <c r="D756" s="857">
        <v>40836000</v>
      </c>
      <c r="E756" s="857">
        <v>40836000</v>
      </c>
      <c r="F756" s="1308">
        <v>100</v>
      </c>
      <c r="G756" s="3621">
        <v>100</v>
      </c>
      <c r="H756" s="2634"/>
    </row>
    <row r="757" spans="2:8" ht="15" customHeight="1" x14ac:dyDescent="0.25">
      <c r="B757" s="2630"/>
      <c r="C757" s="509" t="s">
        <v>803</v>
      </c>
      <c r="D757" s="1622">
        <v>40836000</v>
      </c>
      <c r="E757" s="2835">
        <v>40836000</v>
      </c>
      <c r="F757" s="3630">
        <v>100</v>
      </c>
      <c r="G757" s="3620">
        <v>100</v>
      </c>
      <c r="H757" s="2634"/>
    </row>
    <row r="758" spans="2:8" ht="10.5" customHeight="1" x14ac:dyDescent="0.25">
      <c r="B758" s="2630"/>
      <c r="C758" s="509"/>
      <c r="D758" s="5201"/>
      <c r="E758" s="3360"/>
      <c r="F758" s="894"/>
      <c r="G758" s="1314"/>
      <c r="H758" s="2634"/>
    </row>
    <row r="759" spans="2:8" ht="18" customHeight="1" x14ac:dyDescent="0.25">
      <c r="B759" s="2630"/>
      <c r="C759" s="1132" t="s">
        <v>809</v>
      </c>
      <c r="D759" s="5139">
        <v>133768000</v>
      </c>
      <c r="E759" s="5139">
        <v>133768000</v>
      </c>
      <c r="F759" s="1308">
        <v>100</v>
      </c>
      <c r="G759" s="1316">
        <v>100</v>
      </c>
      <c r="H759" s="2634"/>
    </row>
    <row r="760" spans="2:8" ht="14.25" customHeight="1" x14ac:dyDescent="0.25">
      <c r="B760" s="2630"/>
      <c r="C760" s="509" t="s">
        <v>804</v>
      </c>
      <c r="D760" s="1623">
        <v>36116000</v>
      </c>
      <c r="E760" s="2836">
        <v>36116000</v>
      </c>
      <c r="F760" s="3630">
        <v>100</v>
      </c>
      <c r="G760" s="1111">
        <v>100</v>
      </c>
      <c r="H760" s="2634"/>
    </row>
    <row r="761" spans="2:8" ht="32.25" customHeight="1" x14ac:dyDescent="0.25">
      <c r="B761" s="2630"/>
      <c r="C761" s="649" t="s">
        <v>805</v>
      </c>
      <c r="D761" s="1623">
        <v>51546000</v>
      </c>
      <c r="E761" s="1647">
        <v>51546000</v>
      </c>
      <c r="F761" s="1109">
        <v>100</v>
      </c>
      <c r="G761" s="1109">
        <v>100</v>
      </c>
      <c r="H761" s="2634"/>
    </row>
    <row r="762" spans="2:8" ht="18.75" customHeight="1" x14ac:dyDescent="0.25">
      <c r="B762" s="2630"/>
      <c r="C762" s="509" t="s">
        <v>806</v>
      </c>
      <c r="D762" s="1623">
        <v>46106000</v>
      </c>
      <c r="E762" s="2836">
        <v>46106000</v>
      </c>
      <c r="F762" s="3630">
        <v>100</v>
      </c>
      <c r="G762" s="3634">
        <v>100</v>
      </c>
      <c r="H762" s="2634"/>
    </row>
    <row r="763" spans="2:8" ht="12" customHeight="1" x14ac:dyDescent="0.25">
      <c r="B763" s="2630"/>
      <c r="C763" s="519"/>
      <c r="D763" s="1651"/>
      <c r="E763" s="2234"/>
      <c r="F763" s="1651"/>
      <c r="G763" s="1651"/>
      <c r="H763" s="2837"/>
    </row>
    <row r="764" spans="2:8" ht="15.75" customHeight="1" x14ac:dyDescent="0.25">
      <c r="B764" s="2635"/>
      <c r="C764" s="1301" t="s">
        <v>243</v>
      </c>
      <c r="D764" s="1039">
        <f>D765</f>
        <v>300000000</v>
      </c>
      <c r="E764" s="1039">
        <f>E765</f>
        <v>298500000</v>
      </c>
      <c r="F764" s="1645">
        <f>E764/D764*100</f>
        <v>99.5</v>
      </c>
      <c r="G764" s="1645">
        <v>100</v>
      </c>
      <c r="H764" s="2837"/>
    </row>
    <row r="765" spans="2:8" ht="18.75" customHeight="1" x14ac:dyDescent="0.25">
      <c r="B765" s="2630"/>
      <c r="C765" s="391" t="s">
        <v>826</v>
      </c>
      <c r="D765" s="3629">
        <f>D766</f>
        <v>300000000</v>
      </c>
      <c r="E765" s="3629">
        <f>E766</f>
        <v>298500000</v>
      </c>
      <c r="F765" s="1308">
        <f>E765/D765*100</f>
        <v>99.5</v>
      </c>
      <c r="G765" s="3625">
        <v>100</v>
      </c>
      <c r="H765" s="2837"/>
    </row>
    <row r="766" spans="2:8" ht="18.75" customHeight="1" x14ac:dyDescent="0.25">
      <c r="B766" s="2630"/>
      <c r="C766" s="3856" t="s">
        <v>827</v>
      </c>
      <c r="D766" s="1635">
        <v>300000000</v>
      </c>
      <c r="E766" s="2838">
        <v>298500000</v>
      </c>
      <c r="F766" s="3630">
        <f>E766/D766*100</f>
        <v>99.5</v>
      </c>
      <c r="G766" s="1324">
        <v>100</v>
      </c>
      <c r="H766" s="2837"/>
    </row>
    <row r="767" spans="2:8" ht="12" customHeight="1" x14ac:dyDescent="0.25">
      <c r="B767" s="2630"/>
      <c r="C767" s="509"/>
      <c r="D767" s="5202"/>
      <c r="E767" s="5203"/>
      <c r="F767" s="5203"/>
      <c r="G767" s="2174"/>
      <c r="H767" s="2837"/>
    </row>
    <row r="768" spans="2:8" ht="18.75" customHeight="1" x14ac:dyDescent="0.25">
      <c r="B768" s="2635"/>
      <c r="C768" s="507" t="s">
        <v>855</v>
      </c>
      <c r="D768" s="992">
        <f>D769</f>
        <v>80000000</v>
      </c>
      <c r="E768" s="992">
        <f>E769</f>
        <v>79990000</v>
      </c>
      <c r="F768" s="1645">
        <f>E768/D768*100</f>
        <v>99.987499999999997</v>
      </c>
      <c r="G768" s="1306">
        <v>100</v>
      </c>
      <c r="H768" s="2837"/>
    </row>
    <row r="769" spans="2:8" ht="15.75" customHeight="1" x14ac:dyDescent="0.25">
      <c r="B769" s="2630"/>
      <c r="C769" s="1211" t="s">
        <v>856</v>
      </c>
      <c r="D769" s="3629">
        <f>SUM(D770)</f>
        <v>80000000</v>
      </c>
      <c r="E769" s="3629">
        <f>SUM(E770)</f>
        <v>79990000</v>
      </c>
      <c r="F769" s="1415">
        <f>E769/D769*100</f>
        <v>99.987499999999997</v>
      </c>
      <c r="G769" s="3629">
        <v>100</v>
      </c>
      <c r="H769" s="2837"/>
    </row>
    <row r="770" spans="2:8" ht="16.5" customHeight="1" x14ac:dyDescent="0.25">
      <c r="B770" s="2630"/>
      <c r="C770" s="1212" t="s">
        <v>857</v>
      </c>
      <c r="D770" s="1682">
        <v>80000000</v>
      </c>
      <c r="E770" s="2840">
        <v>79990000</v>
      </c>
      <c r="F770" s="3630">
        <f>E770/D770*100</f>
        <v>99.987499999999997</v>
      </c>
      <c r="G770" s="1310">
        <v>100</v>
      </c>
      <c r="H770" s="2837"/>
    </row>
    <row r="771" spans="2:8" ht="12" customHeight="1" x14ac:dyDescent="0.25">
      <c r="B771" s="2630"/>
      <c r="C771" s="1146"/>
      <c r="D771" s="5204"/>
      <c r="E771" s="5205"/>
      <c r="F771" s="5205"/>
      <c r="G771" s="2255"/>
      <c r="H771" s="2837"/>
    </row>
    <row r="772" spans="2:8" ht="16.5" customHeight="1" x14ac:dyDescent="0.25">
      <c r="B772" s="2635"/>
      <c r="C772" s="507" t="s">
        <v>858</v>
      </c>
      <c r="D772" s="992">
        <f>D773</f>
        <v>18000000</v>
      </c>
      <c r="E772" s="1107">
        <v>0</v>
      </c>
      <c r="F772" s="2839">
        <v>0</v>
      </c>
      <c r="G772" s="2298">
        <v>0</v>
      </c>
      <c r="H772" s="2837"/>
    </row>
    <row r="773" spans="2:8" ht="16.5" customHeight="1" x14ac:dyDescent="0.25">
      <c r="B773" s="2630"/>
      <c r="C773" s="1194" t="s">
        <v>859</v>
      </c>
      <c r="D773" s="673">
        <f>D774</f>
        <v>18000000</v>
      </c>
      <c r="E773" s="1120">
        <v>0</v>
      </c>
      <c r="F773" s="1662">
        <v>0</v>
      </c>
      <c r="G773" s="1120">
        <v>0</v>
      </c>
      <c r="H773" s="2837"/>
    </row>
    <row r="774" spans="2:8" ht="16.5" customHeight="1" x14ac:dyDescent="0.25">
      <c r="B774" s="2630"/>
      <c r="C774" s="1183" t="s">
        <v>860</v>
      </c>
      <c r="D774" s="1689">
        <v>18000000</v>
      </c>
      <c r="E774" s="1121">
        <v>0</v>
      </c>
      <c r="F774" s="1162">
        <v>0</v>
      </c>
      <c r="G774" s="1121">
        <v>0</v>
      </c>
      <c r="H774" s="2837"/>
    </row>
    <row r="775" spans="2:8" ht="12" customHeight="1" x14ac:dyDescent="0.25">
      <c r="B775" s="2630"/>
      <c r="C775" s="1147"/>
      <c r="D775" s="5204"/>
      <c r="E775" s="5205"/>
      <c r="F775" s="5205"/>
      <c r="G775" s="2255"/>
      <c r="H775" s="2837"/>
    </row>
    <row r="776" spans="2:8" ht="16.5" customHeight="1" x14ac:dyDescent="0.25">
      <c r="B776" s="2635"/>
      <c r="C776" s="1180" t="s">
        <v>862</v>
      </c>
      <c r="D776" s="3631">
        <f>SUM(D777)</f>
        <v>21300000</v>
      </c>
      <c r="E776" s="3631">
        <f>SUM(E777)</f>
        <v>21300000</v>
      </c>
      <c r="F776" s="1645">
        <f>E776/D776*100</f>
        <v>100</v>
      </c>
      <c r="G776" s="1306">
        <v>100</v>
      </c>
      <c r="H776" s="2837"/>
    </row>
    <row r="777" spans="2:8" ht="15.75" customHeight="1" x14ac:dyDescent="0.25">
      <c r="B777" s="2630"/>
      <c r="C777" s="1282" t="s">
        <v>863</v>
      </c>
      <c r="D777" s="3641">
        <f>D778</f>
        <v>21300000</v>
      </c>
      <c r="E777" s="3641">
        <f>E778</f>
        <v>21300000</v>
      </c>
      <c r="F777" s="1308">
        <f>E777/D777*100</f>
        <v>100</v>
      </c>
      <c r="G777" s="2409">
        <v>100</v>
      </c>
      <c r="H777" s="2837"/>
    </row>
    <row r="778" spans="2:8" ht="15" customHeight="1" x14ac:dyDescent="0.25">
      <c r="B778" s="2630"/>
      <c r="C778" s="1271" t="s">
        <v>864</v>
      </c>
      <c r="D778" s="1691">
        <v>21300000</v>
      </c>
      <c r="E778" s="2841">
        <v>21300000</v>
      </c>
      <c r="F778" s="3630">
        <f>E778/D778*100</f>
        <v>100</v>
      </c>
      <c r="G778" s="1111">
        <v>100</v>
      </c>
      <c r="H778" s="2837"/>
    </row>
    <row r="779" spans="2:8" ht="12" customHeight="1" x14ac:dyDescent="0.25">
      <c r="B779" s="2630"/>
      <c r="C779" s="509"/>
      <c r="D779" s="5206"/>
      <c r="E779" s="5207"/>
      <c r="F779" s="5207"/>
      <c r="G779" s="1310"/>
      <c r="H779" s="2837"/>
    </row>
    <row r="780" spans="2:8" ht="12" customHeight="1" x14ac:dyDescent="0.25">
      <c r="B780" s="2630"/>
      <c r="C780" s="1148"/>
      <c r="D780" s="5208"/>
      <c r="E780" s="5209"/>
      <c r="F780" s="5209"/>
      <c r="G780" s="2328"/>
      <c r="H780" s="2837"/>
    </row>
    <row r="781" spans="2:8" ht="25.5" customHeight="1" x14ac:dyDescent="0.25">
      <c r="B781" s="2635"/>
      <c r="C781" s="507" t="s">
        <v>298</v>
      </c>
      <c r="D781" s="992">
        <f>D782</f>
        <v>8040050000</v>
      </c>
      <c r="E781" s="992">
        <f>E782</f>
        <v>7783440800</v>
      </c>
      <c r="F781" s="1645">
        <f>E781/D781*100</f>
        <v>96.80836313207007</v>
      </c>
      <c r="G781" s="1645">
        <f>SUM(G782)/1</f>
        <v>100</v>
      </c>
      <c r="H781" s="2837"/>
    </row>
    <row r="782" spans="2:8" ht="15.75" customHeight="1" x14ac:dyDescent="0.25">
      <c r="B782" s="2630"/>
      <c r="C782" s="1131" t="s">
        <v>299</v>
      </c>
      <c r="D782" s="1394">
        <f>D783+D784</f>
        <v>8040050000</v>
      </c>
      <c r="E782" s="1394">
        <f>E783+E784</f>
        <v>7783440800</v>
      </c>
      <c r="F782" s="1308">
        <f>E782/D782*100</f>
        <v>96.80836313207007</v>
      </c>
      <c r="G782" s="1309">
        <f>SUM(G783:G784)/2</f>
        <v>100</v>
      </c>
      <c r="H782" s="2837"/>
    </row>
    <row r="783" spans="2:8" ht="15" customHeight="1" x14ac:dyDescent="0.25">
      <c r="B783" s="2630"/>
      <c r="C783" s="509" t="s">
        <v>865</v>
      </c>
      <c r="D783" s="1697">
        <v>2752500000</v>
      </c>
      <c r="E783" s="2847">
        <v>2620650800</v>
      </c>
      <c r="F783" s="3630">
        <f>E783/D783*100</f>
        <v>95.209838328792003</v>
      </c>
      <c r="G783" s="666">
        <v>100</v>
      </c>
      <c r="H783" s="2837"/>
    </row>
    <row r="784" spans="2:8" ht="15" customHeight="1" x14ac:dyDescent="0.25">
      <c r="B784" s="2630"/>
      <c r="C784" s="1183" t="s">
        <v>2240</v>
      </c>
      <c r="D784" s="1700">
        <v>5287550000</v>
      </c>
      <c r="E784" s="2848">
        <v>5162790000</v>
      </c>
      <c r="F784" s="3630">
        <f>E784/D784*100</f>
        <v>97.640495125341602</v>
      </c>
      <c r="G784" s="1324">
        <v>100</v>
      </c>
      <c r="H784" s="2837"/>
    </row>
    <row r="785" spans="1:11" ht="12" customHeight="1" x14ac:dyDescent="0.25">
      <c r="B785" s="2630"/>
      <c r="C785" s="1146"/>
      <c r="D785" s="791"/>
      <c r="E785" s="2346"/>
      <c r="F785" s="791"/>
      <c r="G785" s="969"/>
      <c r="H785" s="2634"/>
    </row>
    <row r="786" spans="1:11" s="269" customFormat="1" ht="15" customHeight="1" x14ac:dyDescent="0.25">
      <c r="A786" s="505"/>
      <c r="B786" s="2746"/>
      <c r="C786" s="2747" t="s">
        <v>609</v>
      </c>
      <c r="D786" s="4163">
        <f>SUM(D788+D852)</f>
        <v>34451973700</v>
      </c>
      <c r="E786" s="4163">
        <f>SUM(E788+E852)</f>
        <v>33326541602</v>
      </c>
      <c r="F786" s="5069">
        <f>E786/D786*100</f>
        <v>96.733330555166418</v>
      </c>
      <c r="G786" s="5069">
        <f>(G788+G852)/2</f>
        <v>99.941666666666663</v>
      </c>
      <c r="H786" s="3425"/>
      <c r="J786" s="2069"/>
      <c r="K786" s="2069"/>
    </row>
    <row r="787" spans="1:11" s="276" customFormat="1" ht="7.5" customHeight="1" x14ac:dyDescent="0.25">
      <c r="A787" s="5157"/>
      <c r="B787" s="5152"/>
      <c r="C787" s="3913"/>
      <c r="D787" s="5224"/>
      <c r="E787" s="5225"/>
      <c r="F787" s="2659"/>
      <c r="G787" s="2659"/>
      <c r="H787" s="5160"/>
      <c r="J787" s="2148"/>
      <c r="K787" s="2148"/>
    </row>
    <row r="788" spans="1:11" ht="18" customHeight="1" x14ac:dyDescent="0.25">
      <c r="B788" s="3654"/>
      <c r="C788" s="1303" t="s">
        <v>1024</v>
      </c>
      <c r="D788" s="5140">
        <f>SUM(D790+D802+D817+D822+D825+D831+D835+D847)</f>
        <v>23100467700</v>
      </c>
      <c r="E788" s="1587">
        <f>SUM(E790+E802+E817+E822+E825+E831+E835+E847)</f>
        <v>22073235602</v>
      </c>
      <c r="F788" s="669">
        <f t="shared" ref="F788" si="47">E788/D788*100</f>
        <v>95.553197834171982</v>
      </c>
      <c r="G788" s="669">
        <f>SUM(G790,G802,G817,G822,G825,G831,G835,G847)/8</f>
        <v>99.883333333333326</v>
      </c>
      <c r="H788" s="2634"/>
    </row>
    <row r="789" spans="1:11" ht="9" customHeight="1" x14ac:dyDescent="0.25">
      <c r="B789" s="3655"/>
      <c r="C789" s="2854"/>
      <c r="D789" s="1314"/>
      <c r="E789" s="2335"/>
      <c r="F789" s="2370"/>
      <c r="G789" s="3360"/>
      <c r="H789" s="2634"/>
    </row>
    <row r="790" spans="1:11" ht="16.5" customHeight="1" x14ac:dyDescent="0.25">
      <c r="B790" s="2624"/>
      <c r="C790" s="3938" t="s">
        <v>5083</v>
      </c>
      <c r="D790" s="5141">
        <f>SUM(D791:D800)</f>
        <v>4990642175</v>
      </c>
      <c r="E790" s="5141">
        <f>SUM(E791:E800)</f>
        <v>4851713060</v>
      </c>
      <c r="F790" s="613">
        <f>(E790/D790)*100</f>
        <v>97.216207651673599</v>
      </c>
      <c r="G790" s="1316">
        <f>SUM(G791:G800)/10</f>
        <v>99.9</v>
      </c>
      <c r="H790" s="2634"/>
    </row>
    <row r="791" spans="1:11" ht="16.5" customHeight="1" x14ac:dyDescent="0.25">
      <c r="B791" s="2624"/>
      <c r="C791" s="4118" t="s">
        <v>5084</v>
      </c>
      <c r="D791" s="3630">
        <v>715452175</v>
      </c>
      <c r="E791" s="2001">
        <v>698300000</v>
      </c>
      <c r="F791" s="608">
        <f t="shared" ref="F791:F800" si="48">(E791/D791)*100</f>
        <v>97.60261054486277</v>
      </c>
      <c r="G791" s="1111">
        <v>100</v>
      </c>
      <c r="H791" s="2634"/>
    </row>
    <row r="792" spans="1:11" ht="16.5" customHeight="1" x14ac:dyDescent="0.25">
      <c r="B792" s="2624"/>
      <c r="C792" s="4118" t="s">
        <v>5085</v>
      </c>
      <c r="D792" s="3630">
        <v>120000000</v>
      </c>
      <c r="E792" s="2001">
        <v>113100000</v>
      </c>
      <c r="F792" s="608">
        <f t="shared" si="48"/>
        <v>94.25</v>
      </c>
      <c r="G792" s="3630">
        <v>100</v>
      </c>
      <c r="H792" s="2634"/>
    </row>
    <row r="793" spans="1:11" ht="16.5" customHeight="1" x14ac:dyDescent="0.25">
      <c r="B793" s="2624"/>
      <c r="C793" s="4118" t="s">
        <v>5086</v>
      </c>
      <c r="D793" s="3630">
        <v>157370000</v>
      </c>
      <c r="E793" s="3638">
        <v>157000000</v>
      </c>
      <c r="F793" s="608">
        <f t="shared" si="48"/>
        <v>99.764885302154156</v>
      </c>
      <c r="G793" s="1111">
        <v>100</v>
      </c>
      <c r="H793" s="2634"/>
    </row>
    <row r="794" spans="1:11" ht="16.5" customHeight="1" x14ac:dyDescent="0.25">
      <c r="B794" s="2624"/>
      <c r="C794" s="4118" t="s">
        <v>4532</v>
      </c>
      <c r="D794" s="3630">
        <v>163600000</v>
      </c>
      <c r="E794" s="2001">
        <v>162960060</v>
      </c>
      <c r="F794" s="608">
        <f t="shared" si="48"/>
        <v>99.608838630806844</v>
      </c>
      <c r="G794" s="1111">
        <v>100</v>
      </c>
      <c r="H794" s="2634"/>
    </row>
    <row r="795" spans="1:11" ht="16.5" customHeight="1" x14ac:dyDescent="0.25">
      <c r="B795" s="2624"/>
      <c r="C795" s="4118" t="s">
        <v>5087</v>
      </c>
      <c r="D795" s="3630">
        <v>142375000</v>
      </c>
      <c r="E795" s="2001">
        <v>142375000</v>
      </c>
      <c r="F795" s="4142">
        <f t="shared" si="48"/>
        <v>100</v>
      </c>
      <c r="G795" s="1111">
        <v>100</v>
      </c>
      <c r="H795" s="2634"/>
    </row>
    <row r="796" spans="1:11" ht="30" customHeight="1" x14ac:dyDescent="0.25">
      <c r="B796" s="2624"/>
      <c r="C796" s="4118" t="s">
        <v>5088</v>
      </c>
      <c r="D796" s="3630">
        <v>197660000</v>
      </c>
      <c r="E796" s="5150">
        <v>174620000</v>
      </c>
      <c r="F796" s="4142">
        <f t="shared" si="48"/>
        <v>88.343620358190833</v>
      </c>
      <c r="G796" s="1111">
        <v>99</v>
      </c>
      <c r="H796" s="2634"/>
    </row>
    <row r="797" spans="1:11" ht="17.25" customHeight="1" x14ac:dyDescent="0.25">
      <c r="B797" s="2624"/>
      <c r="C797" s="4118" t="s">
        <v>5089</v>
      </c>
      <c r="D797" s="3630">
        <v>1944950000</v>
      </c>
      <c r="E797" s="2001">
        <v>1944900000</v>
      </c>
      <c r="F797" s="4142">
        <f t="shared" si="48"/>
        <v>99.997429239826218</v>
      </c>
      <c r="G797" s="1111">
        <v>100</v>
      </c>
      <c r="H797" s="2634"/>
    </row>
    <row r="798" spans="1:11" ht="18.75" customHeight="1" x14ac:dyDescent="0.25">
      <c r="B798" s="2624"/>
      <c r="C798" s="4118" t="s">
        <v>5090</v>
      </c>
      <c r="D798" s="3630">
        <v>101580000</v>
      </c>
      <c r="E798" s="2001">
        <v>101580000</v>
      </c>
      <c r="F798" s="4142">
        <f t="shared" si="48"/>
        <v>100</v>
      </c>
      <c r="G798" s="1111">
        <v>100</v>
      </c>
      <c r="H798" s="2634"/>
    </row>
    <row r="799" spans="1:11" ht="19.5" customHeight="1" x14ac:dyDescent="0.25">
      <c r="B799" s="2624"/>
      <c r="C799" s="4118" t="s">
        <v>5091</v>
      </c>
      <c r="D799" s="3630">
        <v>1147655000</v>
      </c>
      <c r="E799" s="5150">
        <v>1147655000</v>
      </c>
      <c r="F799" s="4142">
        <f t="shared" si="48"/>
        <v>100</v>
      </c>
      <c r="G799" s="1111">
        <v>100</v>
      </c>
      <c r="H799" s="2634"/>
    </row>
    <row r="800" spans="1:11" ht="26.25" customHeight="1" x14ac:dyDescent="0.25">
      <c r="B800" s="2624"/>
      <c r="C800" s="4118" t="s">
        <v>5092</v>
      </c>
      <c r="D800" s="3630">
        <v>300000000</v>
      </c>
      <c r="E800" s="2001">
        <v>209223000</v>
      </c>
      <c r="F800" s="4142">
        <f t="shared" si="48"/>
        <v>69.741</v>
      </c>
      <c r="G800" s="1111">
        <v>100</v>
      </c>
      <c r="H800" s="2634"/>
    </row>
    <row r="801" spans="2:8" ht="9.75" customHeight="1" x14ac:dyDescent="0.25">
      <c r="B801" s="2624"/>
      <c r="C801" s="3896"/>
      <c r="D801" s="827"/>
      <c r="E801" s="4140"/>
      <c r="F801" s="1314"/>
      <c r="G801" s="1314"/>
      <c r="H801" s="2634"/>
    </row>
    <row r="802" spans="2:8" ht="18.75" customHeight="1" x14ac:dyDescent="0.25">
      <c r="B802" s="2624"/>
      <c r="C802" s="3938" t="s">
        <v>279</v>
      </c>
      <c r="D802" s="3629">
        <f>SUM(D803:D815)</f>
        <v>9497481325</v>
      </c>
      <c r="E802" s="3629">
        <f>SUM(E803:E815)</f>
        <v>9188019500</v>
      </c>
      <c r="F802" s="4143">
        <f t="shared" ref="F802:F815" si="49">(E802/D802)*100</f>
        <v>96.741643237713873</v>
      </c>
      <c r="G802" s="1316">
        <v>100</v>
      </c>
      <c r="H802" s="2634"/>
    </row>
    <row r="803" spans="2:8" ht="15" customHeight="1" x14ac:dyDescent="0.25">
      <c r="B803" s="2624"/>
      <c r="C803" s="4118" t="s">
        <v>5093</v>
      </c>
      <c r="D803" s="3630">
        <v>470790000</v>
      </c>
      <c r="E803" s="2001">
        <v>469650000</v>
      </c>
      <c r="F803" s="4142">
        <f t="shared" si="49"/>
        <v>99.757853820174603</v>
      </c>
      <c r="G803" s="1111">
        <v>100</v>
      </c>
      <c r="H803" s="2634"/>
    </row>
    <row r="804" spans="2:8" ht="15" customHeight="1" x14ac:dyDescent="0.25">
      <c r="B804" s="2624"/>
      <c r="C804" s="4118" t="s">
        <v>5094</v>
      </c>
      <c r="D804" s="3630">
        <v>235000000</v>
      </c>
      <c r="E804" s="2001">
        <v>233700000</v>
      </c>
      <c r="F804" s="4142">
        <f t="shared" si="49"/>
        <v>99.446808510638292</v>
      </c>
      <c r="G804" s="1111">
        <v>100</v>
      </c>
      <c r="H804" s="2634"/>
    </row>
    <row r="805" spans="2:8" ht="15.75" customHeight="1" x14ac:dyDescent="0.25">
      <c r="B805" s="2624"/>
      <c r="C805" s="4118" t="s">
        <v>5095</v>
      </c>
      <c r="D805" s="3630">
        <v>10000000</v>
      </c>
      <c r="E805" s="2001">
        <v>10000000</v>
      </c>
      <c r="F805" s="4142">
        <f t="shared" si="49"/>
        <v>100</v>
      </c>
      <c r="G805" s="1111">
        <v>100</v>
      </c>
      <c r="H805" s="2634"/>
    </row>
    <row r="806" spans="2:8" ht="15.75" customHeight="1" x14ac:dyDescent="0.25">
      <c r="B806" s="2624"/>
      <c r="C806" s="4118" t="s">
        <v>5096</v>
      </c>
      <c r="D806" s="3630">
        <v>3717000000</v>
      </c>
      <c r="E806" s="2001">
        <v>3710950000</v>
      </c>
      <c r="F806" s="4142">
        <f t="shared" si="49"/>
        <v>99.837234328759749</v>
      </c>
      <c r="G806" s="1111">
        <v>100</v>
      </c>
      <c r="H806" s="2634"/>
    </row>
    <row r="807" spans="2:8" ht="14.25" customHeight="1" x14ac:dyDescent="0.25">
      <c r="B807" s="2624"/>
      <c r="C807" s="4118" t="s">
        <v>5097</v>
      </c>
      <c r="D807" s="3630">
        <v>121250000</v>
      </c>
      <c r="E807" s="2001">
        <v>121250000</v>
      </c>
      <c r="F807" s="4142">
        <f t="shared" si="49"/>
        <v>100</v>
      </c>
      <c r="G807" s="1111">
        <v>100</v>
      </c>
      <c r="H807" s="2634"/>
    </row>
    <row r="808" spans="2:8" ht="16.5" customHeight="1" x14ac:dyDescent="0.25">
      <c r="B808" s="2624"/>
      <c r="C808" s="4118" t="s">
        <v>5098</v>
      </c>
      <c r="D808" s="3630">
        <v>570400000</v>
      </c>
      <c r="E808" s="5151">
        <v>427200000</v>
      </c>
      <c r="F808" s="4142">
        <f t="shared" si="49"/>
        <v>74.894810659186533</v>
      </c>
      <c r="G808" s="1111">
        <v>100</v>
      </c>
      <c r="H808" s="2634"/>
    </row>
    <row r="809" spans="2:8" ht="16.5" customHeight="1" x14ac:dyDescent="0.25">
      <c r="B809" s="2624"/>
      <c r="C809" s="4118" t="s">
        <v>5099</v>
      </c>
      <c r="D809" s="3630">
        <v>1587401000</v>
      </c>
      <c r="E809" s="2001">
        <v>1546667500</v>
      </c>
      <c r="F809" s="4142">
        <f t="shared" si="49"/>
        <v>97.433950211698246</v>
      </c>
      <c r="G809" s="3630">
        <v>100</v>
      </c>
      <c r="H809" s="2634"/>
    </row>
    <row r="810" spans="2:8" ht="14.25" customHeight="1" x14ac:dyDescent="0.25">
      <c r="B810" s="2624"/>
      <c r="C810" s="4118" t="s">
        <v>5100</v>
      </c>
      <c r="D810" s="3630">
        <v>460170225</v>
      </c>
      <c r="E810" s="2001">
        <v>458082000</v>
      </c>
      <c r="F810" s="4142">
        <f t="shared" si="49"/>
        <v>99.546205971931371</v>
      </c>
      <c r="G810" s="1111">
        <v>100</v>
      </c>
      <c r="H810" s="2634"/>
    </row>
    <row r="811" spans="2:8" ht="15.75" customHeight="1" x14ac:dyDescent="0.25">
      <c r="B811" s="2624"/>
      <c r="C811" s="4118" t="s">
        <v>5101</v>
      </c>
      <c r="D811" s="3630">
        <v>500000000</v>
      </c>
      <c r="E811" s="2001">
        <v>466600000</v>
      </c>
      <c r="F811" s="4142">
        <f t="shared" si="49"/>
        <v>93.320000000000007</v>
      </c>
      <c r="G811" s="1111">
        <v>100</v>
      </c>
      <c r="H811" s="2634"/>
    </row>
    <row r="812" spans="2:8" ht="15.75" customHeight="1" x14ac:dyDescent="0.25">
      <c r="B812" s="2624"/>
      <c r="C812" s="4118" t="s">
        <v>5102</v>
      </c>
      <c r="D812" s="3630">
        <v>400000000</v>
      </c>
      <c r="E812" s="2001">
        <v>324710000</v>
      </c>
      <c r="F812" s="4142">
        <f t="shared" si="49"/>
        <v>81.177500000000009</v>
      </c>
      <c r="G812" s="1111">
        <v>100</v>
      </c>
      <c r="H812" s="2634"/>
    </row>
    <row r="813" spans="2:8" ht="19.5" customHeight="1" x14ac:dyDescent="0.25">
      <c r="B813" s="2624"/>
      <c r="C813" s="4118" t="s">
        <v>5103</v>
      </c>
      <c r="D813" s="3630">
        <v>500000000</v>
      </c>
      <c r="E813" s="2001">
        <v>497690000</v>
      </c>
      <c r="F813" s="4142">
        <f t="shared" si="49"/>
        <v>99.538000000000011</v>
      </c>
      <c r="G813" s="1111">
        <v>100</v>
      </c>
      <c r="H813" s="2634"/>
    </row>
    <row r="814" spans="2:8" ht="25.5" customHeight="1" x14ac:dyDescent="0.25">
      <c r="B814" s="2624"/>
      <c r="C814" s="4118" t="s">
        <v>5104</v>
      </c>
      <c r="D814" s="3630">
        <v>450000000</v>
      </c>
      <c r="E814" s="2001">
        <v>447390000</v>
      </c>
      <c r="F814" s="4142">
        <f t="shared" si="49"/>
        <v>99.42</v>
      </c>
      <c r="G814" s="1111">
        <v>100</v>
      </c>
      <c r="H814" s="2634"/>
    </row>
    <row r="815" spans="2:8" ht="18.75" customHeight="1" x14ac:dyDescent="0.25">
      <c r="B815" s="2624"/>
      <c r="C815" s="3908" t="s">
        <v>5105</v>
      </c>
      <c r="D815" s="3638">
        <v>475470100</v>
      </c>
      <c r="E815" s="2001">
        <v>474130000</v>
      </c>
      <c r="F815" s="4142">
        <f t="shared" si="49"/>
        <v>99.718152624108228</v>
      </c>
      <c r="G815" s="1111">
        <v>100</v>
      </c>
      <c r="H815" s="2634"/>
    </row>
    <row r="816" spans="2:8" ht="15" customHeight="1" x14ac:dyDescent="0.25">
      <c r="B816" s="1242"/>
      <c r="C816" s="3896"/>
      <c r="D816" s="5131"/>
      <c r="E816" s="894"/>
      <c r="F816" s="1314"/>
      <c r="G816" s="1314"/>
      <c r="H816" s="2634"/>
    </row>
    <row r="817" spans="2:8" ht="16.5" customHeight="1" x14ac:dyDescent="0.25">
      <c r="B817" s="2624"/>
      <c r="C817" s="3938" t="s">
        <v>260</v>
      </c>
      <c r="D817" s="3629">
        <f>SUM(D818:D820)</f>
        <v>509701200</v>
      </c>
      <c r="E817" s="3629">
        <f>SUM(E818:E820)</f>
        <v>387683650</v>
      </c>
      <c r="F817" s="4143">
        <f t="shared" ref="F817:F820" si="50">(E817/D817)*100</f>
        <v>76.060964737771855</v>
      </c>
      <c r="G817" s="1316">
        <f>SUM(G818:G820)/3</f>
        <v>99.666666666666671</v>
      </c>
      <c r="H817" s="2634"/>
    </row>
    <row r="818" spans="2:8" ht="17.25" customHeight="1" x14ac:dyDescent="0.25">
      <c r="B818" s="2624"/>
      <c r="C818" s="4118" t="s">
        <v>1006</v>
      </c>
      <c r="D818" s="3630">
        <v>373250000</v>
      </c>
      <c r="E818" s="2001">
        <v>252129450</v>
      </c>
      <c r="F818" s="4142">
        <f t="shared" si="50"/>
        <v>67.54975217682518</v>
      </c>
      <c r="G818" s="608">
        <v>99</v>
      </c>
      <c r="H818" s="2634"/>
    </row>
    <row r="819" spans="2:8" ht="31.5" customHeight="1" x14ac:dyDescent="0.25">
      <c r="B819" s="2624"/>
      <c r="C819" s="4118" t="s">
        <v>1007</v>
      </c>
      <c r="D819" s="3630">
        <v>8003450</v>
      </c>
      <c r="E819" s="3638">
        <v>7106450</v>
      </c>
      <c r="F819" s="4142">
        <f t="shared" si="50"/>
        <v>88.792333306261668</v>
      </c>
      <c r="G819" s="608">
        <v>100</v>
      </c>
      <c r="H819" s="2634"/>
    </row>
    <row r="820" spans="2:8" ht="19.5" customHeight="1" x14ac:dyDescent="0.25">
      <c r="B820" s="2624"/>
      <c r="C820" s="4118" t="s">
        <v>1011</v>
      </c>
      <c r="D820" s="3630">
        <v>128447750</v>
      </c>
      <c r="E820" s="2001">
        <v>128447750</v>
      </c>
      <c r="F820" s="4142">
        <f t="shared" si="50"/>
        <v>100</v>
      </c>
      <c r="G820" s="608">
        <v>100</v>
      </c>
      <c r="H820" s="2634"/>
    </row>
    <row r="821" spans="2:8" ht="9" customHeight="1" x14ac:dyDescent="0.25">
      <c r="B821" s="2624"/>
      <c r="C821" s="4118"/>
      <c r="D821" s="2612"/>
      <c r="E821" s="894"/>
      <c r="F821" s="1314"/>
      <c r="G821" s="1314"/>
      <c r="H821" s="2634"/>
    </row>
    <row r="822" spans="2:8" ht="15.75" customHeight="1" x14ac:dyDescent="0.25">
      <c r="B822" s="2624"/>
      <c r="C822" s="3938" t="s">
        <v>1008</v>
      </c>
      <c r="D822" s="3629">
        <f>SUM(D823:D823)</f>
        <v>237000000</v>
      </c>
      <c r="E822" s="3629">
        <f>SUM(E823:E823)</f>
        <v>236500000</v>
      </c>
      <c r="F822" s="4143">
        <f t="shared" ref="F822" si="51">(E822/D822)*100</f>
        <v>99.789029535864984</v>
      </c>
      <c r="G822" s="1316">
        <v>100</v>
      </c>
      <c r="H822" s="2634"/>
    </row>
    <row r="823" spans="2:8" ht="18" customHeight="1" x14ac:dyDescent="0.25">
      <c r="B823" s="2624"/>
      <c r="C823" s="4118" t="s">
        <v>1009</v>
      </c>
      <c r="D823" s="3630">
        <v>237000000</v>
      </c>
      <c r="E823" s="2001">
        <v>236500000</v>
      </c>
      <c r="F823" s="4142">
        <f>(E823/D823)*100</f>
        <v>99.789029535864984</v>
      </c>
      <c r="G823" s="1111">
        <v>100</v>
      </c>
      <c r="H823" s="2634"/>
    </row>
    <row r="824" spans="2:8" ht="9" customHeight="1" x14ac:dyDescent="0.25">
      <c r="B824" s="2624"/>
      <c r="C824" s="4118"/>
      <c r="D824" s="3630"/>
      <c r="E824" s="1314"/>
      <c r="F824" s="1316"/>
      <c r="G824" s="1314"/>
      <c r="H824" s="2634"/>
    </row>
    <row r="825" spans="2:8" ht="19.5" customHeight="1" x14ac:dyDescent="0.25">
      <c r="B825" s="2624"/>
      <c r="C825" s="3938" t="s">
        <v>392</v>
      </c>
      <c r="D825" s="3629">
        <f>SUM(D826:D829)</f>
        <v>790988000</v>
      </c>
      <c r="E825" s="3629">
        <f>SUM(E826:E829)</f>
        <v>701238000</v>
      </c>
      <c r="F825" s="4143">
        <f t="shared" ref="F825:F829" si="52">(E825/D825)*100</f>
        <v>88.653430899078117</v>
      </c>
      <c r="G825" s="1316">
        <f>SUM(G826:G829)/4</f>
        <v>99.5</v>
      </c>
      <c r="H825" s="2634"/>
    </row>
    <row r="826" spans="2:8" ht="18.75" customHeight="1" x14ac:dyDescent="0.25">
      <c r="B826" s="2624"/>
      <c r="C826" s="4118" t="s">
        <v>5106</v>
      </c>
      <c r="D826" s="3630">
        <v>262793000</v>
      </c>
      <c r="E826" s="2001">
        <v>247418000</v>
      </c>
      <c r="F826" s="4142">
        <f t="shared" si="52"/>
        <v>94.149387540764025</v>
      </c>
      <c r="G826" s="1111">
        <v>98</v>
      </c>
      <c r="H826" s="2634"/>
    </row>
    <row r="827" spans="2:8" ht="13.5" customHeight="1" x14ac:dyDescent="0.25">
      <c r="B827" s="2624"/>
      <c r="C827" s="4118" t="s">
        <v>5107</v>
      </c>
      <c r="D827" s="3630">
        <v>325000000</v>
      </c>
      <c r="E827" s="2001">
        <v>258020000</v>
      </c>
      <c r="F827" s="4142">
        <f t="shared" si="52"/>
        <v>79.390769230769237</v>
      </c>
      <c r="G827" s="3630">
        <v>100</v>
      </c>
      <c r="H827" s="2634"/>
    </row>
    <row r="828" spans="2:8" ht="18.75" customHeight="1" x14ac:dyDescent="0.25">
      <c r="B828" s="2624"/>
      <c r="C828" s="4118" t="s">
        <v>5108</v>
      </c>
      <c r="D828" s="3630">
        <v>100100000</v>
      </c>
      <c r="E828" s="5151">
        <v>95010000</v>
      </c>
      <c r="F828" s="4142">
        <f t="shared" si="52"/>
        <v>94.915084915084918</v>
      </c>
      <c r="G828" s="3630">
        <v>100</v>
      </c>
      <c r="H828" s="2634"/>
    </row>
    <row r="829" spans="2:8" ht="15.75" customHeight="1" x14ac:dyDescent="0.25">
      <c r="B829" s="2624"/>
      <c r="C829" s="4118" t="s">
        <v>5109</v>
      </c>
      <c r="D829" s="3630">
        <v>103095000</v>
      </c>
      <c r="E829" s="5151">
        <v>100790000</v>
      </c>
      <c r="F829" s="4142">
        <f t="shared" si="52"/>
        <v>97.764198069741497</v>
      </c>
      <c r="G829" s="3630">
        <v>100</v>
      </c>
      <c r="H829" s="2634"/>
    </row>
    <row r="830" spans="2:8" ht="12" customHeight="1" x14ac:dyDescent="0.25">
      <c r="B830" s="2624"/>
      <c r="C830" s="3852"/>
      <c r="D830" s="5120"/>
      <c r="E830" s="1314"/>
      <c r="F830" s="1111"/>
      <c r="G830" s="1314"/>
      <c r="H830" s="2634"/>
    </row>
    <row r="831" spans="2:8" ht="25.5" customHeight="1" x14ac:dyDescent="0.25">
      <c r="B831" s="2624"/>
      <c r="C831" s="3958" t="s">
        <v>281</v>
      </c>
      <c r="D831" s="3629">
        <f>SUM(D832:D833)</f>
        <v>4942368000</v>
      </c>
      <c r="E831" s="3629">
        <f>SUM(E832:E833)</f>
        <v>4596957331</v>
      </c>
      <c r="F831" s="4143">
        <f t="shared" ref="F831:F833" si="53">(E831/D831)*100</f>
        <v>93.011231276181789</v>
      </c>
      <c r="G831" s="1316">
        <v>100</v>
      </c>
      <c r="H831" s="2634"/>
    </row>
    <row r="832" spans="2:8" ht="17.25" customHeight="1" x14ac:dyDescent="0.25">
      <c r="B832" s="2624"/>
      <c r="C832" s="3959" t="s">
        <v>1010</v>
      </c>
      <c r="D832" s="3630">
        <v>3161782000</v>
      </c>
      <c r="E832" s="2001">
        <v>2905492700</v>
      </c>
      <c r="F832" s="4142">
        <f t="shared" si="53"/>
        <v>91.894150197578455</v>
      </c>
      <c r="G832" s="1111">
        <v>100</v>
      </c>
      <c r="H832" s="2634"/>
    </row>
    <row r="833" spans="2:8" ht="19.5" customHeight="1" x14ac:dyDescent="0.25">
      <c r="B833" s="2624"/>
      <c r="C833" s="3959" t="s">
        <v>282</v>
      </c>
      <c r="D833" s="3630">
        <v>1780586000</v>
      </c>
      <c r="E833" s="2001">
        <v>1691464631</v>
      </c>
      <c r="F833" s="4142">
        <f t="shared" si="53"/>
        <v>94.994829286538248</v>
      </c>
      <c r="G833" s="1111">
        <v>100</v>
      </c>
      <c r="H833" s="2634"/>
    </row>
    <row r="834" spans="2:8" ht="12" customHeight="1" x14ac:dyDescent="0.25">
      <c r="B834" s="2624"/>
      <c r="C834" s="3852"/>
      <c r="D834" s="5142"/>
      <c r="E834" s="1651"/>
      <c r="F834" s="1324"/>
      <c r="G834" s="1651"/>
      <c r="H834" s="2634"/>
    </row>
    <row r="835" spans="2:8" ht="19.5" customHeight="1" x14ac:dyDescent="0.25">
      <c r="B835" s="2624"/>
      <c r="C835" s="4116" t="s">
        <v>2401</v>
      </c>
      <c r="D835" s="3629">
        <f>SUM(D836:D845)</f>
        <v>1984872000</v>
      </c>
      <c r="E835" s="3629">
        <f>SUM(E836:E845)</f>
        <v>1964194061</v>
      </c>
      <c r="F835" s="4143">
        <f t="shared" ref="F835:F845" si="54">(E835/D835)*100</f>
        <v>98.958223049143726</v>
      </c>
      <c r="G835" s="1316">
        <v>100</v>
      </c>
      <c r="H835" s="2634"/>
    </row>
    <row r="836" spans="2:8" ht="16.5" customHeight="1" x14ac:dyDescent="0.25">
      <c r="B836" s="2624"/>
      <c r="C836" s="4118" t="s">
        <v>5110</v>
      </c>
      <c r="D836" s="3630">
        <v>200000000</v>
      </c>
      <c r="E836" s="2001">
        <v>200000000</v>
      </c>
      <c r="F836" s="4142">
        <f t="shared" si="54"/>
        <v>100</v>
      </c>
      <c r="G836" s="1111">
        <v>100</v>
      </c>
      <c r="H836" s="2634"/>
    </row>
    <row r="837" spans="2:8" ht="18.75" customHeight="1" x14ac:dyDescent="0.25">
      <c r="B837" s="2624"/>
      <c r="C837" s="4118" t="s">
        <v>5111</v>
      </c>
      <c r="D837" s="3630">
        <v>315976000</v>
      </c>
      <c r="E837" s="2001">
        <v>306515800</v>
      </c>
      <c r="F837" s="4144">
        <f t="shared" si="54"/>
        <v>97.006038433298741</v>
      </c>
      <c r="G837" s="666">
        <v>100</v>
      </c>
      <c r="H837" s="2634"/>
    </row>
    <row r="838" spans="2:8" ht="20.25" customHeight="1" x14ac:dyDescent="0.25">
      <c r="B838" s="2624"/>
      <c r="C838" s="4118" t="s">
        <v>5112</v>
      </c>
      <c r="D838" s="3630">
        <v>250000000</v>
      </c>
      <c r="E838" s="3638">
        <v>249950000</v>
      </c>
      <c r="F838" s="4142">
        <f t="shared" si="54"/>
        <v>99.98</v>
      </c>
      <c r="G838" s="1111">
        <v>100</v>
      </c>
      <c r="H838" s="2634"/>
    </row>
    <row r="839" spans="2:8" ht="21.75" customHeight="1" x14ac:dyDescent="0.25">
      <c r="B839" s="2624"/>
      <c r="C839" s="4118" t="s">
        <v>5113</v>
      </c>
      <c r="D839" s="3630">
        <v>280000000</v>
      </c>
      <c r="E839" s="2001">
        <v>280000000</v>
      </c>
      <c r="F839" s="4142">
        <f t="shared" si="54"/>
        <v>100</v>
      </c>
      <c r="G839" s="1111">
        <v>100</v>
      </c>
      <c r="H839" s="2634"/>
    </row>
    <row r="840" spans="2:8" ht="20.25" customHeight="1" x14ac:dyDescent="0.25">
      <c r="B840" s="2624"/>
      <c r="C840" s="4118" t="s">
        <v>5114</v>
      </c>
      <c r="D840" s="3630">
        <v>119185000</v>
      </c>
      <c r="E840" s="2001">
        <v>119185000</v>
      </c>
      <c r="F840" s="4142">
        <f t="shared" si="54"/>
        <v>100</v>
      </c>
      <c r="G840" s="1111">
        <v>100</v>
      </c>
      <c r="H840" s="2634"/>
    </row>
    <row r="841" spans="2:8" ht="18" customHeight="1" x14ac:dyDescent="0.25">
      <c r="B841" s="2624"/>
      <c r="C841" s="4118" t="s">
        <v>5115</v>
      </c>
      <c r="D841" s="3630">
        <v>260000000</v>
      </c>
      <c r="E841" s="2001">
        <v>260000000</v>
      </c>
      <c r="F841" s="4142">
        <f t="shared" si="54"/>
        <v>100</v>
      </c>
      <c r="G841" s="1111">
        <v>100</v>
      </c>
      <c r="H841" s="2634"/>
    </row>
    <row r="842" spans="2:8" ht="16.5" customHeight="1" x14ac:dyDescent="0.25">
      <c r="B842" s="2624"/>
      <c r="C842" s="4118" t="s">
        <v>5116</v>
      </c>
      <c r="D842" s="3630">
        <v>250000000</v>
      </c>
      <c r="E842" s="3638">
        <v>248345000</v>
      </c>
      <c r="F842" s="4142">
        <f t="shared" si="54"/>
        <v>99.338000000000008</v>
      </c>
      <c r="G842" s="1111">
        <v>100</v>
      </c>
      <c r="H842" s="2634"/>
    </row>
    <row r="843" spans="2:8" ht="21.75" customHeight="1" x14ac:dyDescent="0.25">
      <c r="B843" s="2624"/>
      <c r="C843" s="4118" t="s">
        <v>5117</v>
      </c>
      <c r="D843" s="3630">
        <v>100000000</v>
      </c>
      <c r="E843" s="2001">
        <v>100000000</v>
      </c>
      <c r="F843" s="4142">
        <f t="shared" si="54"/>
        <v>100</v>
      </c>
      <c r="G843" s="1111">
        <v>100</v>
      </c>
      <c r="H843" s="2634"/>
    </row>
    <row r="844" spans="2:8" ht="16.5" customHeight="1" x14ac:dyDescent="0.25">
      <c r="B844" s="2624"/>
      <c r="C844" s="4118" t="s">
        <v>5118</v>
      </c>
      <c r="D844" s="3630">
        <v>109711000</v>
      </c>
      <c r="E844" s="2001">
        <v>100898261</v>
      </c>
      <c r="F844" s="4142">
        <f t="shared" si="54"/>
        <v>91.967315036778444</v>
      </c>
      <c r="G844" s="1111">
        <v>100</v>
      </c>
      <c r="H844" s="2634"/>
    </row>
    <row r="845" spans="2:8" ht="16.5" customHeight="1" x14ac:dyDescent="0.25">
      <c r="B845" s="2624"/>
      <c r="C845" s="4118" t="s">
        <v>5119</v>
      </c>
      <c r="D845" s="3630">
        <v>100000000</v>
      </c>
      <c r="E845" s="3638">
        <v>99300000</v>
      </c>
      <c r="F845" s="4142">
        <f t="shared" si="54"/>
        <v>99.3</v>
      </c>
      <c r="G845" s="1314">
        <v>100</v>
      </c>
      <c r="H845" s="2634"/>
    </row>
    <row r="846" spans="2:8" ht="11.25" customHeight="1" x14ac:dyDescent="0.25">
      <c r="B846" s="2624"/>
      <c r="C846" s="4118"/>
      <c r="D846" s="3630"/>
      <c r="E846" s="1314"/>
      <c r="F846" s="1111"/>
      <c r="G846" s="1314"/>
      <c r="H846" s="2634"/>
    </row>
    <row r="847" spans="2:8" ht="18" customHeight="1" x14ac:dyDescent="0.25">
      <c r="B847" s="2624"/>
      <c r="C847" s="3938" t="s">
        <v>1012</v>
      </c>
      <c r="D847" s="3629">
        <f>SUM(D848:D850)</f>
        <v>147415000</v>
      </c>
      <c r="E847" s="3629">
        <f>SUM(E848:E850)</f>
        <v>146930000</v>
      </c>
      <c r="F847" s="4143">
        <f t="shared" ref="F847:F850" si="55">(E847/D847)*100</f>
        <v>99.670996845639863</v>
      </c>
      <c r="G847" s="1316">
        <v>100</v>
      </c>
      <c r="H847" s="2634"/>
    </row>
    <row r="848" spans="2:8" ht="15.75" customHeight="1" x14ac:dyDescent="0.25">
      <c r="B848" s="2624"/>
      <c r="C848" s="4118" t="s">
        <v>5120</v>
      </c>
      <c r="D848" s="3630">
        <v>102415000</v>
      </c>
      <c r="E848" s="2001">
        <v>102415000</v>
      </c>
      <c r="F848" s="4142">
        <f t="shared" si="55"/>
        <v>100</v>
      </c>
      <c r="G848" s="1111">
        <v>100</v>
      </c>
      <c r="H848" s="2634"/>
    </row>
    <row r="849" spans="1:11" ht="16.5" customHeight="1" x14ac:dyDescent="0.25">
      <c r="B849" s="2624"/>
      <c r="C849" s="4118" t="s">
        <v>5121</v>
      </c>
      <c r="D849" s="3630">
        <v>20000000</v>
      </c>
      <c r="E849" s="2001">
        <v>19515000</v>
      </c>
      <c r="F849" s="4142">
        <f t="shared" si="55"/>
        <v>97.575000000000003</v>
      </c>
      <c r="G849" s="1111">
        <v>100</v>
      </c>
      <c r="H849" s="2634"/>
    </row>
    <row r="850" spans="1:11" ht="14.25" customHeight="1" x14ac:dyDescent="0.25">
      <c r="B850" s="2624"/>
      <c r="C850" s="4118" t="s">
        <v>5122</v>
      </c>
      <c r="D850" s="3630">
        <v>25000000</v>
      </c>
      <c r="E850" s="3638">
        <v>25000000</v>
      </c>
      <c r="F850" s="4142">
        <f t="shared" si="55"/>
        <v>100</v>
      </c>
      <c r="G850" s="1111">
        <v>100</v>
      </c>
      <c r="H850" s="2634"/>
    </row>
    <row r="851" spans="1:11" ht="12.75" customHeight="1" x14ac:dyDescent="0.25">
      <c r="B851" s="3652"/>
      <c r="C851" s="2863"/>
      <c r="D851" s="791"/>
      <c r="E851" s="2346"/>
      <c r="F851" s="791"/>
      <c r="G851" s="969"/>
      <c r="H851" s="2634"/>
    </row>
    <row r="852" spans="1:11" ht="25.5" customHeight="1" x14ac:dyDescent="0.25">
      <c r="B852" s="3654"/>
      <c r="C852" s="1180" t="s">
        <v>5467</v>
      </c>
      <c r="D852" s="3631">
        <f>SUM(D853+D854)</f>
        <v>11351506000</v>
      </c>
      <c r="E852" s="3631">
        <f>SUM(E853+E854)</f>
        <v>11253306000</v>
      </c>
      <c r="F852" s="5210">
        <f>E852/D852*100</f>
        <v>99.134916547636948</v>
      </c>
      <c r="G852" s="669">
        <f>(G853+G854)/2</f>
        <v>100</v>
      </c>
      <c r="H852" s="2634"/>
    </row>
    <row r="853" spans="1:11" ht="17.25" customHeight="1" x14ac:dyDescent="0.25">
      <c r="B853" s="3655"/>
      <c r="C853" s="3896" t="s">
        <v>5469</v>
      </c>
      <c r="D853" s="804">
        <v>4782506000</v>
      </c>
      <c r="E853" s="804">
        <v>4782506000</v>
      </c>
      <c r="F853" s="5211">
        <v>100</v>
      </c>
      <c r="G853" s="1855">
        <v>100</v>
      </c>
      <c r="H853" s="2634"/>
    </row>
    <row r="854" spans="1:11" ht="15" customHeight="1" x14ac:dyDescent="0.25">
      <c r="B854" s="2624"/>
      <c r="C854" s="1271" t="s">
        <v>5470</v>
      </c>
      <c r="D854" s="5212">
        <v>6569000000</v>
      </c>
      <c r="E854" s="2579">
        <v>6470800000</v>
      </c>
      <c r="F854" s="1111">
        <v>98.505099710762678</v>
      </c>
      <c r="G854" s="1126">
        <v>100</v>
      </c>
      <c r="H854" s="2634"/>
    </row>
    <row r="855" spans="1:11" ht="21" customHeight="1" thickBot="1" x14ac:dyDescent="0.3">
      <c r="B855" s="2624"/>
      <c r="C855" s="509"/>
      <c r="D855" s="1651"/>
      <c r="E855" s="2234"/>
      <c r="F855" s="1651"/>
      <c r="G855" s="788"/>
      <c r="H855" s="2837"/>
    </row>
    <row r="856" spans="1:11" s="103" customFormat="1" ht="22.5" customHeight="1" thickTop="1" thickBot="1" x14ac:dyDescent="0.3">
      <c r="A856" s="334"/>
      <c r="B856" s="332"/>
      <c r="C856" s="2867" t="s">
        <v>18</v>
      </c>
      <c r="D856" s="2868">
        <f>D15+D49</f>
        <v>726303235080</v>
      </c>
      <c r="E856" s="2870">
        <f>E15+E49</f>
        <v>616483299693</v>
      </c>
      <c r="F856" s="4289">
        <f>E856/D856*100</f>
        <v>84.879602611861742</v>
      </c>
      <c r="G856" s="2868">
        <f>(G15+G49)/2</f>
        <v>84.105648596119835</v>
      </c>
      <c r="H856" s="2874"/>
      <c r="J856" s="2149"/>
      <c r="K856" s="2149"/>
    </row>
    <row r="857" spans="1:11" ht="14.1" customHeight="1" thickTop="1" x14ac:dyDescent="0.25">
      <c r="B857" s="335"/>
      <c r="C857" s="2875"/>
      <c r="D857" s="3122"/>
      <c r="E857" s="5213"/>
      <c r="F857" s="2939"/>
      <c r="G857" s="5214"/>
      <c r="H857" s="2883"/>
    </row>
    <row r="858" spans="1:11" ht="20.100000000000001" customHeight="1" x14ac:dyDescent="0.25">
      <c r="B858" s="2884"/>
      <c r="C858" s="337"/>
      <c r="D858" s="3122"/>
      <c r="E858" s="5213"/>
      <c r="F858" s="5215" t="s">
        <v>7117</v>
      </c>
      <c r="G858" s="5214"/>
      <c r="H858" s="2883"/>
    </row>
    <row r="859" spans="1:11" x14ac:dyDescent="0.25">
      <c r="B859" s="5769"/>
      <c r="C859" s="5769"/>
      <c r="F859" s="5214" t="s">
        <v>2069</v>
      </c>
      <c r="G859" s="5214"/>
    </row>
    <row r="860" spans="1:11" x14ac:dyDescent="0.25">
      <c r="B860" s="3012"/>
      <c r="C860" s="344"/>
      <c r="F860" s="5214" t="s">
        <v>2067</v>
      </c>
      <c r="G860" s="5216"/>
    </row>
    <row r="861" spans="1:11" s="270" customFormat="1" x14ac:dyDescent="0.25">
      <c r="A861" s="303"/>
      <c r="B861" s="5769"/>
      <c r="C861" s="5769"/>
      <c r="D861" s="5161"/>
      <c r="E861" s="5162"/>
      <c r="F861" s="170"/>
      <c r="G861" s="5215"/>
      <c r="H861" s="303"/>
      <c r="I861" s="3024"/>
      <c r="J861" s="522"/>
      <c r="K861" s="2150"/>
    </row>
    <row r="862" spans="1:11" s="270" customFormat="1" x14ac:dyDescent="0.25">
      <c r="A862" s="303"/>
      <c r="B862" s="5769"/>
      <c r="C862" s="5769"/>
      <c r="D862" s="5161"/>
      <c r="E862" s="5162"/>
      <c r="F862" s="3503"/>
      <c r="G862" s="5216"/>
      <c r="H862" s="303"/>
      <c r="I862" s="3024"/>
      <c r="J862" s="522"/>
      <c r="K862" s="2150"/>
    </row>
    <row r="863" spans="1:11" s="270" customFormat="1" x14ac:dyDescent="0.25">
      <c r="A863" s="303"/>
      <c r="B863" s="343"/>
      <c r="C863" s="1348"/>
      <c r="D863" s="5161"/>
      <c r="E863" s="5162"/>
      <c r="F863" s="170"/>
      <c r="G863" s="5214"/>
      <c r="H863" s="303"/>
      <c r="I863" s="3024"/>
      <c r="J863" s="522"/>
      <c r="K863" s="2150"/>
    </row>
    <row r="864" spans="1:11" s="270" customFormat="1" x14ac:dyDescent="0.25">
      <c r="A864" s="303"/>
      <c r="B864" s="343"/>
      <c r="C864" s="1348"/>
      <c r="D864" s="5161"/>
      <c r="E864" s="5162"/>
      <c r="F864" s="1709"/>
      <c r="G864" s="5217"/>
      <c r="H864" s="303"/>
      <c r="I864" s="3024"/>
      <c r="J864" s="522"/>
      <c r="K864" s="2150"/>
    </row>
    <row r="865" spans="1:11" s="270" customFormat="1" ht="15.75" x14ac:dyDescent="0.25">
      <c r="A865" s="303"/>
      <c r="B865" s="343"/>
      <c r="C865" s="1348"/>
      <c r="D865" s="5161"/>
      <c r="E865" s="5727" t="s">
        <v>2070</v>
      </c>
      <c r="F865" s="5727"/>
      <c r="G865" s="5727"/>
      <c r="H865" s="5727"/>
      <c r="I865" s="3024"/>
      <c r="J865" s="522"/>
      <c r="K865" s="2150"/>
    </row>
    <row r="866" spans="1:11" s="270" customFormat="1" ht="15" customHeight="1" x14ac:dyDescent="0.25">
      <c r="A866" s="303"/>
      <c r="B866" s="343"/>
      <c r="C866" s="1348"/>
      <c r="D866" s="5161"/>
      <c r="E866" s="5741" t="s">
        <v>2071</v>
      </c>
      <c r="F866" s="5741"/>
      <c r="G866" s="5741"/>
      <c r="H866" s="5741"/>
      <c r="I866" s="3024"/>
      <c r="J866" s="522"/>
      <c r="K866" s="2150"/>
    </row>
    <row r="867" spans="1:11" s="270" customFormat="1" x14ac:dyDescent="0.25">
      <c r="A867" s="303"/>
      <c r="B867" s="343"/>
      <c r="C867" s="1348"/>
      <c r="D867" s="5161"/>
      <c r="E867" s="5742" t="s">
        <v>2072</v>
      </c>
      <c r="F867" s="5742"/>
      <c r="G867" s="5742"/>
      <c r="H867" s="5742"/>
      <c r="I867" s="3024"/>
      <c r="J867" s="522"/>
      <c r="K867" s="2150"/>
    </row>
    <row r="868" spans="1:11" s="270" customFormat="1" x14ac:dyDescent="0.25">
      <c r="A868" s="303"/>
      <c r="B868" s="343"/>
      <c r="C868" s="1348"/>
      <c r="D868" s="5161"/>
      <c r="E868" s="5162"/>
      <c r="F868" s="500"/>
      <c r="G868" s="500"/>
      <c r="H868" s="303"/>
      <c r="I868" s="3024"/>
      <c r="J868" s="522"/>
      <c r="K868" s="2150"/>
    </row>
    <row r="869" spans="1:11" s="270" customFormat="1" ht="15.75" x14ac:dyDescent="0.25">
      <c r="A869" s="303"/>
      <c r="B869" s="343"/>
      <c r="C869" s="344"/>
      <c r="D869" s="5161"/>
      <c r="E869" s="5162"/>
      <c r="F869" s="5214"/>
      <c r="G869" s="5214"/>
      <c r="H869" s="3004"/>
      <c r="I869" s="3024"/>
      <c r="J869" s="522"/>
      <c r="K869" s="2150"/>
    </row>
    <row r="870" spans="1:11" s="270" customFormat="1" ht="15.75" x14ac:dyDescent="0.25">
      <c r="A870" s="303"/>
      <c r="B870" s="343"/>
      <c r="C870" s="344"/>
      <c r="D870" s="5161"/>
      <c r="E870" s="5162"/>
      <c r="F870" s="5214"/>
      <c r="G870" s="5214"/>
      <c r="H870" s="3004"/>
      <c r="I870" s="3024"/>
      <c r="J870" s="522"/>
      <c r="K870" s="2150"/>
    </row>
    <row r="871" spans="1:11" s="270" customFormat="1" ht="15.75" x14ac:dyDescent="0.25">
      <c r="A871" s="303"/>
      <c r="B871" s="343"/>
      <c r="C871" s="1348"/>
      <c r="D871" s="5161"/>
      <c r="E871" s="5162"/>
      <c r="F871" s="5214"/>
      <c r="G871" s="5214"/>
      <c r="H871" s="3004"/>
      <c r="I871" s="3024"/>
      <c r="J871" s="522"/>
      <c r="K871" s="2150"/>
    </row>
    <row r="872" spans="1:11" s="270" customFormat="1" ht="15.75" x14ac:dyDescent="0.25">
      <c r="A872" s="303"/>
      <c r="B872" s="343"/>
      <c r="C872" s="1348"/>
      <c r="D872" s="5161"/>
      <c r="E872" s="5162"/>
      <c r="F872" s="5214"/>
      <c r="G872" s="5214"/>
      <c r="H872" s="3004"/>
      <c r="I872" s="3024"/>
      <c r="J872" s="522"/>
      <c r="K872" s="2150"/>
    </row>
    <row r="873" spans="1:11" s="270" customFormat="1" ht="15.75" x14ac:dyDescent="0.25">
      <c r="A873" s="303"/>
      <c r="B873" s="343"/>
      <c r="C873" s="1348"/>
      <c r="D873" s="5161"/>
      <c r="E873" s="5162"/>
      <c r="F873" s="5216"/>
      <c r="G873" s="5216"/>
      <c r="H873" s="2890"/>
      <c r="I873" s="3024"/>
      <c r="J873" s="522"/>
      <c r="K873" s="2150"/>
    </row>
    <row r="874" spans="1:11" s="270" customFormat="1" ht="15.75" x14ac:dyDescent="0.25">
      <c r="A874" s="303"/>
      <c r="B874" s="343"/>
      <c r="C874" s="2891"/>
      <c r="D874" s="5161"/>
      <c r="E874" s="5162"/>
      <c r="F874" s="5215"/>
      <c r="G874" s="5215"/>
      <c r="H874" s="2890"/>
      <c r="I874" s="3024"/>
      <c r="J874" s="522"/>
      <c r="K874" s="2150"/>
    </row>
    <row r="875" spans="1:11" s="270" customFormat="1" ht="15.75" x14ac:dyDescent="0.25">
      <c r="A875" s="303"/>
      <c r="B875" s="343"/>
      <c r="C875" s="1348"/>
      <c r="D875" s="5161"/>
      <c r="E875" s="5162"/>
      <c r="F875" s="5216"/>
      <c r="G875" s="5216"/>
      <c r="H875" s="2890"/>
      <c r="I875" s="3024"/>
      <c r="J875" s="522"/>
      <c r="K875" s="2150"/>
    </row>
    <row r="876" spans="1:11" s="270" customFormat="1" ht="15.75" x14ac:dyDescent="0.25">
      <c r="A876" s="303"/>
      <c r="B876" s="343"/>
      <c r="C876" s="1348"/>
      <c r="D876" s="5161"/>
      <c r="E876" s="5162"/>
      <c r="F876" s="5214"/>
      <c r="G876" s="5214"/>
      <c r="H876" s="2893"/>
      <c r="I876" s="3024"/>
      <c r="J876" s="522"/>
      <c r="K876" s="2150"/>
    </row>
    <row r="877" spans="1:11" ht="15.75" x14ac:dyDescent="0.25">
      <c r="F877" s="5217"/>
      <c r="G877" s="5217"/>
      <c r="H877" s="3006"/>
    </row>
  </sheetData>
  <mergeCells count="17">
    <mergeCell ref="B861:C861"/>
    <mergeCell ref="B862:C862"/>
    <mergeCell ref="E865:H865"/>
    <mergeCell ref="E866:H866"/>
    <mergeCell ref="E867:H867"/>
    <mergeCell ref="B859:C859"/>
    <mergeCell ref="B1:H1"/>
    <mergeCell ref="B2:H2"/>
    <mergeCell ref="B3:H3"/>
    <mergeCell ref="A4:H4"/>
    <mergeCell ref="B7:H7"/>
    <mergeCell ref="B8:D8"/>
    <mergeCell ref="B11:B13"/>
    <mergeCell ref="C11:C13"/>
    <mergeCell ref="D11:G11"/>
    <mergeCell ref="H11:H13"/>
    <mergeCell ref="D12:G12"/>
  </mergeCells>
  <printOptions horizontalCentered="1"/>
  <pageMargins left="0" right="0" top="0" bottom="0" header="0.3" footer="0.3"/>
  <pageSetup paperSize="9" scale="70" orientation="portrait" r:id="rId1"/>
  <colBreaks count="1" manualBreakCount="1">
    <brk id="9" max="1048575" man="1"/>
  </col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S1043"/>
  <sheetViews>
    <sheetView view="pageBreakPreview" topLeftCell="A13" zoomScale="82" zoomScaleNormal="90" zoomScaleSheetLayoutView="82" workbookViewId="0">
      <selection activeCell="E1027" sqref="E1027"/>
    </sheetView>
  </sheetViews>
  <sheetFormatPr defaultColWidth="8.85546875" defaultRowHeight="15" x14ac:dyDescent="0.25"/>
  <cols>
    <col min="1" max="1" width="3.28515625" style="303" customWidth="1"/>
    <col min="2" max="2" width="4.7109375" style="334" customWidth="1"/>
    <col min="3" max="3" width="74.140625" style="330" customWidth="1"/>
    <col min="4" max="4" width="22.5703125" style="500" customWidth="1"/>
    <col min="5" max="5" width="13.140625" style="1129" customWidth="1"/>
    <col min="6" max="6" width="22.5703125" style="2608" customWidth="1"/>
    <col min="7" max="7" width="14.5703125" style="2609" customWidth="1"/>
    <col min="8" max="8" width="15.42578125" style="2190" customWidth="1"/>
    <col min="9" max="9" width="11.140625" style="2610" customWidth="1"/>
    <col min="10" max="10" width="14.28515625" style="2190" customWidth="1"/>
    <col min="11" max="11" width="15.28515625" style="2611" customWidth="1"/>
    <col min="12" max="12" width="14.42578125" style="2190" customWidth="1"/>
    <col min="13" max="13" width="10" style="2190" customWidth="1"/>
    <col min="14" max="14" width="15.28515625" style="303" customWidth="1"/>
    <col min="15" max="15" width="13" style="3024" hidden="1" customWidth="1"/>
    <col min="16" max="16" width="16.5703125" style="522" bestFit="1" customWidth="1"/>
    <col min="17" max="17" width="21.42578125" style="522" customWidth="1"/>
    <col min="18" max="18" width="24.5703125" style="3024" customWidth="1"/>
    <col min="19" max="16384" width="8.85546875" style="3024"/>
  </cols>
  <sheetData>
    <row r="1" spans="1:18" ht="14.1" customHeight="1" x14ac:dyDescent="0.25">
      <c r="B1" s="5770"/>
      <c r="C1" s="5770"/>
      <c r="D1" s="5770"/>
      <c r="E1" s="5770"/>
      <c r="F1" s="5770"/>
      <c r="G1" s="5770"/>
      <c r="H1" s="5770"/>
      <c r="I1" s="5770"/>
      <c r="J1" s="5770"/>
      <c r="K1" s="5770"/>
      <c r="L1" s="5770"/>
      <c r="M1" s="5770"/>
      <c r="N1" s="5770"/>
    </row>
    <row r="2" spans="1:18" s="221" customFormat="1" ht="21.75" customHeight="1" x14ac:dyDescent="0.25">
      <c r="A2" s="505"/>
      <c r="B2" s="5771" t="s">
        <v>386</v>
      </c>
      <c r="C2" s="5771"/>
      <c r="D2" s="5771"/>
      <c r="E2" s="5771"/>
      <c r="F2" s="5771"/>
      <c r="G2" s="5771"/>
      <c r="H2" s="5771"/>
      <c r="I2" s="5771"/>
      <c r="J2" s="5771"/>
      <c r="K2" s="5771"/>
      <c r="L2" s="5771"/>
      <c r="M2" s="5771"/>
      <c r="N2" s="5771"/>
      <c r="P2" s="2067"/>
      <c r="Q2" s="2067"/>
    </row>
    <row r="3" spans="1:18" ht="21.75" customHeight="1" x14ac:dyDescent="0.3">
      <c r="A3" s="505"/>
      <c r="B3" s="5772" t="s">
        <v>387</v>
      </c>
      <c r="C3" s="5772"/>
      <c r="D3" s="5772"/>
      <c r="E3" s="5772"/>
      <c r="F3" s="5772"/>
      <c r="G3" s="5772"/>
      <c r="H3" s="5772"/>
      <c r="I3" s="5772"/>
      <c r="J3" s="5772"/>
      <c r="K3" s="5772"/>
      <c r="L3" s="5772"/>
      <c r="M3" s="5772"/>
      <c r="N3" s="5772"/>
    </row>
    <row r="4" spans="1:18" ht="21.75" customHeight="1" x14ac:dyDescent="0.3">
      <c r="A4" s="5773" t="s">
        <v>2418</v>
      </c>
      <c r="B4" s="5773"/>
      <c r="C4" s="5773"/>
      <c r="D4" s="5773"/>
      <c r="E4" s="5773"/>
      <c r="F4" s="5773"/>
      <c r="G4" s="5773"/>
      <c r="H4" s="5773"/>
      <c r="I4" s="5773"/>
      <c r="J4" s="5773"/>
      <c r="K4" s="5773"/>
      <c r="L4" s="5773"/>
      <c r="M4" s="5773"/>
      <c r="N4" s="5773"/>
    </row>
    <row r="5" spans="1:18" ht="14.1" customHeight="1" x14ac:dyDescent="0.25">
      <c r="B5" s="323"/>
      <c r="C5" s="322"/>
      <c r="D5" s="323"/>
      <c r="E5" s="324"/>
      <c r="F5" s="1405"/>
      <c r="G5" s="1388"/>
      <c r="H5" s="323"/>
      <c r="I5" s="2599"/>
      <c r="J5" s="393"/>
      <c r="K5" s="2600"/>
      <c r="L5" s="393"/>
      <c r="M5" s="393"/>
      <c r="N5" s="2601"/>
    </row>
    <row r="6" spans="1:18" ht="14.1" customHeight="1" x14ac:dyDescent="0.25">
      <c r="B6" s="323"/>
      <c r="C6" s="322"/>
      <c r="D6" s="323"/>
      <c r="E6" s="324"/>
      <c r="F6" s="1405"/>
      <c r="G6" s="1388"/>
      <c r="H6" s="323"/>
      <c r="I6" s="2599"/>
      <c r="J6" s="393"/>
      <c r="K6" s="2600"/>
      <c r="L6" s="393"/>
      <c r="M6" s="393"/>
      <c r="N6" s="2601"/>
    </row>
    <row r="7" spans="1:18" ht="14.1" customHeight="1" x14ac:dyDescent="0.25">
      <c r="B7" s="5774" t="s">
        <v>396</v>
      </c>
      <c r="C7" s="5774"/>
      <c r="D7" s="5774"/>
      <c r="E7" s="5774"/>
      <c r="F7" s="5774"/>
      <c r="G7" s="5774"/>
      <c r="H7" s="5774"/>
      <c r="I7" s="5774"/>
      <c r="J7" s="5774"/>
      <c r="K7" s="5774"/>
      <c r="L7" s="5774"/>
      <c r="M7" s="5774"/>
      <c r="N7" s="5774"/>
    </row>
    <row r="8" spans="1:18" ht="14.1" customHeight="1" x14ac:dyDescent="0.25">
      <c r="B8" s="5775" t="s">
        <v>2456</v>
      </c>
      <c r="C8" s="5775"/>
      <c r="D8" s="5775"/>
      <c r="E8" s="5775"/>
      <c r="F8" s="5775"/>
      <c r="G8" s="5775"/>
      <c r="H8" s="5775"/>
      <c r="I8" s="5775"/>
      <c r="J8" s="5775"/>
      <c r="K8" s="2600"/>
      <c r="L8" s="2185"/>
      <c r="M8" s="2185"/>
      <c r="N8" s="3020"/>
    </row>
    <row r="9" spans="1:18" ht="18" customHeight="1" x14ac:dyDescent="0.25">
      <c r="B9" s="341"/>
      <c r="C9" s="338"/>
      <c r="D9" s="2602">
        <f>D14+D83</f>
        <v>704743062599</v>
      </c>
      <c r="E9" s="345"/>
      <c r="F9" s="2603"/>
      <c r="G9" s="2604"/>
      <c r="H9" s="2605"/>
      <c r="I9" s="2606"/>
      <c r="J9" s="2605"/>
      <c r="K9" s="2600"/>
      <c r="L9" s="2185"/>
      <c r="M9" s="2185"/>
      <c r="N9" s="2607" t="s">
        <v>130</v>
      </c>
    </row>
    <row r="10" spans="1:18" ht="14.1" customHeight="1" thickBot="1" x14ac:dyDescent="0.3">
      <c r="B10" s="170"/>
      <c r="C10" s="327"/>
      <c r="N10" s="2612"/>
    </row>
    <row r="11" spans="1:18" ht="18.75" customHeight="1" thickBot="1" x14ac:dyDescent="0.3">
      <c r="B11" s="5714" t="s">
        <v>1</v>
      </c>
      <c r="C11" s="5766" t="s">
        <v>2</v>
      </c>
      <c r="D11" s="5762" t="s">
        <v>3</v>
      </c>
      <c r="E11" s="5762"/>
      <c r="F11" s="5780" t="s">
        <v>30</v>
      </c>
      <c r="G11" s="5781"/>
      <c r="H11" s="5781"/>
      <c r="I11" s="5782"/>
      <c r="J11" s="5780" t="s">
        <v>31</v>
      </c>
      <c r="K11" s="5781"/>
      <c r="L11" s="5781"/>
      <c r="M11" s="5782"/>
      <c r="N11" s="5777" t="s">
        <v>4</v>
      </c>
    </row>
    <row r="12" spans="1:18" s="3022" customFormat="1" ht="82.5" customHeight="1" thickBot="1" x14ac:dyDescent="0.3">
      <c r="A12" s="517"/>
      <c r="B12" s="5715"/>
      <c r="C12" s="5768"/>
      <c r="D12" s="5241" t="s">
        <v>33</v>
      </c>
      <c r="E12" s="5242" t="s">
        <v>133</v>
      </c>
      <c r="F12" s="5243" t="s">
        <v>101</v>
      </c>
      <c r="G12" s="5244" t="s">
        <v>397</v>
      </c>
      <c r="H12" s="2613" t="s">
        <v>54</v>
      </c>
      <c r="I12" s="2614" t="s">
        <v>104</v>
      </c>
      <c r="J12" s="2613" t="s">
        <v>33</v>
      </c>
      <c r="K12" s="2613" t="s">
        <v>397</v>
      </c>
      <c r="L12" s="2613" t="s">
        <v>54</v>
      </c>
      <c r="M12" s="2613" t="s">
        <v>106</v>
      </c>
      <c r="N12" s="5779"/>
      <c r="P12" s="2146"/>
      <c r="Q12" s="2146"/>
    </row>
    <row r="13" spans="1:18" ht="20.100000000000001" customHeight="1" thickTop="1" thickBot="1" x14ac:dyDescent="0.3">
      <c r="B13" s="331" t="s">
        <v>8</v>
      </c>
      <c r="C13" s="328" t="s">
        <v>9</v>
      </c>
      <c r="D13" s="2615" t="s">
        <v>10</v>
      </c>
      <c r="E13" s="2616" t="s">
        <v>11</v>
      </c>
      <c r="F13" s="2922" t="s">
        <v>12</v>
      </c>
      <c r="G13" s="2923" t="s">
        <v>13</v>
      </c>
      <c r="H13" s="2617" t="s">
        <v>35</v>
      </c>
      <c r="I13" s="2618" t="s">
        <v>36</v>
      </c>
      <c r="J13" s="2195" t="s">
        <v>37</v>
      </c>
      <c r="K13" s="340" t="s">
        <v>38</v>
      </c>
      <c r="L13" s="2195" t="s">
        <v>39</v>
      </c>
      <c r="M13" s="340" t="s">
        <v>107</v>
      </c>
      <c r="N13" s="340" t="s">
        <v>108</v>
      </c>
    </row>
    <row r="14" spans="1:18" s="269" customFormat="1" ht="17.25" customHeight="1" thickTop="1" x14ac:dyDescent="0.25">
      <c r="A14" s="505"/>
      <c r="B14" s="2619" t="s">
        <v>59</v>
      </c>
      <c r="C14" s="1130" t="s">
        <v>109</v>
      </c>
      <c r="D14" s="749">
        <f>SUM(D15,D76)</f>
        <v>135664071697</v>
      </c>
      <c r="E14" s="2620">
        <f>D14/2507241496000*100</f>
        <v>5.4108896934513719</v>
      </c>
      <c r="F14" s="2621"/>
      <c r="G14" s="2621"/>
      <c r="H14" s="2622"/>
      <c r="I14" s="748"/>
      <c r="J14" s="1737"/>
      <c r="K14" s="1737"/>
      <c r="L14" s="2197"/>
      <c r="M14" s="1737"/>
      <c r="N14" s="2623"/>
      <c r="P14" s="2147" t="s">
        <v>2399</v>
      </c>
      <c r="Q14" s="2069"/>
      <c r="R14" s="2069"/>
    </row>
    <row r="15" spans="1:18" s="2070" customFormat="1" ht="20.25" hidden="1" customHeight="1" x14ac:dyDescent="0.25">
      <c r="A15" s="2079"/>
      <c r="B15" s="2624" t="s">
        <v>110</v>
      </c>
      <c r="C15" s="507" t="s">
        <v>2357</v>
      </c>
      <c r="D15" s="2652">
        <f>SUM(D16+D19+D55+D59+D62+D73)</f>
        <v>100094905037</v>
      </c>
      <c r="E15" s="1432">
        <f>D15/250724149600*100</f>
        <v>39.922323077648997</v>
      </c>
      <c r="F15" s="2199"/>
      <c r="G15" s="2199"/>
      <c r="H15" s="2547"/>
      <c r="I15" s="2199"/>
      <c r="J15" s="1738"/>
      <c r="K15" s="1738"/>
      <c r="L15" s="2200"/>
      <c r="M15" s="2201"/>
      <c r="N15" s="2626"/>
      <c r="P15" s="2085" t="s">
        <v>2400</v>
      </c>
      <c r="Q15" s="2085"/>
    </row>
    <row r="16" spans="1:18" s="2070" customFormat="1" ht="15.75" hidden="1" customHeight="1" x14ac:dyDescent="0.25">
      <c r="B16" s="1242"/>
      <c r="C16" s="1131" t="s">
        <v>236</v>
      </c>
      <c r="D16" s="1497">
        <f>D17</f>
        <v>150000000</v>
      </c>
      <c r="E16" s="5266">
        <f t="shared" ref="E16:E74" si="0">D16/250724149600*100</f>
        <v>5.9826706058952371E-2</v>
      </c>
      <c r="F16" s="752"/>
      <c r="G16" s="753"/>
      <c r="H16" s="753"/>
      <c r="I16" s="753"/>
      <c r="J16" s="1746"/>
      <c r="K16" s="1746"/>
      <c r="L16" s="753"/>
      <c r="M16" s="753"/>
      <c r="N16" s="2073"/>
    </row>
    <row r="17" spans="1:19" s="2074" customFormat="1" ht="18" hidden="1" customHeight="1" x14ac:dyDescent="0.25">
      <c r="B17" s="2899"/>
      <c r="C17" s="509" t="s">
        <v>2582</v>
      </c>
      <c r="D17" s="754">
        <v>150000000</v>
      </c>
      <c r="E17" s="5268">
        <f t="shared" si="0"/>
        <v>5.9826706058952371E-2</v>
      </c>
      <c r="F17" s="754"/>
      <c r="G17" s="755"/>
      <c r="H17" s="755"/>
      <c r="I17" s="755"/>
      <c r="J17" s="1751"/>
      <c r="K17" s="2164"/>
      <c r="L17" s="755"/>
      <c r="M17" s="755"/>
      <c r="N17" s="2076"/>
    </row>
    <row r="18" spans="1:19" s="2074" customFormat="1" ht="10.5" hidden="1" customHeight="1" x14ac:dyDescent="0.25">
      <c r="B18" s="2899"/>
      <c r="C18" s="509"/>
      <c r="D18" s="1498"/>
      <c r="E18" s="5268"/>
      <c r="F18" s="756"/>
      <c r="G18" s="757"/>
      <c r="H18" s="2202"/>
      <c r="I18" s="2164"/>
      <c r="J18" s="1752"/>
      <c r="K18" s="2203"/>
      <c r="L18" s="2204"/>
      <c r="M18" s="2164"/>
      <c r="N18" s="2076"/>
    </row>
    <row r="19" spans="1:19" s="2070" customFormat="1" hidden="1" x14ac:dyDescent="0.25">
      <c r="B19" s="1242"/>
      <c r="C19" s="1132" t="s">
        <v>313</v>
      </c>
      <c r="D19" s="1499">
        <f>SUM(D20:D53)</f>
        <v>40396716337</v>
      </c>
      <c r="E19" s="5267">
        <f t="shared" si="0"/>
        <v>16.112016493603853</v>
      </c>
      <c r="F19" s="758"/>
      <c r="G19" s="753"/>
      <c r="H19" s="753"/>
      <c r="I19" s="753"/>
      <c r="J19" s="1747"/>
      <c r="K19" s="1747"/>
      <c r="L19" s="2205"/>
      <c r="M19" s="2206"/>
      <c r="N19" s="2077"/>
    </row>
    <row r="20" spans="1:19" s="1639" customFormat="1" ht="15.75" hidden="1" customHeight="1" x14ac:dyDescent="0.25">
      <c r="A20" s="1637"/>
      <c r="B20" s="2900"/>
      <c r="C20" s="509" t="s">
        <v>2583</v>
      </c>
      <c r="D20" s="1500">
        <v>900000000</v>
      </c>
      <c r="E20" s="5268">
        <f t="shared" si="0"/>
        <v>0.35896023635371421</v>
      </c>
      <c r="F20" s="759"/>
      <c r="G20" s="755"/>
      <c r="H20" s="755"/>
      <c r="I20" s="755"/>
      <c r="J20" s="1753"/>
      <c r="K20" s="2164"/>
      <c r="L20" s="2207"/>
      <c r="M20" s="755"/>
      <c r="N20" s="1638"/>
      <c r="P20" s="3257">
        <v>83000000</v>
      </c>
      <c r="Q20" s="3257"/>
      <c r="R20" s="3257">
        <v>817000000</v>
      </c>
      <c r="S20" s="3257">
        <f>SUM(P20+R20)</f>
        <v>900000000</v>
      </c>
    </row>
    <row r="21" spans="1:19" s="1639" customFormat="1" ht="14.25" hidden="1" customHeight="1" x14ac:dyDescent="0.25">
      <c r="A21" s="1637"/>
      <c r="B21" s="2900"/>
      <c r="C21" s="509" t="s">
        <v>2584</v>
      </c>
      <c r="D21" s="1500">
        <v>350000000</v>
      </c>
      <c r="E21" s="5268">
        <f t="shared" si="0"/>
        <v>0.13959564747088885</v>
      </c>
      <c r="F21" s="759"/>
      <c r="G21" s="755"/>
      <c r="H21" s="755"/>
      <c r="I21" s="755"/>
      <c r="J21" s="1753"/>
      <c r="K21" s="2203"/>
      <c r="L21" s="2204"/>
      <c r="M21" s="755"/>
      <c r="N21" s="1638"/>
      <c r="P21" s="3257">
        <v>40500000</v>
      </c>
      <c r="Q21" s="3257"/>
      <c r="R21" s="3257">
        <v>309500000</v>
      </c>
      <c r="S21" s="3257">
        <f t="shared" ref="S21:S27" si="1">SUM(P21+R21)</f>
        <v>350000000</v>
      </c>
    </row>
    <row r="22" spans="1:19" s="1639" customFormat="1" ht="16.5" hidden="1" customHeight="1" x14ac:dyDescent="0.25">
      <c r="A22" s="1637"/>
      <c r="B22" s="2900"/>
      <c r="C22" s="1133" t="s">
        <v>2585</v>
      </c>
      <c r="D22" s="1500">
        <v>1700000000</v>
      </c>
      <c r="E22" s="5268">
        <f t="shared" si="0"/>
        <v>0.67803600200146019</v>
      </c>
      <c r="F22" s="759"/>
      <c r="G22" s="755"/>
      <c r="H22" s="755"/>
      <c r="I22" s="755"/>
      <c r="J22" s="1753"/>
      <c r="K22" s="2164"/>
      <c r="L22" s="2204"/>
      <c r="M22" s="755"/>
      <c r="N22" s="1638"/>
      <c r="P22" s="3257">
        <v>431450000</v>
      </c>
      <c r="Q22" s="3257"/>
      <c r="R22" s="3257">
        <v>1268550000</v>
      </c>
      <c r="S22" s="3257">
        <f t="shared" si="1"/>
        <v>1700000000</v>
      </c>
    </row>
    <row r="23" spans="1:19" s="1639" customFormat="1" ht="18" hidden="1" customHeight="1" x14ac:dyDescent="0.25">
      <c r="A23" s="1637"/>
      <c r="B23" s="2900"/>
      <c r="C23" s="509" t="s">
        <v>2586</v>
      </c>
      <c r="D23" s="1500">
        <v>750000000</v>
      </c>
      <c r="E23" s="5268">
        <f t="shared" si="0"/>
        <v>0.29913353029476181</v>
      </c>
      <c r="F23" s="759"/>
      <c r="G23" s="755"/>
      <c r="H23" s="755"/>
      <c r="I23" s="755"/>
      <c r="J23" s="1753"/>
      <c r="K23" s="2164"/>
      <c r="L23" s="2207"/>
      <c r="M23" s="755"/>
      <c r="N23" s="1638"/>
      <c r="P23" s="3257">
        <v>90950000</v>
      </c>
      <c r="Q23" s="3257"/>
      <c r="R23" s="3257">
        <v>659050000</v>
      </c>
      <c r="S23" s="3257">
        <f t="shared" si="1"/>
        <v>750000000</v>
      </c>
    </row>
    <row r="24" spans="1:19" s="1639" customFormat="1" ht="15.75" hidden="1" customHeight="1" x14ac:dyDescent="0.25">
      <c r="A24" s="1637"/>
      <c r="B24" s="2900"/>
      <c r="C24" s="509" t="s">
        <v>2587</v>
      </c>
      <c r="D24" s="1500">
        <v>6000000000</v>
      </c>
      <c r="E24" s="5268">
        <f t="shared" si="0"/>
        <v>2.3930682423580945</v>
      </c>
      <c r="F24" s="759"/>
      <c r="G24" s="755"/>
      <c r="H24" s="755"/>
      <c r="I24" s="755"/>
      <c r="J24" s="1753"/>
      <c r="K24" s="2164"/>
      <c r="L24" s="2204"/>
      <c r="M24" s="755"/>
      <c r="N24" s="1638"/>
      <c r="P24" s="3257">
        <v>41150000</v>
      </c>
      <c r="Q24" s="3257"/>
      <c r="R24" s="3257">
        <v>5958850000</v>
      </c>
      <c r="S24" s="3257">
        <f t="shared" si="1"/>
        <v>6000000000</v>
      </c>
    </row>
    <row r="25" spans="1:19" s="1639" customFormat="1" ht="17.25" hidden="1" customHeight="1" x14ac:dyDescent="0.25">
      <c r="A25" s="1637"/>
      <c r="B25" s="2900"/>
      <c r="C25" s="509" t="s">
        <v>2588</v>
      </c>
      <c r="D25" s="1500">
        <v>500000000</v>
      </c>
      <c r="E25" s="5268">
        <f t="shared" si="0"/>
        <v>0.19942235352984122</v>
      </c>
      <c r="F25" s="759"/>
      <c r="G25" s="760"/>
      <c r="H25" s="2202"/>
      <c r="I25" s="2164"/>
      <c r="J25" s="1753"/>
      <c r="K25" s="2164"/>
      <c r="L25" s="2204"/>
      <c r="M25" s="2164"/>
      <c r="N25" s="1638"/>
      <c r="P25" s="3257">
        <v>54000000</v>
      </c>
      <c r="Q25" s="3257"/>
      <c r="R25" s="3257">
        <v>446000000</v>
      </c>
      <c r="S25" s="3257">
        <f t="shared" si="1"/>
        <v>500000000</v>
      </c>
    </row>
    <row r="26" spans="1:19" s="1639" customFormat="1" ht="17.25" hidden="1" customHeight="1" x14ac:dyDescent="0.25">
      <c r="A26" s="1637"/>
      <c r="B26" s="2900"/>
      <c r="C26" s="509" t="s">
        <v>2589</v>
      </c>
      <c r="D26" s="1500">
        <v>935626337</v>
      </c>
      <c r="E26" s="5268">
        <f t="shared" si="0"/>
        <v>0.3731696122980887</v>
      </c>
      <c r="F26" s="759"/>
      <c r="G26" s="760"/>
      <c r="H26" s="2202"/>
      <c r="I26" s="2164"/>
      <c r="J26" s="1753"/>
      <c r="K26" s="2164"/>
      <c r="L26" s="2204"/>
      <c r="M26" s="2164"/>
      <c r="N26" s="1638"/>
      <c r="P26" s="3257">
        <v>198950000</v>
      </c>
      <c r="Q26" s="3257"/>
      <c r="R26" s="3257">
        <v>736676337</v>
      </c>
      <c r="S26" s="3257">
        <f t="shared" si="1"/>
        <v>935626337</v>
      </c>
    </row>
    <row r="27" spans="1:19" s="1639" customFormat="1" ht="17.25" hidden="1" customHeight="1" x14ac:dyDescent="0.25">
      <c r="A27" s="1637"/>
      <c r="B27" s="2900"/>
      <c r="C27" s="509" t="s">
        <v>2590</v>
      </c>
      <c r="D27" s="1500">
        <v>1100000000</v>
      </c>
      <c r="E27" s="5268">
        <f t="shared" si="0"/>
        <v>0.43872917776565068</v>
      </c>
      <c r="F27" s="759"/>
      <c r="G27" s="760"/>
      <c r="H27" s="2202"/>
      <c r="I27" s="2164"/>
      <c r="J27" s="1753"/>
      <c r="K27" s="2164"/>
      <c r="L27" s="2204"/>
      <c r="M27" s="2164"/>
      <c r="N27" s="1638"/>
      <c r="P27" s="3257">
        <v>93600000</v>
      </c>
      <c r="Q27" s="3257"/>
      <c r="R27" s="3257">
        <v>1006400000</v>
      </c>
      <c r="S27" s="3257">
        <f t="shared" si="1"/>
        <v>1100000000</v>
      </c>
    </row>
    <row r="28" spans="1:19" s="1639" customFormat="1" ht="17.25" hidden="1" customHeight="1" x14ac:dyDescent="0.25">
      <c r="A28" s="1637"/>
      <c r="B28" s="2900"/>
      <c r="C28" s="509" t="s">
        <v>2591</v>
      </c>
      <c r="D28" s="1500">
        <v>1296000000</v>
      </c>
      <c r="E28" s="5268">
        <f t="shared" si="0"/>
        <v>0.51690274034934847</v>
      </c>
      <c r="F28" s="759"/>
      <c r="G28" s="760"/>
      <c r="H28" s="2202"/>
      <c r="I28" s="2164"/>
      <c r="J28" s="1753"/>
      <c r="K28" s="2164"/>
      <c r="L28" s="2204"/>
      <c r="M28" s="2164"/>
      <c r="N28" s="1638"/>
      <c r="P28" s="3258">
        <f>SUM(P20:P27)</f>
        <v>1033600000</v>
      </c>
      <c r="R28" s="3258">
        <f>SUM(R20:R27)</f>
        <v>11202026337</v>
      </c>
      <c r="S28" s="3258">
        <f>SUM(S20:S27)</f>
        <v>12235626337</v>
      </c>
    </row>
    <row r="29" spans="1:19" s="1639" customFormat="1" ht="17.25" hidden="1" customHeight="1" x14ac:dyDescent="0.25">
      <c r="A29" s="1637"/>
      <c r="B29" s="2900"/>
      <c r="C29" s="509" t="s">
        <v>2592</v>
      </c>
      <c r="D29" s="1500">
        <v>1100000000</v>
      </c>
      <c r="E29" s="5268">
        <f t="shared" si="0"/>
        <v>0.43872917776565068</v>
      </c>
      <c r="F29" s="759"/>
      <c r="G29" s="760"/>
      <c r="H29" s="2202"/>
      <c r="I29" s="2164"/>
      <c r="J29" s="1753"/>
      <c r="K29" s="2164"/>
      <c r="L29" s="2204"/>
      <c r="M29" s="2164"/>
      <c r="N29" s="1638"/>
    </row>
    <row r="30" spans="1:19" s="1639" customFormat="1" ht="17.25" hidden="1" customHeight="1" x14ac:dyDescent="0.25">
      <c r="A30" s="1637"/>
      <c r="B30" s="2900"/>
      <c r="C30" s="509" t="s">
        <v>2593</v>
      </c>
      <c r="D30" s="1500">
        <v>800000000</v>
      </c>
      <c r="E30" s="5268">
        <f t="shared" si="0"/>
        <v>0.31907576564774592</v>
      </c>
      <c r="F30" s="759"/>
      <c r="G30" s="760"/>
      <c r="H30" s="2202"/>
      <c r="I30" s="2164"/>
      <c r="J30" s="1753"/>
      <c r="K30" s="2164"/>
      <c r="L30" s="2204"/>
      <c r="M30" s="2164"/>
      <c r="N30" s="1638"/>
    </row>
    <row r="31" spans="1:19" s="1639" customFormat="1" ht="17.25" hidden="1" customHeight="1" x14ac:dyDescent="0.25">
      <c r="A31" s="1637"/>
      <c r="B31" s="2900"/>
      <c r="C31" s="509" t="s">
        <v>2594</v>
      </c>
      <c r="D31" s="1500">
        <v>900000000</v>
      </c>
      <c r="E31" s="5268">
        <f t="shared" si="0"/>
        <v>0.35896023635371421</v>
      </c>
      <c r="F31" s="759"/>
      <c r="G31" s="760"/>
      <c r="H31" s="2202"/>
      <c r="I31" s="2164"/>
      <c r="J31" s="1753"/>
      <c r="K31" s="2164"/>
      <c r="L31" s="2204"/>
      <c r="M31" s="2164"/>
      <c r="N31" s="1638"/>
    </row>
    <row r="32" spans="1:19" s="1639" customFormat="1" ht="17.25" hidden="1" customHeight="1" x14ac:dyDescent="0.25">
      <c r="A32" s="1637"/>
      <c r="B32" s="2900"/>
      <c r="C32" s="509" t="s">
        <v>2595</v>
      </c>
      <c r="D32" s="1500">
        <v>750000000</v>
      </c>
      <c r="E32" s="5268">
        <f t="shared" si="0"/>
        <v>0.29913353029476181</v>
      </c>
      <c r="F32" s="759"/>
      <c r="G32" s="760"/>
      <c r="H32" s="2202"/>
      <c r="I32" s="2164"/>
      <c r="J32" s="1753"/>
      <c r="K32" s="2164"/>
      <c r="L32" s="2204"/>
      <c r="M32" s="2164"/>
      <c r="N32" s="1638"/>
    </row>
    <row r="33" spans="1:14" s="1639" customFormat="1" ht="17.25" hidden="1" customHeight="1" x14ac:dyDescent="0.25">
      <c r="A33" s="1637"/>
      <c r="B33" s="2900"/>
      <c r="C33" s="509" t="s">
        <v>2596</v>
      </c>
      <c r="D33" s="1500">
        <v>500000000</v>
      </c>
      <c r="E33" s="5268">
        <f t="shared" si="0"/>
        <v>0.19942235352984122</v>
      </c>
      <c r="F33" s="759"/>
      <c r="G33" s="760"/>
      <c r="H33" s="2202"/>
      <c r="I33" s="2164"/>
      <c r="J33" s="1753"/>
      <c r="K33" s="2164"/>
      <c r="L33" s="2204"/>
      <c r="M33" s="2164"/>
      <c r="N33" s="1638"/>
    </row>
    <row r="34" spans="1:14" s="1639" customFormat="1" ht="17.25" hidden="1" customHeight="1" x14ac:dyDescent="0.25">
      <c r="A34" s="1637"/>
      <c r="B34" s="2900"/>
      <c r="C34" s="509" t="s">
        <v>2597</v>
      </c>
      <c r="D34" s="1500">
        <v>500000000</v>
      </c>
      <c r="E34" s="5268">
        <f t="shared" si="0"/>
        <v>0.19942235352984122</v>
      </c>
      <c r="F34" s="759"/>
      <c r="G34" s="760"/>
      <c r="H34" s="2202"/>
      <c r="I34" s="2164"/>
      <c r="J34" s="1753"/>
      <c r="K34" s="2164"/>
      <c r="L34" s="2204"/>
      <c r="M34" s="2164"/>
      <c r="N34" s="1638"/>
    </row>
    <row r="35" spans="1:14" s="1639" customFormat="1" ht="17.25" hidden="1" customHeight="1" x14ac:dyDescent="0.25">
      <c r="A35" s="1637"/>
      <c r="B35" s="2900"/>
      <c r="C35" s="509" t="s">
        <v>2598</v>
      </c>
      <c r="D35" s="1500">
        <v>500000000</v>
      </c>
      <c r="E35" s="5268">
        <f t="shared" si="0"/>
        <v>0.19942235352984122</v>
      </c>
      <c r="F35" s="759"/>
      <c r="G35" s="760"/>
      <c r="H35" s="2202"/>
      <c r="I35" s="2164"/>
      <c r="J35" s="1753"/>
      <c r="K35" s="2164"/>
      <c r="L35" s="2204"/>
      <c r="M35" s="2164"/>
      <c r="N35" s="1638"/>
    </row>
    <row r="36" spans="1:14" s="1639" customFormat="1" ht="17.25" hidden="1" customHeight="1" x14ac:dyDescent="0.25">
      <c r="A36" s="1637"/>
      <c r="B36" s="2900"/>
      <c r="C36" s="509" t="s">
        <v>2599</v>
      </c>
      <c r="D36" s="1500">
        <v>500000000</v>
      </c>
      <c r="E36" s="5268">
        <f t="shared" si="0"/>
        <v>0.19942235352984122</v>
      </c>
      <c r="F36" s="759"/>
      <c r="G36" s="760"/>
      <c r="H36" s="2202"/>
      <c r="I36" s="2164"/>
      <c r="J36" s="1753"/>
      <c r="K36" s="2164"/>
      <c r="L36" s="2204"/>
      <c r="M36" s="2164"/>
      <c r="N36" s="1638"/>
    </row>
    <row r="37" spans="1:14" s="1639" customFormat="1" ht="17.25" hidden="1" customHeight="1" x14ac:dyDescent="0.25">
      <c r="A37" s="1637"/>
      <c r="B37" s="2900"/>
      <c r="C37" s="509" t="s">
        <v>2600</v>
      </c>
      <c r="D37" s="1500">
        <v>500000000</v>
      </c>
      <c r="E37" s="5268">
        <f t="shared" si="0"/>
        <v>0.19942235352984122</v>
      </c>
      <c r="F37" s="759"/>
      <c r="G37" s="760"/>
      <c r="H37" s="2202"/>
      <c r="I37" s="2164"/>
      <c r="J37" s="1753"/>
      <c r="K37" s="2164"/>
      <c r="L37" s="2204"/>
      <c r="M37" s="2164"/>
      <c r="N37" s="1638"/>
    </row>
    <row r="38" spans="1:14" s="1639" customFormat="1" ht="17.25" hidden="1" customHeight="1" x14ac:dyDescent="0.25">
      <c r="A38" s="1637"/>
      <c r="B38" s="2900"/>
      <c r="C38" s="509" t="s">
        <v>2601</v>
      </c>
      <c r="D38" s="1500">
        <v>400000000</v>
      </c>
      <c r="E38" s="5268">
        <f t="shared" si="0"/>
        <v>0.15953788282387296</v>
      </c>
      <c r="F38" s="759"/>
      <c r="G38" s="760"/>
      <c r="H38" s="2202"/>
      <c r="I38" s="2164"/>
      <c r="J38" s="1753"/>
      <c r="K38" s="2164"/>
      <c r="L38" s="2204"/>
      <c r="M38" s="2164"/>
      <c r="N38" s="1638"/>
    </row>
    <row r="39" spans="1:14" s="1639" customFormat="1" ht="17.25" hidden="1" customHeight="1" x14ac:dyDescent="0.25">
      <c r="A39" s="1637"/>
      <c r="B39" s="2900"/>
      <c r="C39" s="509" t="s">
        <v>2602</v>
      </c>
      <c r="D39" s="1500">
        <v>632772000</v>
      </c>
      <c r="E39" s="5268">
        <f t="shared" si="0"/>
        <v>0.25237776297556941</v>
      </c>
      <c r="F39" s="759"/>
      <c r="G39" s="760"/>
      <c r="H39" s="2202"/>
      <c r="I39" s="2164"/>
      <c r="J39" s="1753"/>
      <c r="K39" s="2164"/>
      <c r="L39" s="2204"/>
      <c r="M39" s="2164"/>
      <c r="N39" s="1638"/>
    </row>
    <row r="40" spans="1:14" s="1639" customFormat="1" ht="17.25" hidden="1" customHeight="1" x14ac:dyDescent="0.25">
      <c r="A40" s="1637"/>
      <c r="B40" s="2900"/>
      <c r="C40" s="509" t="s">
        <v>2603</v>
      </c>
      <c r="D40" s="1500">
        <v>420000000</v>
      </c>
      <c r="E40" s="5268">
        <f t="shared" si="0"/>
        <v>0.16751477696506661</v>
      </c>
      <c r="F40" s="759"/>
      <c r="G40" s="760"/>
      <c r="H40" s="2202"/>
      <c r="I40" s="2164"/>
      <c r="J40" s="1753"/>
      <c r="K40" s="2164"/>
      <c r="L40" s="2204"/>
      <c r="M40" s="2164"/>
      <c r="N40" s="1638"/>
    </row>
    <row r="41" spans="1:14" s="1639" customFormat="1" ht="17.25" hidden="1" customHeight="1" x14ac:dyDescent="0.25">
      <c r="A41" s="1637"/>
      <c r="B41" s="2900"/>
      <c r="C41" s="509" t="s">
        <v>2604</v>
      </c>
      <c r="D41" s="1500">
        <v>633894000</v>
      </c>
      <c r="E41" s="5268">
        <f t="shared" si="0"/>
        <v>0.25282526673689037</v>
      </c>
      <c r="F41" s="759"/>
      <c r="G41" s="760"/>
      <c r="H41" s="2202"/>
      <c r="I41" s="2164"/>
      <c r="J41" s="1753"/>
      <c r="K41" s="2164"/>
      <c r="L41" s="2204"/>
      <c r="M41" s="2164"/>
      <c r="N41" s="1638"/>
    </row>
    <row r="42" spans="1:14" s="1639" customFormat="1" ht="17.25" hidden="1" customHeight="1" x14ac:dyDescent="0.25">
      <c r="A42" s="1637"/>
      <c r="B42" s="2900"/>
      <c r="C42" s="509" t="s">
        <v>2605</v>
      </c>
      <c r="D42" s="1500">
        <v>536384000</v>
      </c>
      <c r="E42" s="5268">
        <f t="shared" si="0"/>
        <v>0.21393391935150072</v>
      </c>
      <c r="F42" s="759"/>
      <c r="G42" s="760"/>
      <c r="H42" s="2202"/>
      <c r="I42" s="2164"/>
      <c r="J42" s="1753"/>
      <c r="K42" s="2164"/>
      <c r="L42" s="2204"/>
      <c r="M42" s="2164"/>
      <c r="N42" s="1638"/>
    </row>
    <row r="43" spans="1:14" s="1639" customFormat="1" ht="17.25" hidden="1" customHeight="1" x14ac:dyDescent="0.25">
      <c r="A43" s="1637"/>
      <c r="B43" s="2900"/>
      <c r="C43" s="509" t="s">
        <v>2606</v>
      </c>
      <c r="D43" s="1500">
        <v>9809040000</v>
      </c>
      <c r="E43" s="5268">
        <f t="shared" si="0"/>
        <v>3.9122836853367073</v>
      </c>
      <c r="F43" s="759"/>
      <c r="G43" s="760"/>
      <c r="H43" s="2202"/>
      <c r="I43" s="2164"/>
      <c r="J43" s="1753"/>
      <c r="K43" s="2164"/>
      <c r="L43" s="2204"/>
      <c r="M43" s="2164"/>
      <c r="N43" s="1638"/>
    </row>
    <row r="44" spans="1:14" s="1639" customFormat="1" ht="17.25" hidden="1" customHeight="1" x14ac:dyDescent="0.25">
      <c r="A44" s="1637"/>
      <c r="B44" s="2900"/>
      <c r="C44" s="509" t="s">
        <v>2607</v>
      </c>
      <c r="D44" s="1500">
        <v>900000000</v>
      </c>
      <c r="E44" s="5268">
        <f t="shared" si="0"/>
        <v>0.35896023635371421</v>
      </c>
      <c r="F44" s="759"/>
      <c r="G44" s="760"/>
      <c r="H44" s="2202"/>
      <c r="I44" s="2164"/>
      <c r="J44" s="1753"/>
      <c r="K44" s="2164"/>
      <c r="L44" s="2204"/>
      <c r="M44" s="2164"/>
      <c r="N44" s="1638"/>
    </row>
    <row r="45" spans="1:14" s="1639" customFormat="1" ht="25.5" hidden="1" customHeight="1" x14ac:dyDescent="0.25">
      <c r="A45" s="1637"/>
      <c r="B45" s="2900"/>
      <c r="C45" s="509" t="s">
        <v>2608</v>
      </c>
      <c r="D45" s="1500">
        <v>900000000</v>
      </c>
      <c r="E45" s="5268">
        <f t="shared" si="0"/>
        <v>0.35896023635371421</v>
      </c>
      <c r="F45" s="759"/>
      <c r="G45" s="760"/>
      <c r="H45" s="2202"/>
      <c r="I45" s="2164"/>
      <c r="J45" s="1753"/>
      <c r="K45" s="2164"/>
      <c r="L45" s="2204"/>
      <c r="M45" s="2164"/>
      <c r="N45" s="1638"/>
    </row>
    <row r="46" spans="1:14" s="1639" customFormat="1" ht="17.25" hidden="1" customHeight="1" x14ac:dyDescent="0.25">
      <c r="A46" s="1637"/>
      <c r="B46" s="2900"/>
      <c r="C46" s="509" t="s">
        <v>2609</v>
      </c>
      <c r="D46" s="1500">
        <v>1000000000</v>
      </c>
      <c r="E46" s="5268">
        <f t="shared" si="0"/>
        <v>0.39884470705968245</v>
      </c>
      <c r="F46" s="759"/>
      <c r="G46" s="760"/>
      <c r="H46" s="2202"/>
      <c r="I46" s="2164"/>
      <c r="J46" s="1753"/>
      <c r="K46" s="2164"/>
      <c r="L46" s="2204"/>
      <c r="M46" s="2164"/>
      <c r="N46" s="1638"/>
    </row>
    <row r="47" spans="1:14" s="1639" customFormat="1" ht="18" hidden="1" customHeight="1" x14ac:dyDescent="0.25">
      <c r="A47" s="1637"/>
      <c r="B47" s="2900"/>
      <c r="C47" s="509" t="s">
        <v>2610</v>
      </c>
      <c r="D47" s="1500">
        <v>900000000</v>
      </c>
      <c r="E47" s="5268">
        <f t="shared" si="0"/>
        <v>0.35896023635371421</v>
      </c>
      <c r="F47" s="759"/>
      <c r="G47" s="760"/>
      <c r="H47" s="2202"/>
      <c r="I47" s="2164"/>
      <c r="J47" s="1753"/>
      <c r="K47" s="2164"/>
      <c r="L47" s="2204"/>
      <c r="M47" s="2164"/>
      <c r="N47" s="1638"/>
    </row>
    <row r="48" spans="1:14" s="1639" customFormat="1" ht="17.25" hidden="1" customHeight="1" x14ac:dyDescent="0.25">
      <c r="A48" s="1637"/>
      <c r="B48" s="2900"/>
      <c r="C48" s="509" t="s">
        <v>2611</v>
      </c>
      <c r="D48" s="1500">
        <v>1000000000</v>
      </c>
      <c r="E48" s="5268">
        <f t="shared" si="0"/>
        <v>0.39884470705968245</v>
      </c>
      <c r="F48" s="759"/>
      <c r="G48" s="760"/>
      <c r="H48" s="2202"/>
      <c r="I48" s="2164"/>
      <c r="J48" s="1753"/>
      <c r="K48" s="2164"/>
      <c r="L48" s="2204"/>
      <c r="M48" s="2164"/>
      <c r="N48" s="1638"/>
    </row>
    <row r="49" spans="1:14" s="1639" customFormat="1" ht="17.25" hidden="1" customHeight="1" x14ac:dyDescent="0.25">
      <c r="A49" s="1637"/>
      <c r="B49" s="2900"/>
      <c r="C49" s="509" t="s">
        <v>2612</v>
      </c>
      <c r="D49" s="1500">
        <v>900000000</v>
      </c>
      <c r="E49" s="5268">
        <f t="shared" si="0"/>
        <v>0.35896023635371421</v>
      </c>
      <c r="F49" s="759"/>
      <c r="G49" s="760"/>
      <c r="H49" s="2202"/>
      <c r="I49" s="2164"/>
      <c r="J49" s="1753"/>
      <c r="K49" s="2164"/>
      <c r="L49" s="2204"/>
      <c r="M49" s="2164"/>
      <c r="N49" s="1638"/>
    </row>
    <row r="50" spans="1:14" s="1639" customFormat="1" ht="17.25" hidden="1" customHeight="1" x14ac:dyDescent="0.25">
      <c r="A50" s="1637"/>
      <c r="B50" s="2900"/>
      <c r="C50" s="509" t="s">
        <v>2613</v>
      </c>
      <c r="D50" s="1500">
        <v>583000000</v>
      </c>
      <c r="E50" s="5268">
        <f t="shared" si="0"/>
        <v>0.23252646421579487</v>
      </c>
      <c r="F50" s="759"/>
      <c r="G50" s="760"/>
      <c r="H50" s="2202"/>
      <c r="I50" s="2164"/>
      <c r="J50" s="1753"/>
      <c r="K50" s="2164"/>
      <c r="L50" s="2204"/>
      <c r="M50" s="2164"/>
      <c r="N50" s="1638"/>
    </row>
    <row r="51" spans="1:14" s="1639" customFormat="1" ht="17.25" hidden="1" customHeight="1" x14ac:dyDescent="0.25">
      <c r="A51" s="1637"/>
      <c r="B51" s="2900"/>
      <c r="C51" s="509" t="s">
        <v>2614</v>
      </c>
      <c r="D51" s="1500">
        <v>300000000</v>
      </c>
      <c r="E51" s="5268">
        <f t="shared" si="0"/>
        <v>0.11965341211790474</v>
      </c>
      <c r="F51" s="759"/>
      <c r="G51" s="760"/>
      <c r="H51" s="2202"/>
      <c r="I51" s="2164"/>
      <c r="J51" s="1753"/>
      <c r="K51" s="2164"/>
      <c r="L51" s="2204"/>
      <c r="M51" s="2164"/>
      <c r="N51" s="1638"/>
    </row>
    <row r="52" spans="1:14" s="1639" customFormat="1" ht="17.25" hidden="1" customHeight="1" x14ac:dyDescent="0.25">
      <c r="A52" s="1637"/>
      <c r="B52" s="2900"/>
      <c r="C52" s="509" t="s">
        <v>2615</v>
      </c>
      <c r="D52" s="1500">
        <v>900000000</v>
      </c>
      <c r="E52" s="5268">
        <f t="shared" si="0"/>
        <v>0.35896023635371421</v>
      </c>
      <c r="F52" s="759"/>
      <c r="G52" s="760"/>
      <c r="H52" s="2202"/>
      <c r="I52" s="2164"/>
      <c r="J52" s="1753"/>
      <c r="K52" s="2164"/>
      <c r="L52" s="2204"/>
      <c r="M52" s="2164"/>
      <c r="N52" s="1638"/>
    </row>
    <row r="53" spans="1:14" s="1639" customFormat="1" ht="18" hidden="1" customHeight="1" x14ac:dyDescent="0.25">
      <c r="A53" s="1637"/>
      <c r="B53" s="2900"/>
      <c r="C53" s="509" t="s">
        <v>2616</v>
      </c>
      <c r="D53" s="1500">
        <v>1000000000</v>
      </c>
      <c r="E53" s="5268">
        <f t="shared" si="0"/>
        <v>0.39884470705968245</v>
      </c>
      <c r="F53" s="759"/>
      <c r="G53" s="760"/>
      <c r="H53" s="2202"/>
      <c r="I53" s="2164"/>
      <c r="J53" s="1753"/>
      <c r="K53" s="2164"/>
      <c r="L53" s="2204"/>
      <c r="M53" s="2164"/>
      <c r="N53" s="1638"/>
    </row>
    <row r="54" spans="1:14" s="1639" customFormat="1" ht="12" hidden="1" customHeight="1" x14ac:dyDescent="0.25">
      <c r="A54" s="1637"/>
      <c r="B54" s="2900"/>
      <c r="C54" s="509"/>
      <c r="D54" s="1500"/>
      <c r="E54" s="5268"/>
      <c r="F54" s="759"/>
      <c r="G54" s="760"/>
      <c r="H54" s="2202"/>
      <c r="I54" s="2164"/>
      <c r="J54" s="1753"/>
      <c r="K54" s="2164"/>
      <c r="L54" s="2204"/>
      <c r="M54" s="2164"/>
      <c r="N54" s="1638"/>
    </row>
    <row r="55" spans="1:14" s="1639" customFormat="1" ht="18.75" hidden="1" customHeight="1" x14ac:dyDescent="0.25">
      <c r="A55" s="1637"/>
      <c r="B55" s="2900"/>
      <c r="C55" s="1132" t="s">
        <v>2617</v>
      </c>
      <c r="D55" s="1499">
        <f>SUM(D56:D57)</f>
        <v>1963437000</v>
      </c>
      <c r="E55" s="5267">
        <f t="shared" si="0"/>
        <v>0.78310645509514165</v>
      </c>
      <c r="F55" s="758"/>
      <c r="G55" s="761"/>
      <c r="H55" s="2208"/>
      <c r="I55" s="2206"/>
      <c r="J55" s="1747"/>
      <c r="K55" s="1747"/>
      <c r="L55" s="2209"/>
      <c r="M55" s="2206"/>
      <c r="N55" s="1638"/>
    </row>
    <row r="56" spans="1:14" s="1639" customFormat="1" ht="25.5" hidden="1" customHeight="1" x14ac:dyDescent="0.25">
      <c r="A56" s="1637"/>
      <c r="B56" s="2900"/>
      <c r="C56" s="1133" t="s">
        <v>2618</v>
      </c>
      <c r="D56" s="1500">
        <v>1406672000</v>
      </c>
      <c r="E56" s="5268">
        <f t="shared" si="0"/>
        <v>0.56104368176905761</v>
      </c>
      <c r="F56" s="759"/>
      <c r="G56" s="755"/>
      <c r="H56" s="755"/>
      <c r="I56" s="755"/>
      <c r="J56" s="1754"/>
      <c r="K56" s="1753"/>
      <c r="L56" s="755"/>
      <c r="M56" s="755"/>
      <c r="N56" s="1638"/>
    </row>
    <row r="57" spans="1:14" s="1639" customFormat="1" ht="20.25" hidden="1" customHeight="1" x14ac:dyDescent="0.25">
      <c r="A57" s="1637"/>
      <c r="B57" s="2900"/>
      <c r="C57" s="509" t="s">
        <v>2619</v>
      </c>
      <c r="D57" s="1500">
        <v>556765000</v>
      </c>
      <c r="E57" s="5268">
        <f t="shared" si="0"/>
        <v>0.22206277332608412</v>
      </c>
      <c r="F57" s="759"/>
      <c r="G57" s="755"/>
      <c r="H57" s="755"/>
      <c r="I57" s="755"/>
      <c r="J57" s="1753"/>
      <c r="K57" s="1753"/>
      <c r="L57" s="755"/>
      <c r="M57" s="755"/>
      <c r="N57" s="1638"/>
    </row>
    <row r="58" spans="1:14" s="1639" customFormat="1" ht="12" hidden="1" customHeight="1" x14ac:dyDescent="0.25">
      <c r="A58" s="1637"/>
      <c r="B58" s="2900"/>
      <c r="C58" s="509"/>
      <c r="D58" s="1501"/>
      <c r="E58" s="5268"/>
      <c r="F58" s="554"/>
      <c r="G58" s="313"/>
      <c r="H58" s="2202"/>
      <c r="I58" s="2164"/>
      <c r="J58" s="1755"/>
      <c r="K58" s="2210"/>
      <c r="L58" s="2204"/>
      <c r="M58" s="2164"/>
      <c r="N58" s="1638"/>
    </row>
    <row r="59" spans="1:14" s="2070" customFormat="1" ht="16.5" hidden="1" customHeight="1" x14ac:dyDescent="0.25">
      <c r="B59" s="1242"/>
      <c r="C59" s="1132" t="s">
        <v>2620</v>
      </c>
      <c r="D59" s="1499">
        <f>SUM(D60:D60)</f>
        <v>1300000000</v>
      </c>
      <c r="E59" s="5267">
        <f t="shared" si="0"/>
        <v>0.51849811917758726</v>
      </c>
      <c r="F59" s="758"/>
      <c r="G59" s="761"/>
      <c r="H59" s="2208"/>
      <c r="I59" s="2206"/>
      <c r="J59" s="1747"/>
      <c r="K59" s="1747"/>
      <c r="L59" s="2209"/>
      <c r="M59" s="2206"/>
      <c r="N59" s="2077"/>
    </row>
    <row r="60" spans="1:14" s="1639" customFormat="1" ht="31.5" hidden="1" customHeight="1" x14ac:dyDescent="0.25">
      <c r="A60" s="1637"/>
      <c r="B60" s="2900"/>
      <c r="C60" s="509" t="s">
        <v>2621</v>
      </c>
      <c r="D60" s="1500">
        <v>1300000000</v>
      </c>
      <c r="E60" s="5268">
        <f t="shared" si="0"/>
        <v>0.51849811917758726</v>
      </c>
      <c r="F60" s="759"/>
      <c r="G60" s="760"/>
      <c r="H60" s="2202"/>
      <c r="I60" s="2164"/>
      <c r="J60" s="1753"/>
      <c r="K60" s="2203"/>
      <c r="L60" s="2204"/>
      <c r="M60" s="2164"/>
      <c r="N60" s="1638"/>
    </row>
    <row r="61" spans="1:14" s="1639" customFormat="1" ht="10.5" hidden="1" customHeight="1" x14ac:dyDescent="0.25">
      <c r="A61" s="1637"/>
      <c r="B61" s="2900"/>
      <c r="C61" s="509"/>
      <c r="D61" s="1500"/>
      <c r="E61" s="5268"/>
      <c r="F61" s="759"/>
      <c r="G61" s="760"/>
      <c r="H61" s="2202"/>
      <c r="I61" s="2164"/>
      <c r="J61" s="1753"/>
      <c r="K61" s="2210"/>
      <c r="L61" s="2204"/>
      <c r="M61" s="2164"/>
      <c r="N61" s="1638"/>
    </row>
    <row r="62" spans="1:14" s="2070" customFormat="1" ht="19.5" hidden="1" customHeight="1" x14ac:dyDescent="0.25">
      <c r="B62" s="1242"/>
      <c r="C62" s="1132" t="s">
        <v>1338</v>
      </c>
      <c r="D62" s="1499">
        <f>SUM(D63:D71)</f>
        <v>45761516700</v>
      </c>
      <c r="E62" s="5267">
        <f t="shared" si="0"/>
        <v>18.251738722818267</v>
      </c>
      <c r="F62" s="758"/>
      <c r="G62" s="761"/>
      <c r="H62" s="2208"/>
      <c r="I62" s="2206"/>
      <c r="J62" s="1747"/>
      <c r="K62" s="1747"/>
      <c r="L62" s="2209"/>
      <c r="M62" s="2206"/>
      <c r="N62" s="2077"/>
    </row>
    <row r="63" spans="1:14" s="1639" customFormat="1" ht="18.75" hidden="1" customHeight="1" x14ac:dyDescent="0.25">
      <c r="A63" s="1637"/>
      <c r="B63" s="2900"/>
      <c r="C63" s="509" t="s">
        <v>2622</v>
      </c>
      <c r="D63" s="1500">
        <v>1000000000</v>
      </c>
      <c r="E63" s="5268">
        <f t="shared" si="0"/>
        <v>0.39884470705968245</v>
      </c>
      <c r="F63" s="759"/>
      <c r="G63" s="755"/>
      <c r="H63" s="755"/>
      <c r="I63" s="755"/>
      <c r="J63" s="1753"/>
      <c r="K63" s="2203"/>
      <c r="L63" s="2204"/>
      <c r="M63" s="755"/>
      <c r="N63" s="1638"/>
    </row>
    <row r="64" spans="1:14" s="1639" customFormat="1" ht="18" hidden="1" customHeight="1" x14ac:dyDescent="0.25">
      <c r="A64" s="1637"/>
      <c r="B64" s="2900"/>
      <c r="C64" s="509" t="s">
        <v>2623</v>
      </c>
      <c r="D64" s="1500">
        <v>40954751700</v>
      </c>
      <c r="E64" s="5268">
        <f t="shared" si="0"/>
        <v>16.334585944488534</v>
      </c>
      <c r="F64" s="759"/>
      <c r="G64" s="755"/>
      <c r="H64" s="755"/>
      <c r="I64" s="755"/>
      <c r="J64" s="1753"/>
      <c r="K64" s="2164"/>
      <c r="L64" s="2207"/>
      <c r="M64" s="755"/>
      <c r="N64" s="1638"/>
    </row>
    <row r="65" spans="1:17" s="1639" customFormat="1" ht="21" hidden="1" customHeight="1" x14ac:dyDescent="0.25">
      <c r="A65" s="1637"/>
      <c r="B65" s="2900"/>
      <c r="C65" s="509" t="s">
        <v>2624</v>
      </c>
      <c r="D65" s="1500">
        <v>500000000</v>
      </c>
      <c r="E65" s="5268">
        <f t="shared" si="0"/>
        <v>0.19942235352984122</v>
      </c>
      <c r="F65" s="759"/>
      <c r="G65" s="755"/>
      <c r="H65" s="755"/>
      <c r="I65" s="755"/>
      <c r="J65" s="1753"/>
      <c r="K65" s="1753"/>
      <c r="L65" s="2207"/>
      <c r="M65" s="755"/>
      <c r="N65" s="1638"/>
    </row>
    <row r="66" spans="1:17" s="1639" customFormat="1" ht="19.5" hidden="1" customHeight="1" x14ac:dyDescent="0.25">
      <c r="A66" s="1637"/>
      <c r="B66" s="2900"/>
      <c r="C66" s="509" t="s">
        <v>2625</v>
      </c>
      <c r="D66" s="1500">
        <v>556765000</v>
      </c>
      <c r="E66" s="5268">
        <f t="shared" si="0"/>
        <v>0.22206277332608412</v>
      </c>
      <c r="F66" s="759"/>
      <c r="G66" s="755"/>
      <c r="H66" s="755"/>
      <c r="I66" s="755"/>
      <c r="J66" s="1753"/>
      <c r="K66" s="2164"/>
      <c r="L66" s="2207"/>
      <c r="M66" s="755"/>
      <c r="N66" s="1638"/>
    </row>
    <row r="67" spans="1:17" s="1639" customFormat="1" ht="18" hidden="1" customHeight="1" x14ac:dyDescent="0.25">
      <c r="A67" s="1637"/>
      <c r="B67" s="2900"/>
      <c r="C67" s="509" t="s">
        <v>2626</v>
      </c>
      <c r="D67" s="1500">
        <v>500000000</v>
      </c>
      <c r="E67" s="5268">
        <f t="shared" si="0"/>
        <v>0.19942235352984122</v>
      </c>
      <c r="F67" s="759"/>
      <c r="G67" s="755"/>
      <c r="H67" s="755"/>
      <c r="I67" s="755"/>
      <c r="J67" s="1754"/>
      <c r="K67" s="2164"/>
      <c r="L67" s="2204"/>
      <c r="M67" s="755"/>
      <c r="N67" s="1638"/>
    </row>
    <row r="68" spans="1:17" s="1639" customFormat="1" ht="17.25" hidden="1" customHeight="1" x14ac:dyDescent="0.25">
      <c r="A68" s="1637"/>
      <c r="B68" s="2900"/>
      <c r="C68" s="509" t="s">
        <v>2627</v>
      </c>
      <c r="D68" s="1500">
        <v>500000000</v>
      </c>
      <c r="E68" s="5268">
        <f t="shared" si="0"/>
        <v>0.19942235352984122</v>
      </c>
      <c r="F68" s="759"/>
      <c r="G68" s="755"/>
      <c r="H68" s="755"/>
      <c r="I68" s="755"/>
      <c r="J68" s="1753"/>
      <c r="K68" s="1753"/>
      <c r="L68" s="2204"/>
      <c r="M68" s="755"/>
      <c r="N68" s="1638"/>
    </row>
    <row r="69" spans="1:17" s="1639" customFormat="1" ht="16.5" hidden="1" customHeight="1" x14ac:dyDescent="0.25">
      <c r="A69" s="1637"/>
      <c r="B69" s="2900"/>
      <c r="C69" s="509" t="s">
        <v>2628</v>
      </c>
      <c r="D69" s="1500">
        <v>1000000000</v>
      </c>
      <c r="E69" s="5268">
        <f t="shared" si="0"/>
        <v>0.39884470705968245</v>
      </c>
      <c r="F69" s="759"/>
      <c r="G69" s="755"/>
      <c r="H69" s="755"/>
      <c r="I69" s="755"/>
      <c r="J69" s="1753"/>
      <c r="K69" s="2203"/>
      <c r="L69" s="2204"/>
      <c r="M69" s="755"/>
      <c r="N69" s="1638"/>
    </row>
    <row r="70" spans="1:17" s="1639" customFormat="1" ht="18" hidden="1" customHeight="1" x14ac:dyDescent="0.25">
      <c r="A70" s="1637"/>
      <c r="B70" s="2900"/>
      <c r="C70" s="509" t="s">
        <v>2629</v>
      </c>
      <c r="D70" s="1500">
        <v>500000000</v>
      </c>
      <c r="E70" s="5268">
        <f t="shared" si="0"/>
        <v>0.19942235352984122</v>
      </c>
      <c r="F70" s="759"/>
      <c r="G70" s="755"/>
      <c r="H70" s="755"/>
      <c r="I70" s="755"/>
      <c r="J70" s="1754"/>
      <c r="K70" s="1753"/>
      <c r="L70" s="2204"/>
      <c r="M70" s="755"/>
      <c r="N70" s="1638"/>
    </row>
    <row r="71" spans="1:17" s="1639" customFormat="1" ht="18" hidden="1" customHeight="1" x14ac:dyDescent="0.25">
      <c r="A71" s="1637"/>
      <c r="B71" s="2900"/>
      <c r="C71" s="509" t="s">
        <v>2630</v>
      </c>
      <c r="D71" s="1500">
        <v>250000000</v>
      </c>
      <c r="E71" s="5268">
        <f t="shared" si="0"/>
        <v>9.9711176764920612E-2</v>
      </c>
      <c r="F71" s="759"/>
      <c r="G71" s="755"/>
      <c r="H71" s="755"/>
      <c r="I71" s="755"/>
      <c r="J71" s="1754"/>
      <c r="K71" s="2203"/>
      <c r="L71" s="2204"/>
      <c r="M71" s="755"/>
      <c r="N71" s="1638"/>
    </row>
    <row r="72" spans="1:17" s="1639" customFormat="1" ht="12" hidden="1" customHeight="1" x14ac:dyDescent="0.25">
      <c r="A72" s="1637"/>
      <c r="B72" s="2900"/>
      <c r="C72" s="519"/>
      <c r="D72" s="3259"/>
      <c r="E72" s="5268"/>
      <c r="F72" s="2675"/>
      <c r="G72" s="798"/>
      <c r="H72" s="805"/>
      <c r="I72" s="805"/>
      <c r="J72" s="3260"/>
      <c r="K72" s="2217"/>
      <c r="L72" s="2213"/>
      <c r="M72" s="805"/>
      <c r="N72" s="2086"/>
    </row>
    <row r="73" spans="1:17" s="1639" customFormat="1" ht="18" hidden="1" customHeight="1" x14ac:dyDescent="0.25">
      <c r="A73" s="1637"/>
      <c r="B73" s="2900"/>
      <c r="C73" s="648" t="s">
        <v>2631</v>
      </c>
      <c r="D73" s="3261">
        <f>D74</f>
        <v>10523235000</v>
      </c>
      <c r="E73" s="5267">
        <f t="shared" si="0"/>
        <v>4.1971365808951981</v>
      </c>
      <c r="F73" s="2675"/>
      <c r="G73" s="798"/>
      <c r="H73" s="805"/>
      <c r="I73" s="805"/>
      <c r="J73" s="3260"/>
      <c r="K73" s="2217"/>
      <c r="L73" s="2213"/>
      <c r="M73" s="805"/>
      <c r="N73" s="2086"/>
    </row>
    <row r="74" spans="1:17" s="1639" customFormat="1" ht="18" hidden="1" customHeight="1" x14ac:dyDescent="0.25">
      <c r="A74" s="1637"/>
      <c r="B74" s="2900"/>
      <c r="C74" s="519" t="s">
        <v>2632</v>
      </c>
      <c r="D74" s="3259">
        <v>10523235000</v>
      </c>
      <c r="E74" s="5268">
        <f t="shared" si="0"/>
        <v>4.1971365808951981</v>
      </c>
      <c r="F74" s="2675"/>
      <c r="G74" s="798"/>
      <c r="H74" s="805"/>
      <c r="I74" s="805"/>
      <c r="J74" s="3260"/>
      <c r="K74" s="2217"/>
      <c r="L74" s="2213"/>
      <c r="M74" s="805"/>
      <c r="N74" s="2086"/>
    </row>
    <row r="75" spans="1:17" s="1639" customFormat="1" ht="15" hidden="1" customHeight="1" x14ac:dyDescent="0.25">
      <c r="A75" s="1637"/>
      <c r="B75" s="2900"/>
      <c r="C75" s="3894"/>
      <c r="D75" s="5235"/>
      <c r="E75" s="5236"/>
      <c r="F75" s="5237"/>
      <c r="G75" s="853"/>
      <c r="H75" s="853"/>
      <c r="I75" s="853"/>
      <c r="J75" s="5238"/>
      <c r="K75" s="5239"/>
      <c r="L75" s="5240"/>
      <c r="M75" s="853"/>
      <c r="N75" s="2086"/>
    </row>
    <row r="76" spans="1:17" s="269" customFormat="1" ht="19.5" hidden="1" customHeight="1" x14ac:dyDescent="0.25">
      <c r="A76" s="505"/>
      <c r="B76" s="2635" t="s">
        <v>233</v>
      </c>
      <c r="C76" s="507" t="s">
        <v>222</v>
      </c>
      <c r="D76" s="832">
        <f>SUM(D80+D77)</f>
        <v>35569166660</v>
      </c>
      <c r="E76" s="1432">
        <f>D76/250724149600*100</f>
        <v>14.186573856864722</v>
      </c>
      <c r="F76" s="2636"/>
      <c r="G76" s="2636"/>
      <c r="H76" s="1307"/>
      <c r="I76" s="2066"/>
      <c r="J76" s="764"/>
      <c r="K76" s="2636"/>
      <c r="L76" s="2637"/>
      <c r="M76" s="2637"/>
      <c r="N76" s="2623"/>
      <c r="P76" s="2069"/>
      <c r="Q76" s="2069" t="e">
        <f>J81-#REF!</f>
        <v>#REF!</v>
      </c>
    </row>
    <row r="77" spans="1:17" ht="17.25" hidden="1" customHeight="1" x14ac:dyDescent="0.25">
      <c r="B77" s="317"/>
      <c r="C77" s="647" t="s">
        <v>1515</v>
      </c>
      <c r="D77" s="2628">
        <v>24818166660</v>
      </c>
      <c r="E77" s="5270">
        <f>D77/2507241496000*100</f>
        <v>0.98985944112660773</v>
      </c>
      <c r="F77" s="2628"/>
      <c r="G77" s="2628"/>
      <c r="H77" s="2628"/>
      <c r="I77" s="2628"/>
      <c r="J77" s="752"/>
      <c r="K77" s="2894"/>
      <c r="L77" s="2894"/>
      <c r="M77" s="753"/>
      <c r="N77" s="2634"/>
    </row>
    <row r="78" spans="1:17" ht="16.5" hidden="1" customHeight="1" x14ac:dyDescent="0.25">
      <c r="B78" s="317"/>
      <c r="C78" s="509" t="s">
        <v>2406</v>
      </c>
      <c r="D78" s="1739">
        <v>24818166660</v>
      </c>
      <c r="E78" s="5269">
        <f>D78/2507241496000*100</f>
        <v>0.98985944112660773</v>
      </c>
      <c r="F78" s="1739"/>
      <c r="G78" s="1739"/>
      <c r="H78" s="1739"/>
      <c r="I78" s="1739"/>
      <c r="J78" s="778"/>
      <c r="K78" s="2207"/>
      <c r="L78" s="2207"/>
      <c r="M78" s="755"/>
      <c r="N78" s="2634"/>
    </row>
    <row r="79" spans="1:17" ht="12" hidden="1" customHeight="1" x14ac:dyDescent="0.25">
      <c r="B79" s="317"/>
      <c r="C79" s="509"/>
      <c r="D79" s="892"/>
      <c r="E79" s="5268"/>
      <c r="F79" s="2638"/>
      <c r="G79" s="2639"/>
      <c r="H79" s="1705"/>
      <c r="I79" s="2306"/>
      <c r="J79" s="778"/>
      <c r="K79" s="2640"/>
      <c r="L79" s="2641"/>
      <c r="M79" s="2641"/>
      <c r="N79" s="2634"/>
    </row>
    <row r="80" spans="1:17" s="269" customFormat="1" ht="15.75" hidden="1" customHeight="1" x14ac:dyDescent="0.25">
      <c r="A80" s="505"/>
      <c r="B80" s="2630"/>
      <c r="C80" s="508" t="s">
        <v>1516</v>
      </c>
      <c r="D80" s="761">
        <f>SUM(D81:D81)</f>
        <v>10751000000</v>
      </c>
      <c r="E80" s="5267">
        <f t="shared" ref="E80:E81" si="2">D80/250724149600*100</f>
        <v>4.287979445598646</v>
      </c>
      <c r="F80" s="2642"/>
      <c r="G80" s="2642"/>
      <c r="H80" s="758"/>
      <c r="I80" s="758"/>
      <c r="J80" s="758"/>
      <c r="K80" s="1742"/>
      <c r="L80" s="2205"/>
      <c r="M80" s="2206"/>
      <c r="N80" s="2623"/>
      <c r="P80" s="2069"/>
      <c r="Q80" s="2069" t="e">
        <f>K80-Q76</f>
        <v>#REF!</v>
      </c>
    </row>
    <row r="81" spans="1:18" ht="18.75" hidden="1" customHeight="1" x14ac:dyDescent="0.25">
      <c r="B81" s="317"/>
      <c r="C81" s="509" t="s">
        <v>1517</v>
      </c>
      <c r="D81" s="1126">
        <v>10751000000</v>
      </c>
      <c r="E81" s="5268">
        <f t="shared" si="2"/>
        <v>4.287979445598646</v>
      </c>
      <c r="F81" s="1126"/>
      <c r="G81" s="1507"/>
      <c r="H81" s="1312"/>
      <c r="I81" s="2230"/>
      <c r="J81" s="1743"/>
      <c r="K81" s="2204"/>
      <c r="L81" s="2204"/>
      <c r="M81" s="2231"/>
      <c r="N81" s="2634"/>
      <c r="Q81" s="522">
        <v>69787500000</v>
      </c>
      <c r="R81" s="522">
        <v>51196000000</v>
      </c>
    </row>
    <row r="82" spans="1:18" ht="12" hidden="1" customHeight="1" x14ac:dyDescent="0.25">
      <c r="B82" s="499"/>
      <c r="C82" s="509"/>
      <c r="D82" s="838"/>
      <c r="E82" s="1161"/>
      <c r="F82" s="1507"/>
      <c r="G82" s="2586"/>
      <c r="H82" s="1311"/>
      <c r="I82" s="2230"/>
      <c r="J82" s="1311"/>
      <c r="K82" s="2644"/>
      <c r="L82" s="1650"/>
      <c r="M82" s="1311"/>
      <c r="N82" s="2634"/>
    </row>
    <row r="83" spans="1:18" s="276" customFormat="1" ht="18.75" customHeight="1" x14ac:dyDescent="0.25">
      <c r="A83" s="510"/>
      <c r="B83" s="2619" t="s">
        <v>79</v>
      </c>
      <c r="C83" s="1135" t="s">
        <v>17</v>
      </c>
      <c r="D83" s="787">
        <f>SUM(D85+D136+D218+D384+D309+D434+D541+D594+D832+D696+D746+D917+D956)</f>
        <v>569078990902</v>
      </c>
      <c r="E83" s="2620">
        <f>D83/2507241496000*100</f>
        <v>22.697414342012788</v>
      </c>
      <c r="F83" s="2645"/>
      <c r="G83" s="2645"/>
      <c r="H83" s="2646"/>
      <c r="I83" s="2233"/>
      <c r="J83" s="787"/>
      <c r="K83" s="2645"/>
      <c r="L83" s="2197"/>
      <c r="M83" s="2233"/>
      <c r="N83" s="2647"/>
      <c r="P83" s="2148"/>
      <c r="Q83" s="2148"/>
      <c r="R83" s="606">
        <v>2408937478000</v>
      </c>
    </row>
    <row r="84" spans="1:18" ht="10.5" hidden="1" customHeight="1" x14ac:dyDescent="0.25">
      <c r="B84" s="2627"/>
      <c r="C84" s="648"/>
      <c r="D84" s="835"/>
      <c r="E84" s="788"/>
      <c r="F84" s="2648"/>
      <c r="G84" s="2648"/>
      <c r="H84" s="2175"/>
      <c r="I84" s="2175"/>
      <c r="J84" s="1311"/>
      <c r="K84" s="2644"/>
      <c r="L84" s="775"/>
      <c r="M84" s="1311"/>
      <c r="N84" s="2634"/>
      <c r="R84" s="605">
        <v>482516287480</v>
      </c>
    </row>
    <row r="85" spans="1:18" ht="18.75" customHeight="1" x14ac:dyDescent="0.25">
      <c r="B85" s="2649"/>
      <c r="C85" s="1253" t="s">
        <v>557</v>
      </c>
      <c r="D85" s="789">
        <f>SUM(D86+D130)</f>
        <v>58434414000</v>
      </c>
      <c r="E85" s="2650">
        <f>D85/D83*100</f>
        <v>10.26824306189558</v>
      </c>
      <c r="F85" s="2651"/>
      <c r="G85" s="2651"/>
      <c r="H85" s="2237"/>
      <c r="I85" s="2237"/>
      <c r="J85" s="789"/>
      <c r="K85" s="2651"/>
      <c r="L85" s="2237"/>
      <c r="M85" s="2237"/>
      <c r="N85" s="2634"/>
      <c r="R85" s="607">
        <f>SUM(R83-R84)</f>
        <v>1926421190520</v>
      </c>
    </row>
    <row r="86" spans="1:18" s="1639" customFormat="1" ht="16.5" hidden="1" customHeight="1" x14ac:dyDescent="0.25">
      <c r="A86" s="1637"/>
      <c r="B86" s="4050"/>
      <c r="C86" s="3969" t="s">
        <v>2064</v>
      </c>
      <c r="D86" s="2659">
        <f>SUM(D87+D99+D102+D125)</f>
        <v>50934414000</v>
      </c>
      <c r="E86" s="1445">
        <f>D86/183431447000*100</f>
        <v>27.767547404235437</v>
      </c>
      <c r="F86" s="743"/>
      <c r="G86" s="743"/>
      <c r="H86" s="1462"/>
      <c r="I86" s="2239"/>
      <c r="J86" s="1770"/>
      <c r="K86" s="1770"/>
      <c r="L86" s="1462"/>
      <c r="M86" s="2240"/>
      <c r="N86" s="1638"/>
    </row>
    <row r="87" spans="1:18" s="1639" customFormat="1" ht="19.5" hidden="1" customHeight="1" x14ac:dyDescent="0.25">
      <c r="A87" s="1637"/>
      <c r="B87" s="4119"/>
      <c r="C87" s="3970" t="s">
        <v>288</v>
      </c>
      <c r="D87" s="2024">
        <f>SUM(D88:D97)</f>
        <v>9818000000</v>
      </c>
      <c r="E87" s="1136">
        <f>D87/183431447000*100</f>
        <v>5.3524083032502059</v>
      </c>
      <c r="F87" s="792"/>
      <c r="G87" s="3625"/>
      <c r="H87" s="3625"/>
      <c r="I87" s="3625"/>
      <c r="J87" s="2241"/>
      <c r="K87" s="1805"/>
      <c r="L87" s="1671"/>
      <c r="M87" s="1671"/>
      <c r="N87" s="1638"/>
    </row>
    <row r="88" spans="1:18" s="1639" customFormat="1" ht="16.5" hidden="1" customHeight="1" x14ac:dyDescent="0.25">
      <c r="A88" s="1637"/>
      <c r="B88" s="4119"/>
      <c r="C88" s="3867" t="s">
        <v>6967</v>
      </c>
      <c r="D88" s="666">
        <v>825000000</v>
      </c>
      <c r="E88" s="1138">
        <f>D88/183431447000*100</f>
        <v>0.44975930435744749</v>
      </c>
      <c r="F88" s="626"/>
      <c r="G88" s="3630"/>
      <c r="H88" s="3630"/>
      <c r="I88" s="3630"/>
      <c r="J88" s="2180"/>
      <c r="K88" s="2242"/>
      <c r="L88" s="1312"/>
      <c r="M88" s="1312"/>
      <c r="N88" s="1638"/>
    </row>
    <row r="89" spans="1:18" s="1639" customFormat="1" ht="16.5" hidden="1" customHeight="1" x14ac:dyDescent="0.25">
      <c r="A89" s="1637"/>
      <c r="B89" s="4119"/>
      <c r="C89" s="3867" t="s">
        <v>6968</v>
      </c>
      <c r="D89" s="666">
        <v>1648000000</v>
      </c>
      <c r="E89" s="1138">
        <f>D89/183431447000*100</f>
        <v>0.89842828312857392</v>
      </c>
      <c r="F89" s="626"/>
      <c r="G89" s="3630"/>
      <c r="H89" s="3630"/>
      <c r="I89" s="3630"/>
      <c r="J89" s="2180"/>
      <c r="K89" s="3879"/>
      <c r="L89" s="3630"/>
      <c r="M89" s="3630"/>
      <c r="N89" s="1638"/>
    </row>
    <row r="90" spans="1:18" s="1639" customFormat="1" ht="15" hidden="1" customHeight="1" x14ac:dyDescent="0.25">
      <c r="A90" s="1637"/>
      <c r="B90" s="4119"/>
      <c r="C90" s="622" t="s">
        <v>6969</v>
      </c>
      <c r="D90" s="666">
        <v>1863000000</v>
      </c>
      <c r="E90" s="1138">
        <f>D90/183431447000*100</f>
        <v>1.0156382836580906</v>
      </c>
      <c r="F90" s="624"/>
      <c r="G90" s="3630"/>
      <c r="H90" s="3630"/>
      <c r="I90" s="3630"/>
      <c r="J90" s="2180"/>
      <c r="K90" s="3879"/>
      <c r="L90" s="3630"/>
      <c r="M90" s="3630"/>
      <c r="N90" s="1638"/>
    </row>
    <row r="91" spans="1:18" s="4551" customFormat="1" ht="15" hidden="1" customHeight="1" x14ac:dyDescent="0.25">
      <c r="A91" s="4544"/>
      <c r="B91" s="2910"/>
      <c r="C91" s="4552" t="s">
        <v>6970</v>
      </c>
      <c r="D91" s="799">
        <v>1728000000</v>
      </c>
      <c r="E91" s="1138">
        <f t="shared" ref="E91:E97" si="3">D91/183431447000*100</f>
        <v>0.94204130658141727</v>
      </c>
      <c r="F91" s="4545"/>
      <c r="G91" s="4553"/>
      <c r="H91" s="2477"/>
      <c r="I91" s="4546"/>
      <c r="J91" s="4547"/>
      <c r="K91" s="4548"/>
      <c r="L91" s="2467"/>
      <c r="M91" s="4549"/>
      <c r="N91" s="4550"/>
    </row>
    <row r="92" spans="1:18" s="2079" customFormat="1" ht="16.5" hidden="1" customHeight="1" x14ac:dyDescent="0.25">
      <c r="A92" s="2070"/>
      <c r="B92" s="4119"/>
      <c r="C92" s="4554" t="s">
        <v>6971</v>
      </c>
      <c r="D92" s="780">
        <v>728000000</v>
      </c>
      <c r="E92" s="1138">
        <f t="shared" si="3"/>
        <v>0.39687851342087488</v>
      </c>
      <c r="F92" s="761"/>
      <c r="G92" s="794"/>
      <c r="H92" s="1415"/>
      <c r="I92" s="2243"/>
      <c r="J92" s="2241"/>
      <c r="K92" s="4543"/>
      <c r="L92" s="1671"/>
      <c r="M92" s="2245"/>
      <c r="N92" s="2077"/>
    </row>
    <row r="93" spans="1:18" s="2079" customFormat="1" ht="17.25" hidden="1" customHeight="1" x14ac:dyDescent="0.25">
      <c r="A93" s="2070"/>
      <c r="B93" s="4119"/>
      <c r="C93" s="4067" t="s">
        <v>6972</v>
      </c>
      <c r="D93" s="780">
        <v>672000000</v>
      </c>
      <c r="E93" s="1138">
        <f t="shared" si="3"/>
        <v>0.36634939700388452</v>
      </c>
      <c r="F93" s="761"/>
      <c r="G93" s="794"/>
      <c r="H93" s="1415"/>
      <c r="I93" s="2243"/>
      <c r="J93" s="1747"/>
      <c r="K93" s="4615"/>
      <c r="L93" s="2261"/>
      <c r="M93" s="2245"/>
      <c r="N93" s="2077"/>
    </row>
    <row r="94" spans="1:18" s="2079" customFormat="1" ht="17.25" hidden="1" customHeight="1" x14ac:dyDescent="0.25">
      <c r="A94" s="2070"/>
      <c r="B94" s="4119"/>
      <c r="C94" s="4067" t="s">
        <v>6973</v>
      </c>
      <c r="D94" s="780">
        <v>324000000</v>
      </c>
      <c r="E94" s="1138">
        <f t="shared" si="3"/>
        <v>0.17663274498401574</v>
      </c>
      <c r="F94" s="761"/>
      <c r="G94" s="794"/>
      <c r="H94" s="1415"/>
      <c r="I94" s="2243"/>
      <c r="J94" s="1747"/>
      <c r="K94" s="4615"/>
      <c r="L94" s="2261"/>
      <c r="M94" s="2245"/>
      <c r="N94" s="2077"/>
    </row>
    <row r="95" spans="1:18" s="2079" customFormat="1" ht="17.25" hidden="1" customHeight="1" x14ac:dyDescent="0.25">
      <c r="A95" s="2070"/>
      <c r="B95" s="4119"/>
      <c r="C95" s="4067" t="s">
        <v>6974</v>
      </c>
      <c r="D95" s="780">
        <v>1680000000</v>
      </c>
      <c r="E95" s="1138">
        <f t="shared" si="3"/>
        <v>0.9158734925097114</v>
      </c>
      <c r="F95" s="761"/>
      <c r="G95" s="794"/>
      <c r="H95" s="1415"/>
      <c r="I95" s="2243"/>
      <c r="J95" s="1747"/>
      <c r="K95" s="4615"/>
      <c r="L95" s="2261"/>
      <c r="M95" s="2245"/>
      <c r="N95" s="2077"/>
    </row>
    <row r="96" spans="1:18" s="2079" customFormat="1" ht="17.25" hidden="1" customHeight="1" x14ac:dyDescent="0.25">
      <c r="A96" s="2070"/>
      <c r="B96" s="4119"/>
      <c r="C96" s="4067" t="s">
        <v>6975</v>
      </c>
      <c r="D96" s="780">
        <v>210000000</v>
      </c>
      <c r="E96" s="1138">
        <f t="shared" si="3"/>
        <v>0.11448418656371392</v>
      </c>
      <c r="F96" s="761"/>
      <c r="G96" s="794"/>
      <c r="H96" s="1415"/>
      <c r="I96" s="2243"/>
      <c r="J96" s="1747"/>
      <c r="K96" s="4615"/>
      <c r="L96" s="2261"/>
      <c r="M96" s="2245"/>
      <c r="N96" s="2077"/>
    </row>
    <row r="97" spans="1:14" s="2079" customFormat="1" ht="17.25" hidden="1" customHeight="1" x14ac:dyDescent="0.25">
      <c r="A97" s="2070"/>
      <c r="B97" s="4119"/>
      <c r="C97" s="4067" t="s">
        <v>6976</v>
      </c>
      <c r="D97" s="780">
        <v>140000000</v>
      </c>
      <c r="E97" s="1138">
        <f t="shared" si="3"/>
        <v>7.632279104247594E-2</v>
      </c>
      <c r="F97" s="761"/>
      <c r="G97" s="794"/>
      <c r="H97" s="1415"/>
      <c r="I97" s="2243"/>
      <c r="J97" s="1747"/>
      <c r="K97" s="4615"/>
      <c r="L97" s="2261"/>
      <c r="M97" s="2245"/>
      <c r="N97" s="2077"/>
    </row>
    <row r="98" spans="1:14" s="2079" customFormat="1" ht="9" hidden="1" customHeight="1" x14ac:dyDescent="0.25">
      <c r="A98" s="2070"/>
      <c r="B98" s="4119"/>
      <c r="C98" s="4067"/>
      <c r="D98" s="780"/>
      <c r="E98" s="1137"/>
      <c r="F98" s="761"/>
      <c r="G98" s="794"/>
      <c r="H98" s="1415"/>
      <c r="I98" s="2243"/>
      <c r="J98" s="1747"/>
      <c r="K98" s="4615"/>
      <c r="L98" s="2261"/>
      <c r="M98" s="2245"/>
      <c r="N98" s="2077"/>
    </row>
    <row r="99" spans="1:14" s="2079" customFormat="1" ht="16.5" hidden="1" customHeight="1" x14ac:dyDescent="0.25">
      <c r="A99" s="2070"/>
      <c r="B99" s="4119"/>
      <c r="C99" s="4555" t="s">
        <v>6977</v>
      </c>
      <c r="D99" s="768">
        <f>D100</f>
        <v>5242510000</v>
      </c>
      <c r="E99" s="4559">
        <f>D99/D85*100</f>
        <v>8.9716138849274678</v>
      </c>
      <c r="F99" s="761"/>
      <c r="G99" s="794"/>
      <c r="H99" s="1415"/>
      <c r="I99" s="2243"/>
      <c r="J99" s="1747"/>
      <c r="K99" s="4615"/>
      <c r="L99" s="2261"/>
      <c r="M99" s="2245"/>
      <c r="N99" s="2077"/>
    </row>
    <row r="100" spans="1:14" s="2079" customFormat="1" ht="16.5" hidden="1" customHeight="1" x14ac:dyDescent="0.25">
      <c r="A100" s="2070"/>
      <c r="B100" s="4119"/>
      <c r="C100" s="4067" t="s">
        <v>6978</v>
      </c>
      <c r="D100" s="780">
        <v>5242510000</v>
      </c>
      <c r="E100" s="1138">
        <f>D100/D85*100</f>
        <v>8.9716138849274678</v>
      </c>
      <c r="F100" s="761"/>
      <c r="G100" s="794"/>
      <c r="H100" s="1415"/>
      <c r="I100" s="2243"/>
      <c r="J100" s="1747"/>
      <c r="K100" s="4615"/>
      <c r="L100" s="2261"/>
      <c r="M100" s="2245"/>
      <c r="N100" s="2077"/>
    </row>
    <row r="101" spans="1:14" s="1639" customFormat="1" ht="9.75" hidden="1" customHeight="1" x14ac:dyDescent="0.25">
      <c r="A101" s="1637"/>
      <c r="B101" s="4119"/>
      <c r="C101" s="3970"/>
      <c r="D101" s="2024"/>
      <c r="E101" s="1446"/>
      <c r="F101" s="792"/>
      <c r="G101" s="4542"/>
      <c r="H101" s="1661"/>
      <c r="I101" s="2243"/>
      <c r="J101" s="1747"/>
      <c r="K101" s="4615"/>
      <c r="L101" s="2261"/>
      <c r="M101" s="2245"/>
      <c r="N101" s="1638"/>
    </row>
    <row r="102" spans="1:14" s="1639" customFormat="1" ht="15.75" hidden="1" customHeight="1" x14ac:dyDescent="0.25">
      <c r="A102" s="1637"/>
      <c r="B102" s="4119"/>
      <c r="C102" s="3938" t="s">
        <v>366</v>
      </c>
      <c r="D102" s="768">
        <f>SUM(D103:D123)</f>
        <v>32733000000</v>
      </c>
      <c r="E102" s="1139">
        <f>D102/183431447000*100</f>
        <v>17.844813708524036</v>
      </c>
      <c r="F102" s="3629"/>
      <c r="G102" s="3633"/>
      <c r="H102" s="1308"/>
      <c r="I102" s="2243"/>
      <c r="J102" s="1771"/>
      <c r="K102" s="1771"/>
      <c r="L102" s="1671"/>
      <c r="M102" s="2245"/>
      <c r="N102" s="1638"/>
    </row>
    <row r="103" spans="1:14" s="1639" customFormat="1" hidden="1" x14ac:dyDescent="0.25">
      <c r="A103" s="1637"/>
      <c r="B103" s="4119"/>
      <c r="C103" s="3866" t="s">
        <v>6979</v>
      </c>
      <c r="D103" s="666">
        <v>8590000000</v>
      </c>
      <c r="E103" s="1138">
        <f>D103/183431447000*100</f>
        <v>4.6829483932490596</v>
      </c>
      <c r="F103" s="624"/>
      <c r="G103" s="3630"/>
      <c r="H103" s="3630"/>
      <c r="I103" s="3630"/>
      <c r="J103" s="1753"/>
      <c r="K103" s="1753"/>
      <c r="L103" s="1312"/>
      <c r="M103" s="1312"/>
      <c r="N103" s="1638"/>
    </row>
    <row r="104" spans="1:14" s="1639" customFormat="1" ht="15.75" hidden="1" customHeight="1" x14ac:dyDescent="0.25">
      <c r="A104" s="1637"/>
      <c r="B104" s="4119"/>
      <c r="C104" s="3866" t="s">
        <v>6980</v>
      </c>
      <c r="D104" s="666">
        <v>7440000000</v>
      </c>
      <c r="E104" s="1138">
        <f t="shared" ref="E104:E128" si="4">D104/183431447000*100</f>
        <v>4.0560111811144353</v>
      </c>
      <c r="F104" s="624"/>
      <c r="G104" s="3630"/>
      <c r="H104" s="1310"/>
      <c r="I104" s="1111"/>
      <c r="J104" s="1753"/>
      <c r="K104" s="1753"/>
      <c r="L104" s="1312"/>
      <c r="M104" s="1312"/>
      <c r="N104" s="1638"/>
    </row>
    <row r="105" spans="1:14" s="1639" customFormat="1" ht="14.25" hidden="1" customHeight="1" x14ac:dyDescent="0.25">
      <c r="A105" s="1637"/>
      <c r="B105" s="4119"/>
      <c r="C105" s="622" t="s">
        <v>6981</v>
      </c>
      <c r="D105" s="666">
        <v>1350000000</v>
      </c>
      <c r="E105" s="1138">
        <f t="shared" si="4"/>
        <v>0.7359697707667322</v>
      </c>
      <c r="F105" s="624"/>
      <c r="G105" s="3630"/>
      <c r="H105" s="3630"/>
      <c r="I105" s="3630"/>
      <c r="J105" s="1753"/>
      <c r="K105" s="1753"/>
      <c r="L105" s="1312"/>
      <c r="M105" s="1312"/>
      <c r="N105" s="1638"/>
    </row>
    <row r="106" spans="1:14" s="1639" customFormat="1" ht="20.25" hidden="1" customHeight="1" x14ac:dyDescent="0.25">
      <c r="A106" s="1637"/>
      <c r="B106" s="4119"/>
      <c r="C106" s="622" t="s">
        <v>6982</v>
      </c>
      <c r="D106" s="666">
        <v>1350000000</v>
      </c>
      <c r="E106" s="1138">
        <f t="shared" si="4"/>
        <v>0.7359697707667322</v>
      </c>
      <c r="F106" s="624"/>
      <c r="G106" s="3630"/>
      <c r="H106" s="3630"/>
      <c r="I106" s="3630"/>
      <c r="J106" s="1753"/>
      <c r="K106" s="1753"/>
      <c r="L106" s="1312"/>
      <c r="M106" s="1312"/>
      <c r="N106" s="1638"/>
    </row>
    <row r="107" spans="1:14" s="1639" customFormat="1" ht="17.25" hidden="1" customHeight="1" x14ac:dyDescent="0.25">
      <c r="A107" s="1637"/>
      <c r="B107" s="4119"/>
      <c r="C107" s="622" t="s">
        <v>6983</v>
      </c>
      <c r="D107" s="666">
        <v>1125000000</v>
      </c>
      <c r="E107" s="1138">
        <f t="shared" si="4"/>
        <v>0.61330814230561026</v>
      </c>
      <c r="F107" s="624"/>
      <c r="G107" s="3630"/>
      <c r="H107" s="3630"/>
      <c r="I107" s="3630"/>
      <c r="J107" s="1753"/>
      <c r="K107" s="3879"/>
      <c r="L107" s="3630"/>
      <c r="M107" s="3630"/>
      <c r="N107" s="1638"/>
    </row>
    <row r="108" spans="1:14" s="1639" customFormat="1" ht="15" hidden="1" customHeight="1" x14ac:dyDescent="0.25">
      <c r="A108" s="1637"/>
      <c r="B108" s="4119"/>
      <c r="C108" s="4556" t="s">
        <v>6984</v>
      </c>
      <c r="D108" s="1855">
        <v>960000000</v>
      </c>
      <c r="E108" s="1138">
        <f t="shared" si="4"/>
        <v>0.52335628143412072</v>
      </c>
      <c r="F108" s="4557"/>
      <c r="G108" s="3630"/>
      <c r="H108" s="3620"/>
      <c r="I108" s="3620"/>
      <c r="J108" s="1753"/>
      <c r="K108" s="3879"/>
      <c r="L108" s="3620"/>
      <c r="M108" s="3620"/>
      <c r="N108" s="1638"/>
    </row>
    <row r="109" spans="1:14" s="1639" customFormat="1" ht="15.75" hidden="1" customHeight="1" x14ac:dyDescent="0.25">
      <c r="A109" s="1637"/>
      <c r="B109" s="4119"/>
      <c r="C109" s="4556" t="s">
        <v>6985</v>
      </c>
      <c r="D109" s="1855">
        <v>960000000</v>
      </c>
      <c r="E109" s="1138">
        <f t="shared" si="4"/>
        <v>0.52335628143412072</v>
      </c>
      <c r="F109" s="4557"/>
      <c r="G109" s="3630"/>
      <c r="H109" s="3620"/>
      <c r="I109" s="3620"/>
      <c r="J109" s="1753"/>
      <c r="K109" s="3879"/>
      <c r="L109" s="3620"/>
      <c r="M109" s="3620"/>
      <c r="N109" s="1638"/>
    </row>
    <row r="110" spans="1:14" s="1639" customFormat="1" ht="17.25" hidden="1" customHeight="1" x14ac:dyDescent="0.25">
      <c r="A110" s="1637"/>
      <c r="B110" s="4119"/>
      <c r="C110" s="4556" t="s">
        <v>6986</v>
      </c>
      <c r="D110" s="1855">
        <v>960000000</v>
      </c>
      <c r="E110" s="1138">
        <f t="shared" si="4"/>
        <v>0.52335628143412072</v>
      </c>
      <c r="F110" s="4557"/>
      <c r="G110" s="3630"/>
      <c r="H110" s="3620"/>
      <c r="I110" s="3620"/>
      <c r="J110" s="1753"/>
      <c r="K110" s="3879"/>
      <c r="L110" s="3620"/>
      <c r="M110" s="3620"/>
      <c r="N110" s="1638"/>
    </row>
    <row r="111" spans="1:14" s="1639" customFormat="1" ht="17.25" hidden="1" customHeight="1" x14ac:dyDescent="0.25">
      <c r="A111" s="1637"/>
      <c r="B111" s="4119"/>
      <c r="C111" s="4556" t="s">
        <v>6987</v>
      </c>
      <c r="D111" s="1855">
        <v>960000000</v>
      </c>
      <c r="E111" s="1138">
        <f t="shared" si="4"/>
        <v>0.52335628143412072</v>
      </c>
      <c r="F111" s="4557"/>
      <c r="G111" s="3630"/>
      <c r="H111" s="3620"/>
      <c r="I111" s="3620"/>
      <c r="J111" s="1753"/>
      <c r="K111" s="3879"/>
      <c r="L111" s="3620"/>
      <c r="M111" s="3620"/>
      <c r="N111" s="1638"/>
    </row>
    <row r="112" spans="1:14" s="1639" customFormat="1" ht="17.25" hidden="1" customHeight="1" x14ac:dyDescent="0.25">
      <c r="A112" s="1637"/>
      <c r="B112" s="4119"/>
      <c r="C112" s="4556" t="s">
        <v>6988</v>
      </c>
      <c r="D112" s="1855">
        <v>1250000000</v>
      </c>
      <c r="E112" s="1138">
        <f t="shared" si="4"/>
        <v>0.68145349145067802</v>
      </c>
      <c r="F112" s="4557"/>
      <c r="G112" s="3630"/>
      <c r="H112" s="3620"/>
      <c r="I112" s="3620"/>
      <c r="J112" s="1753"/>
      <c r="K112" s="3879"/>
      <c r="L112" s="3620"/>
      <c r="M112" s="3620"/>
      <c r="N112" s="1638"/>
    </row>
    <row r="113" spans="1:14" s="1639" customFormat="1" ht="17.25" hidden="1" customHeight="1" x14ac:dyDescent="0.25">
      <c r="A113" s="1637"/>
      <c r="B113" s="4119"/>
      <c r="C113" s="4556" t="s">
        <v>6989</v>
      </c>
      <c r="D113" s="1855">
        <v>1250000000</v>
      </c>
      <c r="E113" s="1138">
        <f t="shared" si="4"/>
        <v>0.68145349145067802</v>
      </c>
      <c r="F113" s="4557"/>
      <c r="G113" s="3630"/>
      <c r="H113" s="3620"/>
      <c r="I113" s="3620"/>
      <c r="J113" s="1753"/>
      <c r="K113" s="3879"/>
      <c r="L113" s="3620"/>
      <c r="M113" s="3620"/>
      <c r="N113" s="1638"/>
    </row>
    <row r="114" spans="1:14" s="1639" customFormat="1" ht="17.25" hidden="1" customHeight="1" x14ac:dyDescent="0.25">
      <c r="A114" s="1637"/>
      <c r="B114" s="4119"/>
      <c r="C114" s="4556" t="s">
        <v>6990</v>
      </c>
      <c r="D114" s="1855">
        <v>1798000000</v>
      </c>
      <c r="E114" s="1138">
        <f t="shared" si="4"/>
        <v>0.98020270210265537</v>
      </c>
      <c r="F114" s="4557"/>
      <c r="G114" s="3630"/>
      <c r="H114" s="3620"/>
      <c r="I114" s="3620"/>
      <c r="J114" s="1753"/>
      <c r="K114" s="3879"/>
      <c r="L114" s="3620"/>
      <c r="M114" s="3620"/>
      <c r="N114" s="1638"/>
    </row>
    <row r="115" spans="1:14" s="1639" customFormat="1" ht="17.25" hidden="1" customHeight="1" x14ac:dyDescent="0.25">
      <c r="A115" s="1637"/>
      <c r="B115" s="4119"/>
      <c r="C115" s="4556" t="s">
        <v>6991</v>
      </c>
      <c r="D115" s="1855">
        <v>725000000</v>
      </c>
      <c r="E115" s="1138">
        <f t="shared" si="4"/>
        <v>0.39524302504139325</v>
      </c>
      <c r="F115" s="4557"/>
      <c r="G115" s="3630"/>
      <c r="H115" s="3620"/>
      <c r="I115" s="3620"/>
      <c r="J115" s="1753"/>
      <c r="K115" s="3879"/>
      <c r="L115" s="3620"/>
      <c r="M115" s="3620"/>
      <c r="N115" s="1638"/>
    </row>
    <row r="116" spans="1:14" s="1639" customFormat="1" ht="17.25" hidden="1" customHeight="1" x14ac:dyDescent="0.25">
      <c r="A116" s="1637"/>
      <c r="B116" s="4119"/>
      <c r="C116" s="4556" t="s">
        <v>6992</v>
      </c>
      <c r="D116" s="1855">
        <v>725000000</v>
      </c>
      <c r="E116" s="1138">
        <f t="shared" si="4"/>
        <v>0.39524302504139325</v>
      </c>
      <c r="F116" s="4557"/>
      <c r="G116" s="3630"/>
      <c r="H116" s="3620"/>
      <c r="I116" s="3620"/>
      <c r="J116" s="1753"/>
      <c r="K116" s="3879"/>
      <c r="L116" s="3620"/>
      <c r="M116" s="3620"/>
      <c r="N116" s="1638"/>
    </row>
    <row r="117" spans="1:14" s="1639" customFormat="1" ht="18" hidden="1" customHeight="1" x14ac:dyDescent="0.25">
      <c r="A117" s="1637"/>
      <c r="B117" s="4119"/>
      <c r="C117" s="4556" t="s">
        <v>6993</v>
      </c>
      <c r="D117" s="1855">
        <v>725000000</v>
      </c>
      <c r="E117" s="1138">
        <f t="shared" si="4"/>
        <v>0.39524302504139325</v>
      </c>
      <c r="F117" s="3557"/>
      <c r="G117" s="3630"/>
      <c r="H117" s="1310"/>
      <c r="I117" s="2246"/>
      <c r="J117" s="1753"/>
      <c r="K117" s="1753"/>
      <c r="L117" s="1312"/>
      <c r="M117" s="2247"/>
      <c r="N117" s="1638"/>
    </row>
    <row r="118" spans="1:14" s="1639" customFormat="1" ht="18" hidden="1" customHeight="1" x14ac:dyDescent="0.25">
      <c r="A118" s="1637"/>
      <c r="B118" s="4119"/>
      <c r="C118" s="4556" t="s">
        <v>6994</v>
      </c>
      <c r="D118" s="1855">
        <v>1125000000</v>
      </c>
      <c r="E118" s="1138">
        <f t="shared" si="4"/>
        <v>0.61330814230561026</v>
      </c>
      <c r="F118" s="3557"/>
      <c r="G118" s="3630"/>
      <c r="H118" s="1310"/>
      <c r="I118" s="2246"/>
      <c r="J118" s="1753"/>
      <c r="K118" s="1753"/>
      <c r="L118" s="1703"/>
      <c r="M118" s="2658"/>
      <c r="N118" s="1638"/>
    </row>
    <row r="119" spans="1:14" s="1639" customFormat="1" ht="18" hidden="1" customHeight="1" x14ac:dyDescent="0.25">
      <c r="A119" s="1637"/>
      <c r="B119" s="4119"/>
      <c r="C119" s="4556" t="s">
        <v>6995</v>
      </c>
      <c r="D119" s="1855">
        <v>540000000</v>
      </c>
      <c r="E119" s="1138">
        <f t="shared" si="4"/>
        <v>0.29438790830669292</v>
      </c>
      <c r="F119" s="3557"/>
      <c r="G119" s="3630"/>
      <c r="H119" s="1310"/>
      <c r="I119" s="2246"/>
      <c r="J119" s="1753"/>
      <c r="K119" s="1753"/>
      <c r="L119" s="1703"/>
      <c r="M119" s="2658"/>
      <c r="N119" s="1638"/>
    </row>
    <row r="120" spans="1:14" s="1639" customFormat="1" ht="18" hidden="1" customHeight="1" x14ac:dyDescent="0.25">
      <c r="A120" s="1637"/>
      <c r="B120" s="4119"/>
      <c r="C120" s="4556" t="s">
        <v>6996</v>
      </c>
      <c r="D120" s="1855">
        <v>270000000</v>
      </c>
      <c r="E120" s="1138">
        <f t="shared" si="4"/>
        <v>0.14719395415334646</v>
      </c>
      <c r="F120" s="3557"/>
      <c r="G120" s="3630"/>
      <c r="H120" s="1310"/>
      <c r="I120" s="2246"/>
      <c r="J120" s="1753"/>
      <c r="K120" s="1753"/>
      <c r="L120" s="1703"/>
      <c r="M120" s="2658"/>
      <c r="N120" s="1638"/>
    </row>
    <row r="121" spans="1:14" s="1639" customFormat="1" ht="18" hidden="1" customHeight="1" x14ac:dyDescent="0.25">
      <c r="A121" s="1637"/>
      <c r="B121" s="4119"/>
      <c r="C121" s="4556" t="s">
        <v>6997</v>
      </c>
      <c r="D121" s="1855">
        <v>210000000</v>
      </c>
      <c r="E121" s="1138">
        <f t="shared" si="4"/>
        <v>0.11448418656371392</v>
      </c>
      <c r="F121" s="3557"/>
      <c r="G121" s="3630"/>
      <c r="H121" s="1310"/>
      <c r="I121" s="2246"/>
      <c r="J121" s="1753"/>
      <c r="K121" s="1753"/>
      <c r="L121" s="1703"/>
      <c r="M121" s="2658"/>
      <c r="N121" s="1638"/>
    </row>
    <row r="122" spans="1:14" s="1639" customFormat="1" ht="18" hidden="1" customHeight="1" x14ac:dyDescent="0.25">
      <c r="A122" s="1637"/>
      <c r="B122" s="4119"/>
      <c r="C122" s="4556" t="s">
        <v>6998</v>
      </c>
      <c r="D122" s="1855">
        <v>210000000</v>
      </c>
      <c r="E122" s="1138">
        <f t="shared" si="4"/>
        <v>0.11448418656371392</v>
      </c>
      <c r="F122" s="3557"/>
      <c r="G122" s="3630"/>
      <c r="H122" s="1310"/>
      <c r="I122" s="2246"/>
      <c r="J122" s="1753"/>
      <c r="K122" s="1753"/>
      <c r="L122" s="1703"/>
      <c r="M122" s="2658"/>
      <c r="N122" s="1638"/>
    </row>
    <row r="123" spans="1:14" s="1639" customFormat="1" ht="18" hidden="1" customHeight="1" x14ac:dyDescent="0.25">
      <c r="A123" s="1637"/>
      <c r="B123" s="4119"/>
      <c r="C123" s="4556" t="s">
        <v>6999</v>
      </c>
      <c r="D123" s="1855">
        <v>210000000</v>
      </c>
      <c r="E123" s="1138">
        <f t="shared" si="4"/>
        <v>0.11448418656371392</v>
      </c>
      <c r="F123" s="3557"/>
      <c r="G123" s="3630"/>
      <c r="H123" s="1310"/>
      <c r="I123" s="2246"/>
      <c r="J123" s="1753"/>
      <c r="K123" s="1753"/>
      <c r="L123" s="1703"/>
      <c r="M123" s="2658"/>
      <c r="N123" s="1638"/>
    </row>
    <row r="124" spans="1:14" s="1639" customFormat="1" ht="13.5" hidden="1" customHeight="1" x14ac:dyDescent="0.25">
      <c r="A124" s="1637"/>
      <c r="B124" s="4119"/>
      <c r="C124" s="4556"/>
      <c r="D124" s="1855"/>
      <c r="E124" s="1138"/>
      <c r="F124" s="3557"/>
      <c r="G124" s="3630"/>
      <c r="H124" s="1310"/>
      <c r="I124" s="2246"/>
      <c r="J124" s="1753"/>
      <c r="K124" s="1753"/>
      <c r="L124" s="1703"/>
      <c r="M124" s="2658"/>
      <c r="N124" s="1638"/>
    </row>
    <row r="125" spans="1:14" s="1639" customFormat="1" ht="16.5" hidden="1" customHeight="1" x14ac:dyDescent="0.25">
      <c r="A125" s="1637"/>
      <c r="B125" s="4119"/>
      <c r="C125" s="3938" t="s">
        <v>7000</v>
      </c>
      <c r="D125" s="768">
        <f>SUM(D126:D128)</f>
        <v>3140904000</v>
      </c>
      <c r="E125" s="1139">
        <f t="shared" si="4"/>
        <v>1.7123039976891203</v>
      </c>
      <c r="F125" s="3629"/>
      <c r="G125" s="3629"/>
      <c r="H125" s="1308"/>
      <c r="I125" s="1316"/>
      <c r="J125" s="4056"/>
      <c r="K125" s="4056"/>
      <c r="L125" s="1671"/>
      <c r="M125" s="1671"/>
      <c r="N125" s="1638"/>
    </row>
    <row r="126" spans="1:14" s="1639" customFormat="1" ht="18" hidden="1" customHeight="1" x14ac:dyDescent="0.25">
      <c r="A126" s="1637"/>
      <c r="B126" s="4119"/>
      <c r="C126" s="4118" t="s">
        <v>7003</v>
      </c>
      <c r="D126" s="666">
        <v>530904000</v>
      </c>
      <c r="E126" s="1138">
        <f t="shared" si="4"/>
        <v>0.28942910754010465</v>
      </c>
      <c r="F126" s="626"/>
      <c r="G126" s="3630"/>
      <c r="H126" s="1310"/>
      <c r="I126" s="1111"/>
      <c r="J126" s="1753"/>
      <c r="K126" s="1753"/>
      <c r="L126" s="1312"/>
      <c r="M126" s="1312"/>
      <c r="N126" s="1638"/>
    </row>
    <row r="127" spans="1:14" s="1639" customFormat="1" ht="15.75" hidden="1" customHeight="1" x14ac:dyDescent="0.25">
      <c r="A127" s="1637"/>
      <c r="B127" s="4119"/>
      <c r="C127" s="4001" t="s">
        <v>7001</v>
      </c>
      <c r="D127" s="868">
        <v>1500000000</v>
      </c>
      <c r="E127" s="1138">
        <f t="shared" si="4"/>
        <v>0.81774418974081364</v>
      </c>
      <c r="F127" s="4558"/>
      <c r="G127" s="798"/>
      <c r="H127" s="2174"/>
      <c r="I127" s="1324"/>
      <c r="J127" s="2180"/>
      <c r="K127" s="2180"/>
      <c r="L127" s="1312"/>
      <c r="M127" s="1312"/>
      <c r="N127" s="1638"/>
    </row>
    <row r="128" spans="1:14" s="1639" customFormat="1" ht="18" hidden="1" customHeight="1" x14ac:dyDescent="0.25">
      <c r="A128" s="1637"/>
      <c r="B128" s="4119"/>
      <c r="C128" s="4118" t="s">
        <v>7002</v>
      </c>
      <c r="D128" s="666">
        <v>1110000000</v>
      </c>
      <c r="E128" s="1138">
        <f t="shared" si="4"/>
        <v>0.60513070040820205</v>
      </c>
      <c r="F128" s="626"/>
      <c r="G128" s="3630"/>
      <c r="H128" s="880"/>
      <c r="I128" s="666"/>
      <c r="J128" s="2180"/>
      <c r="K128" s="2180"/>
      <c r="L128" s="1312"/>
      <c r="M128" s="1312"/>
      <c r="N128" s="1638"/>
    </row>
    <row r="129" spans="1:18" s="1639" customFormat="1" ht="12" hidden="1" customHeight="1" x14ac:dyDescent="0.25">
      <c r="B129" s="2630"/>
      <c r="C129" s="3968"/>
      <c r="D129" s="808"/>
      <c r="E129" s="801"/>
      <c r="F129" s="2654"/>
      <c r="G129" s="2654"/>
      <c r="H129" s="2658"/>
      <c r="I129" s="2658"/>
      <c r="J129" s="2656"/>
      <c r="K129" s="2518"/>
      <c r="L129" s="1671"/>
      <c r="M129" s="2182"/>
      <c r="N129" s="3653"/>
      <c r="P129" s="2093"/>
      <c r="Q129" s="2093"/>
    </row>
    <row r="130" spans="1:18" ht="15" hidden="1" customHeight="1" x14ac:dyDescent="0.25">
      <c r="B130" s="2635"/>
      <c r="C130" s="1180" t="s">
        <v>2213</v>
      </c>
      <c r="D130" s="1726">
        <f>SUM(D131)</f>
        <v>7500000000</v>
      </c>
      <c r="E130" s="1445">
        <f>D130/183431447000*100</f>
        <v>4.0887209487040677</v>
      </c>
      <c r="F130" s="1726"/>
      <c r="G130" s="2065"/>
      <c r="H130" s="2240"/>
      <c r="I130" s="2240"/>
      <c r="J130" s="1726"/>
      <c r="K130" s="1726"/>
      <c r="L130" s="1462"/>
      <c r="M130" s="1307"/>
      <c r="N130" s="2634"/>
    </row>
    <row r="131" spans="1:18" ht="18.75" hidden="1" customHeight="1" x14ac:dyDescent="0.25">
      <c r="B131" s="2630"/>
      <c r="C131" s="1258" t="s">
        <v>2214</v>
      </c>
      <c r="D131" s="636">
        <f>SUM(D132:D132)</f>
        <v>7500000000</v>
      </c>
      <c r="E131" s="1139">
        <f t="shared" ref="E131:E134" si="5">D131/183431447000*100</f>
        <v>4.0887209487040677</v>
      </c>
      <c r="F131" s="636"/>
      <c r="G131" s="2585"/>
      <c r="H131" s="2657"/>
      <c r="I131" s="2657"/>
      <c r="J131" s="636"/>
      <c r="K131" s="636"/>
      <c r="L131" s="1671"/>
      <c r="M131" s="1659"/>
      <c r="N131" s="2634"/>
    </row>
    <row r="132" spans="1:18" s="1639" customFormat="1" ht="15.75" hidden="1" customHeight="1" x14ac:dyDescent="0.25">
      <c r="A132" s="1637"/>
      <c r="B132" s="4119"/>
      <c r="C132" s="622" t="s">
        <v>7077</v>
      </c>
      <c r="D132" s="666">
        <v>7500000000</v>
      </c>
      <c r="E132" s="1138">
        <f t="shared" si="5"/>
        <v>4.0887209487040677</v>
      </c>
      <c r="F132" s="626"/>
      <c r="G132" s="3630"/>
      <c r="H132" s="1310"/>
      <c r="I132" s="2249"/>
      <c r="J132" s="1775"/>
      <c r="K132" s="1312"/>
      <c r="L132" s="1717"/>
      <c r="M132" s="1312"/>
      <c r="N132" s="1638"/>
    </row>
    <row r="133" spans="1:18" s="1639" customFormat="1" ht="15.75" hidden="1" customHeight="1" x14ac:dyDescent="0.25">
      <c r="A133" s="1637"/>
      <c r="B133" s="4119"/>
      <c r="C133" s="4571" t="s">
        <v>7079</v>
      </c>
      <c r="D133" s="671">
        <v>750000000</v>
      </c>
      <c r="E133" s="1138">
        <f t="shared" si="5"/>
        <v>0.40887209487040682</v>
      </c>
      <c r="F133" s="4564"/>
      <c r="G133" s="827"/>
      <c r="H133" s="2255"/>
      <c r="I133" s="2256"/>
      <c r="J133" s="4568"/>
      <c r="K133" s="1703"/>
      <c r="L133" s="1703"/>
      <c r="M133" s="1703"/>
      <c r="N133" s="1638"/>
    </row>
    <row r="134" spans="1:18" s="1639" customFormat="1" ht="15.75" hidden="1" customHeight="1" x14ac:dyDescent="0.25">
      <c r="A134" s="1637"/>
      <c r="B134" s="4119"/>
      <c r="C134" s="4574" t="s">
        <v>7080</v>
      </c>
      <c r="D134" s="666">
        <v>8706932460</v>
      </c>
      <c r="E134" s="1138">
        <f t="shared" si="5"/>
        <v>4.7466956197537931</v>
      </c>
      <c r="F134" s="626"/>
      <c r="G134" s="3630"/>
      <c r="H134" s="880"/>
      <c r="I134" s="780"/>
      <c r="J134" s="1775"/>
      <c r="K134" s="1717"/>
      <c r="L134" s="1717"/>
      <c r="M134" s="1717"/>
      <c r="N134" s="1638"/>
    </row>
    <row r="135" spans="1:18" ht="12" hidden="1" customHeight="1" x14ac:dyDescent="0.25">
      <c r="B135" s="2630"/>
      <c r="C135" s="1254"/>
      <c r="D135" s="808"/>
      <c r="E135" s="801"/>
      <c r="F135" s="2654"/>
      <c r="G135" s="2654"/>
      <c r="H135" s="2658"/>
      <c r="I135" s="2658"/>
      <c r="J135" s="2182"/>
      <c r="K135" s="2518"/>
      <c r="L135" s="1671"/>
      <c r="M135" s="2182"/>
      <c r="N135" s="2634"/>
    </row>
    <row r="136" spans="1:18" ht="15.75" customHeight="1" x14ac:dyDescent="0.25">
      <c r="B136" s="2649"/>
      <c r="C136" s="1253" t="s">
        <v>244</v>
      </c>
      <c r="D136" s="789">
        <f>SUM(D138+D190+D194+D198+D202+D206+D210+D214)</f>
        <v>48975786400</v>
      </c>
      <c r="E136" s="2650">
        <f>D136/D83*100</f>
        <v>8.6061490905458538</v>
      </c>
      <c r="F136" s="4619"/>
      <c r="G136" s="2651"/>
      <c r="H136" s="2263"/>
      <c r="I136" s="2237"/>
      <c r="J136" s="2651"/>
      <c r="K136" s="2651"/>
      <c r="L136" s="2531"/>
      <c r="M136" s="2507"/>
      <c r="N136" s="2634"/>
    </row>
    <row r="137" spans="1:18" ht="8.25" hidden="1" customHeight="1" x14ac:dyDescent="0.25">
      <c r="B137" s="2630"/>
      <c r="C137" s="1254"/>
      <c r="D137" s="808"/>
      <c r="E137" s="801"/>
      <c r="F137" s="2654"/>
      <c r="G137" s="2654"/>
      <c r="H137" s="2658"/>
      <c r="I137" s="2658"/>
      <c r="J137" s="2654"/>
      <c r="K137" s="2644"/>
      <c r="L137" s="1659"/>
      <c r="M137" s="1311"/>
      <c r="N137" s="2634"/>
    </row>
    <row r="138" spans="1:18" s="1639" customFormat="1" ht="15.75" hidden="1" customHeight="1" x14ac:dyDescent="0.25">
      <c r="B138" s="2635"/>
      <c r="C138" s="507" t="s">
        <v>245</v>
      </c>
      <c r="D138" s="1462">
        <f>SUM(D139+D148+D162+D169+D174+D183+D186)</f>
        <v>38018992400</v>
      </c>
      <c r="E138" s="2659">
        <f>D138/178986879000*100</f>
        <v>21.24121757550731</v>
      </c>
      <c r="F138" s="3733"/>
      <c r="G138" s="2198"/>
      <c r="H138" s="1656"/>
      <c r="I138" s="1656"/>
      <c r="J138" s="2198"/>
      <c r="K138" s="669"/>
      <c r="L138" s="1462"/>
      <c r="M138" s="1656"/>
      <c r="N138" s="2634"/>
      <c r="P138" s="2093"/>
      <c r="Q138" s="2093">
        <v>42205087300</v>
      </c>
      <c r="R138" s="2093">
        <v>26685264601</v>
      </c>
    </row>
    <row r="139" spans="1:18" s="1639" customFormat="1" ht="19.5" hidden="1" customHeight="1" x14ac:dyDescent="0.25">
      <c r="B139" s="2630"/>
      <c r="C139" s="1210" t="s">
        <v>246</v>
      </c>
      <c r="D139" s="2660">
        <f>SUM(D140:D146)</f>
        <v>2985416000</v>
      </c>
      <c r="E139" s="2024">
        <f>D139/178986879000*100</f>
        <v>1.6679524313064311</v>
      </c>
      <c r="F139" s="2660"/>
      <c r="G139" s="2264"/>
      <c r="H139" s="2264"/>
      <c r="I139" s="2264"/>
      <c r="J139" s="2660"/>
      <c r="K139" s="811"/>
      <c r="L139" s="1671"/>
      <c r="M139" s="2264"/>
      <c r="N139" s="2634"/>
      <c r="P139" s="2093"/>
      <c r="Q139" s="2093"/>
    </row>
    <row r="140" spans="1:18" s="1639" customFormat="1" ht="15" hidden="1" customHeight="1" x14ac:dyDescent="0.25">
      <c r="B140" s="2630"/>
      <c r="C140" s="521" t="s">
        <v>4529</v>
      </c>
      <c r="D140" s="2661">
        <v>2087184000</v>
      </c>
      <c r="E140" s="660">
        <f t="shared" ref="E140:E146" si="6">D140/178986879000*100</f>
        <v>1.166110058827273</v>
      </c>
      <c r="F140" s="1409"/>
      <c r="G140" s="1648"/>
      <c r="H140" s="1648"/>
      <c r="I140" s="1648"/>
      <c r="J140" s="1409"/>
      <c r="K140" s="1727"/>
      <c r="L140" s="2265"/>
      <c r="M140" s="1648"/>
      <c r="N140" s="2634"/>
      <c r="P140" s="2093"/>
      <c r="Q140" s="2093"/>
    </row>
    <row r="141" spans="1:18" s="1639" customFormat="1" ht="15" hidden="1" customHeight="1" x14ac:dyDescent="0.25">
      <c r="B141" s="2630"/>
      <c r="C141" s="521" t="s">
        <v>4530</v>
      </c>
      <c r="D141" s="2662">
        <v>50000000</v>
      </c>
      <c r="E141" s="780">
        <f t="shared" si="6"/>
        <v>2.7935008576801874E-2</v>
      </c>
      <c r="F141" s="2662"/>
      <c r="G141" s="1648"/>
      <c r="H141" s="1648"/>
      <c r="I141" s="1648"/>
      <c r="J141" s="2662"/>
      <c r="K141" s="1727"/>
      <c r="L141" s="2265"/>
      <c r="M141" s="1648"/>
      <c r="N141" s="2634"/>
      <c r="P141" s="2093"/>
      <c r="Q141" s="2093"/>
    </row>
    <row r="142" spans="1:18" s="1639" customFormat="1" ht="14.25" hidden="1" customHeight="1" x14ac:dyDescent="0.25">
      <c r="B142" s="2630"/>
      <c r="C142" s="1141" t="s">
        <v>4531</v>
      </c>
      <c r="D142" s="2663">
        <v>308640000</v>
      </c>
      <c r="E142" s="780">
        <f t="shared" si="6"/>
        <v>0.17243722094288264</v>
      </c>
      <c r="F142" s="2663"/>
      <c r="G142" s="2271"/>
      <c r="H142" s="2271"/>
      <c r="I142" s="2271"/>
      <c r="J142" s="2663"/>
      <c r="K142" s="1727"/>
      <c r="L142" s="971"/>
      <c r="M142" s="971"/>
      <c r="N142" s="2634"/>
      <c r="P142" s="2093"/>
      <c r="Q142" s="2093"/>
    </row>
    <row r="143" spans="1:18" s="1639" customFormat="1" ht="18" hidden="1" customHeight="1" x14ac:dyDescent="0.25">
      <c r="B143" s="2630"/>
      <c r="C143" s="1142" t="s">
        <v>4532</v>
      </c>
      <c r="D143" s="2662">
        <v>129367000</v>
      </c>
      <c r="E143" s="780">
        <f t="shared" si="6"/>
        <v>7.2277365091102566E-2</v>
      </c>
      <c r="F143" s="2662"/>
      <c r="G143" s="1648"/>
      <c r="H143" s="1648"/>
      <c r="I143" s="1648"/>
      <c r="J143" s="2662"/>
      <c r="K143" s="1727"/>
      <c r="L143" s="971"/>
      <c r="M143" s="971"/>
      <c r="N143" s="2634"/>
      <c r="P143" s="2093"/>
      <c r="Q143" s="2093"/>
    </row>
    <row r="144" spans="1:18" s="1639" customFormat="1" ht="28.5" hidden="1" customHeight="1" x14ac:dyDescent="0.25">
      <c r="B144" s="2630"/>
      <c r="C144" s="3717" t="s">
        <v>4533</v>
      </c>
      <c r="D144" s="3730">
        <v>116392000</v>
      </c>
      <c r="E144" s="2674">
        <f t="shared" si="6"/>
        <v>6.502823036542249E-2</v>
      </c>
      <c r="F144" s="3730"/>
      <c r="G144" s="1649"/>
      <c r="H144" s="1649"/>
      <c r="I144" s="1649"/>
      <c r="J144" s="3730"/>
      <c r="K144" s="3731"/>
      <c r="L144" s="3714"/>
      <c r="M144" s="3714"/>
      <c r="N144" s="3653"/>
      <c r="P144" s="2093"/>
      <c r="Q144" s="2093"/>
    </row>
    <row r="145" spans="2:17" s="1639" customFormat="1" ht="18" hidden="1" customHeight="1" x14ac:dyDescent="0.25">
      <c r="B145" s="2630"/>
      <c r="C145" s="1145" t="s">
        <v>4534</v>
      </c>
      <c r="D145" s="2662">
        <v>132716000</v>
      </c>
      <c r="E145" s="2674">
        <f>D145/178986879000*100</f>
        <v>7.4148451965576762E-2</v>
      </c>
      <c r="F145" s="2662"/>
      <c r="G145" s="3648"/>
      <c r="H145" s="3648"/>
      <c r="I145" s="3648"/>
      <c r="J145" s="2662"/>
      <c r="K145" s="3731"/>
      <c r="L145" s="3714"/>
      <c r="M145" s="3714"/>
      <c r="N145" s="3653"/>
      <c r="P145" s="2093"/>
      <c r="Q145" s="2093"/>
    </row>
    <row r="146" spans="2:17" s="1639" customFormat="1" ht="18" hidden="1" customHeight="1" x14ac:dyDescent="0.25">
      <c r="B146" s="2630"/>
      <c r="C146" s="1145" t="s">
        <v>4535</v>
      </c>
      <c r="D146" s="2662">
        <v>161117000</v>
      </c>
      <c r="E146" s="2674">
        <f t="shared" si="6"/>
        <v>9.0016095537371763E-2</v>
      </c>
      <c r="F146" s="2662"/>
      <c r="G146" s="3648"/>
      <c r="H146" s="3648"/>
      <c r="I146" s="3648"/>
      <c r="J146" s="2662"/>
      <c r="K146" s="3731"/>
      <c r="L146" s="3714"/>
      <c r="M146" s="3714"/>
      <c r="N146" s="3653"/>
      <c r="P146" s="2093"/>
      <c r="Q146" s="2093"/>
    </row>
    <row r="147" spans="2:17" s="1639" customFormat="1" ht="11.25" hidden="1" customHeight="1" x14ac:dyDescent="0.25">
      <c r="B147" s="2630"/>
      <c r="C147" s="1262"/>
      <c r="D147" s="2664"/>
      <c r="E147" s="3732"/>
      <c r="F147" s="2664"/>
      <c r="G147" s="2654"/>
      <c r="H147" s="2658"/>
      <c r="I147" s="2658"/>
      <c r="J147" s="2664"/>
      <c r="K147" s="2266"/>
      <c r="L147" s="1311"/>
      <c r="M147" s="1311"/>
      <c r="N147" s="2634"/>
      <c r="P147" s="2093"/>
      <c r="Q147" s="2093"/>
    </row>
    <row r="148" spans="2:17" s="1639" customFormat="1" ht="19.5" hidden="1" customHeight="1" x14ac:dyDescent="0.25">
      <c r="B148" s="2630"/>
      <c r="C148" s="1132" t="s">
        <v>1521</v>
      </c>
      <c r="D148" s="816">
        <f>SUM(D149:D160)</f>
        <v>28962749600</v>
      </c>
      <c r="E148" s="2024">
        <f>D148/178986879000*100</f>
        <v>16.181493169675303</v>
      </c>
      <c r="F148" s="2665"/>
      <c r="G148" s="2665"/>
      <c r="H148" s="1706"/>
      <c r="I148" s="1706"/>
      <c r="J148" s="2665"/>
      <c r="K148" s="816"/>
      <c r="L148" s="2261"/>
      <c r="M148" s="1650"/>
      <c r="N148" s="2634"/>
      <c r="P148" s="2093"/>
      <c r="Q148" s="2093"/>
    </row>
    <row r="149" spans="2:17" s="1639" customFormat="1" ht="15.75" hidden="1" customHeight="1" x14ac:dyDescent="0.25">
      <c r="B149" s="2630"/>
      <c r="C149" s="1263" t="s">
        <v>4536</v>
      </c>
      <c r="D149" s="817">
        <v>2751235800</v>
      </c>
      <c r="E149" s="780">
        <f t="shared" ref="E149:E160" si="7">D149/178986879000*100</f>
        <v>1.5371159133960877</v>
      </c>
      <c r="F149" s="2662"/>
      <c r="G149" s="1716"/>
      <c r="H149" s="1716"/>
      <c r="I149" s="1716"/>
      <c r="J149" s="2662"/>
      <c r="K149" s="971"/>
      <c r="L149" s="1717"/>
      <c r="M149" s="1312"/>
      <c r="N149" s="2634"/>
      <c r="P149" s="2093"/>
      <c r="Q149" s="2093"/>
    </row>
    <row r="150" spans="2:17" s="1639" customFormat="1" ht="14.25" hidden="1" customHeight="1" x14ac:dyDescent="0.25">
      <c r="B150" s="2630"/>
      <c r="C150" s="1143" t="s">
        <v>4537</v>
      </c>
      <c r="D150" s="813">
        <v>544000000</v>
      </c>
      <c r="E150" s="2674">
        <f t="shared" si="7"/>
        <v>0.30393289331560441</v>
      </c>
      <c r="F150" s="2662"/>
      <c r="G150" s="1716"/>
      <c r="H150" s="1716"/>
      <c r="I150" s="1716"/>
      <c r="J150" s="2662"/>
      <c r="K150" s="971"/>
      <c r="L150" s="1717"/>
      <c r="M150" s="1312"/>
      <c r="N150" s="2634"/>
      <c r="P150" s="2093"/>
      <c r="Q150" s="2093"/>
    </row>
    <row r="151" spans="2:17" s="1639" customFormat="1" ht="15" hidden="1" customHeight="1" x14ac:dyDescent="0.25">
      <c r="B151" s="2630"/>
      <c r="C151" s="509" t="s">
        <v>4538</v>
      </c>
      <c r="D151" s="817">
        <v>11928967200</v>
      </c>
      <c r="E151" s="2674">
        <f t="shared" si="7"/>
        <v>6.6647160208877665</v>
      </c>
      <c r="F151" s="2666"/>
      <c r="G151" s="1716"/>
      <c r="H151" s="1716"/>
      <c r="I151" s="1716"/>
      <c r="J151" s="2666"/>
      <c r="K151" s="971"/>
      <c r="L151" s="1717"/>
      <c r="M151" s="1648"/>
      <c r="N151" s="2634"/>
      <c r="P151" s="2093"/>
      <c r="Q151" s="2093"/>
    </row>
    <row r="152" spans="2:17" s="1639" customFormat="1" ht="20.25" hidden="1" customHeight="1" x14ac:dyDescent="0.25">
      <c r="B152" s="2630"/>
      <c r="C152" s="509" t="s">
        <v>4539</v>
      </c>
      <c r="D152" s="817">
        <v>501190000</v>
      </c>
      <c r="E152" s="2674">
        <f t="shared" si="7"/>
        <v>0.28001493897214663</v>
      </c>
      <c r="F152" s="2666"/>
      <c r="G152" s="1716"/>
      <c r="H152" s="1648"/>
      <c r="I152" s="1648"/>
      <c r="J152" s="2666"/>
      <c r="K152" s="971"/>
      <c r="L152" s="1717"/>
      <c r="M152" s="1312"/>
      <c r="N152" s="2634"/>
      <c r="P152" s="2093"/>
      <c r="Q152" s="2093"/>
    </row>
    <row r="153" spans="2:17" s="1639" customFormat="1" ht="17.25" hidden="1" customHeight="1" x14ac:dyDescent="0.25">
      <c r="B153" s="2630"/>
      <c r="C153" s="509" t="s">
        <v>4540</v>
      </c>
      <c r="D153" s="817">
        <v>8260000</v>
      </c>
      <c r="E153" s="2674">
        <f t="shared" si="7"/>
        <v>4.6148634168876705E-3</v>
      </c>
      <c r="F153" s="2666"/>
      <c r="G153" s="1716"/>
      <c r="H153" s="1648"/>
      <c r="I153" s="1648"/>
      <c r="J153" s="2666"/>
      <c r="K153" s="971"/>
      <c r="L153" s="1717"/>
      <c r="M153" s="1312"/>
      <c r="N153" s="2634"/>
      <c r="P153" s="2093"/>
      <c r="Q153" s="2093"/>
    </row>
    <row r="154" spans="2:17" s="1639" customFormat="1" ht="17.25" hidden="1" customHeight="1" x14ac:dyDescent="0.25">
      <c r="B154" s="2630"/>
      <c r="C154" s="509" t="s">
        <v>4541</v>
      </c>
      <c r="D154" s="817">
        <v>86380000</v>
      </c>
      <c r="E154" s="2674">
        <f t="shared" si="7"/>
        <v>4.8260520817282923E-2</v>
      </c>
      <c r="F154" s="2666"/>
      <c r="G154" s="1716"/>
      <c r="H154" s="1716"/>
      <c r="I154" s="1716"/>
      <c r="J154" s="2666"/>
      <c r="K154" s="971"/>
      <c r="L154" s="971"/>
      <c r="M154" s="971"/>
      <c r="N154" s="2634"/>
      <c r="P154" s="2093"/>
      <c r="Q154" s="2093"/>
    </row>
    <row r="155" spans="2:17" s="1639" customFormat="1" ht="15.75" hidden="1" customHeight="1" x14ac:dyDescent="0.25">
      <c r="B155" s="2630"/>
      <c r="C155" s="509" t="s">
        <v>4542</v>
      </c>
      <c r="D155" s="817">
        <v>216293500</v>
      </c>
      <c r="E155" s="2674">
        <f t="shared" si="7"/>
        <v>0.12084321555212993</v>
      </c>
      <c r="F155" s="2666"/>
      <c r="G155" s="1716"/>
      <c r="H155" s="1716"/>
      <c r="I155" s="1716"/>
      <c r="J155" s="2666"/>
      <c r="K155" s="971"/>
      <c r="L155" s="971"/>
      <c r="M155" s="971"/>
      <c r="N155" s="2634"/>
      <c r="P155" s="2093"/>
      <c r="Q155" s="2093"/>
    </row>
    <row r="156" spans="2:17" s="1639" customFormat="1" ht="18" hidden="1" customHeight="1" x14ac:dyDescent="0.25">
      <c r="B156" s="2630"/>
      <c r="C156" s="509" t="s">
        <v>4543</v>
      </c>
      <c r="D156" s="817">
        <v>79648000</v>
      </c>
      <c r="E156" s="2674">
        <f t="shared" si="7"/>
        <v>4.4499351262502318E-2</v>
      </c>
      <c r="F156" s="2666"/>
      <c r="G156" s="1716"/>
      <c r="H156" s="1648"/>
      <c r="I156" s="1648"/>
      <c r="J156" s="2666"/>
      <c r="K156" s="971"/>
      <c r="L156" s="1717"/>
      <c r="M156" s="1717"/>
      <c r="N156" s="2634"/>
      <c r="P156" s="2093"/>
      <c r="Q156" s="2093"/>
    </row>
    <row r="157" spans="2:17" s="1639" customFormat="1" ht="17.25" hidden="1" customHeight="1" x14ac:dyDescent="0.25">
      <c r="B157" s="2630"/>
      <c r="C157" s="1263" t="s">
        <v>4544</v>
      </c>
      <c r="D157" s="1537">
        <v>215352000</v>
      </c>
      <c r="E157" s="2674">
        <f t="shared" si="7"/>
        <v>0.12031719934062876</v>
      </c>
      <c r="F157" s="1396"/>
      <c r="G157" s="3553"/>
      <c r="H157" s="3576"/>
      <c r="I157" s="3576"/>
      <c r="J157" s="1396"/>
      <c r="K157" s="971"/>
      <c r="L157" s="1717"/>
      <c r="M157" s="1717"/>
      <c r="N157" s="2634"/>
      <c r="P157" s="2093"/>
      <c r="Q157" s="2093"/>
    </row>
    <row r="158" spans="2:17" s="1639" customFormat="1" ht="19.5" hidden="1" customHeight="1" x14ac:dyDescent="0.25">
      <c r="B158" s="2630"/>
      <c r="C158" s="509" t="s">
        <v>4545</v>
      </c>
      <c r="D158" s="1537">
        <v>4371261300</v>
      </c>
      <c r="E158" s="2674">
        <f t="shared" si="7"/>
        <v>2.4422244381388425</v>
      </c>
      <c r="F158" s="1398"/>
      <c r="G158" s="3648"/>
      <c r="H158" s="3648"/>
      <c r="I158" s="3648"/>
      <c r="J158" s="1398"/>
      <c r="K158" s="971"/>
      <c r="L158" s="1717"/>
      <c r="M158" s="1717"/>
      <c r="N158" s="2634"/>
      <c r="P158" s="2093"/>
      <c r="Q158" s="2093"/>
    </row>
    <row r="159" spans="2:17" s="1639" customFormat="1" ht="30" hidden="1" customHeight="1" x14ac:dyDescent="0.25">
      <c r="B159" s="2630"/>
      <c r="C159" s="509" t="s">
        <v>4546</v>
      </c>
      <c r="D159" s="817">
        <v>8034979800</v>
      </c>
      <c r="E159" s="2674">
        <f t="shared" si="7"/>
        <v>4.4891445925485964</v>
      </c>
      <c r="F159" s="2666"/>
      <c r="G159" s="1716"/>
      <c r="H159" s="1648"/>
      <c r="I159" s="1648"/>
      <c r="J159" s="2666"/>
      <c r="K159" s="971"/>
      <c r="L159" s="1717"/>
      <c r="M159" s="1717"/>
      <c r="N159" s="2634"/>
      <c r="P159" s="2093"/>
      <c r="Q159" s="2093"/>
    </row>
    <row r="160" spans="2:17" s="1639" customFormat="1" ht="19.5" hidden="1" customHeight="1" x14ac:dyDescent="0.25">
      <c r="B160" s="2630"/>
      <c r="C160" s="509" t="s">
        <v>4547</v>
      </c>
      <c r="D160" s="817">
        <v>225182000</v>
      </c>
      <c r="E160" s="2674">
        <f t="shared" si="7"/>
        <v>0.12580922202682801</v>
      </c>
      <c r="F160" s="2666"/>
      <c r="G160" s="1716"/>
      <c r="H160" s="1648"/>
      <c r="I160" s="1648"/>
      <c r="J160" s="2666"/>
      <c r="K160" s="971"/>
      <c r="L160" s="1717"/>
      <c r="M160" s="1717"/>
      <c r="N160" s="2634"/>
      <c r="P160" s="2093"/>
      <c r="Q160" s="2093"/>
    </row>
    <row r="161" spans="2:17" s="1639" customFormat="1" ht="11.25" hidden="1" customHeight="1" x14ac:dyDescent="0.25">
      <c r="B161" s="2630"/>
      <c r="C161" s="1144"/>
      <c r="D161" s="1538"/>
      <c r="E161" s="780"/>
      <c r="F161" s="2631"/>
      <c r="G161" s="2667"/>
      <c r="H161" s="2247"/>
      <c r="I161" s="2247"/>
      <c r="J161" s="2631"/>
      <c r="K161" s="2266"/>
      <c r="L161" s="1312"/>
      <c r="M161" s="1311"/>
      <c r="N161" s="2634"/>
      <c r="P161" s="2093"/>
      <c r="Q161" s="2093"/>
    </row>
    <row r="162" spans="2:17" s="1639" customFormat="1" ht="18" hidden="1" customHeight="1" x14ac:dyDescent="0.25">
      <c r="B162" s="2630"/>
      <c r="C162" s="1132" t="s">
        <v>1534</v>
      </c>
      <c r="D162" s="1539">
        <f>SUM(D163:D167)</f>
        <v>2226225000</v>
      </c>
      <c r="E162" s="2024">
        <f>D162/178986879000*100</f>
        <v>1.2437922893778153</v>
      </c>
      <c r="F162" s="1742"/>
      <c r="G162" s="1742"/>
      <c r="H162" s="1706"/>
      <c r="I162" s="1706"/>
      <c r="J162" s="1742"/>
      <c r="K162" s="761"/>
      <c r="L162" s="2261"/>
      <c r="M162" s="761"/>
      <c r="N162" s="2634"/>
      <c r="P162" s="2093"/>
      <c r="Q162" s="2093"/>
    </row>
    <row r="163" spans="2:17" s="1639" customFormat="1" ht="15.75" hidden="1" customHeight="1" x14ac:dyDescent="0.25">
      <c r="B163" s="2630"/>
      <c r="C163" s="1143" t="s">
        <v>4548</v>
      </c>
      <c r="D163" s="818">
        <v>1185210000</v>
      </c>
      <c r="E163" s="780">
        <f t="shared" ref="E163:E167" si="8">D163/178986879000*100</f>
        <v>0.6621770303062271</v>
      </c>
      <c r="F163" s="2668"/>
      <c r="G163" s="1716"/>
      <c r="H163" s="1716"/>
      <c r="I163" s="1716"/>
      <c r="J163" s="2668"/>
      <c r="K163" s="971"/>
      <c r="L163" s="1717"/>
      <c r="M163" s="1648"/>
      <c r="N163" s="2634"/>
      <c r="P163" s="2093"/>
      <c r="Q163" s="2093"/>
    </row>
    <row r="164" spans="2:17" s="1639" customFormat="1" ht="15.75" hidden="1" customHeight="1" x14ac:dyDescent="0.25">
      <c r="B164" s="2630"/>
      <c r="C164" s="1145" t="s">
        <v>4549</v>
      </c>
      <c r="D164" s="819">
        <v>122167000</v>
      </c>
      <c r="E164" s="2674">
        <f t="shared" si="8"/>
        <v>6.8254723856043101E-2</v>
      </c>
      <c r="F164" s="2669"/>
      <c r="G164" s="1716"/>
      <c r="H164" s="1716"/>
      <c r="I164" s="1716"/>
      <c r="J164" s="2669"/>
      <c r="K164" s="971"/>
      <c r="L164" s="1717"/>
      <c r="M164" s="1648"/>
      <c r="N164" s="2634"/>
      <c r="P164" s="2093"/>
      <c r="Q164" s="2093"/>
    </row>
    <row r="165" spans="2:17" s="1639" customFormat="1" ht="15" hidden="1" customHeight="1" x14ac:dyDescent="0.25">
      <c r="B165" s="2630"/>
      <c r="C165" s="1145" t="s">
        <v>4550</v>
      </c>
      <c r="D165" s="819">
        <v>108012000</v>
      </c>
      <c r="E165" s="2674">
        <f t="shared" si="8"/>
        <v>6.0346322927950495E-2</v>
      </c>
      <c r="F165" s="2669"/>
      <c r="G165" s="1716"/>
      <c r="H165" s="1648"/>
      <c r="I165" s="1648"/>
      <c r="J165" s="2669"/>
      <c r="K165" s="971"/>
      <c r="L165" s="1717"/>
      <c r="M165" s="1648"/>
      <c r="N165" s="2634"/>
      <c r="P165" s="2093"/>
      <c r="Q165" s="2093"/>
    </row>
    <row r="166" spans="2:17" s="1639" customFormat="1" ht="17.25" hidden="1" customHeight="1" x14ac:dyDescent="0.25">
      <c r="B166" s="2630"/>
      <c r="C166" s="1145" t="s">
        <v>4551</v>
      </c>
      <c r="D166" s="819">
        <v>92477000</v>
      </c>
      <c r="E166" s="2674">
        <f t="shared" si="8"/>
        <v>5.1666915763138144E-2</v>
      </c>
      <c r="F166" s="2669"/>
      <c r="G166" s="1716"/>
      <c r="H166" s="1716"/>
      <c r="I166" s="1716"/>
      <c r="J166" s="2669"/>
      <c r="K166" s="971"/>
      <c r="L166" s="1717"/>
      <c r="M166" s="1312"/>
      <c r="N166" s="2634"/>
      <c r="P166" s="2093"/>
      <c r="Q166" s="2093"/>
    </row>
    <row r="167" spans="2:17" s="1639" customFormat="1" ht="18" hidden="1" customHeight="1" x14ac:dyDescent="0.25">
      <c r="B167" s="2630"/>
      <c r="C167" s="1145" t="s">
        <v>793</v>
      </c>
      <c r="D167" s="819">
        <v>718359000</v>
      </c>
      <c r="E167" s="2674">
        <f t="shared" si="8"/>
        <v>0.40134729652445644</v>
      </c>
      <c r="F167" s="2669"/>
      <c r="G167" s="1716"/>
      <c r="H167" s="1648"/>
      <c r="I167" s="2247"/>
      <c r="J167" s="2669"/>
      <c r="K167" s="971"/>
      <c r="L167" s="1717"/>
      <c r="M167" s="1311"/>
      <c r="N167" s="2634"/>
      <c r="P167" s="2093"/>
      <c r="Q167" s="2093"/>
    </row>
    <row r="168" spans="2:17" s="1639" customFormat="1" ht="12" hidden="1" customHeight="1" x14ac:dyDescent="0.25">
      <c r="B168" s="2630"/>
      <c r="C168" s="1143"/>
      <c r="D168" s="820"/>
      <c r="E168" s="780"/>
      <c r="F168" s="2670"/>
      <c r="G168" s="1648"/>
      <c r="H168" s="1648"/>
      <c r="I168" s="2247"/>
      <c r="J168" s="2670"/>
      <c r="K168" s="2266"/>
      <c r="L168" s="1311"/>
      <c r="M168" s="1311"/>
      <c r="N168" s="2634"/>
      <c r="P168" s="2093"/>
      <c r="Q168" s="2093"/>
    </row>
    <row r="169" spans="2:17" s="1639" customFormat="1" ht="19.5" hidden="1" customHeight="1" x14ac:dyDescent="0.25">
      <c r="B169" s="2630"/>
      <c r="C169" s="648" t="s">
        <v>1540</v>
      </c>
      <c r="D169" s="1539">
        <f>SUM(D170:D172)</f>
        <v>1313679000</v>
      </c>
      <c r="E169" s="2024">
        <f>D169/178986879000*100</f>
        <v>0.73395268264329028</v>
      </c>
      <c r="F169" s="1742"/>
      <c r="G169" s="1742"/>
      <c r="H169" s="1706"/>
      <c r="I169" s="1706"/>
      <c r="J169" s="1742"/>
      <c r="K169" s="761"/>
      <c r="L169" s="2261"/>
      <c r="M169" s="1650"/>
      <c r="N169" s="2634"/>
      <c r="P169" s="2093"/>
      <c r="Q169" s="2093"/>
    </row>
    <row r="170" spans="2:17" s="1639" customFormat="1" ht="17.25" hidden="1" customHeight="1" x14ac:dyDescent="0.25">
      <c r="B170" s="2630"/>
      <c r="C170" s="509" t="s">
        <v>4552</v>
      </c>
      <c r="D170" s="1540">
        <v>390092000</v>
      </c>
      <c r="E170" s="780">
        <f t="shared" ref="E170:E172" si="9">D170/178986879000*100</f>
        <v>0.21794446731483597</v>
      </c>
      <c r="F170" s="2671"/>
      <c r="G170" s="1716"/>
      <c r="H170" s="1716"/>
      <c r="I170" s="1716"/>
      <c r="J170" s="2671"/>
      <c r="K170" s="971"/>
      <c r="L170" s="971"/>
      <c r="M170" s="971"/>
      <c r="N170" s="2634"/>
      <c r="P170" s="2093"/>
      <c r="Q170" s="2093"/>
    </row>
    <row r="171" spans="2:17" s="1639" customFormat="1" ht="17.25" hidden="1" customHeight="1" x14ac:dyDescent="0.25">
      <c r="B171" s="2630"/>
      <c r="C171" s="509" t="s">
        <v>4553</v>
      </c>
      <c r="D171" s="813">
        <v>684300000</v>
      </c>
      <c r="E171" s="2674">
        <f t="shared" si="9"/>
        <v>0.38231852738211047</v>
      </c>
      <c r="F171" s="2662"/>
      <c r="G171" s="1716"/>
      <c r="H171" s="1716"/>
      <c r="I171" s="1716"/>
      <c r="J171" s="2672"/>
      <c r="K171" s="971"/>
      <c r="L171" s="1717"/>
      <c r="M171" s="1648"/>
      <c r="N171" s="2634"/>
      <c r="P171" s="2093"/>
      <c r="Q171" s="2093"/>
    </row>
    <row r="172" spans="2:17" s="1639" customFormat="1" ht="25.5" hidden="1" customHeight="1" x14ac:dyDescent="0.25">
      <c r="B172" s="2630"/>
      <c r="C172" s="509" t="s">
        <v>4554</v>
      </c>
      <c r="D172" s="813">
        <v>239287000</v>
      </c>
      <c r="E172" s="2674">
        <f t="shared" si="9"/>
        <v>0.13368968794634381</v>
      </c>
      <c r="F172" s="2673"/>
      <c r="G172" s="1716"/>
      <c r="H172" s="1716"/>
      <c r="I172" s="1716"/>
      <c r="J172" s="2673"/>
      <c r="K172" s="971"/>
      <c r="L172" s="971"/>
      <c r="M172" s="971"/>
      <c r="N172" s="2634"/>
      <c r="P172" s="2093"/>
      <c r="Q172" s="2093"/>
    </row>
    <row r="173" spans="2:17" s="1639" customFormat="1" ht="13.5" hidden="1" customHeight="1" x14ac:dyDescent="0.25">
      <c r="B173" s="2630"/>
      <c r="C173" s="509"/>
      <c r="D173" s="1520"/>
      <c r="E173" s="2674"/>
      <c r="F173" s="2671"/>
      <c r="G173" s="1716"/>
      <c r="H173" s="1648"/>
      <c r="I173" s="1648"/>
      <c r="J173" s="2671"/>
      <c r="K173" s="971"/>
      <c r="L173" s="1717"/>
      <c r="M173" s="1312"/>
      <c r="N173" s="2634"/>
      <c r="P173" s="2093"/>
      <c r="Q173" s="2093"/>
    </row>
    <row r="174" spans="2:17" s="1639" customFormat="1" ht="16.5" hidden="1" customHeight="1" x14ac:dyDescent="0.25">
      <c r="B174" s="2630"/>
      <c r="C174" s="1132" t="s">
        <v>1545</v>
      </c>
      <c r="D174" s="1541">
        <f>SUM(D175:D181)</f>
        <v>1931738800</v>
      </c>
      <c r="E174" s="2024">
        <f>D174/178986879000*100</f>
        <v>1.0792627989228194</v>
      </c>
      <c r="F174" s="2676"/>
      <c r="G174" s="1512"/>
      <c r="H174" s="2655"/>
      <c r="I174" s="2655"/>
      <c r="J174" s="2676"/>
      <c r="K174" s="2269"/>
      <c r="L174" s="1312"/>
      <c r="M174" s="1311"/>
      <c r="N174" s="2634"/>
      <c r="P174" s="2093"/>
      <c r="Q174" s="2093"/>
    </row>
    <row r="175" spans="2:17" s="1639" customFormat="1" ht="19.5" hidden="1" customHeight="1" x14ac:dyDescent="0.25">
      <c r="B175" s="2630"/>
      <c r="C175" s="509" t="s">
        <v>4555</v>
      </c>
      <c r="D175" s="1540">
        <v>110372000</v>
      </c>
      <c r="E175" s="780">
        <f t="shared" ref="E175:E181" si="10">D175/178986879000*100</f>
        <v>6.1664855332775541E-2</v>
      </c>
      <c r="F175" s="2677"/>
      <c r="G175" s="2677"/>
      <c r="H175" s="1706"/>
      <c r="I175" s="1706"/>
      <c r="J175" s="2677"/>
      <c r="K175" s="822"/>
      <c r="L175" s="2261"/>
      <c r="M175" s="1650"/>
      <c r="N175" s="2634"/>
      <c r="P175" s="2093"/>
      <c r="Q175" s="2093"/>
    </row>
    <row r="176" spans="2:17" s="1639" customFormat="1" ht="18.75" hidden="1" customHeight="1" x14ac:dyDescent="0.25">
      <c r="B176" s="2630"/>
      <c r="C176" s="509" t="s">
        <v>4556</v>
      </c>
      <c r="D176" s="1540">
        <v>227541000</v>
      </c>
      <c r="E176" s="2674">
        <f t="shared" si="10"/>
        <v>0.12712719573148154</v>
      </c>
      <c r="F176" s="2671"/>
      <c r="G176" s="1716"/>
      <c r="H176" s="1716"/>
      <c r="I176" s="1716"/>
      <c r="J176" s="2671"/>
      <c r="K176" s="971"/>
      <c r="L176" s="1717"/>
      <c r="M176" s="1312"/>
      <c r="N176" s="2634"/>
      <c r="P176" s="2093"/>
      <c r="Q176" s="2093"/>
    </row>
    <row r="177" spans="1:17" s="1639" customFormat="1" ht="21" hidden="1" customHeight="1" x14ac:dyDescent="0.25">
      <c r="B177" s="2630"/>
      <c r="C177" s="509" t="s">
        <v>4557</v>
      </c>
      <c r="D177" s="813">
        <v>164920000</v>
      </c>
      <c r="E177" s="2674">
        <f t="shared" si="10"/>
        <v>9.2140832289723307E-2</v>
      </c>
      <c r="F177" s="2671"/>
      <c r="G177" s="1716"/>
      <c r="H177" s="1716"/>
      <c r="I177" s="1716"/>
      <c r="J177" s="2671"/>
      <c r="K177" s="971"/>
      <c r="L177" s="971"/>
      <c r="M177" s="971"/>
      <c r="N177" s="2634"/>
      <c r="P177" s="2093"/>
      <c r="Q177" s="2093"/>
    </row>
    <row r="178" spans="1:17" s="1639" customFormat="1" ht="19.5" hidden="1" customHeight="1" x14ac:dyDescent="0.25">
      <c r="B178" s="2630"/>
      <c r="C178" s="509" t="s">
        <v>4558</v>
      </c>
      <c r="D178" s="813">
        <v>605916800</v>
      </c>
      <c r="E178" s="2674">
        <f t="shared" si="10"/>
        <v>0.33852582009656695</v>
      </c>
      <c r="F178" s="2662"/>
      <c r="G178" s="1716"/>
      <c r="H178" s="1716"/>
      <c r="I178" s="1716"/>
      <c r="J178" s="2662"/>
      <c r="K178" s="971"/>
      <c r="L178" s="1717"/>
      <c r="M178" s="1648"/>
      <c r="N178" s="2634"/>
      <c r="P178" s="2093"/>
      <c r="Q178" s="2093"/>
    </row>
    <row r="179" spans="1:17" s="1639" customFormat="1" ht="13.5" hidden="1" customHeight="1" x14ac:dyDescent="0.25">
      <c r="B179" s="2630"/>
      <c r="C179" s="509" t="s">
        <v>4559</v>
      </c>
      <c r="D179" s="813">
        <v>171475000</v>
      </c>
      <c r="E179" s="2674">
        <f t="shared" si="10"/>
        <v>9.5803111914142036E-2</v>
      </c>
      <c r="F179" s="2662"/>
      <c r="G179" s="1716"/>
      <c r="H179" s="1648"/>
      <c r="I179" s="1648"/>
      <c r="J179" s="2662"/>
      <c r="K179" s="971"/>
      <c r="L179" s="1717"/>
      <c r="M179" s="1648"/>
      <c r="N179" s="2634"/>
      <c r="P179" s="2093"/>
      <c r="Q179" s="2093"/>
    </row>
    <row r="180" spans="1:17" s="1639" customFormat="1" ht="18" hidden="1" customHeight="1" x14ac:dyDescent="0.25">
      <c r="B180" s="2630"/>
      <c r="C180" s="509" t="s">
        <v>4561</v>
      </c>
      <c r="D180" s="813">
        <v>370000000</v>
      </c>
      <c r="E180" s="2674">
        <f t="shared" si="10"/>
        <v>0.20671906346833388</v>
      </c>
      <c r="F180" s="2662"/>
      <c r="G180" s="1716"/>
      <c r="H180" s="1648"/>
      <c r="I180" s="1648"/>
      <c r="J180" s="2662"/>
      <c r="K180" s="971"/>
      <c r="L180" s="1717"/>
      <c r="M180" s="1648"/>
      <c r="N180" s="2634"/>
      <c r="P180" s="2093"/>
      <c r="Q180" s="2093"/>
    </row>
    <row r="181" spans="1:17" s="1639" customFormat="1" ht="31.5" hidden="1" customHeight="1" x14ac:dyDescent="0.25">
      <c r="B181" s="2630"/>
      <c r="C181" s="509" t="s">
        <v>4560</v>
      </c>
      <c r="D181" s="813">
        <v>281514000</v>
      </c>
      <c r="E181" s="2674">
        <f t="shared" si="10"/>
        <v>0.15728192008979608</v>
      </c>
      <c r="F181" s="2662"/>
      <c r="G181" s="1716"/>
      <c r="H181" s="1716"/>
      <c r="I181" s="1716"/>
      <c r="J181" s="2662"/>
      <c r="K181" s="971"/>
      <c r="L181" s="971"/>
      <c r="M181" s="971"/>
      <c r="N181" s="2634"/>
      <c r="P181" s="2093"/>
      <c r="Q181" s="2093"/>
    </row>
    <row r="182" spans="1:17" s="1639" customFormat="1" ht="9.75" hidden="1" customHeight="1" x14ac:dyDescent="0.25">
      <c r="B182" s="2630"/>
      <c r="C182" s="519"/>
      <c r="D182" s="824"/>
      <c r="E182" s="780"/>
      <c r="F182" s="2672"/>
      <c r="G182" s="1716"/>
      <c r="H182" s="1648"/>
      <c r="I182" s="1648"/>
      <c r="J182" s="2672"/>
      <c r="K182" s="971"/>
      <c r="L182" s="1717"/>
      <c r="M182" s="1648"/>
      <c r="N182" s="2634"/>
      <c r="P182" s="2093"/>
      <c r="Q182" s="2093"/>
    </row>
    <row r="183" spans="1:17" s="1639" customFormat="1" ht="18.75" hidden="1" customHeight="1" x14ac:dyDescent="0.25">
      <c r="B183" s="2630"/>
      <c r="C183" s="1132" t="s">
        <v>1590</v>
      </c>
      <c r="D183" s="825">
        <f>SUM(D184:D184)</f>
        <v>217104000</v>
      </c>
      <c r="E183" s="2024">
        <f>D183/178986879000*100</f>
        <v>0.12129604204115992</v>
      </c>
      <c r="F183" s="2662"/>
      <c r="G183" s="1722"/>
      <c r="H183" s="2271"/>
      <c r="I183" s="2271"/>
      <c r="J183" s="2678"/>
      <c r="K183" s="1649"/>
      <c r="L183" s="2271"/>
      <c r="M183" s="2271"/>
      <c r="N183" s="2634"/>
      <c r="P183" s="2093"/>
      <c r="Q183" s="2093"/>
    </row>
    <row r="184" spans="1:17" s="1639" customFormat="1" ht="16.5" hidden="1" customHeight="1" x14ac:dyDescent="0.25">
      <c r="B184" s="2630"/>
      <c r="C184" s="509" t="s">
        <v>4562</v>
      </c>
      <c r="D184" s="826">
        <v>217104000</v>
      </c>
      <c r="E184" s="780">
        <f t="shared" ref="E184:E188" si="11">D184/178986879000*100</f>
        <v>0.12129604204115992</v>
      </c>
      <c r="F184" s="2679"/>
      <c r="G184" s="1729"/>
      <c r="H184" s="1729"/>
      <c r="I184" s="1729"/>
      <c r="J184" s="2679"/>
      <c r="K184" s="753"/>
      <c r="L184" s="753"/>
      <c r="M184" s="753"/>
      <c r="N184" s="2634"/>
      <c r="P184" s="2093"/>
      <c r="Q184" s="2093"/>
    </row>
    <row r="185" spans="1:17" s="1639" customFormat="1" ht="9" hidden="1" customHeight="1" x14ac:dyDescent="0.25">
      <c r="B185" s="2630"/>
      <c r="C185" s="509"/>
      <c r="D185" s="826"/>
      <c r="E185" s="780"/>
      <c r="F185" s="2680"/>
      <c r="G185" s="1716"/>
      <c r="H185" s="1716"/>
      <c r="I185" s="1716"/>
      <c r="J185" s="2680"/>
      <c r="K185" s="971"/>
      <c r="L185" s="971"/>
      <c r="M185" s="971"/>
      <c r="N185" s="2634"/>
      <c r="P185" s="2093"/>
      <c r="Q185" s="2093"/>
    </row>
    <row r="186" spans="1:17" s="1639" customFormat="1" ht="22.5" hidden="1" customHeight="1" x14ac:dyDescent="0.25">
      <c r="B186" s="2630"/>
      <c r="C186" s="1132" t="s">
        <v>1591</v>
      </c>
      <c r="D186" s="825">
        <f>SUM(D187:D188)</f>
        <v>382080000</v>
      </c>
      <c r="E186" s="768">
        <f t="shared" si="11"/>
        <v>0.21346816154048923</v>
      </c>
      <c r="F186" s="2680"/>
      <c r="G186" s="1716"/>
      <c r="H186" s="1716"/>
      <c r="I186" s="1716"/>
      <c r="J186" s="2680"/>
      <c r="K186" s="971"/>
      <c r="L186" s="971"/>
      <c r="M186" s="971"/>
      <c r="N186" s="2634"/>
      <c r="P186" s="2093"/>
      <c r="Q186" s="2093"/>
    </row>
    <row r="187" spans="1:17" s="1639" customFormat="1" ht="18" hidden="1" customHeight="1" x14ac:dyDescent="0.25">
      <c r="B187" s="2630"/>
      <c r="C187" s="509" t="s">
        <v>4563</v>
      </c>
      <c r="D187" s="826">
        <v>252530000</v>
      </c>
      <c r="E187" s="780">
        <f t="shared" si="11"/>
        <v>0.14108855431799555</v>
      </c>
      <c r="F187" s="2680"/>
      <c r="G187" s="1716"/>
      <c r="H187" s="1716"/>
      <c r="I187" s="1716"/>
      <c r="J187" s="2680"/>
      <c r="K187" s="971"/>
      <c r="L187" s="971"/>
      <c r="M187" s="971"/>
      <c r="N187" s="2634"/>
      <c r="P187" s="2093"/>
      <c r="Q187" s="2093"/>
    </row>
    <row r="188" spans="1:17" s="1639" customFormat="1" ht="18.75" hidden="1" customHeight="1" x14ac:dyDescent="0.25">
      <c r="B188" s="2630"/>
      <c r="C188" s="509" t="s">
        <v>4564</v>
      </c>
      <c r="D188" s="813">
        <v>129550000</v>
      </c>
      <c r="E188" s="780">
        <f t="shared" si="11"/>
        <v>7.2379607222493675E-2</v>
      </c>
      <c r="F188" s="2680"/>
      <c r="G188" s="1716"/>
      <c r="H188" s="1716"/>
      <c r="I188" s="1716"/>
      <c r="J188" s="2680"/>
      <c r="K188" s="1670"/>
      <c r="L188" s="1648"/>
      <c r="M188" s="1648"/>
      <c r="N188" s="2634"/>
      <c r="P188" s="2093"/>
      <c r="Q188" s="2093"/>
    </row>
    <row r="189" spans="1:17" s="3627" customFormat="1" ht="12" hidden="1" customHeight="1" x14ac:dyDescent="0.25">
      <c r="A189" s="3628"/>
      <c r="B189" s="2630"/>
      <c r="C189" s="504"/>
      <c r="D189" s="808"/>
      <c r="E189" s="799"/>
      <c r="F189" s="2681"/>
      <c r="G189" s="2654"/>
      <c r="H189" s="2658"/>
      <c r="I189" s="2658"/>
      <c r="J189" s="2681"/>
      <c r="K189" s="2518"/>
      <c r="L189" s="1671"/>
      <c r="M189" s="2182"/>
      <c r="N189" s="3653"/>
      <c r="P189" s="522"/>
      <c r="Q189" s="522"/>
    </row>
    <row r="190" spans="1:17" s="1639" customFormat="1" ht="16.5" hidden="1" customHeight="1" x14ac:dyDescent="0.25">
      <c r="B190" s="2635"/>
      <c r="C190" s="1149" t="s">
        <v>4692</v>
      </c>
      <c r="D190" s="855">
        <f>SUM(D191)</f>
        <v>30000000</v>
      </c>
      <c r="E190" s="2659">
        <f>D190/178986879000*100</f>
        <v>1.6761005146081129E-2</v>
      </c>
      <c r="F190" s="863"/>
      <c r="G190" s="1726"/>
      <c r="H190" s="1656"/>
      <c r="I190" s="1656"/>
      <c r="J190" s="863"/>
      <c r="K190" s="1656"/>
      <c r="L190" s="1656"/>
      <c r="M190" s="1656"/>
      <c r="N190" s="2634"/>
      <c r="P190" s="2093"/>
      <c r="Q190" s="2093"/>
    </row>
    <row r="191" spans="1:17" s="1639" customFormat="1" ht="17.25" hidden="1" customHeight="1" x14ac:dyDescent="0.25">
      <c r="B191" s="2630"/>
      <c r="C191" s="1131" t="s">
        <v>4693</v>
      </c>
      <c r="D191" s="1554">
        <f>D192</f>
        <v>30000000</v>
      </c>
      <c r="E191" s="2024">
        <f>D191/178986879000*100</f>
        <v>1.6761005146081129E-2</v>
      </c>
      <c r="F191" s="856"/>
      <c r="G191" s="2380"/>
      <c r="H191" s="2380"/>
      <c r="I191" s="2380"/>
      <c r="J191" s="856"/>
      <c r="K191" s="2380"/>
      <c r="L191" s="795"/>
      <c r="M191" s="795"/>
      <c r="N191" s="795"/>
      <c r="P191" s="2093"/>
      <c r="Q191" s="2093">
        <v>0</v>
      </c>
    </row>
    <row r="192" spans="1:17" s="1639" customFormat="1" ht="16.5" hidden="1" customHeight="1" x14ac:dyDescent="0.25">
      <c r="B192" s="2630"/>
      <c r="C192" s="509" t="s">
        <v>4694</v>
      </c>
      <c r="D192" s="1548">
        <v>30000000</v>
      </c>
      <c r="E192" s="780">
        <f>D192/178986879000*100</f>
        <v>1.6761005146081129E-2</v>
      </c>
      <c r="F192" s="813"/>
      <c r="G192" s="1722"/>
      <c r="H192" s="1722"/>
      <c r="I192" s="1722"/>
      <c r="J192" s="813"/>
      <c r="K192" s="1722"/>
      <c r="L192" s="798"/>
      <c r="M192" s="798"/>
      <c r="N192" s="798"/>
      <c r="P192" s="2093"/>
      <c r="Q192" s="2093"/>
    </row>
    <row r="193" spans="2:17" ht="12" hidden="1" customHeight="1" x14ac:dyDescent="0.25">
      <c r="B193" s="2630"/>
      <c r="C193" s="1184"/>
      <c r="D193" s="808"/>
      <c r="E193" s="660"/>
      <c r="F193" s="2681"/>
      <c r="G193" s="2682"/>
      <c r="H193" s="2683"/>
      <c r="I193" s="2683"/>
      <c r="J193" s="2681"/>
      <c r="K193" s="2644"/>
      <c r="L193" s="1650"/>
      <c r="M193" s="1311"/>
      <c r="N193" s="2634"/>
    </row>
    <row r="194" spans="2:17" s="1639" customFormat="1" ht="19.5" hidden="1" customHeight="1" x14ac:dyDescent="0.25">
      <c r="B194" s="2635"/>
      <c r="C194" s="507" t="s">
        <v>4705</v>
      </c>
      <c r="D194" s="858">
        <f>SUM(D195)</f>
        <v>20000000</v>
      </c>
      <c r="E194" s="2659">
        <f>D194/178986879000*100</f>
        <v>1.1174003430720753E-2</v>
      </c>
      <c r="F194" s="858"/>
      <c r="G194" s="1726"/>
      <c r="H194" s="1656"/>
      <c r="I194" s="1656"/>
      <c r="J194" s="858"/>
      <c r="K194" s="858"/>
      <c r="L194" s="858"/>
      <c r="M194" s="858"/>
      <c r="N194" s="2634"/>
      <c r="P194" s="2093"/>
      <c r="Q194" s="2093"/>
    </row>
    <row r="195" spans="2:17" s="1639" customFormat="1" ht="17.25" hidden="1" customHeight="1" x14ac:dyDescent="0.25">
      <c r="B195" s="2630"/>
      <c r="C195" s="1131" t="s">
        <v>4706</v>
      </c>
      <c r="D195" s="1554">
        <f>D196</f>
        <v>20000000</v>
      </c>
      <c r="E195" s="3143">
        <f>D195/178986879000*100</f>
        <v>1.1174003430720753E-2</v>
      </c>
      <c r="F195" s="856"/>
      <c r="G195" s="2380"/>
      <c r="H195" s="2380"/>
      <c r="I195" s="2380"/>
      <c r="J195" s="856"/>
      <c r="K195" s="856"/>
      <c r="L195" s="753"/>
      <c r="M195" s="753"/>
      <c r="N195" s="2634"/>
      <c r="P195" s="2093"/>
      <c r="Q195" s="2093"/>
    </row>
    <row r="196" spans="2:17" s="1639" customFormat="1" ht="12" hidden="1" customHeight="1" x14ac:dyDescent="0.25">
      <c r="B196" s="2630"/>
      <c r="C196" s="509" t="s">
        <v>4707</v>
      </c>
      <c r="D196" s="1548">
        <v>20000000</v>
      </c>
      <c r="E196" s="799">
        <f>D196/178986879000*100</f>
        <v>1.1174003430720753E-2</v>
      </c>
      <c r="F196" s="813"/>
      <c r="G196" s="1722"/>
      <c r="H196" s="1722"/>
      <c r="I196" s="1722"/>
      <c r="J196" s="813"/>
      <c r="K196" s="971"/>
      <c r="L196" s="802"/>
      <c r="M196" s="802"/>
      <c r="N196" s="2634"/>
      <c r="P196" s="2093"/>
      <c r="Q196" s="2093"/>
    </row>
    <row r="197" spans="2:17" ht="12" hidden="1" customHeight="1" x14ac:dyDescent="0.25">
      <c r="B197" s="2630"/>
      <c r="C197" s="519"/>
      <c r="D197" s="813"/>
      <c r="E197" s="660"/>
      <c r="F197" s="2681"/>
      <c r="G197" s="2654"/>
      <c r="H197" s="2658"/>
      <c r="I197" s="2658"/>
      <c r="J197" s="2681"/>
      <c r="K197" s="2644"/>
      <c r="L197" s="1650"/>
      <c r="M197" s="1311"/>
      <c r="N197" s="2634"/>
    </row>
    <row r="198" spans="2:17" s="1639" customFormat="1" ht="18.75" hidden="1" customHeight="1" x14ac:dyDescent="0.25">
      <c r="B198" s="2635"/>
      <c r="C198" s="1149" t="s">
        <v>4720</v>
      </c>
      <c r="D198" s="858">
        <f>SUM(D199)</f>
        <v>60000000</v>
      </c>
      <c r="E198" s="2659">
        <f>D198/178986879000*100</f>
        <v>3.3522010292162258E-2</v>
      </c>
      <c r="F198" s="858"/>
      <c r="G198" s="1726"/>
      <c r="H198" s="1656"/>
      <c r="I198" s="1656"/>
      <c r="J198" s="858"/>
      <c r="K198" s="858"/>
      <c r="L198" s="1307"/>
      <c r="M198" s="1307"/>
      <c r="N198" s="2634"/>
      <c r="P198" s="2093"/>
      <c r="Q198" s="2093"/>
    </row>
    <row r="199" spans="2:17" s="1639" customFormat="1" ht="20.25" hidden="1" customHeight="1" x14ac:dyDescent="0.25">
      <c r="B199" s="2630"/>
      <c r="C199" s="1147" t="s">
        <v>4721</v>
      </c>
      <c r="D199" s="856">
        <f>D200</f>
        <v>60000000</v>
      </c>
      <c r="E199" s="2024">
        <f>D199/178986879000*100</f>
        <v>3.3522010292162258E-2</v>
      </c>
      <c r="F199" s="860"/>
      <c r="G199" s="2684"/>
      <c r="H199" s="1729"/>
      <c r="I199" s="2264"/>
      <c r="J199" s="860"/>
      <c r="K199" s="860"/>
      <c r="L199" s="753"/>
      <c r="M199" s="2264"/>
      <c r="N199" s="2634"/>
      <c r="P199" s="2093">
        <v>70000000</v>
      </c>
      <c r="Q199" s="2093">
        <v>70000000</v>
      </c>
    </row>
    <row r="200" spans="2:17" s="1639" customFormat="1" ht="15.75" hidden="1" customHeight="1" x14ac:dyDescent="0.25">
      <c r="B200" s="2630"/>
      <c r="C200" s="519" t="s">
        <v>4722</v>
      </c>
      <c r="D200" s="813">
        <v>60000000</v>
      </c>
      <c r="E200" s="780">
        <f>D200/178986879000*100</f>
        <v>3.3522010292162258E-2</v>
      </c>
      <c r="F200" s="813"/>
      <c r="G200" s="1722"/>
      <c r="H200" s="1716"/>
      <c r="I200" s="2271"/>
      <c r="J200" s="813"/>
      <c r="K200" s="971"/>
      <c r="L200" s="802"/>
      <c r="M200" s="2271"/>
      <c r="N200" s="2634"/>
      <c r="P200" s="2093"/>
      <c r="Q200" s="2093"/>
    </row>
    <row r="201" spans="2:17" ht="12" hidden="1" customHeight="1" x14ac:dyDescent="0.25">
      <c r="B201" s="2630"/>
      <c r="C201" s="521"/>
      <c r="D201" s="869"/>
      <c r="E201" s="660"/>
      <c r="F201" s="2685"/>
      <c r="G201" s="1728"/>
      <c r="H201" s="2118"/>
      <c r="I201" s="2175"/>
      <c r="J201" s="2685"/>
      <c r="K201" s="1514"/>
      <c r="L201" s="1323"/>
      <c r="M201" s="2175"/>
      <c r="N201" s="2634"/>
    </row>
    <row r="202" spans="2:17" s="1639" customFormat="1" ht="14.25" hidden="1" customHeight="1" x14ac:dyDescent="0.25">
      <c r="B202" s="2635"/>
      <c r="C202" s="507" t="s">
        <v>4732</v>
      </c>
      <c r="D202" s="858">
        <f>SUM(D203)</f>
        <v>85000000</v>
      </c>
      <c r="E202" s="2659">
        <f>D202/178986879000*100</f>
        <v>4.7489514580563191E-2</v>
      </c>
      <c r="F202" s="2686"/>
      <c r="G202" s="1726"/>
      <c r="H202" s="1656"/>
      <c r="I202" s="1656"/>
      <c r="J202" s="2686"/>
      <c r="K202" s="2686"/>
      <c r="L202" s="1656"/>
      <c r="M202" s="1656"/>
      <c r="N202" s="2634"/>
      <c r="P202" s="2093"/>
      <c r="Q202" s="2093"/>
    </row>
    <row r="203" spans="2:17" s="1639" customFormat="1" ht="15" hidden="1" customHeight="1" x14ac:dyDescent="0.25">
      <c r="B203" s="2630"/>
      <c r="C203" s="1147" t="s">
        <v>1596</v>
      </c>
      <c r="D203" s="856">
        <f>D204</f>
        <v>85000000</v>
      </c>
      <c r="E203" s="2024">
        <f>D203/178986879000*100</f>
        <v>4.7489514580563191E-2</v>
      </c>
      <c r="F203" s="2687"/>
      <c r="G203" s="2380"/>
      <c r="H203" s="2380"/>
      <c r="I203" s="2380"/>
      <c r="J203" s="2687"/>
      <c r="K203" s="856"/>
      <c r="L203" s="753"/>
      <c r="M203" s="2264"/>
      <c r="N203" s="2634"/>
      <c r="P203" s="2093">
        <v>17000000</v>
      </c>
      <c r="Q203" s="2093">
        <v>4500000</v>
      </c>
    </row>
    <row r="204" spans="2:17" s="1639" customFormat="1" ht="12" hidden="1" customHeight="1" x14ac:dyDescent="0.25">
      <c r="B204" s="2630"/>
      <c r="C204" s="519" t="s">
        <v>1597</v>
      </c>
      <c r="D204" s="813">
        <v>85000000</v>
      </c>
      <c r="E204" s="780">
        <f>D204/178986879000*100</f>
        <v>4.7489514580563191E-2</v>
      </c>
      <c r="F204" s="2662"/>
      <c r="G204" s="1722"/>
      <c r="H204" s="1722"/>
      <c r="I204" s="1722"/>
      <c r="J204" s="2662"/>
      <c r="K204" s="971"/>
      <c r="L204" s="802"/>
      <c r="M204" s="2271"/>
      <c r="N204" s="2634"/>
      <c r="P204" s="2093"/>
      <c r="Q204" s="2093"/>
    </row>
    <row r="205" spans="2:17" ht="12" hidden="1" customHeight="1" x14ac:dyDescent="0.25">
      <c r="B205" s="2630"/>
      <c r="C205" s="1184"/>
      <c r="D205" s="808"/>
      <c r="E205" s="660"/>
      <c r="F205" s="2681"/>
      <c r="G205" s="2654"/>
      <c r="H205" s="2658"/>
      <c r="I205" s="2658"/>
      <c r="J205" s="2681"/>
      <c r="K205" s="2644"/>
      <c r="L205" s="1650"/>
      <c r="M205" s="1311"/>
      <c r="N205" s="2634"/>
    </row>
    <row r="206" spans="2:17" s="1639" customFormat="1" ht="15" hidden="1" customHeight="1" x14ac:dyDescent="0.25">
      <c r="B206" s="2635"/>
      <c r="C206" s="507" t="s">
        <v>4741</v>
      </c>
      <c r="D206" s="858">
        <f>SUM(D207)</f>
        <v>50000000</v>
      </c>
      <c r="E206" s="2659">
        <f>D206/178986879000*100</f>
        <v>2.7935008576801874E-2</v>
      </c>
      <c r="F206" s="2686"/>
      <c r="G206" s="1726"/>
      <c r="H206" s="1656"/>
      <c r="I206" s="1656"/>
      <c r="J206" s="2686"/>
      <c r="K206" s="2686"/>
      <c r="L206" s="1656"/>
      <c r="M206" s="1656"/>
      <c r="N206" s="2634"/>
      <c r="P206" s="2093"/>
      <c r="Q206" s="2093"/>
    </row>
    <row r="207" spans="2:17" s="1639" customFormat="1" ht="13.5" hidden="1" customHeight="1" x14ac:dyDescent="0.25">
      <c r="B207" s="2630"/>
      <c r="C207" s="1147" t="s">
        <v>1601</v>
      </c>
      <c r="D207" s="3725">
        <f>D208</f>
        <v>50000000</v>
      </c>
      <c r="E207" s="2024">
        <f>D207/178986879000*100</f>
        <v>2.7935008576801874E-2</v>
      </c>
      <c r="F207" s="2688"/>
      <c r="G207" s="2689"/>
      <c r="H207" s="2689"/>
      <c r="I207" s="2689"/>
      <c r="J207" s="2688"/>
      <c r="K207" s="1519"/>
      <c r="L207" s="753"/>
      <c r="M207" s="1671"/>
      <c r="N207" s="2634"/>
      <c r="P207" s="2093">
        <v>23000000</v>
      </c>
      <c r="Q207" s="2093">
        <v>23000000</v>
      </c>
    </row>
    <row r="208" spans="2:17" s="1639" customFormat="1" ht="13.5" hidden="1" customHeight="1" x14ac:dyDescent="0.25">
      <c r="B208" s="2630"/>
      <c r="C208" s="519" t="s">
        <v>1602</v>
      </c>
      <c r="D208" s="971">
        <v>50000000</v>
      </c>
      <c r="E208" s="780">
        <f>D208/178986879000*100</f>
        <v>2.7935008576801874E-2</v>
      </c>
      <c r="F208" s="2690"/>
      <c r="G208" s="1722"/>
      <c r="H208" s="1722"/>
      <c r="I208" s="1722"/>
      <c r="J208" s="2690"/>
      <c r="K208" s="971"/>
      <c r="L208" s="802"/>
      <c r="M208" s="1703"/>
      <c r="N208" s="2634"/>
      <c r="P208" s="2093"/>
      <c r="Q208" s="2093"/>
    </row>
    <row r="209" spans="1:17" ht="12" hidden="1" customHeight="1" x14ac:dyDescent="0.25">
      <c r="B209" s="2630"/>
      <c r="C209" s="1184"/>
      <c r="D209" s="808"/>
      <c r="E209" s="660"/>
      <c r="F209" s="2681"/>
      <c r="G209" s="2654"/>
      <c r="H209" s="2658"/>
      <c r="I209" s="2658"/>
      <c r="J209" s="2681"/>
      <c r="K209" s="1514"/>
      <c r="L209" s="775"/>
      <c r="M209" s="2175"/>
      <c r="N209" s="2634"/>
    </row>
    <row r="210" spans="1:17" s="1240" customFormat="1" ht="17.25" hidden="1" customHeight="1" x14ac:dyDescent="0.25">
      <c r="B210" s="2924"/>
      <c r="C210" s="507" t="s">
        <v>4747</v>
      </c>
      <c r="D210" s="2925">
        <f>SUM(D211)</f>
        <v>60000000</v>
      </c>
      <c r="E210" s="2659">
        <f>D210/178986879000*100</f>
        <v>3.3522010292162258E-2</v>
      </c>
      <c r="F210" s="2926"/>
      <c r="G210" s="2927"/>
      <c r="H210" s="2928"/>
      <c r="I210" s="2928"/>
      <c r="J210" s="2926"/>
      <c r="K210" s="2927"/>
      <c r="L210" s="2928"/>
      <c r="M210" s="2928"/>
      <c r="N210" s="2929"/>
      <c r="P210" s="2930">
        <v>55500000</v>
      </c>
      <c r="Q210" s="2930">
        <v>0</v>
      </c>
    </row>
    <row r="211" spans="1:17" s="1240" customFormat="1" ht="17.25" hidden="1" customHeight="1" x14ac:dyDescent="0.25">
      <c r="B211" s="2931"/>
      <c r="C211" s="1147" t="s">
        <v>1606</v>
      </c>
      <c r="D211" s="856">
        <f>D212</f>
        <v>60000000</v>
      </c>
      <c r="E211" s="2024">
        <f>D211/178986879000*100</f>
        <v>3.3522010292162258E-2</v>
      </c>
      <c r="F211" s="2933"/>
      <c r="G211" s="2934"/>
      <c r="H211" s="2934"/>
      <c r="I211" s="2934"/>
      <c r="J211" s="2933"/>
      <c r="K211" s="2934"/>
      <c r="L211" s="2934"/>
      <c r="M211" s="2934"/>
      <c r="N211" s="2929"/>
      <c r="P211" s="2930"/>
      <c r="Q211" s="2930"/>
    </row>
    <row r="212" spans="1:17" s="1240" customFormat="1" ht="13.5" hidden="1" customHeight="1" x14ac:dyDescent="0.25">
      <c r="B212" s="2931"/>
      <c r="C212" s="519" t="s">
        <v>4748</v>
      </c>
      <c r="D212" s="813">
        <v>60000000</v>
      </c>
      <c r="E212" s="780">
        <f>D212/178986879000*100</f>
        <v>3.3522010292162258E-2</v>
      </c>
      <c r="F212" s="2935"/>
      <c r="G212" s="2936"/>
      <c r="H212" s="2936"/>
      <c r="I212" s="2936"/>
      <c r="J212" s="2935"/>
      <c r="K212" s="2937"/>
      <c r="L212" s="2937"/>
      <c r="M212" s="2936"/>
      <c r="N212" s="2929"/>
      <c r="P212" s="2930"/>
      <c r="Q212" s="2930"/>
    </row>
    <row r="213" spans="1:17" ht="12" hidden="1" customHeight="1" x14ac:dyDescent="0.25">
      <c r="B213" s="2630"/>
      <c r="C213" s="504"/>
      <c r="D213" s="808"/>
      <c r="E213" s="2256"/>
      <c r="F213" s="2681"/>
      <c r="G213" s="2654"/>
      <c r="H213" s="2658"/>
      <c r="I213" s="2658"/>
      <c r="J213" s="2681"/>
      <c r="K213" s="2518"/>
      <c r="L213" s="1671"/>
      <c r="M213" s="2182"/>
      <c r="N213" s="2634"/>
    </row>
    <row r="214" spans="1:17" ht="18.75" hidden="1" customHeight="1" x14ac:dyDescent="0.25">
      <c r="B214" s="2635"/>
      <c r="C214" s="507" t="s">
        <v>4757</v>
      </c>
      <c r="D214" s="847">
        <f>SUM(D215)</f>
        <v>10651794000</v>
      </c>
      <c r="E214" s="2659">
        <f>D214/178986879000*100</f>
        <v>5.9511591349665354</v>
      </c>
      <c r="F214" s="866"/>
      <c r="G214" s="866"/>
      <c r="H214" s="2356"/>
      <c r="I214" s="1307"/>
      <c r="J214" s="866"/>
      <c r="K214" s="866"/>
      <c r="L214" s="2356"/>
      <c r="M214" s="1307"/>
      <c r="N214" s="2634"/>
    </row>
    <row r="215" spans="1:17" s="1639" customFormat="1" ht="18" hidden="1" customHeight="1" x14ac:dyDescent="0.25">
      <c r="B215" s="2653"/>
      <c r="C215" s="1147" t="s">
        <v>4758</v>
      </c>
      <c r="D215" s="867">
        <f>D216</f>
        <v>10651794000</v>
      </c>
      <c r="E215" s="2024">
        <f>D215/178986879000*100</f>
        <v>5.9511591349665354</v>
      </c>
      <c r="F215" s="2463"/>
      <c r="G215" s="2463"/>
      <c r="H215" s="1649"/>
      <c r="I215" s="775"/>
      <c r="J215" s="2463"/>
      <c r="K215" s="2463"/>
      <c r="L215" s="1659"/>
      <c r="M215" s="1659"/>
      <c r="N215" s="2634"/>
      <c r="P215" s="2093">
        <v>7392000000</v>
      </c>
      <c r="Q215" s="2093">
        <v>6901000000</v>
      </c>
    </row>
    <row r="216" spans="1:17" s="1639" customFormat="1" ht="18.75" hidden="1" customHeight="1" x14ac:dyDescent="0.25">
      <c r="B216" s="2624"/>
      <c r="C216" s="4104" t="s">
        <v>4759</v>
      </c>
      <c r="D216" s="1538">
        <v>10651794000</v>
      </c>
      <c r="E216" s="780">
        <f>D216/178986879000*100</f>
        <v>5.9511591349665354</v>
      </c>
      <c r="F216" s="1408"/>
      <c r="G216" s="1716"/>
      <c r="H216" s="1649"/>
      <c r="I216" s="1648"/>
      <c r="J216" s="1408"/>
      <c r="K216" s="971"/>
      <c r="L216" s="1716"/>
      <c r="M216" s="1312"/>
      <c r="N216" s="2634"/>
      <c r="P216" s="2093">
        <v>7392000000</v>
      </c>
      <c r="Q216" s="2093">
        <v>6901000000</v>
      </c>
    </row>
    <row r="217" spans="1:17" ht="15.75" hidden="1" customHeight="1" x14ac:dyDescent="0.25">
      <c r="B217" s="2627"/>
      <c r="C217" s="648"/>
      <c r="D217" s="835"/>
      <c r="E217" s="1158"/>
      <c r="F217" s="2632"/>
      <c r="G217" s="2633"/>
      <c r="H217" s="2175"/>
      <c r="I217" s="2227"/>
      <c r="J217" s="1311"/>
      <c r="K217" s="2644"/>
      <c r="L217" s="1650"/>
      <c r="M217" s="1311"/>
      <c r="N217" s="2634"/>
    </row>
    <row r="218" spans="1:17" s="266" customFormat="1" ht="17.25" customHeight="1" x14ac:dyDescent="0.25">
      <c r="A218" s="506"/>
      <c r="B218" s="2698"/>
      <c r="C218" s="1297" t="s">
        <v>601</v>
      </c>
      <c r="D218" s="2699">
        <f>SUM(D220+D292+D296+D302)</f>
        <v>45144789174</v>
      </c>
      <c r="E218" s="2530">
        <f>D218/D83*100</f>
        <v>7.9329565659144672</v>
      </c>
      <c r="F218" s="3402"/>
      <c r="G218" s="2700"/>
      <c r="H218" s="2507"/>
      <c r="I218" s="2701"/>
      <c r="J218" s="2699"/>
      <c r="K218" s="2700"/>
      <c r="L218" s="2507"/>
      <c r="M218" s="2701"/>
      <c r="N218" s="2702"/>
      <c r="P218" s="2126"/>
      <c r="Q218" s="2126"/>
    </row>
    <row r="219" spans="1:17" s="2017" customFormat="1" ht="6.75" hidden="1" customHeight="1" x14ac:dyDescent="0.25">
      <c r="A219" s="5231"/>
      <c r="B219" s="5232"/>
      <c r="C219" s="3977"/>
      <c r="D219" s="5073"/>
      <c r="E219" s="2792"/>
      <c r="F219" s="5233"/>
      <c r="G219" s="5154"/>
      <c r="H219" s="2408"/>
      <c r="I219" s="4525"/>
      <c r="J219" s="5073"/>
      <c r="K219" s="5154"/>
      <c r="L219" s="2408"/>
      <c r="M219" s="4525"/>
      <c r="N219" s="5234"/>
      <c r="P219" s="2130"/>
      <c r="Q219" s="2130"/>
    </row>
    <row r="220" spans="1:17" s="2074" customFormat="1" ht="21" hidden="1" customHeight="1" x14ac:dyDescent="0.25">
      <c r="A220" s="2080"/>
      <c r="B220" s="2720"/>
      <c r="C220" s="1153" t="s">
        <v>238</v>
      </c>
      <c r="D220" s="4147">
        <f>SUM(D221+D224+D241+D264+D271+D276+D280+D286+D289)</f>
        <v>32845725035</v>
      </c>
      <c r="E220" s="2704">
        <f>D220/165355445000*100</f>
        <v>19.863709377698449</v>
      </c>
      <c r="F220" s="3011"/>
      <c r="G220" s="2705"/>
      <c r="H220" s="2291"/>
      <c r="I220" s="2292"/>
      <c r="J220" s="876"/>
      <c r="K220" s="3011"/>
      <c r="L220" s="2291"/>
      <c r="M220" s="2292"/>
      <c r="N220" s="2702"/>
      <c r="P220" s="2127">
        <v>31340248366</v>
      </c>
      <c r="Q220" s="2127">
        <v>19359718510</v>
      </c>
    </row>
    <row r="221" spans="1:17" s="2074" customFormat="1" ht="14.25" hidden="1" customHeight="1" x14ac:dyDescent="0.25">
      <c r="A221" s="2080"/>
      <c r="B221" s="2703"/>
      <c r="C221" s="4102" t="s">
        <v>236</v>
      </c>
      <c r="D221" s="889">
        <f>D222</f>
        <v>535000000</v>
      </c>
      <c r="E221" s="2707">
        <f>D221/165355445000*100</f>
        <v>0.32354543873653513</v>
      </c>
      <c r="F221" s="1394"/>
      <c r="G221" s="2708"/>
      <c r="H221" s="2176"/>
      <c r="I221" s="2176"/>
      <c r="J221" s="854"/>
      <c r="K221" s="1166"/>
      <c r="L221" s="877"/>
      <c r="M221" s="877"/>
      <c r="N221" s="2702"/>
      <c r="P221" s="2127"/>
      <c r="Q221" s="2127"/>
    </row>
    <row r="222" spans="1:17" s="2074" customFormat="1" ht="18" hidden="1" customHeight="1" x14ac:dyDescent="0.25">
      <c r="A222" s="2080"/>
      <c r="B222" s="2706"/>
      <c r="C222" s="4111" t="s">
        <v>6186</v>
      </c>
      <c r="D222" s="780">
        <v>535000000</v>
      </c>
      <c r="E222" s="2643">
        <f>D222/165355445000*100</f>
        <v>0.32354543873653513</v>
      </c>
      <c r="F222" s="1126"/>
      <c r="G222" s="2586"/>
      <c r="H222" s="2293"/>
      <c r="I222" s="2293"/>
      <c r="J222" s="780"/>
      <c r="K222" s="1167"/>
      <c r="L222" s="878"/>
      <c r="M222" s="878"/>
      <c r="N222" s="2702"/>
      <c r="P222" s="2127"/>
      <c r="Q222" s="2127"/>
    </row>
    <row r="223" spans="1:17" s="2074" customFormat="1" ht="11.25" hidden="1" customHeight="1" x14ac:dyDescent="0.25">
      <c r="A223" s="2080"/>
      <c r="B223" s="2706"/>
      <c r="C223" s="4104"/>
      <c r="D223" s="666"/>
      <c r="E223" s="2643"/>
      <c r="F223" s="1343"/>
      <c r="G223" s="2586"/>
      <c r="H223" s="1312"/>
      <c r="I223" s="2230"/>
      <c r="J223" s="838"/>
      <c r="K223" s="2586"/>
      <c r="L223" s="1312"/>
      <c r="M223" s="2230"/>
      <c r="N223" s="2702"/>
      <c r="P223" s="2127"/>
      <c r="Q223" s="2127"/>
    </row>
    <row r="224" spans="1:17" s="2074" customFormat="1" ht="17.25" hidden="1" customHeight="1" x14ac:dyDescent="0.25">
      <c r="A224" s="2080"/>
      <c r="B224" s="2706"/>
      <c r="C224" s="4103" t="s">
        <v>1030</v>
      </c>
      <c r="D224" s="673">
        <f>SUM(D225:D239)</f>
        <v>2897531100</v>
      </c>
      <c r="E224" s="2707">
        <f t="shared" ref="E224:E286" si="12">D224/165355445000*100</f>
        <v>1.752304618695804</v>
      </c>
      <c r="F224" s="1413"/>
      <c r="G224" s="2709"/>
      <c r="H224" s="1650"/>
      <c r="I224" s="2006"/>
      <c r="J224" s="839"/>
      <c r="K224" s="1413"/>
      <c r="L224" s="1308"/>
      <c r="M224" s="2006"/>
      <c r="N224" s="2702"/>
      <c r="P224" s="2127"/>
      <c r="Q224" s="2127"/>
    </row>
    <row r="225" spans="1:17" s="2074" customFormat="1" ht="16.5" hidden="1" customHeight="1" x14ac:dyDescent="0.25">
      <c r="A225" s="2080"/>
      <c r="B225" s="2706"/>
      <c r="C225" s="3856" t="s">
        <v>6187</v>
      </c>
      <c r="D225" s="780">
        <v>110365000</v>
      </c>
      <c r="E225" s="2643">
        <f t="shared" si="12"/>
        <v>6.6744097843285416E-2</v>
      </c>
      <c r="F225" s="1451"/>
      <c r="G225" s="2586"/>
      <c r="H225" s="2293"/>
      <c r="I225" s="2293"/>
      <c r="J225" s="809"/>
      <c r="K225" s="2586"/>
      <c r="L225" s="1310"/>
      <c r="M225" s="2230"/>
      <c r="N225" s="2702"/>
      <c r="P225" s="2127"/>
      <c r="Q225" s="2127"/>
    </row>
    <row r="226" spans="1:17" s="2074" customFormat="1" ht="16.5" hidden="1" customHeight="1" x14ac:dyDescent="0.25">
      <c r="A226" s="2080"/>
      <c r="B226" s="2706"/>
      <c r="C226" s="3856" t="s">
        <v>6188</v>
      </c>
      <c r="D226" s="780">
        <v>373300000</v>
      </c>
      <c r="E226" s="2643">
        <f t="shared" si="12"/>
        <v>0.22575609772027766</v>
      </c>
      <c r="F226" s="1451"/>
      <c r="G226" s="2586"/>
      <c r="H226" s="2293"/>
      <c r="I226" s="2293"/>
      <c r="J226" s="809"/>
      <c r="K226" s="1167"/>
      <c r="L226" s="878"/>
      <c r="M226" s="878"/>
      <c r="N226" s="2702"/>
      <c r="P226" s="2127"/>
      <c r="Q226" s="2127"/>
    </row>
    <row r="227" spans="1:17" s="2074" customFormat="1" ht="15" hidden="1" customHeight="1" x14ac:dyDescent="0.25">
      <c r="A227" s="2080"/>
      <c r="B227" s="2706"/>
      <c r="C227" s="3856" t="s">
        <v>6189</v>
      </c>
      <c r="D227" s="780">
        <v>247540000</v>
      </c>
      <c r="E227" s="2643">
        <f t="shared" si="12"/>
        <v>0.14970175309316242</v>
      </c>
      <c r="F227" s="1451"/>
      <c r="G227" s="2586"/>
      <c r="H227" s="1312"/>
      <c r="I227" s="2230"/>
      <c r="J227" s="809"/>
      <c r="K227" s="2586"/>
      <c r="L227" s="1310"/>
      <c r="M227" s="2230"/>
      <c r="N227" s="2702"/>
      <c r="P227" s="2127"/>
      <c r="Q227" s="2127"/>
    </row>
    <row r="228" spans="1:17" s="2074" customFormat="1" ht="29.25" hidden="1" customHeight="1" x14ac:dyDescent="0.25">
      <c r="A228" s="2080"/>
      <c r="B228" s="2706"/>
      <c r="C228" s="3856" t="s">
        <v>1033</v>
      </c>
      <c r="D228" s="780">
        <v>72600000</v>
      </c>
      <c r="E228" s="2643">
        <f t="shared" si="12"/>
        <v>4.390541841546252E-2</v>
      </c>
      <c r="F228" s="1451"/>
      <c r="G228" s="2586"/>
      <c r="H228" s="2293"/>
      <c r="I228" s="2293"/>
      <c r="J228" s="809"/>
      <c r="K228" s="2586"/>
      <c r="L228" s="1310"/>
      <c r="M228" s="2230"/>
      <c r="N228" s="2702"/>
      <c r="P228" s="2127"/>
      <c r="Q228" s="2127"/>
    </row>
    <row r="229" spans="1:17" s="2074" customFormat="1" ht="18" hidden="1" customHeight="1" x14ac:dyDescent="0.25">
      <c r="A229" s="2080"/>
      <c r="B229" s="2706"/>
      <c r="C229" s="3856" t="s">
        <v>6190</v>
      </c>
      <c r="D229" s="780">
        <v>228227000</v>
      </c>
      <c r="E229" s="2643">
        <f t="shared" si="12"/>
        <v>0.13802206513368823</v>
      </c>
      <c r="F229" s="1343"/>
      <c r="G229" s="2586"/>
      <c r="H229" s="2293"/>
      <c r="I229" s="2230"/>
      <c r="J229" s="838"/>
      <c r="K229" s="2586"/>
      <c r="L229" s="1312"/>
      <c r="M229" s="2230"/>
      <c r="N229" s="2702"/>
      <c r="P229" s="2127"/>
      <c r="Q229" s="2127"/>
    </row>
    <row r="230" spans="1:17" s="2074" customFormat="1" ht="33" hidden="1" customHeight="1" x14ac:dyDescent="0.25">
      <c r="A230" s="2080"/>
      <c r="B230" s="2706"/>
      <c r="C230" s="3856" t="s">
        <v>6191</v>
      </c>
      <c r="D230" s="780">
        <v>56880000</v>
      </c>
      <c r="E230" s="2643">
        <f t="shared" si="12"/>
        <v>3.4398625337073115E-2</v>
      </c>
      <c r="F230" s="1413"/>
      <c r="G230" s="2709"/>
      <c r="H230" s="1650"/>
      <c r="I230" s="2006"/>
      <c r="J230" s="839"/>
      <c r="K230" s="1413"/>
      <c r="L230" s="1308"/>
      <c r="M230" s="2006"/>
      <c r="N230" s="2702"/>
      <c r="P230" s="2127"/>
      <c r="Q230" s="2127"/>
    </row>
    <row r="231" spans="1:17" s="2074" customFormat="1" ht="33" hidden="1" customHeight="1" x14ac:dyDescent="0.25">
      <c r="A231" s="2080"/>
      <c r="B231" s="2706"/>
      <c r="C231" s="3856" t="s">
        <v>6192</v>
      </c>
      <c r="D231" s="780">
        <v>187880000</v>
      </c>
      <c r="E231" s="2643">
        <f t="shared" si="12"/>
        <v>0.11362190099031816</v>
      </c>
      <c r="F231" s="879"/>
      <c r="G231" s="2586"/>
      <c r="H231" s="2293"/>
      <c r="I231" s="2293"/>
      <c r="J231" s="879"/>
      <c r="K231" s="2586"/>
      <c r="L231" s="1310"/>
      <c r="M231" s="2230"/>
      <c r="N231" s="2702"/>
      <c r="P231" s="2127"/>
      <c r="Q231" s="2127"/>
    </row>
    <row r="232" spans="1:17" s="2074" customFormat="1" ht="33.75" hidden="1" customHeight="1" x14ac:dyDescent="0.25">
      <c r="A232" s="2080"/>
      <c r="B232" s="2706"/>
      <c r="C232" s="3856" t="s">
        <v>6193</v>
      </c>
      <c r="D232" s="780">
        <v>228965000</v>
      </c>
      <c r="E232" s="2643">
        <f t="shared" si="12"/>
        <v>0.13846837641179582</v>
      </c>
      <c r="F232" s="880"/>
      <c r="G232" s="2586"/>
      <c r="H232" s="2293"/>
      <c r="I232" s="2293"/>
      <c r="J232" s="880"/>
      <c r="K232" s="2586"/>
      <c r="L232" s="1310"/>
      <c r="M232" s="2230"/>
      <c r="N232" s="2702"/>
      <c r="P232" s="2127"/>
      <c r="Q232" s="2127"/>
    </row>
    <row r="233" spans="1:17" s="2074" customFormat="1" ht="17.25" hidden="1" customHeight="1" x14ac:dyDescent="0.25">
      <c r="A233" s="2080"/>
      <c r="B233" s="2706"/>
      <c r="C233" s="3856" t="s">
        <v>6194</v>
      </c>
      <c r="D233" s="780">
        <v>177805000</v>
      </c>
      <c r="E233" s="2643">
        <f t="shared" si="12"/>
        <v>0.10752896585897126</v>
      </c>
      <c r="F233" s="880"/>
      <c r="G233" s="2586"/>
      <c r="H233" s="2293"/>
      <c r="I233" s="2293"/>
      <c r="J233" s="880"/>
      <c r="K233" s="2586"/>
      <c r="L233" s="1310"/>
      <c r="M233" s="2230"/>
      <c r="N233" s="2702"/>
      <c r="P233" s="2127"/>
      <c r="Q233" s="2127"/>
    </row>
    <row r="234" spans="1:17" s="2074" customFormat="1" ht="18" hidden="1" customHeight="1" x14ac:dyDescent="0.25">
      <c r="A234" s="2080"/>
      <c r="B234" s="2706"/>
      <c r="C234" s="3856" t="s">
        <v>6195</v>
      </c>
      <c r="D234" s="780">
        <v>71387100</v>
      </c>
      <c r="E234" s="2643">
        <f t="shared" si="12"/>
        <v>4.3171907644166174E-2</v>
      </c>
      <c r="F234" s="880"/>
      <c r="G234" s="2586"/>
      <c r="H234" s="2293"/>
      <c r="I234" s="2293"/>
      <c r="J234" s="880"/>
      <c r="K234" s="1167"/>
      <c r="L234" s="878"/>
      <c r="M234" s="878"/>
      <c r="N234" s="2702"/>
      <c r="P234" s="2127"/>
      <c r="Q234" s="2127"/>
    </row>
    <row r="235" spans="1:17" s="2074" customFormat="1" ht="16.5" hidden="1" customHeight="1" x14ac:dyDescent="0.25">
      <c r="A235" s="2080"/>
      <c r="B235" s="2706"/>
      <c r="C235" s="3856" t="s">
        <v>6196</v>
      </c>
      <c r="D235" s="780">
        <v>196415000</v>
      </c>
      <c r="E235" s="2643">
        <f t="shared" si="12"/>
        <v>0.11878350906436737</v>
      </c>
      <c r="F235" s="879"/>
      <c r="G235" s="2586"/>
      <c r="H235" s="2293"/>
      <c r="I235" s="2293"/>
      <c r="J235" s="879"/>
      <c r="K235" s="1167"/>
      <c r="L235" s="878"/>
      <c r="M235" s="878"/>
      <c r="N235" s="2702"/>
      <c r="P235" s="2127"/>
      <c r="Q235" s="2127"/>
    </row>
    <row r="236" spans="1:17" s="2074" customFormat="1" ht="16.5" hidden="1" customHeight="1" x14ac:dyDescent="0.25">
      <c r="A236" s="2080"/>
      <c r="B236" s="2706"/>
      <c r="C236" s="3856" t="s">
        <v>6197</v>
      </c>
      <c r="D236" s="780">
        <v>207277000</v>
      </c>
      <c r="E236" s="2643">
        <f t="shared" si="12"/>
        <v>0.12535238860746314</v>
      </c>
      <c r="F236" s="879"/>
      <c r="G236" s="2586"/>
      <c r="H236" s="2293"/>
      <c r="I236" s="2293"/>
      <c r="J236" s="879"/>
      <c r="K236" s="2586"/>
      <c r="L236" s="1310"/>
      <c r="M236" s="2230"/>
      <c r="N236" s="2702"/>
      <c r="P236" s="2127"/>
      <c r="Q236" s="2127"/>
    </row>
    <row r="237" spans="1:17" s="2074" customFormat="1" ht="19.5" hidden="1" customHeight="1" x14ac:dyDescent="0.25">
      <c r="A237" s="2080"/>
      <c r="B237" s="2706"/>
      <c r="C237" s="3856" t="s">
        <v>6198</v>
      </c>
      <c r="D237" s="780">
        <v>217690000</v>
      </c>
      <c r="E237" s="2643">
        <f t="shared" si="12"/>
        <v>0.131649731885152</v>
      </c>
      <c r="F237" s="879"/>
      <c r="G237" s="2586"/>
      <c r="H237" s="1312"/>
      <c r="I237" s="2230"/>
      <c r="J237" s="879"/>
      <c r="K237" s="2586"/>
      <c r="L237" s="1310"/>
      <c r="M237" s="2230"/>
      <c r="N237" s="2702"/>
      <c r="P237" s="2127"/>
      <c r="Q237" s="2127"/>
    </row>
    <row r="238" spans="1:17" s="2074" customFormat="1" ht="19.5" hidden="1" customHeight="1" x14ac:dyDescent="0.25">
      <c r="A238" s="2080"/>
      <c r="B238" s="2706"/>
      <c r="C238" s="3856" t="s">
        <v>6199</v>
      </c>
      <c r="D238" s="780">
        <v>146200000</v>
      </c>
      <c r="E238" s="2643">
        <f t="shared" si="12"/>
        <v>8.8415594660339117E-2</v>
      </c>
      <c r="F238" s="879"/>
      <c r="G238" s="2586"/>
      <c r="H238" s="1312"/>
      <c r="I238" s="2230"/>
      <c r="J238" s="879"/>
      <c r="K238" s="2586"/>
      <c r="L238" s="1310"/>
      <c r="M238" s="2230"/>
      <c r="N238" s="2702"/>
      <c r="P238" s="2127"/>
      <c r="Q238" s="2127"/>
    </row>
    <row r="239" spans="1:17" s="2074" customFormat="1" ht="29.25" hidden="1" customHeight="1" x14ac:dyDescent="0.25">
      <c r="A239" s="2080"/>
      <c r="B239" s="2706"/>
      <c r="C239" s="4111" t="s">
        <v>6200</v>
      </c>
      <c r="D239" s="780">
        <v>375000000</v>
      </c>
      <c r="E239" s="2643">
        <f t="shared" si="12"/>
        <v>0.22678418603028161</v>
      </c>
      <c r="F239" s="879"/>
      <c r="G239" s="2586"/>
      <c r="H239" s="2293"/>
      <c r="I239" s="2293"/>
      <c r="J239" s="879"/>
      <c r="K239" s="2586"/>
      <c r="L239" s="1310"/>
      <c r="M239" s="2230"/>
      <c r="N239" s="2702"/>
      <c r="P239" s="2127"/>
      <c r="Q239" s="2127"/>
    </row>
    <row r="240" spans="1:17" s="2074" customFormat="1" ht="11.25" hidden="1" customHeight="1" x14ac:dyDescent="0.25">
      <c r="A240" s="2080"/>
      <c r="B240" s="2706"/>
      <c r="C240" s="4104"/>
      <c r="D240" s="666"/>
      <c r="E240" s="2629"/>
      <c r="F240" s="879"/>
      <c r="G240" s="2586"/>
      <c r="H240" s="2293"/>
      <c r="I240" s="2293"/>
      <c r="J240" s="879"/>
      <c r="K240" s="879"/>
      <c r="L240" s="1310"/>
      <c r="M240" s="2230"/>
      <c r="N240" s="2702"/>
      <c r="P240" s="2127"/>
      <c r="Q240" s="2127"/>
    </row>
    <row r="241" spans="1:17" s="2074" customFormat="1" ht="18.75" hidden="1" customHeight="1" x14ac:dyDescent="0.25">
      <c r="A241" s="2080"/>
      <c r="B241" s="2706"/>
      <c r="C241" s="4102" t="s">
        <v>366</v>
      </c>
      <c r="D241" s="673">
        <f>SUM(D242:D262)</f>
        <v>21061464400</v>
      </c>
      <c r="E241" s="2707">
        <f t="shared" si="12"/>
        <v>12.737085494826008</v>
      </c>
      <c r="F241" s="879"/>
      <c r="G241" s="2586"/>
      <c r="H241" s="1312"/>
      <c r="I241" s="2230"/>
      <c r="J241" s="879"/>
      <c r="K241" s="2586"/>
      <c r="L241" s="1310"/>
      <c r="M241" s="2230"/>
      <c r="N241" s="2702"/>
      <c r="P241" s="2127"/>
      <c r="Q241" s="2127"/>
    </row>
    <row r="242" spans="1:17" s="2074" customFormat="1" ht="15" hidden="1" customHeight="1" x14ac:dyDescent="0.25">
      <c r="A242" s="2080"/>
      <c r="B242" s="2706"/>
      <c r="C242" s="4104" t="s">
        <v>6201</v>
      </c>
      <c r="D242" s="666">
        <v>3651780000</v>
      </c>
      <c r="E242" s="2643">
        <f t="shared" si="12"/>
        <v>2.2084425462977646</v>
      </c>
      <c r="F242" s="879"/>
      <c r="G242" s="2586"/>
      <c r="H242" s="1312"/>
      <c r="I242" s="2230"/>
      <c r="J242" s="879"/>
      <c r="K242" s="2586"/>
      <c r="L242" s="1310"/>
      <c r="M242" s="2230"/>
      <c r="N242" s="2702"/>
      <c r="P242" s="2127"/>
      <c r="Q242" s="2127"/>
    </row>
    <row r="243" spans="1:17" s="2074" customFormat="1" ht="18.75" hidden="1" customHeight="1" x14ac:dyDescent="0.25">
      <c r="A243" s="2080"/>
      <c r="B243" s="2706"/>
      <c r="C243" s="4111" t="s">
        <v>6202</v>
      </c>
      <c r="D243" s="666">
        <v>123560000</v>
      </c>
      <c r="E243" s="2643">
        <f t="shared" si="12"/>
        <v>7.4723877402404257E-2</v>
      </c>
      <c r="F243" s="879"/>
      <c r="G243" s="2586"/>
      <c r="H243" s="1312"/>
      <c r="I243" s="2230"/>
      <c r="J243" s="879"/>
      <c r="K243" s="2586"/>
      <c r="L243" s="1310"/>
      <c r="M243" s="2230"/>
      <c r="N243" s="2702"/>
      <c r="P243" s="2127"/>
      <c r="Q243" s="2127"/>
    </row>
    <row r="244" spans="1:17" s="2074" customFormat="1" ht="16.5" hidden="1" customHeight="1" x14ac:dyDescent="0.25">
      <c r="A244" s="2080"/>
      <c r="B244" s="2706"/>
      <c r="C244" s="4104" t="s">
        <v>6203</v>
      </c>
      <c r="D244" s="666">
        <v>3440500000</v>
      </c>
      <c r="E244" s="2643">
        <f t="shared" si="12"/>
        <v>2.0806693120991571</v>
      </c>
      <c r="F244" s="880"/>
      <c r="G244" s="2586"/>
      <c r="H244" s="2293"/>
      <c r="I244" s="2293"/>
      <c r="J244" s="880"/>
      <c r="K244" s="2586"/>
      <c r="L244" s="1310"/>
      <c r="M244" s="2230"/>
      <c r="N244" s="2702"/>
      <c r="P244" s="2127"/>
      <c r="Q244" s="2127"/>
    </row>
    <row r="245" spans="1:17" s="2074" customFormat="1" ht="15.75" hidden="1" customHeight="1" x14ac:dyDescent="0.25">
      <c r="A245" s="2080"/>
      <c r="B245" s="2706"/>
      <c r="C245" s="4111" t="s">
        <v>6204</v>
      </c>
      <c r="D245" s="666">
        <v>3551160000</v>
      </c>
      <c r="E245" s="2643">
        <f t="shared" si="12"/>
        <v>2.1475918135021197</v>
      </c>
      <c r="F245" s="880"/>
      <c r="G245" s="2586"/>
      <c r="H245" s="2293"/>
      <c r="I245" s="2293"/>
      <c r="J245" s="880"/>
      <c r="K245" s="2586"/>
      <c r="L245" s="1310"/>
      <c r="M245" s="2230"/>
      <c r="N245" s="2702"/>
      <c r="P245" s="2127"/>
      <c r="Q245" s="2127"/>
    </row>
    <row r="246" spans="1:17" s="2074" customFormat="1" ht="13.5" hidden="1" customHeight="1" x14ac:dyDescent="0.25">
      <c r="A246" s="2080"/>
      <c r="B246" s="2706"/>
      <c r="C246" s="4104" t="s">
        <v>1038</v>
      </c>
      <c r="D246" s="666">
        <v>1923982000</v>
      </c>
      <c r="E246" s="2643">
        <f>D246/165355445000*100</f>
        <v>1.1635431781517687</v>
      </c>
      <c r="F246" s="880"/>
      <c r="G246" s="2586"/>
      <c r="H246" s="2293"/>
      <c r="I246" s="2293"/>
      <c r="J246" s="880"/>
      <c r="K246" s="1167"/>
      <c r="L246" s="878"/>
      <c r="M246" s="878"/>
      <c r="N246" s="2702"/>
      <c r="P246" s="2127"/>
      <c r="Q246" s="2127"/>
    </row>
    <row r="247" spans="1:17" s="2074" customFormat="1" ht="15.75" hidden="1" customHeight="1" x14ac:dyDescent="0.25">
      <c r="A247" s="2080"/>
      <c r="B247" s="2706"/>
      <c r="C247" s="4104" t="s">
        <v>1039</v>
      </c>
      <c r="D247" s="666">
        <v>867841000</v>
      </c>
      <c r="E247" s="2643">
        <f t="shared" si="12"/>
        <v>0.52483363943654826</v>
      </c>
      <c r="F247" s="1343"/>
      <c r="G247" s="2586"/>
      <c r="H247" s="1312"/>
      <c r="I247" s="2230"/>
      <c r="J247" s="838"/>
      <c r="K247" s="2586"/>
      <c r="L247" s="1312"/>
      <c r="M247" s="2230"/>
      <c r="N247" s="2702"/>
      <c r="P247" s="2127"/>
      <c r="Q247" s="2127"/>
    </row>
    <row r="248" spans="1:17" s="2074" customFormat="1" ht="17.25" hidden="1" customHeight="1" x14ac:dyDescent="0.25">
      <c r="A248" s="2080"/>
      <c r="B248" s="2706"/>
      <c r="C248" s="4104" t="s">
        <v>1040</v>
      </c>
      <c r="D248" s="666">
        <v>607992000</v>
      </c>
      <c r="E248" s="2643">
        <f t="shared" si="12"/>
        <v>0.36768792222112795</v>
      </c>
      <c r="F248" s="1415"/>
      <c r="G248" s="1389"/>
      <c r="H248" s="1650"/>
      <c r="I248" s="2006"/>
      <c r="J248" s="2710"/>
      <c r="K248" s="1414"/>
      <c r="L248" s="1308"/>
      <c r="M248" s="2006"/>
      <c r="N248" s="2702"/>
      <c r="P248" s="2127"/>
      <c r="Q248" s="2127"/>
    </row>
    <row r="249" spans="1:17" s="2074" customFormat="1" ht="18" hidden="1" customHeight="1" x14ac:dyDescent="0.25">
      <c r="A249" s="2080"/>
      <c r="B249" s="2706"/>
      <c r="C249" s="4104" t="s">
        <v>1041</v>
      </c>
      <c r="D249" s="666">
        <v>455950000</v>
      </c>
      <c r="E249" s="2643">
        <f t="shared" si="12"/>
        <v>0.27573933232135173</v>
      </c>
      <c r="F249" s="880"/>
      <c r="G249" s="2586"/>
      <c r="H249" s="2293"/>
      <c r="I249" s="2293"/>
      <c r="J249" s="2711"/>
      <c r="K249" s="2586"/>
      <c r="L249" s="1310"/>
      <c r="M249" s="2230"/>
      <c r="N249" s="2702"/>
      <c r="P249" s="2127"/>
      <c r="Q249" s="2127"/>
    </row>
    <row r="250" spans="1:17" s="2074" customFormat="1" ht="16.5" hidden="1" customHeight="1" x14ac:dyDescent="0.25">
      <c r="A250" s="2080"/>
      <c r="B250" s="2706"/>
      <c r="C250" s="4104" t="s">
        <v>6205</v>
      </c>
      <c r="D250" s="666">
        <v>50175000</v>
      </c>
      <c r="E250" s="2643">
        <f t="shared" si="12"/>
        <v>3.0343724090851683E-2</v>
      </c>
      <c r="F250" s="880"/>
      <c r="G250" s="2586"/>
      <c r="H250" s="1312"/>
      <c r="I250" s="2230"/>
      <c r="J250" s="2711"/>
      <c r="K250" s="2586"/>
      <c r="L250" s="1310"/>
      <c r="M250" s="2230"/>
      <c r="N250" s="2702"/>
      <c r="P250" s="2127"/>
      <c r="Q250" s="2127"/>
    </row>
    <row r="251" spans="1:17" s="2074" customFormat="1" ht="20.25" hidden="1" customHeight="1" x14ac:dyDescent="0.25">
      <c r="A251" s="2080"/>
      <c r="B251" s="2706"/>
      <c r="C251" s="4104" t="s">
        <v>6206</v>
      </c>
      <c r="D251" s="666">
        <v>5325000</v>
      </c>
      <c r="E251" s="2643">
        <f t="shared" si="12"/>
        <v>3.220335441629999E-3</v>
      </c>
      <c r="F251" s="880"/>
      <c r="G251" s="2586"/>
      <c r="H251" s="1312"/>
      <c r="I251" s="2230"/>
      <c r="J251" s="2711"/>
      <c r="K251" s="2586"/>
      <c r="L251" s="1310"/>
      <c r="M251" s="2230"/>
      <c r="N251" s="2702"/>
      <c r="P251" s="2127"/>
      <c r="Q251" s="2127"/>
    </row>
    <row r="252" spans="1:17" s="2074" customFormat="1" ht="20.25" hidden="1" customHeight="1" x14ac:dyDescent="0.25">
      <c r="A252" s="2080"/>
      <c r="B252" s="2706"/>
      <c r="C252" s="4104" t="s">
        <v>1044</v>
      </c>
      <c r="D252" s="666">
        <v>1266858800</v>
      </c>
      <c r="E252" s="2643">
        <f t="shared" si="12"/>
        <v>0.76614277806213149</v>
      </c>
      <c r="F252" s="880"/>
      <c r="G252" s="2586"/>
      <c r="H252" s="1312"/>
      <c r="I252" s="2230"/>
      <c r="J252" s="2711"/>
      <c r="K252" s="2586"/>
      <c r="L252" s="1310"/>
      <c r="M252" s="2230"/>
      <c r="N252" s="2702"/>
      <c r="P252" s="2127"/>
      <c r="Q252" s="2127"/>
    </row>
    <row r="253" spans="1:17" s="2074" customFormat="1" ht="19.5" hidden="1" customHeight="1" x14ac:dyDescent="0.25">
      <c r="A253" s="2080"/>
      <c r="B253" s="2706"/>
      <c r="C253" s="4104" t="s">
        <v>1045</v>
      </c>
      <c r="D253" s="666">
        <v>1910327000</v>
      </c>
      <c r="E253" s="2643">
        <f t="shared" si="12"/>
        <v>1.1552852099911195</v>
      </c>
      <c r="F253" s="880"/>
      <c r="G253" s="2586"/>
      <c r="H253" s="1312"/>
      <c r="I253" s="2230"/>
      <c r="J253" s="2711"/>
      <c r="K253" s="2586"/>
      <c r="L253" s="1310"/>
      <c r="M253" s="2230"/>
      <c r="N253" s="2702"/>
      <c r="P253" s="2127"/>
      <c r="Q253" s="2127"/>
    </row>
    <row r="254" spans="1:17" s="2074" customFormat="1" ht="16.5" hidden="1" customHeight="1" x14ac:dyDescent="0.25">
      <c r="A254" s="2080"/>
      <c r="B254" s="2706"/>
      <c r="C254" s="4104" t="s">
        <v>6207</v>
      </c>
      <c r="D254" s="666">
        <v>112200000</v>
      </c>
      <c r="E254" s="2643">
        <f t="shared" si="12"/>
        <v>6.7853828460260251E-2</v>
      </c>
      <c r="F254" s="1343"/>
      <c r="G254" s="2586"/>
      <c r="H254" s="1312"/>
      <c r="I254" s="2230"/>
      <c r="J254" s="838"/>
      <c r="K254" s="2586"/>
      <c r="L254" s="1312"/>
      <c r="M254" s="2230"/>
      <c r="N254" s="2702"/>
      <c r="P254" s="2127"/>
      <c r="Q254" s="2127"/>
    </row>
    <row r="255" spans="1:17" s="2074" customFormat="1" ht="18" hidden="1" customHeight="1" x14ac:dyDescent="0.25">
      <c r="A255" s="2080"/>
      <c r="B255" s="2706"/>
      <c r="C255" s="4111" t="s">
        <v>6208</v>
      </c>
      <c r="D255" s="666">
        <v>256738000</v>
      </c>
      <c r="E255" s="2643">
        <f t="shared" si="12"/>
        <v>0.15526431560811318</v>
      </c>
      <c r="F255" s="1415"/>
      <c r="G255" s="2708"/>
      <c r="H255" s="2176"/>
      <c r="I255" s="2176"/>
      <c r="J255" s="2710"/>
      <c r="K255" s="1166"/>
      <c r="L255" s="877"/>
      <c r="M255" s="877"/>
      <c r="N255" s="2702"/>
      <c r="P255" s="2127"/>
      <c r="Q255" s="2127"/>
    </row>
    <row r="256" spans="1:17" s="2074" customFormat="1" ht="27" hidden="1" customHeight="1" x14ac:dyDescent="0.25">
      <c r="A256" s="2080"/>
      <c r="B256" s="2706"/>
      <c r="C256" s="3856" t="s">
        <v>6209</v>
      </c>
      <c r="D256" s="666">
        <v>395750000</v>
      </c>
      <c r="E256" s="2643">
        <f t="shared" si="12"/>
        <v>0.23933291099062387</v>
      </c>
      <c r="F256" s="880"/>
      <c r="G256" s="2586"/>
      <c r="H256" s="2293"/>
      <c r="I256" s="2293"/>
      <c r="J256" s="2711"/>
      <c r="K256" s="2586"/>
      <c r="L256" s="2293"/>
      <c r="M256" s="2293"/>
      <c r="N256" s="2702"/>
      <c r="P256" s="2127"/>
      <c r="Q256" s="2127"/>
    </row>
    <row r="257" spans="1:17" s="2074" customFormat="1" ht="16.5" hidden="1" customHeight="1" x14ac:dyDescent="0.25">
      <c r="A257" s="2080"/>
      <c r="B257" s="2706"/>
      <c r="C257" s="4111" t="s">
        <v>6210</v>
      </c>
      <c r="D257" s="666">
        <v>84045600</v>
      </c>
      <c r="E257" s="2643">
        <f t="shared" si="12"/>
        <v>5.0827234627804363E-2</v>
      </c>
      <c r="F257" s="1467"/>
      <c r="G257" s="2708"/>
      <c r="H257" s="2176"/>
      <c r="I257" s="2176"/>
      <c r="J257" s="2712"/>
      <c r="K257" s="2708"/>
      <c r="L257" s="2176"/>
      <c r="M257" s="2176"/>
      <c r="N257" s="2702"/>
      <c r="P257" s="2127"/>
      <c r="Q257" s="2127"/>
    </row>
    <row r="258" spans="1:17" s="2074" customFormat="1" ht="18" hidden="1" customHeight="1" x14ac:dyDescent="0.25">
      <c r="A258" s="2080"/>
      <c r="B258" s="2706"/>
      <c r="C258" s="4106" t="s">
        <v>6211</v>
      </c>
      <c r="D258" s="666">
        <v>212775000</v>
      </c>
      <c r="E258" s="2643">
        <f t="shared" si="12"/>
        <v>0.12867734715358178</v>
      </c>
      <c r="F258" s="1415"/>
      <c r="G258" s="2713"/>
      <c r="H258" s="1650"/>
      <c r="I258" s="2176"/>
      <c r="J258" s="673"/>
      <c r="K258" s="1415"/>
      <c r="L258" s="1308"/>
      <c r="M258" s="2176"/>
      <c r="N258" s="2702"/>
      <c r="P258" s="2127"/>
      <c r="Q258" s="2127"/>
    </row>
    <row r="259" spans="1:17" s="2074" customFormat="1" ht="15" hidden="1" customHeight="1" x14ac:dyDescent="0.25">
      <c r="A259" s="2080"/>
      <c r="B259" s="2706"/>
      <c r="C259" s="3964" t="s">
        <v>6212</v>
      </c>
      <c r="D259" s="868">
        <v>213575000</v>
      </c>
      <c r="E259" s="2643">
        <f t="shared" si="12"/>
        <v>0.12916115341711304</v>
      </c>
      <c r="F259" s="880"/>
      <c r="G259" s="2586"/>
      <c r="H259" s="2293"/>
      <c r="I259" s="2293"/>
      <c r="J259" s="666"/>
      <c r="K259" s="2586"/>
      <c r="L259" s="1310"/>
      <c r="M259" s="2230"/>
      <c r="N259" s="2702"/>
      <c r="P259" s="2127"/>
      <c r="Q259" s="2127"/>
    </row>
    <row r="260" spans="1:17" s="2074" customFormat="1" ht="16.5" hidden="1" customHeight="1" x14ac:dyDescent="0.25">
      <c r="A260" s="2080"/>
      <c r="B260" s="2706"/>
      <c r="C260" s="4104" t="s">
        <v>6213</v>
      </c>
      <c r="D260" s="868">
        <v>286270000</v>
      </c>
      <c r="E260" s="2643">
        <f t="shared" si="12"/>
        <v>0.1731240238263699</v>
      </c>
      <c r="F260" s="880"/>
      <c r="G260" s="2714"/>
      <c r="H260" s="1312"/>
      <c r="I260" s="2230"/>
      <c r="J260" s="666"/>
      <c r="K260" s="2714"/>
      <c r="L260" s="1310"/>
      <c r="M260" s="2230"/>
      <c r="N260" s="2702"/>
      <c r="P260" s="2127"/>
      <c r="Q260" s="2127"/>
    </row>
    <row r="261" spans="1:17" s="2074" customFormat="1" ht="18" hidden="1" customHeight="1" x14ac:dyDescent="0.25">
      <c r="A261" s="2080"/>
      <c r="B261" s="2706"/>
      <c r="C261" s="4104" t="s">
        <v>6214</v>
      </c>
      <c r="D261" s="868">
        <v>500400000</v>
      </c>
      <c r="E261" s="2643">
        <f t="shared" si="12"/>
        <v>0.30262081783880779</v>
      </c>
      <c r="F261" s="880"/>
      <c r="G261" s="2586"/>
      <c r="H261" s="1312"/>
      <c r="I261" s="2230"/>
      <c r="J261" s="666"/>
      <c r="K261" s="2586"/>
      <c r="L261" s="1310"/>
      <c r="M261" s="2230"/>
      <c r="N261" s="2702"/>
      <c r="P261" s="2127"/>
      <c r="Q261" s="2127"/>
    </row>
    <row r="262" spans="1:17" s="2074" customFormat="1" ht="19.5" hidden="1" customHeight="1" x14ac:dyDescent="0.25">
      <c r="A262" s="2080"/>
      <c r="B262" s="2706"/>
      <c r="C262" s="4104" t="s">
        <v>6215</v>
      </c>
      <c r="D262" s="868">
        <v>1144260000</v>
      </c>
      <c r="E262" s="2643">
        <f t="shared" si="12"/>
        <v>0.69200019388536016</v>
      </c>
      <c r="F262" s="1463"/>
      <c r="G262" s="2586"/>
      <c r="H262" s="1312"/>
      <c r="I262" s="2230"/>
      <c r="J262" s="894"/>
      <c r="K262" s="2586"/>
      <c r="L262" s="1312"/>
      <c r="M262" s="2230"/>
      <c r="N262" s="2702"/>
      <c r="P262" s="2127"/>
      <c r="Q262" s="2127"/>
    </row>
    <row r="263" spans="1:17" s="2074" customFormat="1" ht="12.75" hidden="1" customHeight="1" x14ac:dyDescent="0.25">
      <c r="A263" s="2080"/>
      <c r="B263" s="2706"/>
      <c r="C263" s="4104"/>
      <c r="D263" s="868"/>
      <c r="E263" s="2643"/>
      <c r="F263" s="1415"/>
      <c r="G263" s="1390"/>
      <c r="H263" s="1650"/>
      <c r="I263" s="2006"/>
      <c r="J263" s="673"/>
      <c r="K263" s="1416"/>
      <c r="L263" s="1308"/>
      <c r="M263" s="2006"/>
      <c r="N263" s="2702"/>
      <c r="P263" s="2127"/>
      <c r="Q263" s="2127"/>
    </row>
    <row r="264" spans="1:17" s="2074" customFormat="1" ht="17.25" hidden="1" customHeight="1" x14ac:dyDescent="0.25">
      <c r="A264" s="2080"/>
      <c r="B264" s="2706"/>
      <c r="C264" s="4102" t="s">
        <v>367</v>
      </c>
      <c r="D264" s="1845">
        <f>SUM(D265:D269)</f>
        <v>2763545000</v>
      </c>
      <c r="E264" s="2707">
        <f t="shared" si="12"/>
        <v>1.6712754756881456</v>
      </c>
      <c r="F264" s="880"/>
      <c r="G264" s="2586"/>
      <c r="H264" s="1312"/>
      <c r="I264" s="2230"/>
      <c r="J264" s="666"/>
      <c r="K264" s="2586"/>
      <c r="L264" s="1310"/>
      <c r="M264" s="2230"/>
      <c r="N264" s="2702"/>
      <c r="P264" s="2127"/>
      <c r="Q264" s="2127"/>
    </row>
    <row r="265" spans="1:17" s="2074" customFormat="1" ht="15" hidden="1" customHeight="1" x14ac:dyDescent="0.25">
      <c r="A265" s="2080"/>
      <c r="B265" s="2706"/>
      <c r="C265" s="3876" t="s">
        <v>6216</v>
      </c>
      <c r="D265" s="1846">
        <v>206840000</v>
      </c>
      <c r="E265" s="2643">
        <f t="shared" si="12"/>
        <v>0.1250881094360092</v>
      </c>
      <c r="F265" s="880"/>
      <c r="G265" s="2586"/>
      <c r="H265" s="2293"/>
      <c r="I265" s="2293"/>
      <c r="J265" s="666"/>
      <c r="K265" s="2586"/>
      <c r="L265" s="1310"/>
      <c r="M265" s="2230"/>
      <c r="N265" s="2702"/>
      <c r="P265" s="2127"/>
      <c r="Q265" s="2127"/>
    </row>
    <row r="266" spans="1:17" s="2074" customFormat="1" ht="15" hidden="1" customHeight="1" x14ac:dyDescent="0.25">
      <c r="A266" s="2080"/>
      <c r="B266" s="2706"/>
      <c r="C266" s="3876" t="s">
        <v>6217</v>
      </c>
      <c r="D266" s="1846">
        <v>223275000</v>
      </c>
      <c r="E266" s="2643">
        <f t="shared" si="12"/>
        <v>0.13502730436242968</v>
      </c>
      <c r="F266" s="880"/>
      <c r="G266" s="2586"/>
      <c r="H266" s="1312"/>
      <c r="I266" s="2293"/>
      <c r="J266" s="666"/>
      <c r="K266" s="2586"/>
      <c r="L266" s="1310"/>
      <c r="M266" s="2293"/>
      <c r="N266" s="2702"/>
      <c r="P266" s="2127"/>
      <c r="Q266" s="2127"/>
    </row>
    <row r="267" spans="1:17" s="2074" customFormat="1" ht="16.5" hidden="1" customHeight="1" x14ac:dyDescent="0.25">
      <c r="A267" s="2080"/>
      <c r="B267" s="2706"/>
      <c r="C267" s="3876" t="s">
        <v>6218</v>
      </c>
      <c r="D267" s="1846">
        <v>578700000</v>
      </c>
      <c r="E267" s="2643">
        <f t="shared" si="12"/>
        <v>0.34997335588193063</v>
      </c>
      <c r="F267" s="880"/>
      <c r="G267" s="2586"/>
      <c r="H267" s="1312"/>
      <c r="I267" s="2230"/>
      <c r="J267" s="666"/>
      <c r="K267" s="2586"/>
      <c r="L267" s="1310"/>
      <c r="M267" s="2230"/>
      <c r="N267" s="2702"/>
      <c r="P267" s="2127"/>
      <c r="Q267" s="2127"/>
    </row>
    <row r="268" spans="1:17" s="2074" customFormat="1" ht="13.5" hidden="1" customHeight="1" x14ac:dyDescent="0.25">
      <c r="A268" s="2080"/>
      <c r="B268" s="2706"/>
      <c r="C268" s="3876" t="s">
        <v>6219</v>
      </c>
      <c r="D268" s="1846">
        <v>789240000</v>
      </c>
      <c r="E268" s="2643">
        <f t="shared" si="12"/>
        <v>0.4772990692867719</v>
      </c>
      <c r="F268" s="1463"/>
      <c r="G268" s="2709"/>
      <c r="H268" s="1312"/>
      <c r="I268" s="2716"/>
      <c r="J268" s="894"/>
      <c r="K268" s="2709"/>
      <c r="L268" s="1650"/>
      <c r="M268" s="2006"/>
      <c r="N268" s="2702"/>
      <c r="P268" s="2127"/>
      <c r="Q268" s="2127"/>
    </row>
    <row r="269" spans="1:17" s="2074" customFormat="1" ht="15.75" hidden="1" customHeight="1" x14ac:dyDescent="0.25">
      <c r="A269" s="2080"/>
      <c r="B269" s="2706"/>
      <c r="C269" s="3876" t="s">
        <v>6220</v>
      </c>
      <c r="D269" s="1846">
        <v>965490000</v>
      </c>
      <c r="E269" s="2643">
        <f t="shared" si="12"/>
        <v>0.5838876367210043</v>
      </c>
      <c r="F269" s="1467"/>
      <c r="G269" s="1390"/>
      <c r="H269" s="1650"/>
      <c r="I269" s="2006"/>
      <c r="J269" s="2712"/>
      <c r="K269" s="1416"/>
      <c r="L269" s="1308"/>
      <c r="M269" s="2006"/>
      <c r="N269" s="2702"/>
      <c r="P269" s="2127"/>
      <c r="Q269" s="2127"/>
    </row>
    <row r="270" spans="1:17" s="2074" customFormat="1" ht="12" hidden="1" customHeight="1" x14ac:dyDescent="0.25">
      <c r="A270" s="2080"/>
      <c r="B270" s="2706"/>
      <c r="C270" s="4106"/>
      <c r="D270" s="666"/>
      <c r="E270" s="2643"/>
      <c r="F270" s="879"/>
      <c r="G270" s="2586"/>
      <c r="H270" s="2293"/>
      <c r="I270" s="2293"/>
      <c r="J270" s="1616"/>
      <c r="K270" s="2586"/>
      <c r="L270" s="1310"/>
      <c r="M270" s="2230"/>
      <c r="N270" s="2702"/>
      <c r="P270" s="2127"/>
      <c r="Q270" s="2127"/>
    </row>
    <row r="271" spans="1:17" s="2074" customFormat="1" ht="19.5" hidden="1" customHeight="1" x14ac:dyDescent="0.25">
      <c r="A271" s="2080"/>
      <c r="B271" s="2706"/>
      <c r="C271" s="4102" t="s">
        <v>5712</v>
      </c>
      <c r="D271" s="1847">
        <f>SUM(D272:D274)</f>
        <v>745481306</v>
      </c>
      <c r="E271" s="2707">
        <f t="shared" si="12"/>
        <v>0.4508356564853368</v>
      </c>
      <c r="F271" s="879"/>
      <c r="G271" s="2586"/>
      <c r="H271" s="2293"/>
      <c r="I271" s="2293"/>
      <c r="J271" s="1616"/>
      <c r="K271" s="1167"/>
      <c r="L271" s="1167"/>
      <c r="M271" s="878"/>
      <c r="N271" s="2702"/>
      <c r="P271" s="2127"/>
      <c r="Q271" s="2127"/>
    </row>
    <row r="272" spans="1:17" s="2074" customFormat="1" ht="18.75" hidden="1" customHeight="1" x14ac:dyDescent="0.25">
      <c r="A272" s="2080"/>
      <c r="B272" s="2706"/>
      <c r="C272" s="3856" t="s">
        <v>6221</v>
      </c>
      <c r="D272" s="1846">
        <v>362106306</v>
      </c>
      <c r="E272" s="2643">
        <f t="shared" si="12"/>
        <v>0.21898662363371221</v>
      </c>
      <c r="F272" s="879"/>
      <c r="G272" s="2586"/>
      <c r="H272" s="1312"/>
      <c r="I272" s="2230"/>
      <c r="J272" s="1616"/>
      <c r="K272" s="2586"/>
      <c r="L272" s="1310"/>
      <c r="M272" s="2230"/>
      <c r="N272" s="2702"/>
      <c r="P272" s="2127"/>
      <c r="Q272" s="2127"/>
    </row>
    <row r="273" spans="1:17" s="2074" customFormat="1" ht="16.5" hidden="1" customHeight="1" x14ac:dyDescent="0.25">
      <c r="A273" s="2080"/>
      <c r="B273" s="2706"/>
      <c r="C273" s="3876" t="s">
        <v>6222</v>
      </c>
      <c r="D273" s="1846">
        <v>195300000</v>
      </c>
      <c r="E273" s="2643">
        <f t="shared" si="12"/>
        <v>0.11810920408457067</v>
      </c>
      <c r="F273" s="879"/>
      <c r="G273" s="2714"/>
      <c r="H273" s="1312"/>
      <c r="I273" s="2230"/>
      <c r="J273" s="1616"/>
      <c r="K273" s="2714"/>
      <c r="L273" s="1310"/>
      <c r="M273" s="2230"/>
      <c r="N273" s="2702"/>
      <c r="P273" s="2127"/>
      <c r="Q273" s="2127"/>
    </row>
    <row r="274" spans="1:17" s="2074" customFormat="1" ht="27" hidden="1" customHeight="1" x14ac:dyDescent="0.25">
      <c r="A274" s="2080"/>
      <c r="B274" s="2706"/>
      <c r="C274" s="3876" t="s">
        <v>6223</v>
      </c>
      <c r="D274" s="666">
        <v>188075000</v>
      </c>
      <c r="E274" s="2643">
        <f t="shared" si="12"/>
        <v>0.11373982876705391</v>
      </c>
      <c r="F274" s="879"/>
      <c r="G274" s="2586"/>
      <c r="H274" s="2293"/>
      <c r="I274" s="2293"/>
      <c r="J274" s="1616"/>
      <c r="K274" s="2586"/>
      <c r="L274" s="1310"/>
      <c r="M274" s="2230"/>
      <c r="N274" s="2702"/>
      <c r="P274" s="2127"/>
      <c r="Q274" s="2127"/>
    </row>
    <row r="275" spans="1:17" s="2074" customFormat="1" ht="12" hidden="1" customHeight="1" x14ac:dyDescent="0.25">
      <c r="A275" s="2080"/>
      <c r="B275" s="2706"/>
      <c r="C275" s="3986"/>
      <c r="D275" s="1849"/>
      <c r="E275" s="2643"/>
      <c r="F275" s="879"/>
      <c r="G275" s="2633"/>
      <c r="H275" s="1312"/>
      <c r="I275" s="2227"/>
      <c r="J275" s="1616"/>
      <c r="K275" s="2633"/>
      <c r="L275" s="1310"/>
      <c r="M275" s="2227"/>
      <c r="N275" s="2702"/>
      <c r="P275" s="2127"/>
      <c r="Q275" s="2127"/>
    </row>
    <row r="276" spans="1:17" s="2074" customFormat="1" ht="16.5" hidden="1" customHeight="1" x14ac:dyDescent="0.25">
      <c r="A276" s="2080"/>
      <c r="B276" s="2706"/>
      <c r="C276" s="3901" t="s">
        <v>6224</v>
      </c>
      <c r="D276" s="673">
        <f>SUM(D277:D278)</f>
        <v>757500000</v>
      </c>
      <c r="E276" s="2707">
        <f t="shared" si="12"/>
        <v>0.45810405578116892</v>
      </c>
      <c r="F276" s="2718"/>
      <c r="G276" s="2714"/>
      <c r="H276" s="1312"/>
      <c r="I276" s="2230"/>
      <c r="J276" s="2717"/>
      <c r="K276" s="2714"/>
      <c r="L276" s="1310"/>
      <c r="M276" s="2230"/>
      <c r="N276" s="2702"/>
      <c r="P276" s="2127"/>
      <c r="Q276" s="2127"/>
    </row>
    <row r="277" spans="1:17" s="2074" customFormat="1" ht="20.25" hidden="1" customHeight="1" x14ac:dyDescent="0.25">
      <c r="A277" s="2080"/>
      <c r="B277" s="2706"/>
      <c r="C277" s="3902" t="s">
        <v>6225</v>
      </c>
      <c r="D277" s="666">
        <v>1500000</v>
      </c>
      <c r="E277" s="2643">
        <f t="shared" si="12"/>
        <v>9.0713674412112649E-4</v>
      </c>
      <c r="F277" s="2718"/>
      <c r="G277" s="2639"/>
      <c r="H277" s="2297"/>
      <c r="I277" s="2297"/>
      <c r="J277" s="2717"/>
      <c r="K277" s="2639"/>
      <c r="L277" s="1310"/>
      <c r="M277" s="2297"/>
      <c r="N277" s="2702"/>
      <c r="P277" s="2127"/>
      <c r="Q277" s="2127"/>
    </row>
    <row r="278" spans="1:17" s="2074" customFormat="1" ht="28.5" hidden="1" customHeight="1" x14ac:dyDescent="0.25">
      <c r="A278" s="2080"/>
      <c r="B278" s="2706"/>
      <c r="C278" s="3902" t="s">
        <v>6226</v>
      </c>
      <c r="D278" s="666">
        <v>756000000</v>
      </c>
      <c r="E278" s="2643">
        <f t="shared" si="12"/>
        <v>0.45719691903704773</v>
      </c>
      <c r="F278" s="1343"/>
      <c r="G278" s="2586"/>
      <c r="H278" s="2293"/>
      <c r="I278" s="2293"/>
      <c r="J278" s="838"/>
      <c r="K278" s="2586"/>
      <c r="L278" s="2293"/>
      <c r="M278" s="2293"/>
      <c r="N278" s="2702"/>
      <c r="P278" s="2127"/>
      <c r="Q278" s="2127"/>
    </row>
    <row r="279" spans="1:17" s="2074" customFormat="1" ht="12" hidden="1" customHeight="1" x14ac:dyDescent="0.25">
      <c r="A279" s="2080"/>
      <c r="B279" s="2706"/>
      <c r="C279" s="3852"/>
      <c r="D279" s="1858"/>
      <c r="E279" s="2643"/>
      <c r="F279" s="1415"/>
      <c r="G279" s="1391"/>
      <c r="H279" s="1650"/>
      <c r="I279" s="2176"/>
      <c r="J279" s="2710"/>
      <c r="K279" s="1417"/>
      <c r="L279" s="1308"/>
      <c r="M279" s="2176"/>
      <c r="N279" s="2702"/>
      <c r="P279" s="2127"/>
      <c r="Q279" s="2127"/>
    </row>
    <row r="280" spans="1:17" s="2074" customFormat="1" ht="18.75" hidden="1" customHeight="1" x14ac:dyDescent="0.25">
      <c r="A280" s="2080"/>
      <c r="B280" s="2706"/>
      <c r="C280" s="3878" t="s">
        <v>3052</v>
      </c>
      <c r="D280" s="1851">
        <f>SUM(D281:D284)</f>
        <v>3052765794</v>
      </c>
      <c r="E280" s="2707">
        <f t="shared" si="12"/>
        <v>1.8461840152890037</v>
      </c>
      <c r="F280" s="879"/>
      <c r="G280" s="2586"/>
      <c r="H280" s="2293"/>
      <c r="I280" s="2293"/>
      <c r="J280" s="1616"/>
      <c r="K280" s="2586"/>
      <c r="L280" s="1310"/>
      <c r="M280" s="2293"/>
      <c r="N280" s="2702"/>
      <c r="P280" s="2127"/>
      <c r="Q280" s="2127"/>
    </row>
    <row r="281" spans="1:17" s="2074" customFormat="1" ht="18" hidden="1" customHeight="1" x14ac:dyDescent="0.25">
      <c r="A281" s="2080"/>
      <c r="B281" s="2706"/>
      <c r="C281" s="3876" t="s">
        <v>6227</v>
      </c>
      <c r="D281" s="1846">
        <v>693322000</v>
      </c>
      <c r="E281" s="2643">
        <f t="shared" si="12"/>
        <v>0.41929190780503178</v>
      </c>
      <c r="F281" s="879"/>
      <c r="G281" s="2586"/>
      <c r="H281" s="1312"/>
      <c r="I281" s="2293"/>
      <c r="J281" s="1616"/>
      <c r="K281" s="2586"/>
      <c r="L281" s="1310"/>
      <c r="M281" s="2293"/>
      <c r="N281" s="2702"/>
      <c r="P281" s="2127"/>
      <c r="Q281" s="2127"/>
    </row>
    <row r="282" spans="1:17" s="2074" customFormat="1" ht="13.5" hidden="1" customHeight="1" x14ac:dyDescent="0.25">
      <c r="A282" s="2080"/>
      <c r="B282" s="2706"/>
      <c r="C282" s="3876" t="s">
        <v>6228</v>
      </c>
      <c r="D282" s="1846">
        <v>248993794</v>
      </c>
      <c r="E282" s="2643">
        <f t="shared" si="12"/>
        <v>0.15058094639701763</v>
      </c>
      <c r="F282" s="879"/>
      <c r="G282" s="2586"/>
      <c r="H282" s="2293"/>
      <c r="I282" s="2293"/>
      <c r="J282" s="1616"/>
      <c r="K282" s="1167"/>
      <c r="L282" s="1167"/>
      <c r="M282" s="878"/>
      <c r="N282" s="2702"/>
      <c r="P282" s="2127"/>
      <c r="Q282" s="2127"/>
    </row>
    <row r="283" spans="1:17" s="2074" customFormat="1" ht="14.25" hidden="1" customHeight="1" x14ac:dyDescent="0.25">
      <c r="A283" s="2080"/>
      <c r="B283" s="2706"/>
      <c r="C283" s="3876" t="s">
        <v>6229</v>
      </c>
      <c r="D283" s="1846">
        <v>163600000</v>
      </c>
      <c r="E283" s="2643">
        <f t="shared" si="12"/>
        <v>9.8938380892144184E-2</v>
      </c>
      <c r="F283" s="879"/>
      <c r="G283" s="2586"/>
      <c r="H283" s="1312"/>
      <c r="I283" s="2293"/>
      <c r="J283" s="1616"/>
      <c r="K283" s="1418"/>
      <c r="L283" s="1310"/>
      <c r="M283" s="2293"/>
      <c r="N283" s="2702"/>
      <c r="P283" s="2127"/>
      <c r="Q283" s="2127"/>
    </row>
    <row r="284" spans="1:17" s="2074" customFormat="1" ht="16.5" hidden="1" customHeight="1" x14ac:dyDescent="0.25">
      <c r="A284" s="2080"/>
      <c r="B284" s="2706"/>
      <c r="C284" s="3876" t="s">
        <v>6230</v>
      </c>
      <c r="D284" s="1846">
        <v>1946850000</v>
      </c>
      <c r="E284" s="2643">
        <f t="shared" si="12"/>
        <v>1.1773727801948102</v>
      </c>
      <c r="F284" s="880"/>
      <c r="G284" s="2586"/>
      <c r="H284" s="1312"/>
      <c r="I284" s="2293"/>
      <c r="J284" s="880"/>
      <c r="K284" s="2586"/>
      <c r="L284" s="1310"/>
      <c r="M284" s="2293"/>
      <c r="N284" s="2702"/>
      <c r="P284" s="2127"/>
      <c r="Q284" s="2127"/>
    </row>
    <row r="285" spans="1:17" s="2074" customFormat="1" ht="13.5" hidden="1" customHeight="1" x14ac:dyDescent="0.25">
      <c r="A285" s="2080"/>
      <c r="B285" s="2742"/>
      <c r="C285" s="3986"/>
      <c r="D285" s="1849"/>
      <c r="E285" s="2643"/>
      <c r="F285" s="886"/>
      <c r="G285" s="2723"/>
      <c r="H285" s="1703"/>
      <c r="I285" s="3156"/>
      <c r="J285" s="886"/>
      <c r="K285" s="2723"/>
      <c r="L285" s="2255"/>
      <c r="M285" s="3156"/>
      <c r="N285" s="2702"/>
      <c r="P285" s="2127"/>
      <c r="Q285" s="2127"/>
    </row>
    <row r="286" spans="1:17" s="2074" customFormat="1" ht="16.5" hidden="1" customHeight="1" x14ac:dyDescent="0.25">
      <c r="A286" s="2080"/>
      <c r="B286" s="2742"/>
      <c r="C286" s="3878" t="s">
        <v>6231</v>
      </c>
      <c r="D286" s="1851">
        <f>D287</f>
        <v>596457435</v>
      </c>
      <c r="E286" s="2707">
        <f t="shared" si="12"/>
        <v>0.36071230372849228</v>
      </c>
      <c r="F286" s="880"/>
      <c r="G286" s="2586"/>
      <c r="H286" s="1717"/>
      <c r="I286" s="2293"/>
      <c r="J286" s="880"/>
      <c r="K286" s="2586"/>
      <c r="L286" s="880"/>
      <c r="M286" s="2293"/>
      <c r="N286" s="2702"/>
      <c r="P286" s="2127"/>
      <c r="Q286" s="2127"/>
    </row>
    <row r="287" spans="1:17" s="2074" customFormat="1" ht="16.5" hidden="1" customHeight="1" x14ac:dyDescent="0.25">
      <c r="A287" s="2080"/>
      <c r="B287" s="2742"/>
      <c r="C287" s="3987" t="s">
        <v>6232</v>
      </c>
      <c r="D287" s="1852">
        <v>596457435</v>
      </c>
      <c r="E287" s="2643">
        <f t="shared" ref="E287:E290" si="13">D287/165355445000*100</f>
        <v>0.36071230372849228</v>
      </c>
      <c r="F287" s="880"/>
      <c r="G287" s="2586"/>
      <c r="H287" s="1717"/>
      <c r="I287" s="2293"/>
      <c r="J287" s="880"/>
      <c r="K287" s="2586"/>
      <c r="L287" s="880"/>
      <c r="M287" s="2293"/>
      <c r="N287" s="2702"/>
      <c r="P287" s="2127"/>
      <c r="Q287" s="2127"/>
    </row>
    <row r="288" spans="1:17" s="2074" customFormat="1" ht="12.75" hidden="1" customHeight="1" x14ac:dyDescent="0.25">
      <c r="A288" s="2080"/>
      <c r="B288" s="2742"/>
      <c r="C288" s="4106"/>
      <c r="D288" s="666"/>
      <c r="E288" s="2643"/>
      <c r="F288" s="880"/>
      <c r="G288" s="2586"/>
      <c r="H288" s="1717"/>
      <c r="I288" s="2293"/>
      <c r="J288" s="880"/>
      <c r="K288" s="2586"/>
      <c r="L288" s="880"/>
      <c r="M288" s="2293"/>
      <c r="N288" s="2702"/>
      <c r="P288" s="2127"/>
      <c r="Q288" s="2127"/>
    </row>
    <row r="289" spans="1:17" s="2074" customFormat="1" ht="16.5" hidden="1" customHeight="1" x14ac:dyDescent="0.25">
      <c r="A289" s="2080"/>
      <c r="B289" s="2742"/>
      <c r="C289" s="4102" t="s">
        <v>6233</v>
      </c>
      <c r="D289" s="1847">
        <f>D290</f>
        <v>435980000</v>
      </c>
      <c r="E289" s="2707">
        <f t="shared" si="13"/>
        <v>0.26366231846795252</v>
      </c>
      <c r="F289" s="880"/>
      <c r="G289" s="2586"/>
      <c r="H289" s="1717"/>
      <c r="I289" s="2293"/>
      <c r="J289" s="880"/>
      <c r="K289" s="2586"/>
      <c r="L289" s="880"/>
      <c r="M289" s="2293"/>
      <c r="N289" s="2702"/>
      <c r="P289" s="2127"/>
      <c r="Q289" s="2127"/>
    </row>
    <row r="290" spans="1:17" s="2074" customFormat="1" ht="16.5" hidden="1" customHeight="1" x14ac:dyDescent="0.25">
      <c r="A290" s="2080"/>
      <c r="B290" s="2742"/>
      <c r="C290" s="3902" t="s">
        <v>6234</v>
      </c>
      <c r="D290" s="1846">
        <v>435980000</v>
      </c>
      <c r="E290" s="2643">
        <f t="shared" si="13"/>
        <v>0.26366231846795252</v>
      </c>
      <c r="F290" s="880"/>
      <c r="G290" s="2586"/>
      <c r="H290" s="1717"/>
      <c r="I290" s="2293"/>
      <c r="J290" s="880"/>
      <c r="K290" s="2586"/>
      <c r="L290" s="880"/>
      <c r="M290" s="2293"/>
      <c r="N290" s="2702"/>
      <c r="P290" s="2127"/>
      <c r="Q290" s="2127"/>
    </row>
    <row r="291" spans="1:17" s="2074" customFormat="1" ht="16.5" hidden="1" customHeight="1" x14ac:dyDescent="0.25">
      <c r="A291" s="2080"/>
      <c r="B291" s="2742"/>
      <c r="C291" s="4453"/>
      <c r="D291" s="1852"/>
      <c r="E291" s="4502"/>
      <c r="F291" s="886"/>
      <c r="G291" s="2723"/>
      <c r="H291" s="1703"/>
      <c r="I291" s="3156"/>
      <c r="J291" s="886"/>
      <c r="K291" s="2723"/>
      <c r="L291" s="2255"/>
      <c r="M291" s="3156"/>
      <c r="N291" s="2702"/>
      <c r="P291" s="2127"/>
      <c r="Q291" s="2127"/>
    </row>
    <row r="292" spans="1:17" s="2074" customFormat="1" ht="27" hidden="1" customHeight="1" x14ac:dyDescent="0.25">
      <c r="A292" s="2080"/>
      <c r="B292" s="2720"/>
      <c r="C292" s="3994" t="s">
        <v>1128</v>
      </c>
      <c r="D292" s="669">
        <f>D293</f>
        <v>1070000000</v>
      </c>
      <c r="E292" s="2625">
        <f>D292/165355445000*100</f>
        <v>0.64709087747307026</v>
      </c>
      <c r="F292" s="3470"/>
      <c r="G292" s="4503"/>
      <c r="H292" s="3471"/>
      <c r="I292" s="4504"/>
      <c r="J292" s="3470"/>
      <c r="K292" s="4503"/>
      <c r="L292" s="3470"/>
      <c r="M292" s="4504"/>
      <c r="N292" s="2702"/>
      <c r="P292" s="2127"/>
      <c r="Q292" s="2127"/>
    </row>
    <row r="293" spans="1:17" s="2074" customFormat="1" ht="16.5" hidden="1" customHeight="1" x14ac:dyDescent="0.25">
      <c r="A293" s="2080"/>
      <c r="B293" s="2742"/>
      <c r="C293" s="4102" t="s">
        <v>6291</v>
      </c>
      <c r="D293" s="1847">
        <f>D294</f>
        <v>1070000000</v>
      </c>
      <c r="E293" s="2707">
        <f t="shared" ref="E293:E294" si="14">D293/165355445000*100</f>
        <v>0.64709087747307026</v>
      </c>
      <c r="F293" s="886"/>
      <c r="G293" s="2723"/>
      <c r="H293" s="1703"/>
      <c r="I293" s="3156"/>
      <c r="J293" s="886"/>
      <c r="K293" s="2723"/>
      <c r="L293" s="2255"/>
      <c r="M293" s="3156"/>
      <c r="N293" s="2702"/>
      <c r="P293" s="2127"/>
      <c r="Q293" s="2127"/>
    </row>
    <row r="294" spans="1:17" s="2074" customFormat="1" ht="16.5" hidden="1" customHeight="1" x14ac:dyDescent="0.25">
      <c r="A294" s="2080"/>
      <c r="B294" s="2742"/>
      <c r="C294" s="3902" t="s">
        <v>6292</v>
      </c>
      <c r="D294" s="1846">
        <v>1070000000</v>
      </c>
      <c r="E294" s="2643">
        <f t="shared" si="14"/>
        <v>0.64709087747307026</v>
      </c>
      <c r="F294" s="880"/>
      <c r="G294" s="2586"/>
      <c r="H294" s="1717"/>
      <c r="I294" s="2293"/>
      <c r="J294" s="880"/>
      <c r="K294" s="2586"/>
      <c r="L294" s="880"/>
      <c r="M294" s="2293"/>
      <c r="N294" s="2702"/>
      <c r="P294" s="2127"/>
      <c r="Q294" s="2127"/>
    </row>
    <row r="295" spans="1:17" s="2074" customFormat="1" ht="16.5" hidden="1" customHeight="1" x14ac:dyDescent="0.25">
      <c r="A295" s="2080"/>
      <c r="B295" s="2742"/>
      <c r="C295" s="4453"/>
      <c r="D295" s="1852"/>
      <c r="E295" s="4502"/>
      <c r="F295" s="886"/>
      <c r="G295" s="2723"/>
      <c r="H295" s="1703"/>
      <c r="I295" s="3156"/>
      <c r="J295" s="886"/>
      <c r="K295" s="2723"/>
      <c r="L295" s="2255"/>
      <c r="M295" s="3156"/>
      <c r="N295" s="2702"/>
      <c r="P295" s="2127"/>
      <c r="Q295" s="2127"/>
    </row>
    <row r="296" spans="1:17" s="2074" customFormat="1" ht="18" hidden="1" customHeight="1" x14ac:dyDescent="0.25">
      <c r="A296" s="2080"/>
      <c r="B296" s="2720"/>
      <c r="C296" s="3858" t="s">
        <v>6414</v>
      </c>
      <c r="D296" s="669">
        <f>SUM(D297)</f>
        <v>324848184</v>
      </c>
      <c r="E296" s="2625">
        <f>D296/165355445000*100</f>
        <v>0.19645448264494708</v>
      </c>
      <c r="F296" s="3470"/>
      <c r="G296" s="4503"/>
      <c r="H296" s="3471"/>
      <c r="I296" s="4504"/>
      <c r="J296" s="3470"/>
      <c r="K296" s="4503"/>
      <c r="L296" s="3470"/>
      <c r="M296" s="4504"/>
      <c r="N296" s="2702"/>
      <c r="P296" s="2127"/>
      <c r="Q296" s="2127"/>
    </row>
    <row r="297" spans="1:17" s="2074" customFormat="1" ht="24" hidden="1" customHeight="1" x14ac:dyDescent="0.25">
      <c r="A297" s="2080"/>
      <c r="B297" s="2742"/>
      <c r="C297" s="4490" t="s">
        <v>6415</v>
      </c>
      <c r="D297" s="1847">
        <f>SUM(D298:D300)</f>
        <v>324848184</v>
      </c>
      <c r="E297" s="2707">
        <f t="shared" ref="E297:E300" si="15">D297/165355445000*100</f>
        <v>0.19645448264494708</v>
      </c>
      <c r="F297" s="886"/>
      <c r="G297" s="2723"/>
      <c r="H297" s="1703"/>
      <c r="I297" s="3156"/>
      <c r="J297" s="886"/>
      <c r="K297" s="2723"/>
      <c r="L297" s="2255"/>
      <c r="M297" s="3156"/>
      <c r="N297" s="2702"/>
      <c r="P297" s="2127"/>
      <c r="Q297" s="2127"/>
    </row>
    <row r="298" spans="1:17" s="2074" customFormat="1" ht="27.75" hidden="1" customHeight="1" x14ac:dyDescent="0.25">
      <c r="A298" s="2080"/>
      <c r="B298" s="2742"/>
      <c r="C298" s="4106" t="s">
        <v>6416</v>
      </c>
      <c r="D298" s="666">
        <v>93216000</v>
      </c>
      <c r="E298" s="2643">
        <f t="shared" si="15"/>
        <v>5.6373105826663286E-2</v>
      </c>
      <c r="F298" s="880"/>
      <c r="G298" s="2586"/>
      <c r="H298" s="1717"/>
      <c r="I298" s="2293"/>
      <c r="J298" s="880"/>
      <c r="K298" s="2586"/>
      <c r="L298" s="880"/>
      <c r="M298" s="2293"/>
      <c r="N298" s="2702"/>
      <c r="P298" s="2127"/>
      <c r="Q298" s="2127"/>
    </row>
    <row r="299" spans="1:17" s="2074" customFormat="1" ht="19.5" hidden="1" customHeight="1" x14ac:dyDescent="0.25">
      <c r="A299" s="2080"/>
      <c r="B299" s="2742"/>
      <c r="C299" s="4111" t="s">
        <v>6417</v>
      </c>
      <c r="D299" s="1856">
        <v>196269610</v>
      </c>
      <c r="E299" s="2643">
        <f t="shared" si="15"/>
        <v>0.11869558332354886</v>
      </c>
      <c r="F299" s="880"/>
      <c r="G299" s="2586"/>
      <c r="H299" s="1717"/>
      <c r="I299" s="2293"/>
      <c r="J299" s="880"/>
      <c r="K299" s="2586"/>
      <c r="L299" s="880"/>
      <c r="M299" s="2293"/>
      <c r="N299" s="2702"/>
      <c r="P299" s="2127"/>
      <c r="Q299" s="2127"/>
    </row>
    <row r="300" spans="1:17" s="2074" customFormat="1" ht="20.25" hidden="1" customHeight="1" x14ac:dyDescent="0.25">
      <c r="A300" s="2080"/>
      <c r="B300" s="2742"/>
      <c r="C300" s="3856" t="s">
        <v>6418</v>
      </c>
      <c r="D300" s="1846">
        <v>35362574</v>
      </c>
      <c r="E300" s="2643">
        <f t="shared" si="15"/>
        <v>2.1385793494734934E-2</v>
      </c>
      <c r="F300" s="880"/>
      <c r="G300" s="2586"/>
      <c r="H300" s="1717"/>
      <c r="I300" s="2293"/>
      <c r="J300" s="880"/>
      <c r="K300" s="2586"/>
      <c r="L300" s="880"/>
      <c r="M300" s="2293"/>
      <c r="N300" s="2702"/>
      <c r="P300" s="2127"/>
      <c r="Q300" s="2127"/>
    </row>
    <row r="301" spans="1:17" s="4099" customFormat="1" ht="12" hidden="1" customHeight="1" x14ac:dyDescent="0.25">
      <c r="A301" s="4100"/>
      <c r="B301" s="2630"/>
      <c r="C301" s="3892"/>
      <c r="D301" s="840"/>
      <c r="E301" s="1164"/>
      <c r="F301" s="1342"/>
      <c r="G301" s="2723"/>
      <c r="H301" s="1703"/>
      <c r="I301" s="1703"/>
      <c r="J301" s="840"/>
      <c r="K301" s="2723"/>
      <c r="L301" s="1703"/>
      <c r="M301" s="1703"/>
      <c r="N301" s="3653"/>
      <c r="P301" s="522"/>
      <c r="Q301" s="522"/>
    </row>
    <row r="302" spans="1:17" ht="17.25" hidden="1" customHeight="1" x14ac:dyDescent="0.25">
      <c r="B302" s="2635"/>
      <c r="C302" s="507" t="s">
        <v>6568</v>
      </c>
      <c r="D302" s="832">
        <f>SUM(D303+D306)</f>
        <v>10904215955</v>
      </c>
      <c r="E302" s="2625">
        <f>D302/165355445000*100</f>
        <v>6.5944099724082257</v>
      </c>
      <c r="F302" s="992"/>
      <c r="G302" s="992"/>
      <c r="H302" s="1307"/>
      <c r="I302" s="1307"/>
      <c r="J302" s="832"/>
      <c r="K302" s="992"/>
      <c r="L302" s="1307"/>
      <c r="M302" s="1307"/>
      <c r="N302" s="2634"/>
    </row>
    <row r="303" spans="1:17" s="1639" customFormat="1" ht="18.75" hidden="1" customHeight="1" x14ac:dyDescent="0.25">
      <c r="B303" s="2653"/>
      <c r="C303" s="1131" t="s">
        <v>6569</v>
      </c>
      <c r="D303" s="854">
        <f>SUM(D304:D304)</f>
        <v>1439500000</v>
      </c>
      <c r="E303" s="2707">
        <f t="shared" ref="E303:E307" si="16">D303/165355445000*100</f>
        <v>0.87054889544157432</v>
      </c>
      <c r="F303" s="1394"/>
      <c r="G303" s="1394"/>
      <c r="H303" s="1659"/>
      <c r="I303" s="1659"/>
      <c r="J303" s="854"/>
      <c r="K303" s="1394"/>
      <c r="L303" s="1659"/>
      <c r="M303" s="1659"/>
      <c r="N303" s="2634"/>
      <c r="P303" s="2093"/>
      <c r="Q303" s="2093"/>
    </row>
    <row r="304" spans="1:17" s="1639" customFormat="1" ht="16.5" hidden="1" customHeight="1" x14ac:dyDescent="0.25">
      <c r="B304" s="2624"/>
      <c r="C304" s="3856" t="s">
        <v>6573</v>
      </c>
      <c r="D304" s="1846">
        <v>1439500000</v>
      </c>
      <c r="E304" s="2643">
        <f t="shared" si="16"/>
        <v>0.87054889544157432</v>
      </c>
      <c r="F304" s="880"/>
      <c r="G304" s="2586"/>
      <c r="H304" s="1312"/>
      <c r="I304" s="1312"/>
      <c r="J304" s="666"/>
      <c r="K304" s="2202"/>
      <c r="L304" s="1310"/>
      <c r="M304" s="1312"/>
      <c r="N304" s="2634"/>
      <c r="P304" s="2093">
        <v>1792500000</v>
      </c>
      <c r="Q304" s="2093">
        <v>1197500000</v>
      </c>
    </row>
    <row r="305" spans="1:17" s="1639" customFormat="1" ht="11.25" hidden="1" customHeight="1" x14ac:dyDescent="0.25">
      <c r="B305" s="2624"/>
      <c r="C305" s="3856"/>
      <c r="D305" s="1846"/>
      <c r="E305" s="2643"/>
      <c r="F305" s="880"/>
      <c r="G305" s="2586"/>
      <c r="H305" s="1312"/>
      <c r="I305" s="1312"/>
      <c r="J305" s="666"/>
      <c r="K305" s="2202"/>
      <c r="L305" s="1310"/>
      <c r="M305" s="1312"/>
      <c r="N305" s="3653"/>
      <c r="P305" s="2093"/>
      <c r="Q305" s="2093"/>
    </row>
    <row r="306" spans="1:17" s="3598" customFormat="1" ht="17.25" hidden="1" customHeight="1" x14ac:dyDescent="0.25">
      <c r="B306" s="2624"/>
      <c r="C306" s="4103" t="s">
        <v>6574</v>
      </c>
      <c r="D306" s="839">
        <f>D307</f>
        <v>9464715955</v>
      </c>
      <c r="E306" s="2707">
        <f t="shared" si="16"/>
        <v>5.723861076966652</v>
      </c>
      <c r="F306" s="1413"/>
      <c r="G306" s="2708"/>
      <c r="H306" s="1650"/>
      <c r="I306" s="1650"/>
      <c r="J306" s="839"/>
      <c r="K306" s="2708"/>
      <c r="L306" s="1650"/>
      <c r="M306" s="1650"/>
      <c r="N306" s="2623"/>
      <c r="P306" s="2002"/>
      <c r="Q306" s="2002"/>
    </row>
    <row r="307" spans="1:17" s="1639" customFormat="1" ht="16.5" hidden="1" customHeight="1" x14ac:dyDescent="0.25">
      <c r="B307" s="2624"/>
      <c r="C307" s="3856" t="s">
        <v>6578</v>
      </c>
      <c r="D307" s="666">
        <v>9464715955</v>
      </c>
      <c r="E307" s="2643">
        <f t="shared" si="16"/>
        <v>5.723861076966652</v>
      </c>
      <c r="F307" s="880"/>
      <c r="G307" s="2586"/>
      <c r="H307" s="1312"/>
      <c r="I307" s="1312"/>
      <c r="J307" s="666"/>
      <c r="K307" s="2202"/>
      <c r="L307" s="1310"/>
      <c r="M307" s="1312"/>
      <c r="N307" s="2634"/>
      <c r="P307" s="2093">
        <v>17283398134</v>
      </c>
      <c r="Q307" s="2093">
        <v>7614201200</v>
      </c>
    </row>
    <row r="308" spans="1:17" ht="14.25" hidden="1" customHeight="1" x14ac:dyDescent="0.25">
      <c r="B308" s="2630"/>
      <c r="C308" s="1147"/>
      <c r="D308" s="840"/>
      <c r="E308" s="1164"/>
      <c r="F308" s="2681"/>
      <c r="G308" s="2723"/>
      <c r="H308" s="2182"/>
      <c r="I308" s="2302"/>
      <c r="J308" s="2182"/>
      <c r="K308" s="2518"/>
      <c r="L308" s="1671"/>
      <c r="M308" s="2182"/>
      <c r="N308" s="2634"/>
    </row>
    <row r="309" spans="1:17" s="269" customFormat="1" ht="17.25" customHeight="1" x14ac:dyDescent="0.25">
      <c r="A309" s="505"/>
      <c r="B309" s="2724"/>
      <c r="C309" s="1297" t="s">
        <v>7125</v>
      </c>
      <c r="D309" s="2699">
        <f>D311+D381+D340+D344+D354+D358+D364+D368+D372+D377</f>
        <v>36476757000</v>
      </c>
      <c r="E309" s="2530">
        <f>D309/D83*100</f>
        <v>6.4097880229568336</v>
      </c>
      <c r="F309" s="3402"/>
      <c r="G309" s="2700"/>
      <c r="H309" s="2507"/>
      <c r="I309" s="2701"/>
      <c r="J309" s="2700"/>
      <c r="K309" s="2700"/>
      <c r="L309" s="2507"/>
      <c r="M309" s="2507"/>
      <c r="N309" s="2623"/>
      <c r="P309" s="2069"/>
      <c r="Q309" s="2069"/>
    </row>
    <row r="310" spans="1:17" ht="6" hidden="1" customHeight="1" x14ac:dyDescent="0.25">
      <c r="B310" s="2630"/>
      <c r="C310" s="1147"/>
      <c r="D310" s="840"/>
      <c r="E310" s="1164"/>
      <c r="F310" s="1342"/>
      <c r="G310" s="2723"/>
      <c r="H310" s="2182"/>
      <c r="I310" s="2302"/>
      <c r="J310" s="2266"/>
      <c r="K310" s="2741"/>
      <c r="L310" s="1671"/>
      <c r="M310" s="2182"/>
      <c r="N310" s="2634"/>
    </row>
    <row r="311" spans="1:17" s="269" customFormat="1" ht="18.75" hidden="1" customHeight="1" x14ac:dyDescent="0.25">
      <c r="A311" s="350"/>
      <c r="B311" s="1305"/>
      <c r="C311" s="507" t="s">
        <v>238</v>
      </c>
      <c r="D311" s="1546">
        <f>D312+D319+D322+D326+D330+D334+D337</f>
        <v>26575685000</v>
      </c>
      <c r="E311" s="1050">
        <f>D311/164852857000*100</f>
        <v>16.120851942529573</v>
      </c>
      <c r="F311" s="3529"/>
      <c r="G311" s="3529"/>
      <c r="H311" s="1306"/>
      <c r="I311" s="2298"/>
      <c r="J311" s="1813"/>
      <c r="K311" s="1813"/>
      <c r="L311" s="1726"/>
      <c r="M311" s="2066"/>
      <c r="N311" s="553"/>
    </row>
    <row r="312" spans="1:17" s="269" customFormat="1" ht="16.5" hidden="1" customHeight="1" x14ac:dyDescent="0.25">
      <c r="A312" s="350"/>
      <c r="B312" s="1242"/>
      <c r="C312" s="1131" t="s">
        <v>239</v>
      </c>
      <c r="D312" s="1554">
        <f>SUM(D313:D317)</f>
        <v>16715734000</v>
      </c>
      <c r="E312" s="1159">
        <f>D312/164852857000*100</f>
        <v>10.139790297962502</v>
      </c>
      <c r="F312" s="854"/>
      <c r="G312" s="753"/>
      <c r="H312" s="753"/>
      <c r="I312" s="753"/>
      <c r="J312" s="1836"/>
      <c r="K312" s="1772"/>
      <c r="L312" s="753"/>
      <c r="M312" s="753"/>
      <c r="N312" s="553"/>
    </row>
    <row r="313" spans="1:17" s="266" customFormat="1" ht="17.25" hidden="1" customHeight="1" x14ac:dyDescent="0.25">
      <c r="A313" s="353"/>
      <c r="B313" s="2910"/>
      <c r="C313" s="509" t="s">
        <v>3226</v>
      </c>
      <c r="D313" s="1548">
        <v>50000000</v>
      </c>
      <c r="E313" s="1160">
        <f t="shared" ref="E313:E338" si="17">D313/164852857000*100</f>
        <v>3.0330077931254782E-2</v>
      </c>
      <c r="F313" s="838"/>
      <c r="G313" s="878"/>
      <c r="H313" s="878"/>
      <c r="I313" s="878"/>
      <c r="J313" s="1818"/>
      <c r="K313" s="878"/>
      <c r="L313" s="878"/>
      <c r="M313" s="878"/>
      <c r="N313" s="354"/>
    </row>
    <row r="314" spans="1:17" s="266" customFormat="1" ht="15.75" hidden="1" customHeight="1" x14ac:dyDescent="0.25">
      <c r="A314" s="353"/>
      <c r="B314" s="2910"/>
      <c r="C314" s="509" t="s">
        <v>3227</v>
      </c>
      <c r="D314" s="1548">
        <v>50000000</v>
      </c>
      <c r="E314" s="1160">
        <f t="shared" si="17"/>
        <v>3.0330077931254782E-2</v>
      </c>
      <c r="F314" s="838"/>
      <c r="G314" s="878"/>
      <c r="H314" s="802"/>
      <c r="I314" s="1109"/>
      <c r="J314" s="1818"/>
      <c r="K314" s="1312"/>
      <c r="L314" s="1312"/>
      <c r="M314" s="1312"/>
      <c r="N314" s="354"/>
    </row>
    <row r="315" spans="1:17" s="266" customFormat="1" ht="15.75" hidden="1" customHeight="1" x14ac:dyDescent="0.25">
      <c r="A315" s="353"/>
      <c r="B315" s="2910"/>
      <c r="C315" s="509" t="s">
        <v>3228</v>
      </c>
      <c r="D315" s="1548">
        <v>70000000</v>
      </c>
      <c r="E315" s="1160">
        <f t="shared" si="17"/>
        <v>4.2462109103756689E-2</v>
      </c>
      <c r="F315" s="838"/>
      <c r="G315" s="878"/>
      <c r="H315" s="802"/>
      <c r="I315" s="1109"/>
      <c r="J315" s="1818"/>
      <c r="K315" s="1312"/>
      <c r="L315" s="1312"/>
      <c r="M315" s="1312"/>
      <c r="N315" s="354"/>
    </row>
    <row r="316" spans="1:17" s="266" customFormat="1" ht="15.75" hidden="1" customHeight="1" x14ac:dyDescent="0.25">
      <c r="A316" s="353"/>
      <c r="B316" s="2910"/>
      <c r="C316" s="509" t="s">
        <v>3229</v>
      </c>
      <c r="D316" s="1548">
        <v>1379999960</v>
      </c>
      <c r="E316" s="1160">
        <f t="shared" si="17"/>
        <v>0.83711012663856954</v>
      </c>
      <c r="F316" s="838"/>
      <c r="G316" s="878"/>
      <c r="H316" s="802"/>
      <c r="I316" s="1109"/>
      <c r="J316" s="1818"/>
      <c r="K316" s="1312"/>
      <c r="L316" s="1312"/>
      <c r="M316" s="1312"/>
      <c r="N316" s="354"/>
    </row>
    <row r="317" spans="1:17" s="266" customFormat="1" ht="17.25" hidden="1" customHeight="1" x14ac:dyDescent="0.25">
      <c r="A317" s="353"/>
      <c r="B317" s="2910"/>
      <c r="C317" s="509" t="s">
        <v>3230</v>
      </c>
      <c r="D317" s="1548">
        <v>15165734040</v>
      </c>
      <c r="E317" s="1160">
        <f t="shared" si="17"/>
        <v>9.1995579063576685</v>
      </c>
      <c r="F317" s="838"/>
      <c r="G317" s="878"/>
      <c r="H317" s="802"/>
      <c r="I317" s="1109"/>
      <c r="J317" s="1818"/>
      <c r="K317" s="1312"/>
      <c r="L317" s="1312"/>
      <c r="M317" s="1312"/>
      <c r="N317" s="354"/>
    </row>
    <row r="318" spans="1:17" s="266" customFormat="1" ht="11.25" hidden="1" customHeight="1" x14ac:dyDescent="0.25">
      <c r="A318" s="353"/>
      <c r="B318" s="2910"/>
      <c r="C318" s="509"/>
      <c r="D318" s="1548"/>
      <c r="E318" s="1160"/>
      <c r="F318" s="838"/>
      <c r="G318" s="878"/>
      <c r="H318" s="802"/>
      <c r="I318" s="1109"/>
      <c r="J318" s="1818"/>
      <c r="K318" s="1312"/>
      <c r="L318" s="1312"/>
      <c r="M318" s="1312"/>
      <c r="N318" s="354"/>
    </row>
    <row r="319" spans="1:17" s="269" customFormat="1" ht="18.75" hidden="1" customHeight="1" x14ac:dyDescent="0.25">
      <c r="A319" s="350"/>
      <c r="B319" s="1242"/>
      <c r="C319" s="1132" t="s">
        <v>3225</v>
      </c>
      <c r="D319" s="1549">
        <f>SUM(D320:D320)</f>
        <v>100000000</v>
      </c>
      <c r="E319" s="1159">
        <f t="shared" si="17"/>
        <v>6.0660155862509564E-2</v>
      </c>
      <c r="F319" s="839"/>
      <c r="G319" s="839"/>
      <c r="H319" s="1308"/>
      <c r="I319" s="1110"/>
      <c r="J319" s="1381"/>
      <c r="K319" s="1381"/>
      <c r="L319" s="2176"/>
      <c r="M319" s="2006"/>
      <c r="N319" s="553"/>
    </row>
    <row r="320" spans="1:17" s="266" customFormat="1" ht="19.5" hidden="1" customHeight="1" x14ac:dyDescent="0.25">
      <c r="A320" s="353"/>
      <c r="B320" s="2910"/>
      <c r="C320" s="509" t="s">
        <v>3231</v>
      </c>
      <c r="D320" s="1548">
        <v>100000000</v>
      </c>
      <c r="E320" s="1160">
        <f t="shared" si="17"/>
        <v>6.0660155862509564E-2</v>
      </c>
      <c r="F320" s="838"/>
      <c r="G320" s="838"/>
      <c r="H320" s="1310"/>
      <c r="I320" s="1109"/>
      <c r="J320" s="1818"/>
      <c r="K320" s="1818"/>
      <c r="L320" s="1310"/>
      <c r="M320" s="2230"/>
      <c r="N320" s="354"/>
    </row>
    <row r="321" spans="1:14" s="266" customFormat="1" ht="9.75" hidden="1" customHeight="1" x14ac:dyDescent="0.25">
      <c r="A321" s="353"/>
      <c r="B321" s="2910"/>
      <c r="C321" s="509"/>
      <c r="D321" s="1548"/>
      <c r="E321" s="1160"/>
      <c r="F321" s="838"/>
      <c r="G321" s="878"/>
      <c r="H321" s="878"/>
      <c r="I321" s="878"/>
      <c r="J321" s="1818"/>
      <c r="K321" s="1312"/>
      <c r="L321" s="1312"/>
      <c r="M321" s="1312"/>
      <c r="N321" s="354"/>
    </row>
    <row r="322" spans="1:14" s="269" customFormat="1" ht="16.5" hidden="1" customHeight="1" x14ac:dyDescent="0.25">
      <c r="A322" s="350"/>
      <c r="B322" s="1242"/>
      <c r="C322" s="1132" t="s">
        <v>3232</v>
      </c>
      <c r="D322" s="1549">
        <f>SUM(D323:D324)</f>
        <v>360000000</v>
      </c>
      <c r="E322" s="1159">
        <f t="shared" si="17"/>
        <v>0.21837656110503442</v>
      </c>
      <c r="F322" s="839"/>
      <c r="G322" s="877"/>
      <c r="H322" s="877"/>
      <c r="I322" s="877"/>
      <c r="J322" s="1381"/>
      <c r="K322" s="877"/>
      <c r="L322" s="877"/>
      <c r="M322" s="877"/>
      <c r="N322" s="553"/>
    </row>
    <row r="323" spans="1:14" s="266" customFormat="1" ht="18.75" hidden="1" customHeight="1" x14ac:dyDescent="0.25">
      <c r="A323" s="353"/>
      <c r="B323" s="2910"/>
      <c r="C323" s="509" t="s">
        <v>3233</v>
      </c>
      <c r="D323" s="1548">
        <v>300000000</v>
      </c>
      <c r="E323" s="1160">
        <f t="shared" si="17"/>
        <v>0.18198046758752867</v>
      </c>
      <c r="F323" s="838"/>
      <c r="G323" s="878"/>
      <c r="H323" s="878"/>
      <c r="I323" s="878"/>
      <c r="J323" s="1818"/>
      <c r="K323" s="878"/>
      <c r="L323" s="878"/>
      <c r="M323" s="878"/>
      <c r="N323" s="354"/>
    </row>
    <row r="324" spans="1:14" s="266" customFormat="1" ht="15.75" hidden="1" customHeight="1" x14ac:dyDescent="0.25">
      <c r="A324" s="353"/>
      <c r="B324" s="2910"/>
      <c r="C324" s="509" t="s">
        <v>3234</v>
      </c>
      <c r="D324" s="1548">
        <v>60000000</v>
      </c>
      <c r="E324" s="1160">
        <f t="shared" si="17"/>
        <v>3.6396093517505737E-2</v>
      </c>
      <c r="F324" s="838"/>
      <c r="G324" s="878"/>
      <c r="H324" s="2361"/>
      <c r="I324" s="1109"/>
      <c r="J324" s="1818"/>
      <c r="K324" s="1312"/>
      <c r="L324" s="1312"/>
      <c r="M324" s="1312"/>
      <c r="N324" s="354"/>
    </row>
    <row r="325" spans="1:14" s="266" customFormat="1" ht="13.5" hidden="1" customHeight="1" x14ac:dyDescent="0.25">
      <c r="A325" s="353"/>
      <c r="B325" s="2910"/>
      <c r="C325" s="509"/>
      <c r="D325" s="1548"/>
      <c r="E325" s="1160"/>
      <c r="F325" s="838"/>
      <c r="G325" s="878"/>
      <c r="H325" s="2361"/>
      <c r="I325" s="1109"/>
      <c r="J325" s="1818"/>
      <c r="K325" s="1312"/>
      <c r="L325" s="1312"/>
      <c r="M325" s="1312"/>
      <c r="N325" s="354"/>
    </row>
    <row r="326" spans="1:14" s="269" customFormat="1" ht="22.5" hidden="1" customHeight="1" x14ac:dyDescent="0.25">
      <c r="A326" s="350"/>
      <c r="B326" s="1242"/>
      <c r="C326" s="1132" t="s">
        <v>3235</v>
      </c>
      <c r="D326" s="1549">
        <f>SUM(D327:D328)</f>
        <v>8699951000</v>
      </c>
      <c r="E326" s="1159">
        <f t="shared" si="17"/>
        <v>5.2774038365619589</v>
      </c>
      <c r="F326" s="839"/>
      <c r="G326" s="839"/>
      <c r="H326" s="1308"/>
      <c r="I326" s="1110"/>
      <c r="J326" s="1381"/>
      <c r="K326" s="1381"/>
      <c r="L326" s="2176"/>
      <c r="M326" s="2006"/>
      <c r="N326" s="553"/>
    </row>
    <row r="327" spans="1:14" s="266" customFormat="1" ht="21" hidden="1" customHeight="1" x14ac:dyDescent="0.25">
      <c r="A327" s="353"/>
      <c r="B327" s="2910"/>
      <c r="C327" s="509" t="s">
        <v>3236</v>
      </c>
      <c r="D327" s="1548">
        <v>999950000</v>
      </c>
      <c r="E327" s="1160">
        <f t="shared" si="17"/>
        <v>0.60657122854716439</v>
      </c>
      <c r="F327" s="838"/>
      <c r="G327" s="838"/>
      <c r="H327" s="1310"/>
      <c r="I327" s="1109"/>
      <c r="J327" s="1818"/>
      <c r="K327" s="1818"/>
      <c r="L327" s="1310"/>
      <c r="M327" s="2230"/>
      <c r="N327" s="354"/>
    </row>
    <row r="328" spans="1:14" s="266" customFormat="1" ht="23.25" hidden="1" customHeight="1" x14ac:dyDescent="0.25">
      <c r="A328" s="353"/>
      <c r="B328" s="2910"/>
      <c r="C328" s="509" t="s">
        <v>3237</v>
      </c>
      <c r="D328" s="1548">
        <v>7700001000</v>
      </c>
      <c r="E328" s="1160">
        <f t="shared" si="17"/>
        <v>4.6708326080147948</v>
      </c>
      <c r="F328" s="838"/>
      <c r="G328" s="878"/>
      <c r="H328" s="878"/>
      <c r="I328" s="878"/>
      <c r="J328" s="1818"/>
      <c r="K328" s="878"/>
      <c r="L328" s="878"/>
      <c r="M328" s="878"/>
      <c r="N328" s="354"/>
    </row>
    <row r="329" spans="1:14" s="266" customFormat="1" ht="10.5" hidden="1" customHeight="1" x14ac:dyDescent="0.25">
      <c r="A329" s="353"/>
      <c r="B329" s="2910"/>
      <c r="C329" s="509"/>
      <c r="D329" s="1548"/>
      <c r="E329" s="1160"/>
      <c r="F329" s="838"/>
      <c r="G329" s="878"/>
      <c r="H329" s="1310"/>
      <c r="I329" s="1109"/>
      <c r="J329" s="1818"/>
      <c r="K329" s="1312"/>
      <c r="L329" s="1312"/>
      <c r="M329" s="1312"/>
      <c r="N329" s="354"/>
    </row>
    <row r="330" spans="1:14" s="269" customFormat="1" ht="17.25" hidden="1" customHeight="1" x14ac:dyDescent="0.25">
      <c r="A330" s="350"/>
      <c r="B330" s="1242"/>
      <c r="C330" s="1132" t="s">
        <v>3238</v>
      </c>
      <c r="D330" s="1549">
        <v>350000000</v>
      </c>
      <c r="E330" s="1159">
        <f t="shared" si="17"/>
        <v>0.21231054551878345</v>
      </c>
      <c r="F330" s="839"/>
      <c r="G330" s="839"/>
      <c r="H330" s="1308"/>
      <c r="I330" s="1110"/>
      <c r="J330" s="1381"/>
      <c r="K330" s="1381"/>
      <c r="L330" s="2176"/>
      <c r="M330" s="2006"/>
      <c r="N330" s="553"/>
    </row>
    <row r="331" spans="1:14" s="266" customFormat="1" ht="19.5" hidden="1" customHeight="1" x14ac:dyDescent="0.25">
      <c r="A331" s="353"/>
      <c r="B331" s="2910"/>
      <c r="C331" s="509" t="s">
        <v>3239</v>
      </c>
      <c r="D331" s="1548">
        <v>100000000</v>
      </c>
      <c r="E331" s="1160">
        <f t="shared" si="17"/>
        <v>6.0660155862509564E-2</v>
      </c>
      <c r="F331" s="838"/>
      <c r="G331" s="878"/>
      <c r="H331" s="878"/>
      <c r="I331" s="878"/>
      <c r="J331" s="1818"/>
      <c r="K331" s="878"/>
      <c r="L331" s="878"/>
      <c r="M331" s="878"/>
      <c r="N331" s="354"/>
    </row>
    <row r="332" spans="1:14" s="266" customFormat="1" ht="20.25" hidden="1" customHeight="1" x14ac:dyDescent="0.25">
      <c r="A332" s="353"/>
      <c r="B332" s="2910"/>
      <c r="C332" s="509" t="s">
        <v>3240</v>
      </c>
      <c r="D332" s="1548">
        <v>250000000</v>
      </c>
      <c r="E332" s="1160">
        <f t="shared" si="17"/>
        <v>0.15165038965627389</v>
      </c>
      <c r="F332" s="838"/>
      <c r="G332" s="838"/>
      <c r="H332" s="1310"/>
      <c r="I332" s="1109"/>
      <c r="J332" s="1818"/>
      <c r="K332" s="1818"/>
      <c r="L332" s="1310"/>
      <c r="M332" s="2230"/>
      <c r="N332" s="354"/>
    </row>
    <row r="333" spans="1:14" s="266" customFormat="1" ht="11.25" hidden="1" customHeight="1" x14ac:dyDescent="0.25">
      <c r="A333" s="353"/>
      <c r="B333" s="2910"/>
      <c r="C333" s="509"/>
      <c r="D333" s="1548"/>
      <c r="E333" s="1160"/>
      <c r="F333" s="838"/>
      <c r="G333" s="838"/>
      <c r="H333" s="1310"/>
      <c r="I333" s="1109"/>
      <c r="J333" s="1818"/>
      <c r="K333" s="1818"/>
      <c r="L333" s="1310"/>
      <c r="M333" s="2230"/>
      <c r="N333" s="354"/>
    </row>
    <row r="334" spans="1:14" s="266" customFormat="1" ht="19.5" hidden="1" customHeight="1" x14ac:dyDescent="0.25">
      <c r="A334" s="353"/>
      <c r="B334" s="2910"/>
      <c r="C334" s="1132" t="s">
        <v>3241</v>
      </c>
      <c r="D334" s="1549">
        <v>100000000</v>
      </c>
      <c r="E334" s="1159">
        <f t="shared" si="17"/>
        <v>6.0660155862509564E-2</v>
      </c>
      <c r="F334" s="838"/>
      <c r="G334" s="878"/>
      <c r="H334" s="878"/>
      <c r="I334" s="878"/>
      <c r="J334" s="1818"/>
      <c r="K334" s="878"/>
      <c r="L334" s="878"/>
      <c r="M334" s="878"/>
      <c r="N334" s="354"/>
    </row>
    <row r="335" spans="1:14" s="266" customFormat="1" ht="16.5" hidden="1" customHeight="1" x14ac:dyDescent="0.25">
      <c r="A335" s="353"/>
      <c r="B335" s="2910"/>
      <c r="C335" s="509" t="s">
        <v>3242</v>
      </c>
      <c r="D335" s="1548">
        <v>100000000</v>
      </c>
      <c r="E335" s="1160">
        <f t="shared" si="17"/>
        <v>6.0660155862509564E-2</v>
      </c>
      <c r="F335" s="838"/>
      <c r="G335" s="878"/>
      <c r="H335" s="878"/>
      <c r="I335" s="878"/>
      <c r="J335" s="1818"/>
      <c r="K335" s="1818"/>
      <c r="L335" s="1310"/>
      <c r="M335" s="2230"/>
      <c r="N335" s="354"/>
    </row>
    <row r="336" spans="1:14" s="266" customFormat="1" ht="11.25" hidden="1" customHeight="1" x14ac:dyDescent="0.25">
      <c r="A336" s="353"/>
      <c r="B336" s="2910"/>
      <c r="C336" s="509"/>
      <c r="D336" s="1548"/>
      <c r="E336" s="1160"/>
      <c r="F336" s="838"/>
      <c r="G336" s="878"/>
      <c r="H336" s="878"/>
      <c r="I336" s="878"/>
      <c r="J336" s="1818"/>
      <c r="K336" s="1818"/>
      <c r="L336" s="1310"/>
      <c r="M336" s="2230"/>
      <c r="N336" s="354"/>
    </row>
    <row r="337" spans="1:17" s="266" customFormat="1" ht="18" hidden="1" customHeight="1" x14ac:dyDescent="0.25">
      <c r="A337" s="353"/>
      <c r="B337" s="2910"/>
      <c r="C337" s="1132" t="s">
        <v>3243</v>
      </c>
      <c r="D337" s="1549">
        <v>250000000</v>
      </c>
      <c r="E337" s="1159">
        <f t="shared" si="17"/>
        <v>0.15165038965627389</v>
      </c>
      <c r="F337" s="838"/>
      <c r="G337" s="878"/>
      <c r="H337" s="878"/>
      <c r="I337" s="878"/>
      <c r="J337" s="1818"/>
      <c r="K337" s="2293"/>
      <c r="L337" s="1310"/>
      <c r="M337" s="2230"/>
      <c r="N337" s="354"/>
    </row>
    <row r="338" spans="1:17" ht="16.5" hidden="1" customHeight="1" x14ac:dyDescent="0.25">
      <c r="A338" s="352"/>
      <c r="B338" s="1242"/>
      <c r="C338" s="519" t="s">
        <v>3244</v>
      </c>
      <c r="D338" s="1516">
        <v>250000000</v>
      </c>
      <c r="E338" s="1160">
        <f t="shared" si="17"/>
        <v>0.15165038965627389</v>
      </c>
      <c r="F338" s="835"/>
      <c r="G338" s="878"/>
      <c r="H338" s="878"/>
      <c r="I338" s="878"/>
      <c r="J338" s="1815"/>
      <c r="K338" s="878"/>
      <c r="L338" s="878"/>
      <c r="M338" s="878"/>
      <c r="N338" s="535"/>
      <c r="P338" s="3024"/>
      <c r="Q338" s="3024"/>
    </row>
    <row r="339" spans="1:17" ht="12" hidden="1" customHeight="1" x14ac:dyDescent="0.25">
      <c r="B339" s="2743"/>
      <c r="C339" s="3918"/>
      <c r="D339" s="852"/>
      <c r="E339" s="4413"/>
      <c r="F339" s="2842"/>
      <c r="G339" s="2723"/>
      <c r="H339" s="1703"/>
      <c r="I339" s="2302"/>
      <c r="J339" s="2182"/>
      <c r="K339" s="2182"/>
      <c r="L339" s="1671"/>
      <c r="M339" s="2182"/>
      <c r="N339" s="2634"/>
    </row>
    <row r="340" spans="1:17" s="4099" customFormat="1" ht="16.5" hidden="1" customHeight="1" x14ac:dyDescent="0.25">
      <c r="A340" s="4100"/>
      <c r="B340" s="2743"/>
      <c r="C340" s="3858" t="s">
        <v>3292</v>
      </c>
      <c r="D340" s="669">
        <f>D341</f>
        <v>500000000</v>
      </c>
      <c r="E340" s="1050">
        <f>D340/164852857000*100</f>
        <v>0.30330077931254779</v>
      </c>
      <c r="F340" s="5300"/>
      <c r="G340" s="4503"/>
      <c r="H340" s="3471"/>
      <c r="I340" s="3273"/>
      <c r="J340" s="2533"/>
      <c r="K340" s="2533"/>
      <c r="L340" s="2356"/>
      <c r="M340" s="2533"/>
      <c r="N340" s="3653"/>
      <c r="P340" s="522"/>
      <c r="Q340" s="522"/>
    </row>
    <row r="341" spans="1:17" s="4099" customFormat="1" ht="19.5" hidden="1" customHeight="1" x14ac:dyDescent="0.25">
      <c r="A341" s="4100"/>
      <c r="B341" s="2630"/>
      <c r="C341" s="3881" t="s">
        <v>1653</v>
      </c>
      <c r="D341" s="889">
        <f>SUM(D342)</f>
        <v>500000000</v>
      </c>
      <c r="E341" s="1159">
        <f>D341/164852857000*100</f>
        <v>0.30330077931254779</v>
      </c>
      <c r="F341" s="1342"/>
      <c r="G341" s="2723"/>
      <c r="H341" s="1703"/>
      <c r="I341" s="2302"/>
      <c r="J341" s="2182"/>
      <c r="K341" s="2182"/>
      <c r="L341" s="1671"/>
      <c r="M341" s="2182"/>
      <c r="N341" s="3653"/>
      <c r="P341" s="522"/>
      <c r="Q341" s="522"/>
    </row>
    <row r="342" spans="1:17" s="4099" customFormat="1" ht="17.25" hidden="1" customHeight="1" x14ac:dyDescent="0.25">
      <c r="A342" s="4100"/>
      <c r="B342" s="2630"/>
      <c r="C342" s="4104" t="s">
        <v>3293</v>
      </c>
      <c r="D342" s="666">
        <v>500000000</v>
      </c>
      <c r="E342" s="1160">
        <f t="shared" ref="E342" si="18">D342/164852857000*100</f>
        <v>0.30330077931254779</v>
      </c>
      <c r="F342" s="1343"/>
      <c r="G342" s="2586"/>
      <c r="H342" s="1717"/>
      <c r="I342" s="2338"/>
      <c r="J342" s="1315"/>
      <c r="K342" s="1315"/>
      <c r="L342" s="2261"/>
      <c r="M342" s="1315"/>
      <c r="N342" s="3653"/>
      <c r="P342" s="522"/>
      <c r="Q342" s="522"/>
    </row>
    <row r="343" spans="1:17" s="4099" customFormat="1" ht="12" hidden="1" customHeight="1" x14ac:dyDescent="0.25">
      <c r="A343" s="4100"/>
      <c r="B343" s="2743"/>
      <c r="C343" s="3857"/>
      <c r="D343" s="840"/>
      <c r="E343" s="5301"/>
      <c r="F343" s="1342"/>
      <c r="G343" s="2723"/>
      <c r="H343" s="1703"/>
      <c r="I343" s="2302"/>
      <c r="J343" s="2182"/>
      <c r="K343" s="2182"/>
      <c r="L343" s="1671"/>
      <c r="M343" s="2182"/>
      <c r="N343" s="3653"/>
      <c r="P343" s="522"/>
      <c r="Q343" s="522"/>
    </row>
    <row r="344" spans="1:17" s="4099" customFormat="1" ht="17.25" hidden="1" customHeight="1" x14ac:dyDescent="0.25">
      <c r="A344" s="4100"/>
      <c r="B344" s="2743"/>
      <c r="C344" s="3858" t="s">
        <v>3299</v>
      </c>
      <c r="D344" s="832">
        <f>D345+D348+D351</f>
        <v>600000000</v>
      </c>
      <c r="E344" s="1050">
        <f>D344/164852857000*100</f>
        <v>0.36396093517505734</v>
      </c>
      <c r="F344" s="5302"/>
      <c r="G344" s="4503"/>
      <c r="H344" s="3471"/>
      <c r="I344" s="3273"/>
      <c r="J344" s="2533"/>
      <c r="K344" s="2533"/>
      <c r="L344" s="2356"/>
      <c r="M344" s="2533"/>
      <c r="N344" s="3653"/>
      <c r="P344" s="522"/>
      <c r="Q344" s="522"/>
    </row>
    <row r="345" spans="1:17" s="4099" customFormat="1" ht="17.25" hidden="1" customHeight="1" x14ac:dyDescent="0.25">
      <c r="A345" s="4100"/>
      <c r="B345" s="2630"/>
      <c r="C345" s="4116" t="s">
        <v>3302</v>
      </c>
      <c r="D345" s="673">
        <f>SUM(D346:D348)</f>
        <v>250000000</v>
      </c>
      <c r="E345" s="1159">
        <f>D345/164852857000*100</f>
        <v>0.15165038965627389</v>
      </c>
      <c r="F345" s="1342"/>
      <c r="G345" s="2723"/>
      <c r="H345" s="1703"/>
      <c r="I345" s="2302"/>
      <c r="J345" s="2182"/>
      <c r="K345" s="2182"/>
      <c r="L345" s="1671"/>
      <c r="M345" s="2182"/>
      <c r="N345" s="3653"/>
      <c r="P345" s="522"/>
      <c r="Q345" s="522"/>
    </row>
    <row r="346" spans="1:17" s="4099" customFormat="1" ht="17.25" hidden="1" customHeight="1" x14ac:dyDescent="0.25">
      <c r="A346" s="4100"/>
      <c r="B346" s="2630"/>
      <c r="C346" s="4104" t="s">
        <v>3303</v>
      </c>
      <c r="D346" s="666">
        <v>100000000</v>
      </c>
      <c r="E346" s="1160">
        <f t="shared" ref="E346:E352" si="19">D346/164852857000*100</f>
        <v>6.0660155862509564E-2</v>
      </c>
      <c r="F346" s="1343"/>
      <c r="G346" s="2586"/>
      <c r="H346" s="1717"/>
      <c r="I346" s="2338"/>
      <c r="J346" s="1315"/>
      <c r="K346" s="1315"/>
      <c r="L346" s="2261"/>
      <c r="M346" s="1315"/>
      <c r="N346" s="3653"/>
      <c r="P346" s="522"/>
      <c r="Q346" s="522"/>
    </row>
    <row r="347" spans="1:17" s="4099" customFormat="1" ht="12" hidden="1" customHeight="1" x14ac:dyDescent="0.25">
      <c r="A347" s="4100"/>
      <c r="B347" s="2630"/>
      <c r="C347" s="3893"/>
      <c r="D347" s="840"/>
      <c r="E347" s="1160"/>
      <c r="F347" s="1343"/>
      <c r="G347" s="2586"/>
      <c r="H347" s="1717"/>
      <c r="I347" s="2338"/>
      <c r="J347" s="1315"/>
      <c r="K347" s="1315"/>
      <c r="L347" s="2261"/>
      <c r="M347" s="1315"/>
      <c r="N347" s="3653"/>
      <c r="P347" s="522"/>
      <c r="Q347" s="522"/>
    </row>
    <row r="348" spans="1:17" s="4099" customFormat="1" ht="22.5" hidden="1" customHeight="1" x14ac:dyDescent="0.25">
      <c r="A348" s="4100"/>
      <c r="B348" s="2630"/>
      <c r="C348" s="4116" t="s">
        <v>3306</v>
      </c>
      <c r="D348" s="673">
        <f>D349</f>
        <v>150000000</v>
      </c>
      <c r="E348" s="1159">
        <f t="shared" si="19"/>
        <v>9.0990233793764336E-2</v>
      </c>
      <c r="F348" s="1343"/>
      <c r="G348" s="2586"/>
      <c r="H348" s="1717"/>
      <c r="I348" s="2338"/>
      <c r="J348" s="1315"/>
      <c r="K348" s="1315"/>
      <c r="L348" s="2261"/>
      <c r="M348" s="1315"/>
      <c r="N348" s="3653"/>
      <c r="P348" s="522"/>
      <c r="Q348" s="522"/>
    </row>
    <row r="349" spans="1:17" s="4099" customFormat="1" ht="19.5" hidden="1" customHeight="1" x14ac:dyDescent="0.25">
      <c r="A349" s="4100"/>
      <c r="B349" s="2630"/>
      <c r="C349" s="4104" t="s">
        <v>3307</v>
      </c>
      <c r="D349" s="666">
        <v>150000000</v>
      </c>
      <c r="E349" s="1160">
        <f t="shared" si="19"/>
        <v>9.0990233793764336E-2</v>
      </c>
      <c r="F349" s="1343"/>
      <c r="G349" s="2586"/>
      <c r="H349" s="1717"/>
      <c r="I349" s="2338"/>
      <c r="J349" s="1315"/>
      <c r="K349" s="1315"/>
      <c r="L349" s="2261"/>
      <c r="M349" s="1315"/>
      <c r="N349" s="3653"/>
      <c r="P349" s="522"/>
      <c r="Q349" s="522"/>
    </row>
    <row r="350" spans="1:17" s="4099" customFormat="1" ht="12" hidden="1" customHeight="1" x14ac:dyDescent="0.25">
      <c r="A350" s="4100"/>
      <c r="B350" s="2630"/>
      <c r="C350" s="3893"/>
      <c r="D350" s="840"/>
      <c r="E350" s="1160"/>
      <c r="F350" s="1343"/>
      <c r="G350" s="2586"/>
      <c r="H350" s="1717"/>
      <c r="I350" s="2338"/>
      <c r="J350" s="1315"/>
      <c r="K350" s="1315"/>
      <c r="L350" s="2261"/>
      <c r="M350" s="1315"/>
      <c r="N350" s="3653"/>
      <c r="P350" s="522"/>
      <c r="Q350" s="522"/>
    </row>
    <row r="351" spans="1:17" s="4099" customFormat="1" ht="27" hidden="1" customHeight="1" x14ac:dyDescent="0.25">
      <c r="A351" s="4100"/>
      <c r="B351" s="2630"/>
      <c r="C351" s="4116" t="s">
        <v>3311</v>
      </c>
      <c r="D351" s="673">
        <f>SUM(D352:D353)</f>
        <v>200000000</v>
      </c>
      <c r="E351" s="1159">
        <f t="shared" si="19"/>
        <v>0.12132031172501913</v>
      </c>
      <c r="F351" s="1343"/>
      <c r="G351" s="2586"/>
      <c r="H351" s="1717"/>
      <c r="I351" s="2338"/>
      <c r="J351" s="1315"/>
      <c r="K351" s="1315"/>
      <c r="L351" s="2261"/>
      <c r="M351" s="1315"/>
      <c r="N351" s="3653"/>
      <c r="P351" s="522"/>
      <c r="Q351" s="522"/>
    </row>
    <row r="352" spans="1:17" s="4099" customFormat="1" ht="20.25" hidden="1" customHeight="1" x14ac:dyDescent="0.25">
      <c r="A352" s="4100"/>
      <c r="B352" s="2630"/>
      <c r="C352" s="4104" t="s">
        <v>3312</v>
      </c>
      <c r="D352" s="666">
        <v>200000000</v>
      </c>
      <c r="E352" s="1160">
        <f t="shared" si="19"/>
        <v>0.12132031172501913</v>
      </c>
      <c r="F352" s="1343"/>
      <c r="G352" s="2586"/>
      <c r="H352" s="1717"/>
      <c r="I352" s="2338"/>
      <c r="J352" s="1315"/>
      <c r="K352" s="1315"/>
      <c r="L352" s="2261"/>
      <c r="M352" s="1315"/>
      <c r="N352" s="3653"/>
      <c r="P352" s="522"/>
      <c r="Q352" s="522"/>
    </row>
    <row r="353" spans="1:17" s="4099" customFormat="1" ht="12" hidden="1" customHeight="1" x14ac:dyDescent="0.25">
      <c r="A353" s="4100"/>
      <c r="B353" s="2630"/>
      <c r="C353" s="3893"/>
      <c r="D353" s="840"/>
      <c r="E353" s="5301"/>
      <c r="F353" s="1342"/>
      <c r="G353" s="2723"/>
      <c r="H353" s="1703"/>
      <c r="I353" s="2302"/>
      <c r="J353" s="2182"/>
      <c r="K353" s="2182"/>
      <c r="L353" s="1671"/>
      <c r="M353" s="2182"/>
      <c r="N353" s="3653"/>
      <c r="P353" s="522"/>
      <c r="Q353" s="522"/>
    </row>
    <row r="354" spans="1:17" s="4099" customFormat="1" ht="19.5" hidden="1" customHeight="1" x14ac:dyDescent="0.25">
      <c r="A354" s="4100"/>
      <c r="B354" s="3654"/>
      <c r="C354" s="3858" t="s">
        <v>3328</v>
      </c>
      <c r="D354" s="832">
        <f>D355</f>
        <v>400000000</v>
      </c>
      <c r="E354" s="1050">
        <f>D354/164852857000*100</f>
        <v>0.24264062345003826</v>
      </c>
      <c r="F354" s="5302"/>
      <c r="G354" s="4503"/>
      <c r="H354" s="3471"/>
      <c r="I354" s="3273"/>
      <c r="J354" s="2533"/>
      <c r="K354" s="2533"/>
      <c r="L354" s="2356"/>
      <c r="M354" s="2533"/>
      <c r="N354" s="3653"/>
      <c r="P354" s="522"/>
      <c r="Q354" s="522"/>
    </row>
    <row r="355" spans="1:17" s="4099" customFormat="1" ht="18.75" hidden="1" customHeight="1" x14ac:dyDescent="0.25">
      <c r="A355" s="4100"/>
      <c r="B355" s="2630"/>
      <c r="C355" s="3893" t="s">
        <v>3329</v>
      </c>
      <c r="D355" s="836">
        <f>D356</f>
        <v>400000000</v>
      </c>
      <c r="E355" s="1159">
        <f>D355/164852857000*100</f>
        <v>0.24264062345003826</v>
      </c>
      <c r="F355" s="1342"/>
      <c r="G355" s="2723"/>
      <c r="H355" s="1703"/>
      <c r="I355" s="2302"/>
      <c r="J355" s="2182"/>
      <c r="K355" s="2182"/>
      <c r="L355" s="1671"/>
      <c r="M355" s="2182"/>
      <c r="N355" s="3653"/>
      <c r="P355" s="522"/>
      <c r="Q355" s="522"/>
    </row>
    <row r="356" spans="1:17" s="4099" customFormat="1" ht="17.25" hidden="1" customHeight="1" x14ac:dyDescent="0.25">
      <c r="A356" s="4100"/>
      <c r="B356" s="2630"/>
      <c r="C356" s="4104" t="s">
        <v>3331</v>
      </c>
      <c r="D356" s="666">
        <v>400000000</v>
      </c>
      <c r="E356" s="1160">
        <f t="shared" ref="E356" si="20">D356/164852857000*100</f>
        <v>0.24264062345003826</v>
      </c>
      <c r="F356" s="1343"/>
      <c r="G356" s="2586"/>
      <c r="H356" s="1717"/>
      <c r="I356" s="2338"/>
      <c r="J356" s="1315"/>
      <c r="K356" s="1315"/>
      <c r="L356" s="2261"/>
      <c r="M356" s="1315"/>
      <c r="N356" s="3653"/>
      <c r="P356" s="522"/>
      <c r="Q356" s="522"/>
    </row>
    <row r="357" spans="1:17" s="4099" customFormat="1" ht="12" hidden="1" customHeight="1" x14ac:dyDescent="0.25">
      <c r="A357" s="4100"/>
      <c r="B357" s="2630"/>
      <c r="C357" s="3848"/>
      <c r="D357" s="835"/>
      <c r="E357" s="5303"/>
      <c r="F357" s="1342"/>
      <c r="G357" s="2723"/>
      <c r="H357" s="1703"/>
      <c r="I357" s="2302"/>
      <c r="J357" s="2182"/>
      <c r="K357" s="2182"/>
      <c r="L357" s="1671"/>
      <c r="M357" s="2182"/>
      <c r="N357" s="3653"/>
      <c r="P357" s="522"/>
      <c r="Q357" s="522"/>
    </row>
    <row r="358" spans="1:17" s="4099" customFormat="1" ht="18.75" hidden="1" customHeight="1" x14ac:dyDescent="0.25">
      <c r="A358" s="4100"/>
      <c r="B358" s="3654"/>
      <c r="C358" s="3858" t="s">
        <v>3345</v>
      </c>
      <c r="D358" s="832">
        <f>D359</f>
        <v>450000000</v>
      </c>
      <c r="E358" s="1050">
        <f>D358/164852857000*100</f>
        <v>0.27297070138129298</v>
      </c>
      <c r="F358" s="5302"/>
      <c r="G358" s="4503"/>
      <c r="H358" s="3471"/>
      <c r="I358" s="3273"/>
      <c r="J358" s="2533"/>
      <c r="K358" s="2533"/>
      <c r="L358" s="2356"/>
      <c r="M358" s="2533"/>
      <c r="N358" s="3653"/>
      <c r="P358" s="522"/>
      <c r="Q358" s="522"/>
    </row>
    <row r="359" spans="1:17" s="4099" customFormat="1" ht="30" hidden="1" customHeight="1" x14ac:dyDescent="0.25">
      <c r="A359" s="4100"/>
      <c r="B359" s="2630"/>
      <c r="C359" s="3881" t="s">
        <v>3336</v>
      </c>
      <c r="D359" s="836">
        <f>SUM(D360:D362)</f>
        <v>450000000</v>
      </c>
      <c r="E359" s="1159">
        <f>D359/164852857000*100</f>
        <v>0.27297070138129298</v>
      </c>
      <c r="F359" s="1342"/>
      <c r="G359" s="2723"/>
      <c r="H359" s="1703"/>
      <c r="I359" s="2302"/>
      <c r="J359" s="2182"/>
      <c r="K359" s="2182"/>
      <c r="L359" s="1671"/>
      <c r="M359" s="2182"/>
      <c r="N359" s="3653"/>
      <c r="P359" s="522"/>
      <c r="Q359" s="522"/>
    </row>
    <row r="360" spans="1:17" s="4099" customFormat="1" ht="16.5" hidden="1" customHeight="1" x14ac:dyDescent="0.25">
      <c r="A360" s="4100"/>
      <c r="B360" s="2630"/>
      <c r="C360" s="3861" t="s">
        <v>3337</v>
      </c>
      <c r="D360" s="868">
        <v>150000000</v>
      </c>
      <c r="E360" s="1160">
        <f t="shared" ref="E360:E362" si="21">D360/164852857000*100</f>
        <v>9.0990233793764336E-2</v>
      </c>
      <c r="F360" s="1343"/>
      <c r="G360" s="2586"/>
      <c r="H360" s="1717"/>
      <c r="I360" s="2338"/>
      <c r="J360" s="1315"/>
      <c r="K360" s="1315"/>
      <c r="L360" s="2261"/>
      <c r="M360" s="1315"/>
      <c r="N360" s="3653"/>
      <c r="P360" s="522"/>
      <c r="Q360" s="522"/>
    </row>
    <row r="361" spans="1:17" s="4099" customFormat="1" ht="17.25" hidden="1" customHeight="1" x14ac:dyDescent="0.25">
      <c r="A361" s="4100"/>
      <c r="B361" s="2630"/>
      <c r="C361" s="4104" t="s">
        <v>3338</v>
      </c>
      <c r="D361" s="666">
        <v>150000000</v>
      </c>
      <c r="E361" s="1160">
        <f t="shared" si="21"/>
        <v>9.0990233793764336E-2</v>
      </c>
      <c r="F361" s="1343"/>
      <c r="G361" s="2586"/>
      <c r="H361" s="1717"/>
      <c r="I361" s="2338"/>
      <c r="J361" s="1315"/>
      <c r="K361" s="1315"/>
      <c r="L361" s="2261"/>
      <c r="M361" s="1315"/>
      <c r="N361" s="3653"/>
      <c r="P361" s="522"/>
      <c r="Q361" s="522"/>
    </row>
    <row r="362" spans="1:17" s="4099" customFormat="1" ht="18.75" hidden="1" customHeight="1" x14ac:dyDescent="0.25">
      <c r="A362" s="4100"/>
      <c r="B362" s="2630"/>
      <c r="C362" s="4104" t="s">
        <v>3342</v>
      </c>
      <c r="D362" s="666">
        <v>150000000</v>
      </c>
      <c r="E362" s="1160">
        <f t="shared" si="21"/>
        <v>9.0990233793764336E-2</v>
      </c>
      <c r="F362" s="1343"/>
      <c r="G362" s="2586"/>
      <c r="H362" s="1717"/>
      <c r="I362" s="2338"/>
      <c r="J362" s="1315"/>
      <c r="K362" s="1315"/>
      <c r="L362" s="2261"/>
      <c r="M362" s="1315"/>
      <c r="N362" s="3653"/>
      <c r="P362" s="522"/>
      <c r="Q362" s="522"/>
    </row>
    <row r="363" spans="1:17" s="4099" customFormat="1" ht="12" hidden="1" customHeight="1" x14ac:dyDescent="0.25">
      <c r="A363" s="4100"/>
      <c r="B363" s="2630"/>
      <c r="C363" s="3848"/>
      <c r="D363" s="835"/>
      <c r="E363" s="5303"/>
      <c r="F363" s="1342"/>
      <c r="G363" s="2723"/>
      <c r="H363" s="1703"/>
      <c r="I363" s="2302"/>
      <c r="J363" s="2182"/>
      <c r="K363" s="2182"/>
      <c r="L363" s="1671"/>
      <c r="M363" s="2182"/>
      <c r="N363" s="3653"/>
      <c r="P363" s="522"/>
      <c r="Q363" s="522"/>
    </row>
    <row r="364" spans="1:17" s="4099" customFormat="1" ht="18" hidden="1" customHeight="1" x14ac:dyDescent="0.25">
      <c r="A364" s="4100"/>
      <c r="B364" s="3654"/>
      <c r="C364" s="3858" t="s">
        <v>3346</v>
      </c>
      <c r="D364" s="832">
        <f>D365</f>
        <v>400000000</v>
      </c>
      <c r="E364" s="1050">
        <f>D364/164852857000*100</f>
        <v>0.24264062345003826</v>
      </c>
      <c r="F364" s="5302"/>
      <c r="G364" s="4503"/>
      <c r="H364" s="3471"/>
      <c r="I364" s="3273"/>
      <c r="J364" s="2533"/>
      <c r="K364" s="2533"/>
      <c r="L364" s="2356"/>
      <c r="M364" s="2533"/>
      <c r="N364" s="3653"/>
      <c r="P364" s="522"/>
      <c r="Q364" s="522"/>
    </row>
    <row r="365" spans="1:17" s="4099" customFormat="1" ht="23.25" hidden="1" customHeight="1" x14ac:dyDescent="0.25">
      <c r="A365" s="4100"/>
      <c r="B365" s="2630"/>
      <c r="C365" s="4116" t="s">
        <v>3349</v>
      </c>
      <c r="D365" s="673">
        <f>D366</f>
        <v>400000000</v>
      </c>
      <c r="E365" s="1159">
        <f>D365/164852857000*100</f>
        <v>0.24264062345003826</v>
      </c>
      <c r="F365" s="1342"/>
      <c r="G365" s="2723"/>
      <c r="H365" s="1703"/>
      <c r="I365" s="2302"/>
      <c r="J365" s="2182"/>
      <c r="K365" s="2182"/>
      <c r="L365" s="1671"/>
      <c r="M365" s="2182"/>
      <c r="N365" s="3653"/>
      <c r="P365" s="522"/>
      <c r="Q365" s="522"/>
    </row>
    <row r="366" spans="1:17" s="4099" customFormat="1" ht="27.75" hidden="1" customHeight="1" x14ac:dyDescent="0.25">
      <c r="A366" s="4100"/>
      <c r="B366" s="2630"/>
      <c r="C366" s="4104" t="s">
        <v>3350</v>
      </c>
      <c r="D366" s="666">
        <v>400000000</v>
      </c>
      <c r="E366" s="1160">
        <f t="shared" ref="E366" si="22">D366/164852857000*100</f>
        <v>0.24264062345003826</v>
      </c>
      <c r="F366" s="1343"/>
      <c r="G366" s="2586"/>
      <c r="H366" s="1717"/>
      <c r="I366" s="2338"/>
      <c r="J366" s="1315"/>
      <c r="K366" s="1315"/>
      <c r="L366" s="2261"/>
      <c r="M366" s="1315"/>
      <c r="N366" s="3653"/>
      <c r="P366" s="522"/>
      <c r="Q366" s="522"/>
    </row>
    <row r="367" spans="1:17" s="4099" customFormat="1" ht="12" hidden="1" customHeight="1" x14ac:dyDescent="0.25">
      <c r="A367" s="4100"/>
      <c r="B367" s="2630"/>
      <c r="C367" s="3857"/>
      <c r="D367" s="840"/>
      <c r="E367" s="5301"/>
      <c r="F367" s="1342"/>
      <c r="G367" s="2723"/>
      <c r="H367" s="1703"/>
      <c r="I367" s="2302"/>
      <c r="J367" s="2182"/>
      <c r="K367" s="2182"/>
      <c r="L367" s="1671"/>
      <c r="M367" s="2182"/>
      <c r="N367" s="3653"/>
      <c r="P367" s="522"/>
      <c r="Q367" s="522"/>
    </row>
    <row r="368" spans="1:17" s="4099" customFormat="1" ht="20.25" hidden="1" customHeight="1" x14ac:dyDescent="0.25">
      <c r="A368" s="4100"/>
      <c r="B368" s="3654"/>
      <c r="C368" s="3858" t="s">
        <v>3351</v>
      </c>
      <c r="D368" s="832">
        <f>D370</f>
        <v>200000000</v>
      </c>
      <c r="E368" s="1050">
        <f>D368/164852857000*100</f>
        <v>0.12132031172501913</v>
      </c>
      <c r="F368" s="5302"/>
      <c r="G368" s="4503"/>
      <c r="H368" s="3471"/>
      <c r="I368" s="3273"/>
      <c r="J368" s="2533"/>
      <c r="K368" s="2533"/>
      <c r="L368" s="2356"/>
      <c r="M368" s="2533"/>
      <c r="N368" s="3653"/>
      <c r="P368" s="522"/>
      <c r="Q368" s="522"/>
    </row>
    <row r="369" spans="1:18" s="4099" customFormat="1" ht="20.25" hidden="1" customHeight="1" x14ac:dyDescent="0.25">
      <c r="A369" s="4100"/>
      <c r="B369" s="2630"/>
      <c r="C369" s="3912" t="s">
        <v>3352</v>
      </c>
      <c r="D369" s="1617">
        <f>D370</f>
        <v>200000000</v>
      </c>
      <c r="E369" s="5304">
        <f>D369/164852857000*100</f>
        <v>0.12132031172501913</v>
      </c>
      <c r="F369" s="5305"/>
      <c r="G369" s="5306"/>
      <c r="H369" s="4631"/>
      <c r="I369" s="5307"/>
      <c r="J369" s="5308"/>
      <c r="K369" s="5308"/>
      <c r="L369" s="2259"/>
      <c r="M369" s="5308"/>
      <c r="N369" s="3653"/>
      <c r="P369" s="522"/>
      <c r="Q369" s="522"/>
    </row>
    <row r="370" spans="1:18" s="4099" customFormat="1" ht="20.25" hidden="1" customHeight="1" x14ac:dyDescent="0.25">
      <c r="A370" s="4100"/>
      <c r="B370" s="2630"/>
      <c r="C370" s="4104" t="s">
        <v>3355</v>
      </c>
      <c r="D370" s="666">
        <v>200000000</v>
      </c>
      <c r="E370" s="1162">
        <f t="shared" ref="E370" si="23">D370/164852857000*100</f>
        <v>0.12132031172501913</v>
      </c>
      <c r="F370" s="1343"/>
      <c r="G370" s="2586"/>
      <c r="H370" s="1717"/>
      <c r="I370" s="2338"/>
      <c r="J370" s="1315"/>
      <c r="K370" s="1315"/>
      <c r="L370" s="2261"/>
      <c r="M370" s="1315"/>
      <c r="N370" s="3653"/>
      <c r="P370" s="522"/>
      <c r="Q370" s="522"/>
    </row>
    <row r="371" spans="1:18" s="4099" customFormat="1" ht="12" hidden="1" customHeight="1" x14ac:dyDescent="0.25">
      <c r="A371" s="4100"/>
      <c r="B371" s="2630"/>
      <c r="C371" s="3857"/>
      <c r="D371" s="840"/>
      <c r="E371" s="5301"/>
      <c r="F371" s="1342"/>
      <c r="G371" s="2723"/>
      <c r="H371" s="1703"/>
      <c r="I371" s="2302"/>
      <c r="J371" s="2182"/>
      <c r="K371" s="2182"/>
      <c r="L371" s="1671"/>
      <c r="M371" s="2182"/>
      <c r="N371" s="3653"/>
      <c r="P371" s="522"/>
      <c r="Q371" s="522"/>
    </row>
    <row r="372" spans="1:18" s="4099" customFormat="1" ht="21" hidden="1" customHeight="1" x14ac:dyDescent="0.25">
      <c r="A372" s="4100"/>
      <c r="B372" s="3654"/>
      <c r="C372" s="3858" t="s">
        <v>3367</v>
      </c>
      <c r="D372" s="832">
        <f>D373</f>
        <v>700000000</v>
      </c>
      <c r="E372" s="1050">
        <f>D372/164852857000*100</f>
        <v>0.4246210910375669</v>
      </c>
      <c r="F372" s="5302"/>
      <c r="G372" s="4503"/>
      <c r="H372" s="3471"/>
      <c r="I372" s="3273"/>
      <c r="J372" s="2533"/>
      <c r="K372" s="2533"/>
      <c r="L372" s="2356"/>
      <c r="M372" s="2533"/>
      <c r="N372" s="3653"/>
      <c r="P372" s="522"/>
      <c r="Q372" s="522"/>
    </row>
    <row r="373" spans="1:18" s="4099" customFormat="1" ht="18.75" hidden="1" customHeight="1" x14ac:dyDescent="0.25">
      <c r="A373" s="4100"/>
      <c r="B373" s="2630"/>
      <c r="C373" s="3881" t="s">
        <v>3368</v>
      </c>
      <c r="D373" s="836">
        <f>SUM(D374:D375)</f>
        <v>700000000</v>
      </c>
      <c r="E373" s="1159">
        <f>D373/164852857000*100</f>
        <v>0.4246210910375669</v>
      </c>
      <c r="F373" s="1342"/>
      <c r="G373" s="2723"/>
      <c r="H373" s="1703"/>
      <c r="I373" s="2302"/>
      <c r="J373" s="2182"/>
      <c r="K373" s="2182"/>
      <c r="L373" s="1671"/>
      <c r="M373" s="2182"/>
      <c r="N373" s="3653"/>
      <c r="P373" s="522"/>
      <c r="Q373" s="522"/>
    </row>
    <row r="374" spans="1:18" s="4099" customFormat="1" ht="19.5" hidden="1" customHeight="1" x14ac:dyDescent="0.25">
      <c r="A374" s="4100"/>
      <c r="B374" s="2630"/>
      <c r="C374" s="4104" t="s">
        <v>3370</v>
      </c>
      <c r="D374" s="666">
        <v>350000000</v>
      </c>
      <c r="E374" s="1160">
        <f t="shared" ref="E374:E375" si="24">D374/164852857000*100</f>
        <v>0.21231054551878345</v>
      </c>
      <c r="F374" s="1343"/>
      <c r="G374" s="2586"/>
      <c r="H374" s="1717"/>
      <c r="I374" s="2338"/>
      <c r="J374" s="1315"/>
      <c r="K374" s="1315"/>
      <c r="L374" s="2261"/>
      <c r="M374" s="1315"/>
      <c r="N374" s="3653"/>
      <c r="P374" s="522"/>
      <c r="Q374" s="522"/>
    </row>
    <row r="375" spans="1:18" s="4099" customFormat="1" ht="16.5" hidden="1" customHeight="1" x14ac:dyDescent="0.25">
      <c r="A375" s="4100"/>
      <c r="B375" s="2630"/>
      <c r="C375" s="4104" t="s">
        <v>3371</v>
      </c>
      <c r="D375" s="666">
        <v>350000000</v>
      </c>
      <c r="E375" s="1160">
        <f t="shared" si="24"/>
        <v>0.21231054551878345</v>
      </c>
      <c r="F375" s="1343"/>
      <c r="G375" s="2586"/>
      <c r="H375" s="1717"/>
      <c r="I375" s="2338"/>
      <c r="J375" s="1315"/>
      <c r="K375" s="1315"/>
      <c r="L375" s="2261"/>
      <c r="M375" s="1315"/>
      <c r="N375" s="3653"/>
      <c r="P375" s="522"/>
      <c r="Q375" s="522"/>
    </row>
    <row r="376" spans="1:18" s="4099" customFormat="1" ht="16.5" hidden="1" customHeight="1" x14ac:dyDescent="0.25">
      <c r="A376" s="4100"/>
      <c r="B376" s="2630"/>
      <c r="C376" s="3892"/>
      <c r="D376" s="671"/>
      <c r="E376" s="5301"/>
      <c r="F376" s="1342"/>
      <c r="G376" s="2723"/>
      <c r="H376" s="1703"/>
      <c r="I376" s="2302"/>
      <c r="J376" s="2182"/>
      <c r="K376" s="2182"/>
      <c r="L376" s="1671"/>
      <c r="M376" s="2182"/>
      <c r="N376" s="3653"/>
      <c r="P376" s="522"/>
      <c r="Q376" s="522"/>
    </row>
    <row r="377" spans="1:18" s="4099" customFormat="1" ht="18" hidden="1" customHeight="1" x14ac:dyDescent="0.25">
      <c r="A377" s="4100"/>
      <c r="B377" s="3654"/>
      <c r="C377" s="3858" t="s">
        <v>3395</v>
      </c>
      <c r="D377" s="669">
        <f>D378</f>
        <v>250250000</v>
      </c>
      <c r="E377" s="1050">
        <f>D377/164852857000*100</f>
        <v>0.15180204004593018</v>
      </c>
      <c r="F377" s="5302"/>
      <c r="G377" s="4503"/>
      <c r="H377" s="3471"/>
      <c r="I377" s="3273"/>
      <c r="J377" s="2533"/>
      <c r="K377" s="2533"/>
      <c r="L377" s="2356"/>
      <c r="M377" s="2533"/>
      <c r="N377" s="3653"/>
      <c r="P377" s="522"/>
      <c r="Q377" s="522"/>
    </row>
    <row r="378" spans="1:18" s="4099" customFormat="1" ht="28.5" hidden="1" customHeight="1" x14ac:dyDescent="0.25">
      <c r="A378" s="4100"/>
      <c r="B378" s="2630"/>
      <c r="C378" s="3893" t="s">
        <v>3396</v>
      </c>
      <c r="D378" s="667">
        <f>D379</f>
        <v>250250000</v>
      </c>
      <c r="E378" s="1159">
        <f>D378/164852857000*100</f>
        <v>0.15180204004593018</v>
      </c>
      <c r="F378" s="1342"/>
      <c r="G378" s="2723"/>
      <c r="H378" s="1703"/>
      <c r="I378" s="2302"/>
      <c r="J378" s="2182"/>
      <c r="K378" s="2182"/>
      <c r="L378" s="1671"/>
      <c r="M378" s="2182"/>
      <c r="N378" s="3653"/>
      <c r="P378" s="522"/>
      <c r="Q378" s="522"/>
    </row>
    <row r="379" spans="1:18" s="4099" customFormat="1" ht="21" hidden="1" customHeight="1" x14ac:dyDescent="0.25">
      <c r="A379" s="4100"/>
      <c r="B379" s="2630"/>
      <c r="C379" s="4104" t="s">
        <v>3397</v>
      </c>
      <c r="D379" s="666">
        <v>250250000</v>
      </c>
      <c r="E379" s="1160">
        <f t="shared" ref="E379" si="25">D379/164852857000*100</f>
        <v>0.15180204004593018</v>
      </c>
      <c r="F379" s="1343"/>
      <c r="G379" s="2586"/>
      <c r="H379" s="1717"/>
      <c r="I379" s="2338"/>
      <c r="J379" s="1315"/>
      <c r="K379" s="1315"/>
      <c r="L379" s="2261"/>
      <c r="M379" s="1315"/>
      <c r="N379" s="3653"/>
      <c r="P379" s="522"/>
      <c r="Q379" s="522"/>
    </row>
    <row r="380" spans="1:18" s="4099" customFormat="1" ht="16.5" hidden="1" customHeight="1" x14ac:dyDescent="0.25">
      <c r="A380" s="4100"/>
      <c r="B380" s="2630"/>
      <c r="C380" s="3892"/>
      <c r="D380" s="671"/>
      <c r="E380" s="5301"/>
      <c r="F380" s="1342"/>
      <c r="G380" s="2723"/>
      <c r="H380" s="1703"/>
      <c r="I380" s="2302"/>
      <c r="J380" s="2182"/>
      <c r="K380" s="2182"/>
      <c r="L380" s="1671"/>
      <c r="M380" s="2182"/>
      <c r="N380" s="3653"/>
      <c r="P380" s="522"/>
      <c r="Q380" s="522"/>
    </row>
    <row r="381" spans="1:18" s="269" customFormat="1" ht="21.75" hidden="1" customHeight="1" x14ac:dyDescent="0.25">
      <c r="A381" s="505"/>
      <c r="B381" s="3654"/>
      <c r="C381" s="3858" t="s">
        <v>7322</v>
      </c>
      <c r="D381" s="832">
        <f>SUM(D382:D382)</f>
        <v>6400822000</v>
      </c>
      <c r="E381" s="1050">
        <f>D381/164852857000*100</f>
        <v>3.8827486016818016</v>
      </c>
      <c r="F381" s="992"/>
      <c r="G381" s="2744"/>
      <c r="H381" s="1307"/>
      <c r="I381" s="2066"/>
      <c r="J381" s="2745"/>
      <c r="K381" s="2745"/>
      <c r="L381" s="2356"/>
      <c r="M381" s="1307"/>
      <c r="N381" s="2623"/>
      <c r="P381" s="2069"/>
      <c r="Q381" s="2069"/>
    </row>
    <row r="382" spans="1:18" s="266" customFormat="1" ht="18.75" hidden="1" customHeight="1" x14ac:dyDescent="0.25">
      <c r="A382" s="506"/>
      <c r="B382" s="2742"/>
      <c r="C382" s="509" t="s">
        <v>7323</v>
      </c>
      <c r="D382" s="838">
        <v>6400822000</v>
      </c>
      <c r="E382" s="1160">
        <f>D382/164852857000*100</f>
        <v>3.8827486016818016</v>
      </c>
      <c r="F382" s="1343"/>
      <c r="G382" s="1167"/>
      <c r="H382" s="1310"/>
      <c r="I382" s="1109"/>
      <c r="J382" s="1548"/>
      <c r="K382" s="1548"/>
      <c r="L382" s="1310"/>
      <c r="M382" s="2230"/>
      <c r="N382" s="2702"/>
      <c r="P382" s="2126"/>
      <c r="Q382" s="2126"/>
    </row>
    <row r="383" spans="1:18" s="4099" customFormat="1" ht="13.5" hidden="1" customHeight="1" x14ac:dyDescent="0.25">
      <c r="A383" s="4100"/>
      <c r="B383" s="2630"/>
      <c r="C383" s="3893"/>
      <c r="D383" s="840"/>
      <c r="E383" s="1164"/>
      <c r="F383" s="2681"/>
      <c r="G383" s="2723"/>
      <c r="H383" s="2182"/>
      <c r="I383" s="2302"/>
      <c r="J383" s="2182"/>
      <c r="K383" s="2518"/>
      <c r="L383" s="1671"/>
      <c r="M383" s="2182"/>
      <c r="N383" s="3653"/>
      <c r="P383" s="522"/>
      <c r="Q383" s="522"/>
    </row>
    <row r="384" spans="1:18" ht="20.25" customHeight="1" x14ac:dyDescent="0.25">
      <c r="B384" s="2724"/>
      <c r="C384" s="4037" t="s">
        <v>7126</v>
      </c>
      <c r="D384" s="1980">
        <f>SUM(D385+D431)</f>
        <v>53589103444</v>
      </c>
      <c r="E384" s="2530">
        <f>D384/D83*100</f>
        <v>9.4168128327950313</v>
      </c>
      <c r="F384" s="5229"/>
      <c r="G384" s="2789"/>
      <c r="H384" s="5230"/>
      <c r="I384" s="2531"/>
      <c r="J384" s="1980"/>
      <c r="K384" s="1067"/>
      <c r="L384" s="5230"/>
      <c r="M384" s="2531"/>
      <c r="N384" s="2634"/>
      <c r="R384" s="522"/>
    </row>
    <row r="385" spans="2:17" s="1639" customFormat="1" ht="21.75" hidden="1" customHeight="1" x14ac:dyDescent="0.25">
      <c r="B385" s="2635"/>
      <c r="C385" s="1265" t="s">
        <v>342</v>
      </c>
      <c r="D385" s="3637">
        <f>SUM(D386+D391+D406+D411+D415+D428)</f>
        <v>41039358880</v>
      </c>
      <c r="E385" s="4622">
        <f>D385/164029053000*100</f>
        <v>25.019567039748747</v>
      </c>
      <c r="F385" s="5226"/>
      <c r="G385" s="4624"/>
      <c r="H385" s="5227"/>
      <c r="I385" s="2291"/>
      <c r="J385" s="3637"/>
      <c r="K385" s="5228"/>
      <c r="L385" s="4624"/>
      <c r="M385" s="2291"/>
      <c r="N385" s="2634"/>
      <c r="P385" s="2093">
        <v>41609695473</v>
      </c>
      <c r="Q385" s="2093">
        <v>12620366992</v>
      </c>
    </row>
    <row r="386" spans="2:17" s="1639" customFormat="1" ht="21.75" hidden="1" customHeight="1" x14ac:dyDescent="0.25">
      <c r="B386" s="2727"/>
      <c r="C386" s="1194" t="s">
        <v>288</v>
      </c>
      <c r="D386" s="753">
        <f>SUM(D387:D389)</f>
        <v>839245000</v>
      </c>
      <c r="E386" s="1168">
        <f>D386/164029053000*100</f>
        <v>0.51164411709430524</v>
      </c>
      <c r="F386" s="753"/>
      <c r="G386" s="1728"/>
      <c r="H386" s="2728"/>
      <c r="I386" s="2729"/>
      <c r="J386" s="753"/>
      <c r="K386" s="766"/>
      <c r="L386" s="2176"/>
      <c r="M386" s="2176"/>
      <c r="N386" s="554"/>
      <c r="P386" s="2093"/>
      <c r="Q386" s="2093"/>
    </row>
    <row r="387" spans="2:17" s="1639" customFormat="1" ht="14.25" hidden="1" customHeight="1" x14ac:dyDescent="0.25">
      <c r="B387" s="2630"/>
      <c r="C387" s="509" t="s">
        <v>3438</v>
      </c>
      <c r="D387" s="912">
        <v>468000000</v>
      </c>
      <c r="E387" s="1168">
        <f t="shared" ref="E387:E429" si="26">D387/164029053000*100</f>
        <v>0.28531530935559324</v>
      </c>
      <c r="F387" s="912"/>
      <c r="G387" s="2730"/>
      <c r="H387" s="2350"/>
      <c r="I387" s="2350"/>
      <c r="J387" s="1332"/>
      <c r="K387" s="1334"/>
      <c r="L387" s="1310"/>
      <c r="M387" s="2350"/>
      <c r="N387" s="554"/>
      <c r="P387" s="2093"/>
      <c r="Q387" s="2093"/>
    </row>
    <row r="388" spans="2:17" s="1639" customFormat="1" ht="15" hidden="1" customHeight="1" x14ac:dyDescent="0.25">
      <c r="B388" s="2630"/>
      <c r="C388" s="1266" t="s">
        <v>3439</v>
      </c>
      <c r="D388" s="912">
        <v>239245000</v>
      </c>
      <c r="E388" s="1168">
        <f t="shared" si="26"/>
        <v>0.14585525894610876</v>
      </c>
      <c r="F388" s="912"/>
      <c r="G388" s="2730"/>
      <c r="H388" s="2350"/>
      <c r="I388" s="2350"/>
      <c r="J388" s="1333"/>
      <c r="K388" s="1335"/>
      <c r="L388" s="1310"/>
      <c r="M388" s="2297"/>
      <c r="N388" s="554"/>
      <c r="P388" s="2093"/>
      <c r="Q388" s="2093"/>
    </row>
    <row r="389" spans="2:17" s="1639" customFormat="1" ht="14.25" hidden="1" customHeight="1" x14ac:dyDescent="0.25">
      <c r="B389" s="2630"/>
      <c r="C389" s="1266" t="s">
        <v>3440</v>
      </c>
      <c r="D389" s="912">
        <v>132000000</v>
      </c>
      <c r="E389" s="1168">
        <f t="shared" si="26"/>
        <v>8.0473548792603225E-2</v>
      </c>
      <c r="F389" s="912"/>
      <c r="G389" s="2730"/>
      <c r="H389" s="2350"/>
      <c r="I389" s="2350"/>
      <c r="J389" s="1333"/>
      <c r="K389" s="1335"/>
      <c r="L389" s="1310"/>
      <c r="M389" s="2351"/>
      <c r="N389" s="554"/>
      <c r="P389" s="2093"/>
      <c r="Q389" s="2093"/>
    </row>
    <row r="390" spans="2:17" s="1639" customFormat="1" ht="12.75" hidden="1" customHeight="1" x14ac:dyDescent="0.25">
      <c r="B390" s="2630"/>
      <c r="C390" s="1266"/>
      <c r="D390" s="912"/>
      <c r="E390" s="1168"/>
      <c r="F390" s="912"/>
      <c r="G390" s="2730"/>
      <c r="H390" s="2350"/>
      <c r="I390" s="2350"/>
      <c r="J390" s="1333"/>
      <c r="K390" s="913"/>
      <c r="L390" s="2161"/>
      <c r="M390" s="913"/>
      <c r="N390" s="554"/>
      <c r="P390" s="2093"/>
      <c r="Q390" s="2093"/>
    </row>
    <row r="391" spans="2:17" s="1639" customFormat="1" ht="14.25" hidden="1" customHeight="1" x14ac:dyDescent="0.25">
      <c r="B391" s="2630"/>
      <c r="C391" s="3447" t="s">
        <v>279</v>
      </c>
      <c r="D391" s="3448">
        <f>SUM(D392:D404)</f>
        <v>33107213880</v>
      </c>
      <c r="E391" s="1173">
        <f t="shared" si="26"/>
        <v>20.183749936055534</v>
      </c>
      <c r="F391" s="912"/>
      <c r="G391" s="2730"/>
      <c r="H391" s="2350"/>
      <c r="I391" s="2350"/>
      <c r="J391" s="1333"/>
      <c r="K391" s="1336"/>
      <c r="L391" s="1310"/>
      <c r="M391" s="2351"/>
      <c r="N391" s="554"/>
      <c r="P391" s="2093"/>
      <c r="Q391" s="2093"/>
    </row>
    <row r="392" spans="2:17" s="1639" customFormat="1" ht="16.5" hidden="1" customHeight="1" x14ac:dyDescent="0.25">
      <c r="B392" s="2630"/>
      <c r="C392" s="1266" t="s">
        <v>3441</v>
      </c>
      <c r="D392" s="912">
        <v>12963059242</v>
      </c>
      <c r="E392" s="1168">
        <f t="shared" si="26"/>
        <v>7.9029043970643418</v>
      </c>
      <c r="F392" s="912"/>
      <c r="G392" s="2730"/>
      <c r="H392" s="2350"/>
      <c r="I392" s="2350"/>
      <c r="J392" s="1333"/>
      <c r="K392" s="1335"/>
      <c r="L392" s="1310"/>
      <c r="M392" s="2351"/>
      <c r="N392" s="554"/>
      <c r="P392" s="2093"/>
      <c r="Q392" s="2093"/>
    </row>
    <row r="393" spans="2:17" s="1639" customFormat="1" ht="13.5" hidden="1" customHeight="1" x14ac:dyDescent="0.25">
      <c r="B393" s="2630"/>
      <c r="C393" s="1267" t="s">
        <v>3442</v>
      </c>
      <c r="D393" s="912">
        <v>399739000</v>
      </c>
      <c r="E393" s="1168">
        <f t="shared" si="26"/>
        <v>0.24370012061216986</v>
      </c>
      <c r="F393" s="912"/>
      <c r="G393" s="2730"/>
      <c r="H393" s="2350"/>
      <c r="I393" s="2350"/>
      <c r="J393" s="1333"/>
      <c r="K393" s="1335"/>
      <c r="L393" s="1310"/>
      <c r="M393" s="2327"/>
      <c r="N393" s="554"/>
      <c r="P393" s="2093"/>
      <c r="Q393" s="2093"/>
    </row>
    <row r="394" spans="2:17" s="1639" customFormat="1" ht="14.25" hidden="1" customHeight="1" x14ac:dyDescent="0.25">
      <c r="B394" s="2630"/>
      <c r="C394" s="1169" t="s">
        <v>3443</v>
      </c>
      <c r="D394" s="912">
        <v>3499336638</v>
      </c>
      <c r="E394" s="1168">
        <f t="shared" si="26"/>
        <v>2.1333639218169482</v>
      </c>
      <c r="F394" s="912"/>
      <c r="G394" s="2730"/>
      <c r="H394" s="2350"/>
      <c r="I394" s="2350"/>
      <c r="J394" s="1333"/>
      <c r="K394" s="913"/>
      <c r="L394" s="2159"/>
      <c r="M394" s="913"/>
      <c r="N394" s="554"/>
      <c r="P394" s="2093"/>
      <c r="Q394" s="2093"/>
    </row>
    <row r="395" spans="2:17" s="1639" customFormat="1" ht="16.5" hidden="1" customHeight="1" x14ac:dyDescent="0.25">
      <c r="B395" s="2630"/>
      <c r="C395" s="1169" t="s">
        <v>3444</v>
      </c>
      <c r="D395" s="912">
        <v>300000000</v>
      </c>
      <c r="E395" s="1168">
        <f t="shared" si="26"/>
        <v>0.18289442907409825</v>
      </c>
      <c r="F395" s="912"/>
      <c r="G395" s="2730"/>
      <c r="H395" s="2350"/>
      <c r="I395" s="2160"/>
      <c r="J395" s="1333"/>
      <c r="K395" s="1335"/>
      <c r="L395" s="1310"/>
      <c r="M395" s="2160"/>
      <c r="N395" s="554"/>
      <c r="P395" s="2093"/>
      <c r="Q395" s="2093"/>
    </row>
    <row r="396" spans="2:17" s="1639" customFormat="1" ht="13.5" hidden="1" customHeight="1" x14ac:dyDescent="0.25">
      <c r="B396" s="2630"/>
      <c r="C396" s="1169" t="s">
        <v>3445</v>
      </c>
      <c r="D396" s="912">
        <v>88650000</v>
      </c>
      <c r="E396" s="1168">
        <f t="shared" si="26"/>
        <v>5.4045303791396028E-2</v>
      </c>
      <c r="F396" s="912"/>
      <c r="G396" s="2730"/>
      <c r="H396" s="2350"/>
      <c r="I396" s="2350"/>
      <c r="J396" s="1333"/>
      <c r="K396" s="1335"/>
      <c r="L396" s="1310"/>
      <c r="M396" s="2160"/>
      <c r="N396" s="554"/>
      <c r="P396" s="2093"/>
      <c r="Q396" s="2093"/>
    </row>
    <row r="397" spans="2:17" s="1639" customFormat="1" ht="15.75" hidden="1" customHeight="1" x14ac:dyDescent="0.25">
      <c r="B397" s="2630"/>
      <c r="C397" s="1169" t="s">
        <v>3446</v>
      </c>
      <c r="D397" s="912">
        <v>171200000</v>
      </c>
      <c r="E397" s="1168">
        <f t="shared" si="26"/>
        <v>0.10437175419161873</v>
      </c>
      <c r="F397" s="912"/>
      <c r="G397" s="2730"/>
      <c r="H397" s="2350"/>
      <c r="I397" s="2350"/>
      <c r="J397" s="1333"/>
      <c r="K397" s="1335"/>
      <c r="L397" s="1310"/>
      <c r="M397" s="2160"/>
      <c r="N397" s="554"/>
      <c r="P397" s="2093"/>
      <c r="Q397" s="2093"/>
    </row>
    <row r="398" spans="2:17" s="1639" customFormat="1" ht="15.75" hidden="1" customHeight="1" x14ac:dyDescent="0.25">
      <c r="B398" s="2630"/>
      <c r="C398" s="1169" t="s">
        <v>3447</v>
      </c>
      <c r="D398" s="912">
        <v>755860000</v>
      </c>
      <c r="E398" s="1168">
        <f t="shared" si="26"/>
        <v>0.46080861053315969</v>
      </c>
      <c r="F398" s="2731"/>
      <c r="G398" s="2730"/>
      <c r="H398" s="2350"/>
      <c r="I398" s="2350"/>
      <c r="J398" s="1333"/>
      <c r="K398" s="913"/>
      <c r="L398" s="2161"/>
      <c r="M398" s="913"/>
      <c r="N398" s="554"/>
      <c r="P398" s="2093"/>
      <c r="Q398" s="2093"/>
    </row>
    <row r="399" spans="2:17" s="1639" customFormat="1" ht="15" hidden="1" customHeight="1" x14ac:dyDescent="0.25">
      <c r="B399" s="2630"/>
      <c r="C399" s="1169" t="s">
        <v>3448</v>
      </c>
      <c r="D399" s="912">
        <v>5404820000</v>
      </c>
      <c r="E399" s="1168">
        <f t="shared" si="26"/>
        <v>3.2950382271608922</v>
      </c>
      <c r="F399" s="2731"/>
      <c r="G399" s="2730"/>
      <c r="H399" s="2350"/>
      <c r="I399" s="2350"/>
      <c r="J399" s="1333"/>
      <c r="K399" s="913"/>
      <c r="L399" s="2161"/>
      <c r="M399" s="913"/>
      <c r="N399" s="554"/>
      <c r="P399" s="2093" t="s">
        <v>2365</v>
      </c>
      <c r="Q399" s="2093"/>
    </row>
    <row r="400" spans="2:17" s="1639" customFormat="1" ht="15.75" hidden="1" customHeight="1" x14ac:dyDescent="0.25">
      <c r="B400" s="2630"/>
      <c r="C400" s="1170" t="s">
        <v>3449</v>
      </c>
      <c r="D400" s="914">
        <v>6686400000</v>
      </c>
      <c r="E400" s="1168">
        <f t="shared" si="26"/>
        <v>4.0763510352035013</v>
      </c>
      <c r="F400" s="914"/>
      <c r="G400" s="2371"/>
      <c r="H400" s="1703"/>
      <c r="I400" s="1703"/>
      <c r="J400" s="2207"/>
      <c r="K400" s="2160"/>
      <c r="L400" s="2166"/>
      <c r="M400" s="2166"/>
      <c r="N400" s="554"/>
      <c r="P400" s="2093"/>
      <c r="Q400" s="2093"/>
    </row>
    <row r="401" spans="2:17" s="1639" customFormat="1" ht="16.5" hidden="1" customHeight="1" x14ac:dyDescent="0.25">
      <c r="B401" s="2630"/>
      <c r="C401" s="1170" t="s">
        <v>3450</v>
      </c>
      <c r="D401" s="914">
        <v>860190000</v>
      </c>
      <c r="E401" s="1168">
        <f t="shared" si="26"/>
        <v>0.52441319648416185</v>
      </c>
      <c r="F401" s="916"/>
      <c r="G401" s="2732"/>
      <c r="H401" s="2729"/>
      <c r="I401" s="2729"/>
      <c r="J401" s="917"/>
      <c r="K401" s="917"/>
      <c r="L401" s="1308"/>
      <c r="M401" s="2169"/>
      <c r="N401" s="2634"/>
      <c r="P401" s="2093"/>
      <c r="Q401" s="2093"/>
    </row>
    <row r="402" spans="2:17" s="1639" customFormat="1" ht="14.25" hidden="1" customHeight="1" x14ac:dyDescent="0.25">
      <c r="B402" s="2630"/>
      <c r="C402" s="1170" t="s">
        <v>3451</v>
      </c>
      <c r="D402" s="914">
        <v>866190000</v>
      </c>
      <c r="E402" s="1168">
        <f t="shared" si="26"/>
        <v>0.52807108506564382</v>
      </c>
      <c r="F402" s="2733"/>
      <c r="G402" s="2734"/>
      <c r="H402" s="2350"/>
      <c r="I402" s="2350"/>
      <c r="J402" s="1335"/>
      <c r="K402" s="1335"/>
      <c r="L402" s="1310"/>
      <c r="M402" s="2166"/>
      <c r="N402" s="2634"/>
      <c r="P402" s="2093"/>
      <c r="Q402" s="2093"/>
    </row>
    <row r="403" spans="2:17" s="1639" customFormat="1" ht="16.5" hidden="1" customHeight="1" x14ac:dyDescent="0.25">
      <c r="B403" s="2630"/>
      <c r="C403" s="1170" t="s">
        <v>3452</v>
      </c>
      <c r="D403" s="914">
        <v>543200000</v>
      </c>
      <c r="E403" s="1168">
        <f t="shared" si="26"/>
        <v>0.33116084624350056</v>
      </c>
      <c r="F403" s="2733"/>
      <c r="G403" s="2734"/>
      <c r="H403" s="2350"/>
      <c r="I403" s="2350"/>
      <c r="J403" s="1335"/>
      <c r="K403" s="1335"/>
      <c r="L403" s="1310"/>
      <c r="M403" s="2170"/>
      <c r="N403" s="2634"/>
      <c r="P403" s="2093"/>
      <c r="Q403" s="2093"/>
    </row>
    <row r="404" spans="2:17" s="1639" customFormat="1" ht="14.25" hidden="1" customHeight="1" x14ac:dyDescent="0.25">
      <c r="B404" s="2630"/>
      <c r="C404" s="1170" t="s">
        <v>3453</v>
      </c>
      <c r="D404" s="914">
        <v>568569000</v>
      </c>
      <c r="E404" s="1168">
        <f t="shared" si="26"/>
        <v>0.34662700881410319</v>
      </c>
      <c r="F404" s="914"/>
      <c r="G404" s="1716"/>
      <c r="H404" s="1312"/>
      <c r="I404" s="1312"/>
      <c r="J404" s="1648"/>
      <c r="K404" s="2350"/>
      <c r="L404" s="1705"/>
      <c r="M404" s="1705"/>
      <c r="N404" s="2634"/>
      <c r="P404" s="2093"/>
      <c r="Q404" s="2093"/>
    </row>
    <row r="405" spans="2:17" s="1639" customFormat="1" ht="12.75" hidden="1" customHeight="1" x14ac:dyDescent="0.25">
      <c r="B405" s="2630"/>
      <c r="C405" s="1170"/>
      <c r="D405" s="914"/>
      <c r="E405" s="1168"/>
      <c r="F405" s="916"/>
      <c r="G405" s="2735"/>
      <c r="H405" s="2729"/>
      <c r="I405" s="2736"/>
      <c r="J405" s="917"/>
      <c r="K405" s="1347"/>
      <c r="L405" s="1308"/>
      <c r="M405" s="2169"/>
      <c r="N405" s="2634"/>
      <c r="P405" s="2093"/>
      <c r="Q405" s="2093"/>
    </row>
    <row r="406" spans="2:17" s="1639" customFormat="1" ht="13.5" hidden="1" customHeight="1" x14ac:dyDescent="0.25">
      <c r="B406" s="2630"/>
      <c r="C406" s="1174" t="s">
        <v>3454</v>
      </c>
      <c r="D406" s="916">
        <f>SUM(D407:D409)</f>
        <v>385000000</v>
      </c>
      <c r="E406" s="1173">
        <f t="shared" si="26"/>
        <v>0.23471451731175941</v>
      </c>
      <c r="F406" s="2733"/>
      <c r="G406" s="2734"/>
      <c r="H406" s="2350"/>
      <c r="I406" s="2737"/>
      <c r="J406" s="1335"/>
      <c r="K406" s="1335"/>
      <c r="L406" s="1310"/>
      <c r="M406" s="2170"/>
      <c r="N406" s="2634"/>
      <c r="P406" s="2093"/>
      <c r="Q406" s="2093"/>
    </row>
    <row r="407" spans="2:17" s="1639" customFormat="1" ht="13.5" hidden="1" customHeight="1" x14ac:dyDescent="0.25">
      <c r="B407" s="2630"/>
      <c r="C407" s="1169" t="s">
        <v>3455</v>
      </c>
      <c r="D407" s="918">
        <v>125000000</v>
      </c>
      <c r="E407" s="1168">
        <f t="shared" si="26"/>
        <v>7.6206012114207591E-2</v>
      </c>
      <c r="F407" s="2733"/>
      <c r="G407" s="2734"/>
      <c r="H407" s="2350"/>
      <c r="I407" s="2737"/>
      <c r="J407" s="1335"/>
      <c r="K407" s="1336"/>
      <c r="L407" s="1310"/>
      <c r="M407" s="2170"/>
      <c r="N407" s="2634"/>
      <c r="P407" s="2093"/>
      <c r="Q407" s="2093"/>
    </row>
    <row r="408" spans="2:17" s="1639" customFormat="1" ht="15" hidden="1" customHeight="1" x14ac:dyDescent="0.25">
      <c r="B408" s="2727"/>
      <c r="C408" s="1169" t="s">
        <v>3456</v>
      </c>
      <c r="D408" s="918">
        <v>210000000</v>
      </c>
      <c r="E408" s="1168">
        <f t="shared" si="26"/>
        <v>0.12802610035186876</v>
      </c>
      <c r="F408" s="2733"/>
      <c r="G408" s="2734"/>
      <c r="H408" s="2350"/>
      <c r="I408" s="2737"/>
      <c r="J408" s="1335"/>
      <c r="K408" s="1335"/>
      <c r="L408" s="1310"/>
      <c r="M408" s="2170"/>
      <c r="N408" s="2634"/>
      <c r="P408" s="2093"/>
      <c r="Q408" s="2093"/>
    </row>
    <row r="409" spans="2:17" s="1639" customFormat="1" ht="12.75" hidden="1" customHeight="1" x14ac:dyDescent="0.25">
      <c r="B409" s="2727"/>
      <c r="C409" s="1170" t="s">
        <v>3457</v>
      </c>
      <c r="D409" s="914">
        <v>50000000</v>
      </c>
      <c r="E409" s="1168">
        <f t="shared" si="26"/>
        <v>3.0482404845683039E-2</v>
      </c>
      <c r="F409" s="2733"/>
      <c r="G409" s="2734"/>
      <c r="H409" s="2350"/>
      <c r="I409" s="2737"/>
      <c r="J409" s="915"/>
      <c r="K409" s="2159"/>
      <c r="L409" s="2173"/>
      <c r="M409" s="2173"/>
      <c r="N409" s="2634"/>
      <c r="P409" s="2093"/>
      <c r="Q409" s="2093"/>
    </row>
    <row r="410" spans="2:17" s="1639" customFormat="1" ht="15" hidden="1" customHeight="1" x14ac:dyDescent="0.25">
      <c r="B410" s="2727"/>
      <c r="C410" s="1170"/>
      <c r="D410" s="914"/>
      <c r="E410" s="1168"/>
      <c r="F410" s="2733"/>
      <c r="G410" s="2734"/>
      <c r="H410" s="2350"/>
      <c r="I410" s="2737"/>
      <c r="J410" s="915"/>
      <c r="K410" s="2159"/>
      <c r="L410" s="2173"/>
      <c r="M410" s="2173"/>
      <c r="N410" s="2634"/>
      <c r="P410" s="2093"/>
      <c r="Q410" s="2093"/>
    </row>
    <row r="411" spans="2:17" s="1639" customFormat="1" ht="15.75" hidden="1" customHeight="1" x14ac:dyDescent="0.25">
      <c r="B411" s="2727"/>
      <c r="C411" s="1172" t="s">
        <v>3458</v>
      </c>
      <c r="D411" s="916">
        <f>SUM(D412:D413)</f>
        <v>701975000</v>
      </c>
      <c r="E411" s="1173">
        <f t="shared" si="26"/>
        <v>0.42795772283096706</v>
      </c>
      <c r="F411" s="2733"/>
      <c r="G411" s="2734"/>
      <c r="H411" s="2350"/>
      <c r="I411" s="2737"/>
      <c r="J411" s="1335"/>
      <c r="K411" s="2159"/>
      <c r="L411" s="2173"/>
      <c r="M411" s="2173"/>
      <c r="N411" s="2634"/>
      <c r="P411" s="2093"/>
      <c r="Q411" s="2093"/>
    </row>
    <row r="412" spans="2:17" s="1639" customFormat="1" ht="14.25" hidden="1" customHeight="1" x14ac:dyDescent="0.25">
      <c r="B412" s="2727"/>
      <c r="C412" s="1169" t="s">
        <v>3459</v>
      </c>
      <c r="D412" s="918">
        <v>337700000</v>
      </c>
      <c r="E412" s="1168">
        <f t="shared" si="26"/>
        <v>0.20587816232774322</v>
      </c>
      <c r="F412" s="2733"/>
      <c r="G412" s="2734"/>
      <c r="H412" s="2350"/>
      <c r="I412" s="2737"/>
      <c r="J412" s="1335"/>
      <c r="K412" s="2159"/>
      <c r="L412" s="2173"/>
      <c r="M412" s="2173"/>
      <c r="N412" s="2634"/>
      <c r="P412" s="2093"/>
      <c r="Q412" s="2093"/>
    </row>
    <row r="413" spans="2:17" s="1639" customFormat="1" ht="15.75" hidden="1" customHeight="1" x14ac:dyDescent="0.25">
      <c r="B413" s="2727"/>
      <c r="C413" s="1169" t="s">
        <v>3460</v>
      </c>
      <c r="D413" s="918">
        <v>364275000</v>
      </c>
      <c r="E413" s="1168">
        <f t="shared" si="26"/>
        <v>0.22207956050322378</v>
      </c>
      <c r="F413" s="2733"/>
      <c r="G413" s="2734"/>
      <c r="H413" s="2350"/>
      <c r="I413" s="2737"/>
      <c r="J413" s="1335"/>
      <c r="K413" s="2159"/>
      <c r="L413" s="2173"/>
      <c r="M413" s="2173"/>
      <c r="N413" s="2634"/>
      <c r="P413" s="2093"/>
      <c r="Q413" s="2093"/>
    </row>
    <row r="414" spans="2:17" s="1639" customFormat="1" ht="15" hidden="1" customHeight="1" x14ac:dyDescent="0.25">
      <c r="B414" s="2727"/>
      <c r="C414" s="1169"/>
      <c r="D414" s="918"/>
      <c r="E414" s="1168"/>
      <c r="F414" s="2733"/>
      <c r="G414" s="2730"/>
      <c r="H414" s="2350"/>
      <c r="I414" s="2737"/>
      <c r="J414" s="1335"/>
      <c r="K414" s="2159"/>
      <c r="L414" s="2173"/>
      <c r="M414" s="2173"/>
      <c r="N414" s="2634"/>
      <c r="P414" s="2093"/>
      <c r="Q414" s="2093"/>
    </row>
    <row r="415" spans="2:17" s="1639" customFormat="1" ht="18" hidden="1" customHeight="1" x14ac:dyDescent="0.25">
      <c r="B415" s="2727"/>
      <c r="C415" s="1174" t="s">
        <v>261</v>
      </c>
      <c r="D415" s="3450">
        <f>SUM(D416:D426)</f>
        <v>5443350000</v>
      </c>
      <c r="E415" s="1173">
        <f t="shared" si="26"/>
        <v>3.3185279683349758</v>
      </c>
      <c r="F415" s="2730"/>
      <c r="G415" s="2730"/>
      <c r="H415" s="2350"/>
      <c r="I415" s="2350"/>
      <c r="J415" s="1335"/>
      <c r="K415" s="2159"/>
      <c r="L415" s="2173"/>
      <c r="M415" s="2173"/>
      <c r="N415" s="2634"/>
      <c r="P415" s="2093"/>
      <c r="Q415" s="2093"/>
    </row>
    <row r="416" spans="2:17" s="1639" customFormat="1" ht="13.5" hidden="1" customHeight="1" x14ac:dyDescent="0.25">
      <c r="B416" s="2727"/>
      <c r="C416" s="1169" t="s">
        <v>3461</v>
      </c>
      <c r="D416" s="918">
        <v>97600000</v>
      </c>
      <c r="E416" s="1168">
        <f t="shared" si="26"/>
        <v>5.9501654258773296E-2</v>
      </c>
      <c r="F416" s="914"/>
      <c r="G416" s="1716"/>
      <c r="H416" s="1312"/>
      <c r="I416" s="1312"/>
      <c r="J416" s="1648"/>
      <c r="K416" s="2350"/>
      <c r="L416" s="1705"/>
      <c r="M416" s="1705"/>
      <c r="N416" s="2634"/>
      <c r="P416" s="2093"/>
      <c r="Q416" s="2093"/>
    </row>
    <row r="417" spans="2:18" s="1639" customFormat="1" ht="15" hidden="1" customHeight="1" x14ac:dyDescent="0.25">
      <c r="B417" s="2727"/>
      <c r="C417" s="1169" t="s">
        <v>3462</v>
      </c>
      <c r="D417" s="918">
        <v>322650000</v>
      </c>
      <c r="E417" s="1168">
        <f t="shared" si="26"/>
        <v>0.19670295846919264</v>
      </c>
      <c r="F417" s="920"/>
      <c r="G417" s="2735"/>
      <c r="H417" s="2729"/>
      <c r="I417" s="2736"/>
      <c r="J417" s="920"/>
      <c r="K417" s="927"/>
      <c r="L417" s="1308"/>
      <c r="M417" s="2169"/>
      <c r="N417" s="2634"/>
      <c r="P417" s="2093"/>
      <c r="Q417" s="2093"/>
    </row>
    <row r="418" spans="2:18" s="1639" customFormat="1" ht="14.25" hidden="1" customHeight="1" x14ac:dyDescent="0.25">
      <c r="B418" s="2727"/>
      <c r="C418" s="1169" t="s">
        <v>3463</v>
      </c>
      <c r="D418" s="918">
        <v>95250000</v>
      </c>
      <c r="E418" s="1168">
        <f t="shared" si="26"/>
        <v>5.806898123102619E-2</v>
      </c>
      <c r="F418" s="950"/>
      <c r="G418" s="2734"/>
      <c r="H418" s="2350"/>
      <c r="I418" s="2737"/>
      <c r="J418" s="1335"/>
      <c r="K418" s="1335"/>
      <c r="L418" s="1310"/>
      <c r="M418" s="2170"/>
      <c r="N418" s="2634"/>
      <c r="P418" s="2093"/>
      <c r="Q418" s="2093"/>
    </row>
    <row r="419" spans="2:18" s="1639" customFormat="1" ht="18" hidden="1" customHeight="1" x14ac:dyDescent="0.25">
      <c r="B419" s="2727"/>
      <c r="C419" s="1169" t="s">
        <v>3464</v>
      </c>
      <c r="D419" s="918">
        <v>170250000</v>
      </c>
      <c r="E419" s="1168">
        <f t="shared" si="26"/>
        <v>0.10379258849955075</v>
      </c>
      <c r="F419" s="922"/>
      <c r="G419" s="2734"/>
      <c r="H419" s="2350"/>
      <c r="I419" s="2737"/>
      <c r="J419" s="1335"/>
      <c r="K419" s="1336"/>
      <c r="L419" s="1310"/>
      <c r="M419" s="2170"/>
      <c r="N419" s="2634"/>
      <c r="P419" s="2093"/>
      <c r="Q419" s="2093"/>
    </row>
    <row r="420" spans="2:18" ht="26.25" hidden="1" customHeight="1" x14ac:dyDescent="0.25">
      <c r="B420" s="2727"/>
      <c r="C420" s="1169" t="s">
        <v>3465</v>
      </c>
      <c r="D420" s="918">
        <v>2792600000</v>
      </c>
      <c r="E420" s="1168">
        <f t="shared" si="26"/>
        <v>1.7025032754410891</v>
      </c>
      <c r="F420" s="1007"/>
      <c r="G420" s="1722"/>
      <c r="H420" s="1323"/>
      <c r="I420" s="1323"/>
      <c r="J420" s="2271"/>
      <c r="K420" s="1510"/>
      <c r="L420" s="1703"/>
      <c r="M420" s="1703"/>
      <c r="N420" s="2634"/>
    </row>
    <row r="421" spans="2:18" ht="16.5" hidden="1" customHeight="1" x14ac:dyDescent="0.25">
      <c r="B421" s="2727"/>
      <c r="C421" s="1170" t="s">
        <v>3466</v>
      </c>
      <c r="D421" s="1578">
        <v>376500000</v>
      </c>
      <c r="E421" s="1168">
        <f t="shared" si="26"/>
        <v>0.22953250848799328</v>
      </c>
      <c r="F421" s="755"/>
      <c r="G421" s="1716"/>
      <c r="H421" s="1717"/>
      <c r="I421" s="1717"/>
      <c r="J421" s="1716"/>
      <c r="K421" s="2429"/>
      <c r="L421" s="1717"/>
      <c r="M421" s="1717"/>
      <c r="N421" s="2634"/>
    </row>
    <row r="422" spans="2:18" ht="15" hidden="1" customHeight="1" x14ac:dyDescent="0.25">
      <c r="B422" s="2727"/>
      <c r="C422" s="1170" t="s">
        <v>3467</v>
      </c>
      <c r="D422" s="914">
        <v>347700000</v>
      </c>
      <c r="E422" s="1168">
        <f t="shared" si="26"/>
        <v>0.21197464329687984</v>
      </c>
      <c r="F422" s="755"/>
      <c r="G422" s="1716"/>
      <c r="H422" s="1717"/>
      <c r="I422" s="1717"/>
      <c r="J422" s="1716"/>
      <c r="K422" s="2429"/>
      <c r="L422" s="1717"/>
      <c r="M422" s="1717"/>
      <c r="N422" s="2634"/>
    </row>
    <row r="423" spans="2:18" ht="18" hidden="1" customHeight="1" x14ac:dyDescent="0.25">
      <c r="B423" s="2727"/>
      <c r="C423" s="1170" t="s">
        <v>3468</v>
      </c>
      <c r="D423" s="914">
        <v>286900000</v>
      </c>
      <c r="E423" s="1168">
        <f t="shared" si="26"/>
        <v>0.17490803900452928</v>
      </c>
      <c r="F423" s="755"/>
      <c r="G423" s="1716"/>
      <c r="H423" s="1717"/>
      <c r="I423" s="1717"/>
      <c r="J423" s="1716"/>
      <c r="K423" s="2429"/>
      <c r="L423" s="1717"/>
      <c r="M423" s="1717"/>
      <c r="N423" s="2634"/>
    </row>
    <row r="424" spans="2:18" ht="16.5" hidden="1" customHeight="1" x14ac:dyDescent="0.25">
      <c r="B424" s="2727"/>
      <c r="C424" s="1170" t="s">
        <v>3469</v>
      </c>
      <c r="D424" s="914">
        <v>334100000</v>
      </c>
      <c r="E424" s="1168">
        <f t="shared" si="26"/>
        <v>0.20368342917885407</v>
      </c>
      <c r="F424" s="755"/>
      <c r="G424" s="1716"/>
      <c r="H424" s="1717"/>
      <c r="I424" s="1717"/>
      <c r="J424" s="1716"/>
      <c r="K424" s="2429"/>
      <c r="L424" s="1717"/>
      <c r="M424" s="1717"/>
      <c r="N424" s="2634"/>
    </row>
    <row r="425" spans="2:18" ht="16.5" hidden="1" customHeight="1" x14ac:dyDescent="0.25">
      <c r="B425" s="2727"/>
      <c r="C425" s="1170" t="s">
        <v>3470</v>
      </c>
      <c r="D425" s="914">
        <v>294900000</v>
      </c>
      <c r="E425" s="1168">
        <f t="shared" si="26"/>
        <v>0.17978522377983855</v>
      </c>
      <c r="F425" s="755"/>
      <c r="G425" s="1716"/>
      <c r="H425" s="1717"/>
      <c r="I425" s="1717"/>
      <c r="J425" s="1716"/>
      <c r="K425" s="2429"/>
      <c r="L425" s="1717"/>
      <c r="M425" s="1717"/>
      <c r="N425" s="2634"/>
    </row>
    <row r="426" spans="2:18" ht="15.75" hidden="1" customHeight="1" x14ac:dyDescent="0.25">
      <c r="B426" s="2727"/>
      <c r="C426" s="1170" t="s">
        <v>3471</v>
      </c>
      <c r="D426" s="914">
        <v>324900000</v>
      </c>
      <c r="E426" s="1168">
        <f t="shared" si="26"/>
        <v>0.19807466668724838</v>
      </c>
      <c r="F426" s="755"/>
      <c r="G426" s="1716"/>
      <c r="H426" s="1717"/>
      <c r="I426" s="1717"/>
      <c r="J426" s="1716"/>
      <c r="K426" s="2429"/>
      <c r="L426" s="1717"/>
      <c r="M426" s="1717"/>
      <c r="N426" s="2634"/>
    </row>
    <row r="427" spans="2:18" ht="11.25" hidden="1" customHeight="1" x14ac:dyDescent="0.25">
      <c r="B427" s="2727"/>
      <c r="C427" s="1170"/>
      <c r="D427" s="914"/>
      <c r="E427" s="1168"/>
      <c r="F427" s="755"/>
      <c r="G427" s="1716"/>
      <c r="H427" s="1717"/>
      <c r="I427" s="1717"/>
      <c r="J427" s="1716"/>
      <c r="K427" s="2429"/>
      <c r="L427" s="1717"/>
      <c r="M427" s="1717"/>
      <c r="N427" s="2634"/>
    </row>
    <row r="428" spans="2:18" ht="18.75" hidden="1" customHeight="1" x14ac:dyDescent="0.25">
      <c r="B428" s="2727"/>
      <c r="C428" s="1174" t="s">
        <v>3472</v>
      </c>
      <c r="D428" s="1175">
        <f>SUM(D429:D429)</f>
        <v>562575000</v>
      </c>
      <c r="E428" s="1173">
        <f t="shared" si="26"/>
        <v>0.34297277812120269</v>
      </c>
      <c r="F428" s="755"/>
      <c r="G428" s="1716"/>
      <c r="H428" s="1717"/>
      <c r="I428" s="1717"/>
      <c r="J428" s="1716"/>
      <c r="K428" s="2429"/>
      <c r="L428" s="1717"/>
      <c r="M428" s="1717"/>
      <c r="N428" s="2634"/>
    </row>
    <row r="429" spans="2:18" ht="19.5" hidden="1" customHeight="1" x14ac:dyDescent="0.25">
      <c r="B429" s="2727"/>
      <c r="C429" s="1169" t="s">
        <v>3473</v>
      </c>
      <c r="D429" s="921">
        <v>562575000</v>
      </c>
      <c r="E429" s="1168">
        <f t="shared" si="26"/>
        <v>0.34297277812120269</v>
      </c>
      <c r="F429" s="755"/>
      <c r="G429" s="1716"/>
      <c r="H429" s="1717"/>
      <c r="I429" s="1717"/>
      <c r="J429" s="1716"/>
      <c r="K429" s="2429"/>
      <c r="L429" s="1717"/>
      <c r="M429" s="1717"/>
      <c r="N429" s="2634"/>
    </row>
    <row r="430" spans="2:18" ht="11.25" hidden="1" customHeight="1" x14ac:dyDescent="0.25">
      <c r="B430" s="2727"/>
      <c r="C430" s="1150"/>
      <c r="D430" s="804"/>
      <c r="E430" s="2358"/>
      <c r="F430" s="1007"/>
      <c r="G430" s="3473"/>
      <c r="H430" s="3474"/>
      <c r="I430" s="3474"/>
      <c r="J430" s="3475"/>
      <c r="K430" s="3412"/>
      <c r="L430" s="1703"/>
      <c r="M430" s="1703"/>
      <c r="N430" s="2634"/>
    </row>
    <row r="431" spans="2:18" ht="17.25" hidden="1" customHeight="1" x14ac:dyDescent="0.25">
      <c r="B431" s="3654"/>
      <c r="C431" s="1180" t="s">
        <v>3590</v>
      </c>
      <c r="D431" s="807">
        <f>D432</f>
        <v>12549744564</v>
      </c>
      <c r="E431" s="1075">
        <f>D431/164029053000*100</f>
        <v>7.6509278901951596</v>
      </c>
      <c r="F431" s="1016"/>
      <c r="G431" s="1726"/>
      <c r="H431" s="1726"/>
      <c r="I431" s="1726"/>
      <c r="J431" s="1656"/>
      <c r="K431" s="2228"/>
      <c r="L431" s="1307"/>
      <c r="M431" s="1307"/>
      <c r="N431" s="2634"/>
    </row>
    <row r="432" spans="2:18" ht="18.75" hidden="1" customHeight="1" x14ac:dyDescent="0.25">
      <c r="B432" s="2727"/>
      <c r="C432" s="1255" t="s">
        <v>3597</v>
      </c>
      <c r="D432" s="4629">
        <v>12549744564</v>
      </c>
      <c r="E432" s="4630">
        <f t="shared" ref="E432" si="27">D432/164029053000*100</f>
        <v>7.6509278901951596</v>
      </c>
      <c r="F432" s="4629"/>
      <c r="G432" s="2740"/>
      <c r="H432" s="4631"/>
      <c r="I432" s="4631"/>
      <c r="J432" s="4632"/>
      <c r="K432" s="4632"/>
      <c r="L432" s="4633"/>
      <c r="M432" s="1312"/>
      <c r="N432" s="2634"/>
      <c r="Q432" s="522">
        <v>15419061167</v>
      </c>
      <c r="R432" s="522">
        <v>15359051167</v>
      </c>
    </row>
    <row r="433" spans="1:16" ht="12" hidden="1" customHeight="1" x14ac:dyDescent="0.25">
      <c r="B433" s="2630"/>
      <c r="C433" s="648"/>
      <c r="D433" s="835"/>
      <c r="E433" s="1158"/>
      <c r="F433" s="2632"/>
      <c r="G433" s="2633"/>
      <c r="H433" s="2175"/>
      <c r="I433" s="2227"/>
      <c r="J433" s="2175"/>
      <c r="K433" s="1514"/>
      <c r="L433" s="2175"/>
      <c r="M433" s="2175"/>
      <c r="N433" s="2634"/>
    </row>
    <row r="434" spans="1:16" ht="18.75" customHeight="1" x14ac:dyDescent="0.25">
      <c r="B434" s="2746"/>
      <c r="C434" s="2747" t="s">
        <v>258</v>
      </c>
      <c r="D434" s="2748">
        <f>SUM(D435+D530)</f>
        <v>53869200000</v>
      </c>
      <c r="E434" s="2530">
        <f>D434/D83*100</f>
        <v>9.4660321082344634</v>
      </c>
      <c r="F434" s="3406"/>
      <c r="G434" s="2749"/>
      <c r="H434" s="2750"/>
      <c r="I434" s="2750"/>
      <c r="J434" s="2748"/>
      <c r="K434" s="2749"/>
      <c r="L434" s="2750"/>
      <c r="M434" s="2750"/>
      <c r="N434" s="2634"/>
    </row>
    <row r="435" spans="1:16" ht="18.75" hidden="1" customHeight="1" x14ac:dyDescent="0.25">
      <c r="B435" s="3654"/>
      <c r="C435" s="1153" t="s">
        <v>259</v>
      </c>
      <c r="D435" s="1568">
        <f>SUM(D436+D439+D463+D469+D480+D490+D494+D506+D516+D519)</f>
        <v>35179200000</v>
      </c>
      <c r="E435" s="2752">
        <f>D435/153448669000*100</f>
        <v>22.925712050327395</v>
      </c>
      <c r="F435" s="3407"/>
      <c r="G435" s="2705"/>
      <c r="H435" s="2291"/>
      <c r="I435" s="2291"/>
      <c r="J435" s="2751"/>
      <c r="K435" s="2705"/>
      <c r="L435" s="2291"/>
      <c r="M435" s="2291"/>
      <c r="N435" s="2634"/>
      <c r="P435" s="299">
        <v>151090858000</v>
      </c>
    </row>
    <row r="436" spans="1:16" ht="17.25" hidden="1" customHeight="1" x14ac:dyDescent="0.25">
      <c r="B436" s="2630"/>
      <c r="C436" s="1185" t="s">
        <v>702</v>
      </c>
      <c r="D436" s="1419">
        <f>D437</f>
        <v>9828000000</v>
      </c>
      <c r="E436" s="2562">
        <f>D436/153448669000*100</f>
        <v>6.4047476358364497</v>
      </c>
      <c r="F436" s="2753"/>
      <c r="G436" s="2753"/>
      <c r="H436" s="2754"/>
      <c r="I436" s="1659"/>
      <c r="J436" s="962"/>
      <c r="K436" s="1419"/>
      <c r="L436" s="1394"/>
      <c r="M436" s="1659"/>
      <c r="N436" s="2634"/>
      <c r="P436" s="522" t="e">
        <f>SUM(P435-#REF!)</f>
        <v>#REF!</v>
      </c>
    </row>
    <row r="437" spans="1:16" ht="14.25" hidden="1" customHeight="1" x14ac:dyDescent="0.25">
      <c r="B437" s="2630"/>
      <c r="C437" s="1186" t="s">
        <v>777</v>
      </c>
      <c r="D437" s="967">
        <v>9828000000</v>
      </c>
      <c r="E437" s="1717">
        <f>D437/153448669000*100</f>
        <v>6.4047476358364497</v>
      </c>
      <c r="F437" s="2755"/>
      <c r="G437" s="964"/>
      <c r="H437" s="1668"/>
      <c r="I437" s="1668"/>
      <c r="J437" s="1717"/>
      <c r="K437" s="1668"/>
      <c r="L437" s="782"/>
      <c r="M437" s="1668"/>
      <c r="N437" s="2634"/>
    </row>
    <row r="438" spans="1:16" ht="12" hidden="1" customHeight="1" x14ac:dyDescent="0.25">
      <c r="B438" s="2630"/>
      <c r="C438" s="521"/>
      <c r="D438" s="1548"/>
      <c r="E438" s="1717"/>
      <c r="F438" s="2714"/>
      <c r="G438" s="937"/>
      <c r="H438" s="1668"/>
      <c r="I438" s="1668"/>
      <c r="J438" s="1717"/>
      <c r="K438" s="2202"/>
      <c r="L438" s="1312"/>
      <c r="M438" s="1668"/>
      <c r="N438" s="2634"/>
    </row>
    <row r="439" spans="1:16" ht="18" hidden="1" customHeight="1" x14ac:dyDescent="0.25">
      <c r="B439" s="2630"/>
      <c r="C439" s="1185" t="s">
        <v>703</v>
      </c>
      <c r="D439" s="3356">
        <f>SUM(D440:D461)</f>
        <v>6600000000</v>
      </c>
      <c r="E439" s="2261">
        <f t="shared" ref="E439:E501" si="28">D439/153448669000*100</f>
        <v>4.3011125759585438</v>
      </c>
      <c r="F439" s="2757"/>
      <c r="G439" s="2757"/>
      <c r="H439" s="2754"/>
      <c r="I439" s="1728"/>
      <c r="J439" s="965"/>
      <c r="K439" s="966"/>
      <c r="L439" s="1394"/>
      <c r="M439" s="766"/>
      <c r="N439" s="2634"/>
    </row>
    <row r="440" spans="1:16" ht="18.75" hidden="1" customHeight="1" x14ac:dyDescent="0.25">
      <c r="B440" s="2630"/>
      <c r="C440" s="1189" t="s">
        <v>3004</v>
      </c>
      <c r="D440" s="967">
        <v>500000000</v>
      </c>
      <c r="E440" s="1717">
        <f t="shared" si="28"/>
        <v>0.32584186181504121</v>
      </c>
      <c r="F440" s="2755"/>
      <c r="G440" s="964"/>
      <c r="H440" s="1668"/>
      <c r="I440" s="1668"/>
      <c r="J440" s="963"/>
      <c r="K440" s="964"/>
      <c r="L440" s="782"/>
      <c r="M440" s="782"/>
      <c r="N440" s="2634"/>
    </row>
    <row r="441" spans="1:16" ht="18.75" hidden="1" customHeight="1" x14ac:dyDescent="0.25">
      <c r="B441" s="2630"/>
      <c r="C441" s="1189" t="s">
        <v>3005</v>
      </c>
      <c r="D441" s="967">
        <v>220000000</v>
      </c>
      <c r="E441" s="1717">
        <f t="shared" si="28"/>
        <v>0.14337041919861815</v>
      </c>
      <c r="F441" s="2714"/>
      <c r="G441" s="1668"/>
      <c r="H441" s="1668"/>
      <c r="I441" s="1668"/>
      <c r="J441" s="1717"/>
      <c r="K441" s="1668"/>
      <c r="L441" s="1668"/>
      <c r="M441" s="1668"/>
      <c r="N441" s="2634"/>
    </row>
    <row r="442" spans="1:16" ht="16.5" hidden="1" customHeight="1" x14ac:dyDescent="0.25">
      <c r="A442" s="352"/>
      <c r="B442" s="1242"/>
      <c r="C442" s="1189" t="s">
        <v>3006</v>
      </c>
      <c r="D442" s="967">
        <v>420000000</v>
      </c>
      <c r="E442" s="1717">
        <f t="shared" si="28"/>
        <v>0.27370716392463462</v>
      </c>
      <c r="F442" s="1166"/>
      <c r="G442" s="1166"/>
      <c r="H442" s="877"/>
      <c r="I442" s="877"/>
      <c r="J442" s="2261"/>
      <c r="K442" s="2713"/>
      <c r="L442" s="1012"/>
      <c r="M442" s="2118"/>
      <c r="N442" s="554"/>
    </row>
    <row r="443" spans="1:16" ht="18" hidden="1" customHeight="1" x14ac:dyDescent="0.25">
      <c r="A443" s="352"/>
      <c r="B443" s="1242"/>
      <c r="C443" s="1189" t="s">
        <v>3007</v>
      </c>
      <c r="D443" s="967">
        <v>200000000</v>
      </c>
      <c r="E443" s="1717">
        <f t="shared" si="28"/>
        <v>0.13033674472601647</v>
      </c>
      <c r="F443" s="1167"/>
      <c r="G443" s="1167"/>
      <c r="H443" s="878"/>
      <c r="I443" s="878"/>
      <c r="J443" s="1717"/>
      <c r="K443" s="1670"/>
      <c r="L443" s="937"/>
      <c r="M443" s="1670"/>
      <c r="N443" s="554"/>
    </row>
    <row r="444" spans="1:16" ht="16.5" hidden="1" customHeight="1" x14ac:dyDescent="0.25">
      <c r="A444" s="352"/>
      <c r="B444" s="1242"/>
      <c r="C444" s="1189" t="s">
        <v>3008</v>
      </c>
      <c r="D444" s="967">
        <v>200000000</v>
      </c>
      <c r="E444" s="1717">
        <f t="shared" si="28"/>
        <v>0.13033674472601647</v>
      </c>
      <c r="F444" s="1167"/>
      <c r="G444" s="1167"/>
      <c r="H444" s="878"/>
      <c r="I444" s="878"/>
      <c r="J444" s="1717"/>
      <c r="K444" s="1167"/>
      <c r="L444" s="878"/>
      <c r="M444" s="878"/>
      <c r="N444" s="554"/>
    </row>
    <row r="445" spans="1:16" ht="15.75" hidden="1" customHeight="1" x14ac:dyDescent="0.25">
      <c r="A445" s="352"/>
      <c r="B445" s="1242"/>
      <c r="C445" s="1189" t="s">
        <v>3009</v>
      </c>
      <c r="D445" s="967">
        <v>220000000</v>
      </c>
      <c r="E445" s="1717">
        <f t="shared" si="28"/>
        <v>0.14337041919861815</v>
      </c>
      <c r="F445" s="1167"/>
      <c r="G445" s="1167"/>
      <c r="H445" s="878"/>
      <c r="I445" s="878"/>
      <c r="J445" s="1717"/>
      <c r="K445" s="1167"/>
      <c r="L445" s="878"/>
      <c r="M445" s="878"/>
      <c r="N445" s="554"/>
    </row>
    <row r="446" spans="1:16" ht="18" hidden="1" customHeight="1" x14ac:dyDescent="0.25">
      <c r="A446" s="352"/>
      <c r="B446" s="1242"/>
      <c r="C446" s="1189" t="s">
        <v>3010</v>
      </c>
      <c r="D446" s="967">
        <v>200000000</v>
      </c>
      <c r="E446" s="1717">
        <f t="shared" si="28"/>
        <v>0.13033674472601647</v>
      </c>
      <c r="F446" s="1167"/>
      <c r="G446" s="1167"/>
      <c r="H446" s="878"/>
      <c r="I446" s="878"/>
      <c r="J446" s="1717"/>
      <c r="K446" s="1167"/>
      <c r="L446" s="878"/>
      <c r="M446" s="878"/>
      <c r="N446" s="554"/>
    </row>
    <row r="447" spans="1:16" ht="15" hidden="1" customHeight="1" x14ac:dyDescent="0.25">
      <c r="A447" s="352"/>
      <c r="B447" s="1242"/>
      <c r="C447" s="1189" t="s">
        <v>3011</v>
      </c>
      <c r="D447" s="967">
        <v>200000000</v>
      </c>
      <c r="E447" s="1717">
        <f t="shared" si="28"/>
        <v>0.13033674472601647</v>
      </c>
      <c r="F447" s="1167"/>
      <c r="G447" s="1167"/>
      <c r="H447" s="878"/>
      <c r="I447" s="878"/>
      <c r="J447" s="1717"/>
      <c r="K447" s="1167"/>
      <c r="L447" s="878"/>
      <c r="M447" s="878"/>
      <c r="N447" s="554"/>
    </row>
    <row r="448" spans="1:16" ht="18" hidden="1" customHeight="1" x14ac:dyDescent="0.25">
      <c r="B448" s="2630"/>
      <c r="C448" s="1189" t="s">
        <v>3012</v>
      </c>
      <c r="D448" s="967">
        <v>420000000</v>
      </c>
      <c r="E448" s="1717">
        <f t="shared" si="28"/>
        <v>0.27370716392463462</v>
      </c>
      <c r="F448" s="2714"/>
      <c r="G448" s="1668"/>
      <c r="H448" s="1668"/>
      <c r="I448" s="1668"/>
      <c r="J448" s="1717"/>
      <c r="K448" s="1670"/>
      <c r="L448" s="1670"/>
      <c r="M448" s="1670"/>
      <c r="N448" s="2634"/>
    </row>
    <row r="449" spans="1:17" ht="18" hidden="1" customHeight="1" x14ac:dyDescent="0.25">
      <c r="A449" s="352"/>
      <c r="B449" s="4119"/>
      <c r="C449" s="1189" t="s">
        <v>3013</v>
      </c>
      <c r="D449" s="967">
        <v>420000000</v>
      </c>
      <c r="E449" s="1717">
        <f t="shared" si="28"/>
        <v>0.27370716392463462</v>
      </c>
      <c r="F449" s="966"/>
      <c r="G449" s="766"/>
      <c r="H449" s="766"/>
      <c r="I449" s="766"/>
      <c r="J449" s="965"/>
      <c r="K449" s="966"/>
      <c r="L449" s="1012"/>
      <c r="M449" s="877"/>
      <c r="N449" s="554"/>
    </row>
    <row r="450" spans="1:17" ht="19.5" hidden="1" customHeight="1" x14ac:dyDescent="0.25">
      <c r="A450" s="352"/>
      <c r="B450" s="4119"/>
      <c r="C450" s="1189" t="s">
        <v>3015</v>
      </c>
      <c r="D450" s="967">
        <v>420000000</v>
      </c>
      <c r="E450" s="1717">
        <f t="shared" si="28"/>
        <v>0.27370716392463462</v>
      </c>
      <c r="F450" s="967"/>
      <c r="G450" s="782"/>
      <c r="H450" s="782"/>
      <c r="I450" s="782"/>
      <c r="J450" s="963"/>
      <c r="K450" s="782"/>
      <c r="L450" s="782"/>
      <c r="M450" s="782"/>
      <c r="N450" s="554"/>
      <c r="P450" s="522">
        <v>151090858000</v>
      </c>
    </row>
    <row r="451" spans="1:17" ht="18.75" hidden="1" customHeight="1" x14ac:dyDescent="0.25">
      <c r="A451" s="352"/>
      <c r="B451" s="4119"/>
      <c r="C451" s="1189" t="s">
        <v>3016</v>
      </c>
      <c r="D451" s="967">
        <v>230000000</v>
      </c>
      <c r="E451" s="1717">
        <f t="shared" si="28"/>
        <v>0.14988725643491896</v>
      </c>
      <c r="F451" s="1167"/>
      <c r="G451" s="1167"/>
      <c r="H451" s="878"/>
      <c r="I451" s="878"/>
      <c r="J451" s="963"/>
      <c r="K451" s="937"/>
      <c r="L451" s="937"/>
      <c r="M451" s="937"/>
      <c r="N451" s="554"/>
    </row>
    <row r="452" spans="1:17" ht="17.25" hidden="1" customHeight="1" x14ac:dyDescent="0.25">
      <c r="A452" s="352"/>
      <c r="B452" s="4119"/>
      <c r="C452" s="1189" t="s">
        <v>3017</v>
      </c>
      <c r="D452" s="967">
        <v>200000000</v>
      </c>
      <c r="E452" s="1717">
        <f t="shared" si="28"/>
        <v>0.13033674472601647</v>
      </c>
      <c r="F452" s="1167"/>
      <c r="G452" s="1167"/>
      <c r="H452" s="878"/>
      <c r="I452" s="878"/>
      <c r="J452" s="963"/>
      <c r="K452" s="782"/>
      <c r="L452" s="782"/>
      <c r="M452" s="782"/>
      <c r="N452" s="554"/>
    </row>
    <row r="453" spans="1:17" ht="16.5" hidden="1" customHeight="1" x14ac:dyDescent="0.25">
      <c r="A453" s="352"/>
      <c r="B453" s="4119"/>
      <c r="C453" s="1189" t="s">
        <v>3014</v>
      </c>
      <c r="D453" s="967">
        <v>100000000</v>
      </c>
      <c r="E453" s="1717">
        <f t="shared" si="28"/>
        <v>6.5168372363008237E-2</v>
      </c>
      <c r="F453" s="1167"/>
      <c r="G453" s="1167"/>
      <c r="H453" s="878"/>
      <c r="I453" s="878"/>
      <c r="J453" s="963"/>
      <c r="K453" s="782"/>
      <c r="L453" s="782"/>
      <c r="M453" s="782"/>
      <c r="N453" s="554"/>
    </row>
    <row r="454" spans="1:17" ht="17.25" hidden="1" customHeight="1" x14ac:dyDescent="0.25">
      <c r="A454" s="352"/>
      <c r="B454" s="4119"/>
      <c r="C454" s="1189" t="s">
        <v>3018</v>
      </c>
      <c r="D454" s="967">
        <v>550000000</v>
      </c>
      <c r="E454" s="1717">
        <f t="shared" si="28"/>
        <v>0.35842604799654532</v>
      </c>
      <c r="F454" s="1167"/>
      <c r="G454" s="1167"/>
      <c r="H454" s="878"/>
      <c r="I454" s="878"/>
      <c r="J454" s="963"/>
      <c r="K454" s="782"/>
      <c r="L454" s="782"/>
      <c r="M454" s="782"/>
      <c r="N454" s="554"/>
    </row>
    <row r="455" spans="1:17" ht="16.5" hidden="1" customHeight="1" x14ac:dyDescent="0.25">
      <c r="A455" s="352"/>
      <c r="B455" s="4119"/>
      <c r="C455" s="1189" t="s">
        <v>3019</v>
      </c>
      <c r="D455" s="967">
        <v>200000000</v>
      </c>
      <c r="E455" s="1717">
        <f t="shared" si="28"/>
        <v>0.13033674472601647</v>
      </c>
      <c r="F455" s="1167"/>
      <c r="G455" s="1167"/>
      <c r="H455" s="878"/>
      <c r="I455" s="878"/>
      <c r="J455" s="963"/>
      <c r="K455" s="782"/>
      <c r="L455" s="782"/>
      <c r="M455" s="782"/>
      <c r="N455" s="554"/>
    </row>
    <row r="456" spans="1:17" ht="18.75" hidden="1" customHeight="1" x14ac:dyDescent="0.25">
      <c r="A456" s="352"/>
      <c r="B456" s="4119"/>
      <c r="C456" s="1189" t="s">
        <v>3020</v>
      </c>
      <c r="D456" s="967">
        <v>500000000</v>
      </c>
      <c r="E456" s="1717">
        <f t="shared" si="28"/>
        <v>0.32584186181504121</v>
      </c>
      <c r="F456" s="1167"/>
      <c r="G456" s="1167"/>
      <c r="H456" s="878"/>
      <c r="I456" s="878"/>
      <c r="J456" s="963"/>
      <c r="K456" s="782"/>
      <c r="L456" s="782"/>
      <c r="M456" s="782"/>
      <c r="N456" s="554"/>
    </row>
    <row r="457" spans="1:17" ht="17.25" hidden="1" customHeight="1" x14ac:dyDescent="0.25">
      <c r="B457" s="2630"/>
      <c r="C457" s="1189" t="s">
        <v>3021</v>
      </c>
      <c r="D457" s="967">
        <v>150000000</v>
      </c>
      <c r="E457" s="1717">
        <f t="shared" si="28"/>
        <v>9.7752558544512369E-2</v>
      </c>
      <c r="F457" s="2714"/>
      <c r="G457" s="1668"/>
      <c r="H457" s="1668"/>
      <c r="I457" s="1668"/>
      <c r="J457" s="1717"/>
      <c r="K457" s="2202"/>
      <c r="L457" s="1312"/>
      <c r="M457" s="1312"/>
      <c r="N457" s="2634"/>
    </row>
    <row r="458" spans="1:17" ht="17.25" hidden="1" customHeight="1" x14ac:dyDescent="0.25">
      <c r="A458" s="352"/>
      <c r="B458" s="1242"/>
      <c r="C458" s="1189" t="s">
        <v>3022</v>
      </c>
      <c r="D458" s="967">
        <v>700000000</v>
      </c>
      <c r="E458" s="1717">
        <f t="shared" si="28"/>
        <v>0.45617860654105769</v>
      </c>
      <c r="F458" s="966"/>
      <c r="G458" s="766"/>
      <c r="H458" s="766"/>
      <c r="I458" s="766"/>
      <c r="J458" s="966"/>
      <c r="K458" s="766"/>
      <c r="L458" s="766"/>
      <c r="M458" s="766"/>
      <c r="N458" s="554"/>
    </row>
    <row r="459" spans="1:17" ht="16.5" hidden="1" customHeight="1" x14ac:dyDescent="0.25">
      <c r="A459" s="352"/>
      <c r="B459" s="1242"/>
      <c r="C459" s="1189" t="s">
        <v>3023</v>
      </c>
      <c r="D459" s="967">
        <v>150000000</v>
      </c>
      <c r="E459" s="1717">
        <f t="shared" si="28"/>
        <v>9.7752558544512369E-2</v>
      </c>
      <c r="F459" s="967"/>
      <c r="G459" s="782"/>
      <c r="H459" s="782"/>
      <c r="I459" s="782"/>
      <c r="J459" s="967"/>
      <c r="K459" s="782"/>
      <c r="L459" s="782"/>
      <c r="M459" s="782"/>
      <c r="N459" s="554"/>
    </row>
    <row r="460" spans="1:17" ht="18.75" hidden="1" customHeight="1" x14ac:dyDescent="0.25">
      <c r="A460" s="352"/>
      <c r="B460" s="1242"/>
      <c r="C460" s="1189" t="s">
        <v>3024</v>
      </c>
      <c r="D460" s="967">
        <v>200000000</v>
      </c>
      <c r="E460" s="1717">
        <f t="shared" si="28"/>
        <v>0.13033674472601647</v>
      </c>
      <c r="F460" s="1343"/>
      <c r="G460" s="782"/>
      <c r="H460" s="782"/>
      <c r="I460" s="782"/>
      <c r="J460" s="2756"/>
      <c r="K460" s="1668"/>
      <c r="L460" s="1668"/>
      <c r="M460" s="1668"/>
      <c r="N460" s="554"/>
    </row>
    <row r="461" spans="1:17" ht="17.25" hidden="1" customHeight="1" x14ac:dyDescent="0.25">
      <c r="A461" s="352"/>
      <c r="B461" s="1242"/>
      <c r="C461" s="1189" t="s">
        <v>3025</v>
      </c>
      <c r="D461" s="967">
        <v>200000000</v>
      </c>
      <c r="E461" s="1717">
        <f t="shared" si="28"/>
        <v>0.13033674472601647</v>
      </c>
      <c r="F461" s="966"/>
      <c r="G461" s="966"/>
      <c r="H461" s="766"/>
      <c r="I461" s="766"/>
      <c r="J461" s="966"/>
      <c r="K461" s="966"/>
      <c r="L461" s="1012"/>
      <c r="M461" s="1650"/>
      <c r="N461" s="554"/>
    </row>
    <row r="462" spans="1:17" s="303" customFormat="1" ht="14.25" hidden="1" customHeight="1" x14ac:dyDescent="0.25">
      <c r="A462" s="3005"/>
      <c r="B462" s="1242"/>
      <c r="C462" s="521"/>
      <c r="D462" s="1548"/>
      <c r="E462" s="1717"/>
      <c r="F462" s="971"/>
      <c r="G462" s="782"/>
      <c r="H462" s="782"/>
      <c r="I462" s="782"/>
      <c r="J462" s="971"/>
      <c r="K462" s="782"/>
      <c r="L462" s="782"/>
      <c r="M462" s="782"/>
      <c r="N462" s="554"/>
      <c r="P462" s="522"/>
      <c r="Q462" s="522"/>
    </row>
    <row r="463" spans="1:17" ht="15.75" hidden="1" customHeight="1" x14ac:dyDescent="0.25">
      <c r="A463" s="352"/>
      <c r="B463" s="1242"/>
      <c r="C463" s="1278" t="s">
        <v>3026</v>
      </c>
      <c r="D463" s="1549">
        <f>SUM(D464:D467)</f>
        <v>529000000</v>
      </c>
      <c r="E463" s="2261">
        <f t="shared" si="28"/>
        <v>0.34474068980031364</v>
      </c>
      <c r="F463" s="967"/>
      <c r="G463" s="782"/>
      <c r="H463" s="782"/>
      <c r="I463" s="782"/>
      <c r="J463" s="967"/>
      <c r="K463" s="967"/>
      <c r="L463" s="782"/>
      <c r="M463" s="1668"/>
      <c r="N463" s="554"/>
    </row>
    <row r="464" spans="1:17" ht="17.25" hidden="1" customHeight="1" x14ac:dyDescent="0.25">
      <c r="A464" s="352"/>
      <c r="B464" s="1242"/>
      <c r="C464" s="1277" t="s">
        <v>3027</v>
      </c>
      <c r="D464" s="1548">
        <v>100000000</v>
      </c>
      <c r="E464" s="1717">
        <f t="shared" si="28"/>
        <v>6.5168372363008237E-2</v>
      </c>
      <c r="F464" s="967"/>
      <c r="G464" s="782"/>
      <c r="H464" s="782"/>
      <c r="I464" s="782"/>
      <c r="J464" s="967"/>
      <c r="K464" s="967"/>
      <c r="L464" s="782"/>
      <c r="M464" s="1668"/>
      <c r="N464" s="554"/>
    </row>
    <row r="465" spans="1:14" ht="17.25" hidden="1" customHeight="1" x14ac:dyDescent="0.25">
      <c r="A465" s="352"/>
      <c r="B465" s="1242"/>
      <c r="C465" s="1277" t="s">
        <v>3028</v>
      </c>
      <c r="D465" s="1548">
        <v>150000000</v>
      </c>
      <c r="E465" s="1717">
        <f t="shared" si="28"/>
        <v>9.7752558544512369E-2</v>
      </c>
      <c r="F465" s="1167"/>
      <c r="G465" s="1167"/>
      <c r="H465" s="878"/>
      <c r="I465" s="878"/>
      <c r="J465" s="967"/>
      <c r="K465" s="978"/>
      <c r="L465" s="782"/>
      <c r="M465" s="1668"/>
      <c r="N465" s="554"/>
    </row>
    <row r="466" spans="1:14" ht="15.75" hidden="1" customHeight="1" x14ac:dyDescent="0.25">
      <c r="A466" s="352"/>
      <c r="B466" s="1242"/>
      <c r="C466" s="1277" t="s">
        <v>3029</v>
      </c>
      <c r="D466" s="1548">
        <v>79000000</v>
      </c>
      <c r="E466" s="1717">
        <f t="shared" si="28"/>
        <v>5.1483014166776517E-2</v>
      </c>
      <c r="F466" s="1343"/>
      <c r="G466" s="782"/>
      <c r="H466" s="782"/>
      <c r="I466" s="782"/>
      <c r="J466" s="2756"/>
      <c r="K466" s="1668"/>
      <c r="L466" s="1668"/>
      <c r="M466" s="1668"/>
      <c r="N466" s="554"/>
    </row>
    <row r="467" spans="1:14" ht="19.5" hidden="1" customHeight="1" x14ac:dyDescent="0.25">
      <c r="A467" s="352"/>
      <c r="B467" s="1242"/>
      <c r="C467" s="1277" t="s">
        <v>3030</v>
      </c>
      <c r="D467" s="1548">
        <v>200000000</v>
      </c>
      <c r="E467" s="1717">
        <f t="shared" si="28"/>
        <v>0.13033674472601647</v>
      </c>
      <c r="F467" s="1392"/>
      <c r="G467" s="1392"/>
      <c r="H467" s="766"/>
      <c r="I467" s="1012"/>
      <c r="J467" s="968"/>
      <c r="K467" s="1392"/>
      <c r="L467" s="1012"/>
      <c r="M467" s="2118"/>
      <c r="N467" s="554"/>
    </row>
    <row r="468" spans="1:14" ht="12" hidden="1" customHeight="1" x14ac:dyDescent="0.25">
      <c r="A468" s="352"/>
      <c r="B468" s="1242"/>
      <c r="C468" s="1277"/>
      <c r="D468" s="1548"/>
      <c r="E468" s="1717"/>
      <c r="F468" s="967"/>
      <c r="G468" s="782"/>
      <c r="H468" s="782"/>
      <c r="I468" s="937"/>
      <c r="J468" s="967"/>
      <c r="K468" s="1670"/>
      <c r="L468" s="782"/>
      <c r="M468" s="1670"/>
      <c r="N468" s="554"/>
    </row>
    <row r="469" spans="1:14" ht="15.75" hidden="1" customHeight="1" x14ac:dyDescent="0.25">
      <c r="A469" s="352"/>
      <c r="B469" s="1242"/>
      <c r="C469" s="1278" t="s">
        <v>3031</v>
      </c>
      <c r="D469" s="1549">
        <f>SUM(D470:D478)</f>
        <v>4733850000</v>
      </c>
      <c r="E469" s="2261">
        <f t="shared" si="28"/>
        <v>3.0849729951062659</v>
      </c>
      <c r="F469" s="1343"/>
      <c r="G469" s="782"/>
      <c r="H469" s="782"/>
      <c r="I469" s="937"/>
      <c r="J469" s="2758"/>
      <c r="K469" s="1670"/>
      <c r="L469" s="1670"/>
      <c r="M469" s="1670"/>
      <c r="N469" s="554"/>
    </row>
    <row r="470" spans="1:14" ht="16.5" hidden="1" customHeight="1" x14ac:dyDescent="0.25">
      <c r="A470" s="352"/>
      <c r="B470" s="1242"/>
      <c r="C470" s="1277" t="s">
        <v>3032</v>
      </c>
      <c r="D470" s="1548">
        <v>200000000</v>
      </c>
      <c r="E470" s="1717">
        <f t="shared" si="28"/>
        <v>0.13033674472601647</v>
      </c>
      <c r="F470" s="966"/>
      <c r="G470" s="766"/>
      <c r="H470" s="766"/>
      <c r="I470" s="766"/>
      <c r="J470" s="965"/>
      <c r="K470" s="966"/>
      <c r="L470" s="965"/>
      <c r="M470" s="965"/>
      <c r="N470" s="554"/>
    </row>
    <row r="471" spans="1:14" ht="14.25" hidden="1" customHeight="1" x14ac:dyDescent="0.25">
      <c r="A471" s="352"/>
      <c r="B471" s="1242"/>
      <c r="C471" s="1277" t="s">
        <v>3033</v>
      </c>
      <c r="D471" s="1548">
        <v>400000000</v>
      </c>
      <c r="E471" s="1717">
        <f t="shared" si="28"/>
        <v>0.26067348945203295</v>
      </c>
      <c r="F471" s="967"/>
      <c r="G471" s="782"/>
      <c r="H471" s="782"/>
      <c r="I471" s="782"/>
      <c r="J471" s="967"/>
      <c r="K471" s="782"/>
      <c r="L471" s="782"/>
      <c r="M471" s="782"/>
      <c r="N471" s="554"/>
    </row>
    <row r="472" spans="1:14" ht="15.75" hidden="1" customHeight="1" x14ac:dyDescent="0.25">
      <c r="A472" s="352"/>
      <c r="B472" s="1242"/>
      <c r="C472" s="1277" t="s">
        <v>3034</v>
      </c>
      <c r="D472" s="1548">
        <v>50000000</v>
      </c>
      <c r="E472" s="1717">
        <f t="shared" si="28"/>
        <v>3.2584186181504118E-2</v>
      </c>
      <c r="F472" s="967"/>
      <c r="G472" s="782"/>
      <c r="H472" s="782"/>
      <c r="I472" s="782"/>
      <c r="J472" s="2756"/>
      <c r="K472" s="782"/>
      <c r="L472" s="782"/>
      <c r="M472" s="782"/>
      <c r="N472" s="554"/>
    </row>
    <row r="473" spans="1:14" ht="15.75" hidden="1" customHeight="1" x14ac:dyDescent="0.25">
      <c r="A473" s="352"/>
      <c r="B473" s="1242"/>
      <c r="C473" s="1277" t="s">
        <v>3035</v>
      </c>
      <c r="D473" s="1548">
        <v>789650000</v>
      </c>
      <c r="E473" s="1717">
        <f t="shared" si="28"/>
        <v>0.51460205236449463</v>
      </c>
      <c r="F473" s="1167"/>
      <c r="G473" s="1167"/>
      <c r="H473" s="878"/>
      <c r="I473" s="878"/>
      <c r="J473" s="2756"/>
      <c r="K473" s="782"/>
      <c r="L473" s="782"/>
      <c r="M473" s="782"/>
      <c r="N473" s="554"/>
    </row>
    <row r="474" spans="1:14" ht="15.75" hidden="1" customHeight="1" x14ac:dyDescent="0.25">
      <c r="A474" s="352"/>
      <c r="B474" s="1242"/>
      <c r="C474" s="1277" t="s">
        <v>3036</v>
      </c>
      <c r="D474" s="1548">
        <v>1000000000</v>
      </c>
      <c r="E474" s="1717">
        <f t="shared" si="28"/>
        <v>0.65168372363008242</v>
      </c>
      <c r="F474" s="1167"/>
      <c r="G474" s="1167"/>
      <c r="H474" s="878"/>
      <c r="I474" s="878"/>
      <c r="J474" s="2756"/>
      <c r="K474" s="782"/>
      <c r="L474" s="782"/>
      <c r="M474" s="782"/>
      <c r="N474" s="554"/>
    </row>
    <row r="475" spans="1:14" ht="15.75" hidden="1" customHeight="1" x14ac:dyDescent="0.25">
      <c r="A475" s="352"/>
      <c r="B475" s="1242"/>
      <c r="C475" s="1277" t="s">
        <v>3037</v>
      </c>
      <c r="D475" s="1548">
        <v>500000000</v>
      </c>
      <c r="E475" s="1717">
        <f t="shared" si="28"/>
        <v>0.32584186181504121</v>
      </c>
      <c r="F475" s="1167"/>
      <c r="G475" s="1167"/>
      <c r="H475" s="878"/>
      <c r="I475" s="878"/>
      <c r="J475" s="2756"/>
      <c r="K475" s="782"/>
      <c r="L475" s="782"/>
      <c r="M475" s="782"/>
      <c r="N475" s="554"/>
    </row>
    <row r="476" spans="1:14" ht="15.75" hidden="1" customHeight="1" x14ac:dyDescent="0.25">
      <c r="A476" s="352"/>
      <c r="B476" s="1242"/>
      <c r="C476" s="1277" t="s">
        <v>3038</v>
      </c>
      <c r="D476" s="1548">
        <v>294200000</v>
      </c>
      <c r="E476" s="1717">
        <f t="shared" si="28"/>
        <v>0.19172535149197026</v>
      </c>
      <c r="F476" s="1167"/>
      <c r="G476" s="1167"/>
      <c r="H476" s="878"/>
      <c r="I476" s="878"/>
      <c r="J476" s="2756"/>
      <c r="K476" s="782"/>
      <c r="L476" s="782"/>
      <c r="M476" s="782"/>
      <c r="N476" s="554"/>
    </row>
    <row r="477" spans="1:14" ht="19.5" hidden="1" customHeight="1" x14ac:dyDescent="0.25">
      <c r="A477" s="352"/>
      <c r="B477" s="1242"/>
      <c r="C477" s="1277" t="s">
        <v>3039</v>
      </c>
      <c r="D477" s="1548">
        <v>500000000</v>
      </c>
      <c r="E477" s="1717">
        <f t="shared" si="28"/>
        <v>0.32584186181504121</v>
      </c>
      <c r="F477" s="1343"/>
      <c r="G477" s="880"/>
      <c r="H477" s="782"/>
      <c r="I477" s="782"/>
      <c r="J477" s="2756"/>
      <c r="K477" s="2202"/>
      <c r="L477" s="1312"/>
      <c r="M477" s="1312"/>
      <c r="N477" s="554"/>
    </row>
    <row r="478" spans="1:14" ht="15.75" hidden="1" customHeight="1" x14ac:dyDescent="0.25">
      <c r="A478" s="352"/>
      <c r="B478" s="1242"/>
      <c r="C478" s="1277" t="s">
        <v>3040</v>
      </c>
      <c r="D478" s="1548">
        <v>1000000000</v>
      </c>
      <c r="E478" s="1717">
        <f t="shared" si="28"/>
        <v>0.65168372363008242</v>
      </c>
      <c r="F478" s="966"/>
      <c r="G478" s="766"/>
      <c r="H478" s="766"/>
      <c r="I478" s="766"/>
      <c r="J478" s="965"/>
      <c r="K478" s="966"/>
      <c r="L478" s="1012"/>
      <c r="M478" s="1650"/>
      <c r="N478" s="554"/>
    </row>
    <row r="479" spans="1:14" ht="12.75" hidden="1" customHeight="1" x14ac:dyDescent="0.25">
      <c r="A479" s="352"/>
      <c r="B479" s="1242"/>
      <c r="C479" s="1277"/>
      <c r="D479" s="1548"/>
      <c r="E479" s="1717"/>
      <c r="F479" s="967"/>
      <c r="G479" s="782"/>
      <c r="H479" s="782"/>
      <c r="I479" s="782"/>
      <c r="J479" s="967"/>
      <c r="K479" s="2202"/>
      <c r="L479" s="782"/>
      <c r="M479" s="1668"/>
      <c r="N479" s="554"/>
    </row>
    <row r="480" spans="1:14" ht="18.75" hidden="1" customHeight="1" x14ac:dyDescent="0.25">
      <c r="A480" s="352"/>
      <c r="B480" s="1242"/>
      <c r="C480" s="1185" t="s">
        <v>3041</v>
      </c>
      <c r="D480" s="1166">
        <f>SUM(D481:D488)</f>
        <v>2971200000</v>
      </c>
      <c r="E480" s="2261">
        <f t="shared" si="28"/>
        <v>1.936282679649701</v>
      </c>
      <c r="F480" s="1342"/>
      <c r="G480" s="1393"/>
      <c r="H480" s="2255"/>
      <c r="I480" s="791"/>
      <c r="J480" s="2175"/>
      <c r="K480" s="1514"/>
      <c r="L480" s="2175"/>
      <c r="M480" s="2175"/>
      <c r="N480" s="554"/>
    </row>
    <row r="481" spans="1:14" ht="18.75" hidden="1" customHeight="1" x14ac:dyDescent="0.25">
      <c r="A481" s="352"/>
      <c r="B481" s="1242"/>
      <c r="C481" s="1277" t="s">
        <v>3042</v>
      </c>
      <c r="D481" s="1167">
        <v>1200000000</v>
      </c>
      <c r="E481" s="1717">
        <f t="shared" si="28"/>
        <v>0.78202046835609895</v>
      </c>
      <c r="F481" s="1166"/>
      <c r="G481" s="1166"/>
      <c r="H481" s="877"/>
      <c r="I481" s="877"/>
      <c r="J481" s="1650"/>
      <c r="K481" s="1012"/>
      <c r="L481" s="1012"/>
      <c r="M481" s="1012"/>
      <c r="N481" s="554"/>
    </row>
    <row r="482" spans="1:14" ht="16.5" hidden="1" customHeight="1" x14ac:dyDescent="0.25">
      <c r="A482" s="352"/>
      <c r="B482" s="1242"/>
      <c r="C482" s="1277" t="s">
        <v>3043</v>
      </c>
      <c r="D482" s="1167">
        <v>710800000</v>
      </c>
      <c r="E482" s="1717">
        <f t="shared" si="28"/>
        <v>0.4632167907562626</v>
      </c>
      <c r="F482" s="1167"/>
      <c r="G482" s="1167"/>
      <c r="H482" s="878"/>
      <c r="I482" s="878"/>
      <c r="J482" s="1312"/>
      <c r="K482" s="782"/>
      <c r="L482" s="782"/>
      <c r="M482" s="782"/>
      <c r="N482" s="554"/>
    </row>
    <row r="483" spans="1:14" ht="18.75" hidden="1" customHeight="1" x14ac:dyDescent="0.25">
      <c r="A483" s="352"/>
      <c r="B483" s="1242"/>
      <c r="C483" s="1277" t="s">
        <v>3044</v>
      </c>
      <c r="D483" s="1167">
        <v>100000000</v>
      </c>
      <c r="E483" s="1717">
        <f t="shared" si="28"/>
        <v>6.5168372363008237E-2</v>
      </c>
      <c r="F483" s="1167"/>
      <c r="G483" s="1167"/>
      <c r="H483" s="878"/>
      <c r="I483" s="878"/>
      <c r="J483" s="1312"/>
      <c r="K483" s="782"/>
      <c r="L483" s="782"/>
      <c r="M483" s="782"/>
      <c r="N483" s="554"/>
    </row>
    <row r="484" spans="1:14" ht="18" hidden="1" customHeight="1" x14ac:dyDescent="0.25">
      <c r="A484" s="352"/>
      <c r="B484" s="1242"/>
      <c r="C484" s="1277" t="s">
        <v>3045</v>
      </c>
      <c r="D484" s="1167">
        <v>100000000</v>
      </c>
      <c r="E484" s="1717">
        <f t="shared" si="28"/>
        <v>6.5168372363008237E-2</v>
      </c>
      <c r="F484" s="1342"/>
      <c r="G484" s="1393"/>
      <c r="H484" s="2255"/>
      <c r="I484" s="791"/>
      <c r="J484" s="2182"/>
      <c r="K484" s="2518"/>
      <c r="L484" s="2182"/>
      <c r="M484" s="2182"/>
      <c r="N484" s="554"/>
    </row>
    <row r="485" spans="1:14" ht="30" hidden="1" customHeight="1" x14ac:dyDescent="0.25">
      <c r="B485" s="2630"/>
      <c r="C485" s="1277" t="s">
        <v>3046</v>
      </c>
      <c r="D485" s="1167">
        <v>227150000</v>
      </c>
      <c r="E485" s="1717">
        <f t="shared" si="28"/>
        <v>0.14802995782257322</v>
      </c>
      <c r="F485" s="2755"/>
      <c r="G485" s="1716"/>
      <c r="H485" s="1716"/>
      <c r="I485" s="1716"/>
      <c r="J485" s="1315"/>
      <c r="K485" s="2787"/>
      <c r="L485" s="1717"/>
      <c r="M485" s="2182"/>
      <c r="N485" s="2634"/>
    </row>
    <row r="486" spans="1:14" ht="17.25" hidden="1" customHeight="1" x14ac:dyDescent="0.25">
      <c r="B486" s="2630"/>
      <c r="C486" s="1277" t="s">
        <v>3047</v>
      </c>
      <c r="D486" s="1167">
        <v>43250000</v>
      </c>
      <c r="E486" s="1717">
        <f t="shared" si="28"/>
        <v>2.8185321047001066E-2</v>
      </c>
      <c r="F486" s="2755"/>
      <c r="G486" s="1716"/>
      <c r="H486" s="1716"/>
      <c r="I486" s="1716"/>
      <c r="J486" s="1315"/>
      <c r="K486" s="2787"/>
      <c r="L486" s="1717"/>
      <c r="M486" s="2182"/>
      <c r="N486" s="2634"/>
    </row>
    <row r="487" spans="1:14" ht="17.25" hidden="1" customHeight="1" x14ac:dyDescent="0.25">
      <c r="B487" s="2630"/>
      <c r="C487" s="1277" t="s">
        <v>3048</v>
      </c>
      <c r="D487" s="1167">
        <v>90000000</v>
      </c>
      <c r="E487" s="1717">
        <f t="shared" si="28"/>
        <v>5.8651535126707427E-2</v>
      </c>
      <c r="F487" s="2755"/>
      <c r="G487" s="1716"/>
      <c r="H487" s="1716"/>
      <c r="I487" s="1716"/>
      <c r="J487" s="1315"/>
      <c r="K487" s="2787"/>
      <c r="L487" s="1717"/>
      <c r="M487" s="2182"/>
      <c r="N487" s="2634"/>
    </row>
    <row r="488" spans="1:14" ht="17.25" hidden="1" customHeight="1" x14ac:dyDescent="0.25">
      <c r="B488" s="2630"/>
      <c r="C488" s="1279" t="s">
        <v>3049</v>
      </c>
      <c r="D488" s="2738">
        <v>500000000</v>
      </c>
      <c r="E488" s="1717">
        <f t="shared" si="28"/>
        <v>0.32584186181504121</v>
      </c>
      <c r="F488" s="2755"/>
      <c r="G488" s="1716"/>
      <c r="H488" s="1716"/>
      <c r="I488" s="1716"/>
      <c r="J488" s="1315"/>
      <c r="K488" s="2787"/>
      <c r="L488" s="1717"/>
      <c r="M488" s="2182"/>
      <c r="N488" s="2634"/>
    </row>
    <row r="489" spans="1:14" ht="9" hidden="1" customHeight="1" x14ac:dyDescent="0.25">
      <c r="B489" s="2630"/>
      <c r="C489" s="509"/>
      <c r="D489" s="1548"/>
      <c r="E489" s="1717"/>
      <c r="F489" s="2757"/>
      <c r="G489" s="2757"/>
      <c r="H489" s="1729"/>
      <c r="I489" s="1729"/>
      <c r="J489" s="2757"/>
      <c r="K489" s="2757"/>
      <c r="L489" s="1729"/>
      <c r="M489" s="2261"/>
      <c r="N489" s="2634"/>
    </row>
    <row r="490" spans="1:14" ht="16.5" hidden="1" customHeight="1" x14ac:dyDescent="0.25">
      <c r="A490" s="352"/>
      <c r="B490" s="1242"/>
      <c r="C490" s="1192" t="s">
        <v>1057</v>
      </c>
      <c r="D490" s="1585">
        <f>SUM(D491:D492)</f>
        <v>1268650000</v>
      </c>
      <c r="E490" s="2261">
        <f t="shared" si="28"/>
        <v>0.82675855598330406</v>
      </c>
      <c r="F490" s="1585"/>
      <c r="G490" s="1585"/>
      <c r="H490" s="1661"/>
      <c r="I490" s="793"/>
      <c r="J490" s="994"/>
      <c r="K490" s="1585"/>
      <c r="L490" s="1661"/>
      <c r="M490" s="2264"/>
      <c r="N490" s="554"/>
    </row>
    <row r="491" spans="1:14" ht="15.75" hidden="1" customHeight="1" x14ac:dyDescent="0.25">
      <c r="A491" s="352"/>
      <c r="B491" s="1242"/>
      <c r="C491" s="652" t="s">
        <v>3050</v>
      </c>
      <c r="D491" s="967">
        <v>379000000</v>
      </c>
      <c r="E491" s="1717">
        <f t="shared" si="28"/>
        <v>0.24698813125580127</v>
      </c>
      <c r="F491" s="967"/>
      <c r="G491" s="798"/>
      <c r="H491" s="1310"/>
      <c r="I491" s="805"/>
      <c r="J491" s="967"/>
      <c r="K491" s="967"/>
      <c r="L491" s="1310"/>
      <c r="M491" s="2271"/>
      <c r="N491" s="554"/>
    </row>
    <row r="492" spans="1:14" ht="16.5" hidden="1" customHeight="1" x14ac:dyDescent="0.25">
      <c r="A492" s="352"/>
      <c r="B492" s="1242"/>
      <c r="C492" s="652" t="s">
        <v>3051</v>
      </c>
      <c r="D492" s="1167">
        <v>889650000</v>
      </c>
      <c r="E492" s="1717">
        <f t="shared" si="28"/>
        <v>0.57977042472750284</v>
      </c>
      <c r="F492" s="967"/>
      <c r="G492" s="798"/>
      <c r="H492" s="1310"/>
      <c r="I492" s="805"/>
      <c r="J492" s="967"/>
      <c r="K492" s="1722"/>
      <c r="L492" s="1310"/>
      <c r="M492" s="2271"/>
      <c r="N492" s="554"/>
    </row>
    <row r="493" spans="1:14" ht="11.25" hidden="1" customHeight="1" x14ac:dyDescent="0.25">
      <c r="A493" s="352"/>
      <c r="B493" s="1242"/>
      <c r="C493" s="509"/>
      <c r="D493" s="1548"/>
      <c r="E493" s="1717"/>
      <c r="F493" s="967"/>
      <c r="G493" s="798"/>
      <c r="H493" s="1310"/>
      <c r="I493" s="805"/>
      <c r="J493" s="967"/>
      <c r="K493" s="1722"/>
      <c r="L493" s="1310"/>
      <c r="M493" s="2271"/>
      <c r="N493" s="554"/>
    </row>
    <row r="494" spans="1:14" ht="16.5" hidden="1" customHeight="1" x14ac:dyDescent="0.25">
      <c r="A494" s="352"/>
      <c r="B494" s="1242"/>
      <c r="C494" s="1185" t="s">
        <v>3052</v>
      </c>
      <c r="D494" s="966">
        <f>SUM(D495:D504)</f>
        <v>5443750000</v>
      </c>
      <c r="E494" s="2261">
        <f t="shared" si="28"/>
        <v>3.547603270511261</v>
      </c>
      <c r="F494" s="1410"/>
      <c r="G494" s="798"/>
      <c r="H494" s="805"/>
      <c r="I494" s="805"/>
      <c r="J494" s="2372"/>
      <c r="K494" s="1722"/>
      <c r="L494" s="2271"/>
      <c r="M494" s="2271"/>
      <c r="N494" s="554"/>
    </row>
    <row r="495" spans="1:14" ht="16.5" hidden="1" customHeight="1" x14ac:dyDescent="0.25">
      <c r="A495" s="352"/>
      <c r="B495" s="1242"/>
      <c r="C495" s="652" t="s">
        <v>3053</v>
      </c>
      <c r="D495" s="971">
        <v>200000000</v>
      </c>
      <c r="E495" s="1717">
        <f t="shared" si="28"/>
        <v>0.13033674472601647</v>
      </c>
      <c r="F495" s="966"/>
      <c r="G495" s="966"/>
      <c r="H495" s="1308"/>
      <c r="I495" s="1018"/>
      <c r="J495" s="965"/>
      <c r="K495" s="966"/>
      <c r="L495" s="1308"/>
      <c r="M495" s="2278"/>
      <c r="N495" s="554"/>
    </row>
    <row r="496" spans="1:14" ht="15.75" hidden="1" customHeight="1" x14ac:dyDescent="0.25">
      <c r="A496" s="352"/>
      <c r="B496" s="1242"/>
      <c r="C496" s="652" t="s">
        <v>3054</v>
      </c>
      <c r="D496" s="967">
        <v>150000000</v>
      </c>
      <c r="E496" s="1717">
        <f t="shared" si="28"/>
        <v>9.7752558544512369E-2</v>
      </c>
      <c r="F496" s="967"/>
      <c r="G496" s="798"/>
      <c r="H496" s="1310"/>
      <c r="I496" s="805"/>
      <c r="J496" s="967"/>
      <c r="K496" s="1722"/>
      <c r="L496" s="1310"/>
      <c r="M496" s="2271"/>
      <c r="N496" s="554"/>
    </row>
    <row r="497" spans="1:14" ht="18" hidden="1" customHeight="1" x14ac:dyDescent="0.25">
      <c r="A497" s="352"/>
      <c r="B497" s="1242"/>
      <c r="C497" s="652" t="s">
        <v>3055</v>
      </c>
      <c r="D497" s="967">
        <v>1000000000</v>
      </c>
      <c r="E497" s="1717">
        <f t="shared" si="28"/>
        <v>0.65168372363008242</v>
      </c>
      <c r="F497" s="971"/>
      <c r="G497" s="755"/>
      <c r="H497" s="755"/>
      <c r="I497" s="755"/>
      <c r="J497" s="971"/>
      <c r="K497" s="1716"/>
      <c r="L497" s="1310"/>
      <c r="M497" s="2271"/>
      <c r="N497" s="554"/>
    </row>
    <row r="498" spans="1:14" ht="17.25" hidden="1" customHeight="1" x14ac:dyDescent="0.25">
      <c r="B498" s="2630"/>
      <c r="C498" s="652" t="s">
        <v>3056</v>
      </c>
      <c r="D498" s="1167">
        <v>1500000000</v>
      </c>
      <c r="E498" s="1717">
        <f t="shared" si="28"/>
        <v>0.97752558544512369</v>
      </c>
      <c r="F498" s="2759"/>
      <c r="G498" s="2761"/>
      <c r="H498" s="2424"/>
      <c r="I498" s="2182"/>
      <c r="J498" s="2582"/>
      <c r="K498" s="2762"/>
      <c r="L498" s="2182"/>
      <c r="M498" s="2182"/>
      <c r="N498" s="2634"/>
    </row>
    <row r="499" spans="1:14" ht="15.75" hidden="1" customHeight="1" x14ac:dyDescent="0.25">
      <c r="B499" s="2630"/>
      <c r="C499" s="652" t="s">
        <v>3057</v>
      </c>
      <c r="D499" s="1167">
        <v>1400000000</v>
      </c>
      <c r="E499" s="1717">
        <f t="shared" si="28"/>
        <v>0.91235721308211537</v>
      </c>
      <c r="F499" s="2755"/>
      <c r="G499" s="2429"/>
      <c r="H499" s="2429"/>
      <c r="I499" s="1315"/>
      <c r="J499" s="1315"/>
      <c r="K499" s="2787"/>
      <c r="L499" s="1315"/>
      <c r="M499" s="1315"/>
      <c r="N499" s="2634"/>
    </row>
    <row r="500" spans="1:14" ht="15.75" hidden="1" customHeight="1" x14ac:dyDescent="0.25">
      <c r="B500" s="2630"/>
      <c r="C500" s="652" t="s">
        <v>3058</v>
      </c>
      <c r="D500" s="1167">
        <v>200000000</v>
      </c>
      <c r="E500" s="1717">
        <f t="shared" si="28"/>
        <v>0.13033674472601647</v>
      </c>
      <c r="F500" s="2755"/>
      <c r="G500" s="2429"/>
      <c r="H500" s="2429"/>
      <c r="I500" s="1315"/>
      <c r="J500" s="1315"/>
      <c r="K500" s="2787"/>
      <c r="L500" s="1315"/>
      <c r="M500" s="1315"/>
      <c r="N500" s="2634"/>
    </row>
    <row r="501" spans="1:14" ht="16.5" hidden="1" customHeight="1" x14ac:dyDescent="0.25">
      <c r="B501" s="2630"/>
      <c r="C501" s="652" t="s">
        <v>3059</v>
      </c>
      <c r="D501" s="1167">
        <v>250000000</v>
      </c>
      <c r="E501" s="1717">
        <f t="shared" si="28"/>
        <v>0.16292093090752061</v>
      </c>
      <c r="F501" s="2755"/>
      <c r="G501" s="2429"/>
      <c r="H501" s="2429"/>
      <c r="I501" s="1315"/>
      <c r="J501" s="1315"/>
      <c r="K501" s="2787"/>
      <c r="L501" s="1315"/>
      <c r="M501" s="1315"/>
      <c r="N501" s="2634"/>
    </row>
    <row r="502" spans="1:14" ht="16.5" hidden="1" customHeight="1" x14ac:dyDescent="0.25">
      <c r="B502" s="2630"/>
      <c r="C502" s="652" t="s">
        <v>3060</v>
      </c>
      <c r="D502" s="1167">
        <v>393750000</v>
      </c>
      <c r="E502" s="1717">
        <f t="shared" ref="E502:E528" si="29">D502/153448669000*100</f>
        <v>0.25660046617934495</v>
      </c>
      <c r="F502" s="2755"/>
      <c r="G502" s="2429"/>
      <c r="H502" s="2429"/>
      <c r="I502" s="1315"/>
      <c r="J502" s="1315"/>
      <c r="K502" s="2787"/>
      <c r="L502" s="1315"/>
      <c r="M502" s="1315"/>
      <c r="N502" s="2634"/>
    </row>
    <row r="503" spans="1:14" ht="15.75" hidden="1" customHeight="1" x14ac:dyDescent="0.25">
      <c r="B503" s="2630"/>
      <c r="C503" s="652" t="s">
        <v>3061</v>
      </c>
      <c r="D503" s="1167">
        <v>250000000</v>
      </c>
      <c r="E503" s="1717">
        <f t="shared" si="29"/>
        <v>0.16292093090752061</v>
      </c>
      <c r="F503" s="2755"/>
      <c r="G503" s="2429"/>
      <c r="H503" s="2429"/>
      <c r="I503" s="1315"/>
      <c r="J503" s="1315"/>
      <c r="K503" s="2787"/>
      <c r="L503" s="1315"/>
      <c r="M503" s="1315"/>
      <c r="N503" s="2634"/>
    </row>
    <row r="504" spans="1:14" ht="16.5" hidden="1" customHeight="1" x14ac:dyDescent="0.25">
      <c r="B504" s="2630"/>
      <c r="C504" s="652" t="s">
        <v>3062</v>
      </c>
      <c r="D504" s="1167">
        <v>100000000</v>
      </c>
      <c r="E504" s="1717">
        <f t="shared" si="29"/>
        <v>6.5168372363008237E-2</v>
      </c>
      <c r="F504" s="2755"/>
      <c r="G504" s="2429"/>
      <c r="H504" s="2429"/>
      <c r="I504" s="1315"/>
      <c r="J504" s="1315"/>
      <c r="K504" s="2787"/>
      <c r="L504" s="1315"/>
      <c r="M504" s="1315"/>
      <c r="N504" s="2634"/>
    </row>
    <row r="505" spans="1:14" ht="12" hidden="1" customHeight="1" x14ac:dyDescent="0.25">
      <c r="B505" s="2630"/>
      <c r="C505" s="1277"/>
      <c r="D505" s="1548"/>
      <c r="E505" s="1717"/>
      <c r="F505" s="2755"/>
      <c r="G505" s="2429"/>
      <c r="H505" s="2429"/>
      <c r="I505" s="1315"/>
      <c r="J505" s="1315"/>
      <c r="K505" s="2787"/>
      <c r="L505" s="1315"/>
      <c r="M505" s="1315"/>
      <c r="N505" s="2634"/>
    </row>
    <row r="506" spans="1:14" ht="19.5" hidden="1" customHeight="1" x14ac:dyDescent="0.25">
      <c r="B506" s="2630"/>
      <c r="C506" s="1185" t="s">
        <v>2297</v>
      </c>
      <c r="D506" s="966">
        <f>SUM(D507:D514)</f>
        <v>2280800000</v>
      </c>
      <c r="E506" s="2261">
        <f t="shared" si="29"/>
        <v>1.486360236855492</v>
      </c>
      <c r="F506" s="2755"/>
      <c r="G506" s="2429"/>
      <c r="H506" s="2429"/>
      <c r="I506" s="1315"/>
      <c r="J506" s="1315"/>
      <c r="K506" s="2787"/>
      <c r="L506" s="1315"/>
      <c r="M506" s="1315"/>
      <c r="N506" s="2634"/>
    </row>
    <row r="507" spans="1:14" ht="19.5" hidden="1" customHeight="1" x14ac:dyDescent="0.25">
      <c r="B507" s="2630"/>
      <c r="C507" s="652" t="s">
        <v>3063</v>
      </c>
      <c r="D507" s="967">
        <v>97600000</v>
      </c>
      <c r="E507" s="1717">
        <f t="shared" si="29"/>
        <v>6.360433142629604E-2</v>
      </c>
      <c r="F507" s="2755"/>
      <c r="G507" s="2429"/>
      <c r="H507" s="2429"/>
      <c r="I507" s="1315"/>
      <c r="J507" s="1315"/>
      <c r="K507" s="2787"/>
      <c r="L507" s="1315"/>
      <c r="M507" s="1315"/>
      <c r="N507" s="2634"/>
    </row>
    <row r="508" spans="1:14" ht="19.5" hidden="1" customHeight="1" x14ac:dyDescent="0.25">
      <c r="B508" s="2630"/>
      <c r="C508" s="652" t="s">
        <v>3417</v>
      </c>
      <c r="D508" s="967">
        <v>1203500000</v>
      </c>
      <c r="E508" s="1717">
        <f t="shared" si="29"/>
        <v>0.78430136138880424</v>
      </c>
      <c r="F508" s="2755"/>
      <c r="G508" s="2429"/>
      <c r="H508" s="2429"/>
      <c r="I508" s="1315"/>
      <c r="J508" s="1315"/>
      <c r="K508" s="2787"/>
      <c r="L508" s="1315"/>
      <c r="M508" s="1315"/>
      <c r="N508" s="2634"/>
    </row>
    <row r="509" spans="1:14" ht="21" hidden="1" customHeight="1" x14ac:dyDescent="0.25">
      <c r="B509" s="2630"/>
      <c r="C509" s="652" t="s">
        <v>3064</v>
      </c>
      <c r="D509" s="1167">
        <v>93100000</v>
      </c>
      <c r="E509" s="1717">
        <f t="shared" si="29"/>
        <v>6.0671754669960679E-2</v>
      </c>
      <c r="F509" s="2755"/>
      <c r="G509" s="2429"/>
      <c r="H509" s="2429"/>
      <c r="I509" s="1315"/>
      <c r="J509" s="1315"/>
      <c r="K509" s="2787"/>
      <c r="L509" s="1315"/>
      <c r="M509" s="1315"/>
      <c r="N509" s="2634"/>
    </row>
    <row r="510" spans="1:14" ht="19.5" hidden="1" customHeight="1" x14ac:dyDescent="0.25">
      <c r="B510" s="2630"/>
      <c r="C510" s="652" t="s">
        <v>3065</v>
      </c>
      <c r="D510" s="1167">
        <v>100000000</v>
      </c>
      <c r="E510" s="1717">
        <f t="shared" si="29"/>
        <v>6.5168372363008237E-2</v>
      </c>
      <c r="F510" s="2755"/>
      <c r="G510" s="2429"/>
      <c r="H510" s="2429"/>
      <c r="I510" s="1315"/>
      <c r="J510" s="1315"/>
      <c r="K510" s="2787"/>
      <c r="L510" s="1315"/>
      <c r="M510" s="1315"/>
      <c r="N510" s="2634"/>
    </row>
    <row r="511" spans="1:14" ht="16.5" hidden="1" customHeight="1" x14ac:dyDescent="0.25">
      <c r="B511" s="2630"/>
      <c r="C511" s="652" t="s">
        <v>3066</v>
      </c>
      <c r="D511" s="1167">
        <v>100000000</v>
      </c>
      <c r="E511" s="1717">
        <f t="shared" si="29"/>
        <v>6.5168372363008237E-2</v>
      </c>
      <c r="F511" s="2755"/>
      <c r="G511" s="2429"/>
      <c r="H511" s="2429"/>
      <c r="I511" s="1315"/>
      <c r="J511" s="1315"/>
      <c r="K511" s="2787"/>
      <c r="L511" s="1315"/>
      <c r="M511" s="1315"/>
      <c r="N511" s="2634"/>
    </row>
    <row r="512" spans="1:14" ht="18.75" hidden="1" customHeight="1" x14ac:dyDescent="0.25">
      <c r="B512" s="2630"/>
      <c r="C512" s="652" t="s">
        <v>3067</v>
      </c>
      <c r="D512" s="1167">
        <v>86600000</v>
      </c>
      <c r="E512" s="1717">
        <f t="shared" si="29"/>
        <v>5.6435810466365137E-2</v>
      </c>
      <c r="F512" s="2755"/>
      <c r="G512" s="2429"/>
      <c r="H512" s="2429"/>
      <c r="I512" s="1315"/>
      <c r="J512" s="1315"/>
      <c r="K512" s="2787"/>
      <c r="L512" s="1315"/>
      <c r="M512" s="1315"/>
      <c r="N512" s="2634"/>
    </row>
    <row r="513" spans="2:14" ht="15" hidden="1" customHeight="1" x14ac:dyDescent="0.25">
      <c r="B513" s="2630"/>
      <c r="C513" s="509" t="s">
        <v>3068</v>
      </c>
      <c r="D513" s="1548">
        <v>100000000</v>
      </c>
      <c r="E513" s="1717">
        <f t="shared" si="29"/>
        <v>6.5168372363008237E-2</v>
      </c>
      <c r="F513" s="2755"/>
      <c r="G513" s="2429"/>
      <c r="H513" s="2429"/>
      <c r="I513" s="1315"/>
      <c r="J513" s="1315"/>
      <c r="K513" s="2787"/>
      <c r="L513" s="1315"/>
      <c r="M513" s="1315"/>
      <c r="N513" s="2634"/>
    </row>
    <row r="514" spans="2:14" ht="20.25" hidden="1" customHeight="1" x14ac:dyDescent="0.25">
      <c r="B514" s="2630"/>
      <c r="C514" s="1146" t="s">
        <v>3069</v>
      </c>
      <c r="D514" s="1550">
        <v>500000000</v>
      </c>
      <c r="E514" s="1717">
        <f t="shared" si="29"/>
        <v>0.32584186181504121</v>
      </c>
      <c r="F514" s="2755"/>
      <c r="G514" s="2429"/>
      <c r="H514" s="2429"/>
      <c r="I514" s="1315"/>
      <c r="J514" s="1315"/>
      <c r="K514" s="2787"/>
      <c r="L514" s="1315"/>
      <c r="M514" s="1315"/>
      <c r="N514" s="2634"/>
    </row>
    <row r="515" spans="2:14" ht="12" hidden="1" customHeight="1" x14ac:dyDescent="0.25">
      <c r="B515" s="2630"/>
      <c r="C515" s="1132"/>
      <c r="D515" s="1548"/>
      <c r="E515" s="1717"/>
      <c r="F515" s="2755"/>
      <c r="G515" s="2429"/>
      <c r="H515" s="2429"/>
      <c r="I515" s="1315"/>
      <c r="J515" s="1315"/>
      <c r="K515" s="2787"/>
      <c r="L515" s="1315"/>
      <c r="M515" s="1315"/>
      <c r="N515" s="2634"/>
    </row>
    <row r="516" spans="2:14" ht="20.25" hidden="1" customHeight="1" x14ac:dyDescent="0.25">
      <c r="B516" s="2630"/>
      <c r="C516" s="1132" t="s">
        <v>3070</v>
      </c>
      <c r="D516" s="1549">
        <f>D517</f>
        <v>450000000</v>
      </c>
      <c r="E516" s="2261">
        <f t="shared" si="29"/>
        <v>0.29325767563353711</v>
      </c>
      <c r="F516" s="2755"/>
      <c r="G516" s="2429"/>
      <c r="H516" s="2429"/>
      <c r="I516" s="1315"/>
      <c r="J516" s="1315"/>
      <c r="K516" s="2787"/>
      <c r="L516" s="1315"/>
      <c r="M516" s="1315"/>
      <c r="N516" s="2634"/>
    </row>
    <row r="517" spans="2:14" ht="18.75" hidden="1" customHeight="1" x14ac:dyDescent="0.25">
      <c r="B517" s="2630"/>
      <c r="C517" s="509" t="s">
        <v>3071</v>
      </c>
      <c r="D517" s="1548">
        <v>450000000</v>
      </c>
      <c r="E517" s="1717">
        <f t="shared" si="29"/>
        <v>0.29325767563353711</v>
      </c>
      <c r="F517" s="2755"/>
      <c r="G517" s="2429"/>
      <c r="H517" s="2429"/>
      <c r="I517" s="1315"/>
      <c r="J517" s="1315"/>
      <c r="K517" s="2787"/>
      <c r="L517" s="1315"/>
      <c r="M517" s="1315"/>
      <c r="N517" s="2634"/>
    </row>
    <row r="518" spans="2:14" ht="12" hidden="1" customHeight="1" x14ac:dyDescent="0.25">
      <c r="B518" s="2630"/>
      <c r="C518" s="1132"/>
      <c r="D518" s="1548"/>
      <c r="E518" s="1717"/>
      <c r="F518" s="2755"/>
      <c r="G518" s="2429"/>
      <c r="H518" s="2429"/>
      <c r="I518" s="1315"/>
      <c r="J518" s="1315"/>
      <c r="K518" s="2787"/>
      <c r="L518" s="1315"/>
      <c r="M518" s="1315"/>
      <c r="N518" s="2634"/>
    </row>
    <row r="519" spans="2:14" ht="21" hidden="1" customHeight="1" x14ac:dyDescent="0.25">
      <c r="B519" s="2630"/>
      <c r="C519" s="1132" t="s">
        <v>3072</v>
      </c>
      <c r="D519" s="3355">
        <f>SUM(D520:D528)</f>
        <v>1073950000</v>
      </c>
      <c r="E519" s="2261">
        <f t="shared" si="29"/>
        <v>0.69987573499252709</v>
      </c>
      <c r="F519" s="2755"/>
      <c r="G519" s="2429"/>
      <c r="H519" s="2429"/>
      <c r="I519" s="1315"/>
      <c r="J519" s="1315"/>
      <c r="K519" s="2787"/>
      <c r="L519" s="1315"/>
      <c r="M519" s="1315"/>
      <c r="N519" s="2634"/>
    </row>
    <row r="520" spans="2:14" ht="20.25" hidden="1" customHeight="1" x14ac:dyDescent="0.25">
      <c r="B520" s="2630"/>
      <c r="C520" s="509" t="s">
        <v>3073</v>
      </c>
      <c r="D520" s="1548">
        <v>150000000</v>
      </c>
      <c r="E520" s="1717">
        <f t="shared" si="29"/>
        <v>9.7752558544512369E-2</v>
      </c>
      <c r="F520" s="2755"/>
      <c r="G520" s="2429"/>
      <c r="H520" s="2429"/>
      <c r="I520" s="1315"/>
      <c r="J520" s="1315"/>
      <c r="K520" s="2787"/>
      <c r="L520" s="1315"/>
      <c r="M520" s="1315"/>
      <c r="N520" s="2634"/>
    </row>
    <row r="521" spans="2:14" ht="17.25" hidden="1" customHeight="1" x14ac:dyDescent="0.25">
      <c r="B521" s="2630"/>
      <c r="C521" s="509" t="s">
        <v>3074</v>
      </c>
      <c r="D521" s="1548">
        <v>150000000</v>
      </c>
      <c r="E521" s="1717">
        <f t="shared" si="29"/>
        <v>9.7752558544512369E-2</v>
      </c>
      <c r="F521" s="2755"/>
      <c r="G521" s="2429"/>
      <c r="H521" s="2429"/>
      <c r="I521" s="1315"/>
      <c r="J521" s="1315"/>
      <c r="K521" s="2787"/>
      <c r="L521" s="1315"/>
      <c r="M521" s="1315"/>
      <c r="N521" s="2634"/>
    </row>
    <row r="522" spans="2:14" ht="18" hidden="1" customHeight="1" x14ac:dyDescent="0.25">
      <c r="B522" s="2630"/>
      <c r="C522" s="509" t="s">
        <v>3075</v>
      </c>
      <c r="D522" s="1548">
        <v>137550000</v>
      </c>
      <c r="E522" s="1717">
        <f t="shared" si="29"/>
        <v>8.9639096185317846E-2</v>
      </c>
      <c r="F522" s="2755"/>
      <c r="G522" s="2429"/>
      <c r="H522" s="2429"/>
      <c r="I522" s="1315"/>
      <c r="J522" s="1315"/>
      <c r="K522" s="2787"/>
      <c r="L522" s="1315"/>
      <c r="M522" s="1315"/>
      <c r="N522" s="2634"/>
    </row>
    <row r="523" spans="2:14" ht="15" hidden="1" customHeight="1" x14ac:dyDescent="0.25">
      <c r="B523" s="2630"/>
      <c r="C523" s="509" t="s">
        <v>3076</v>
      </c>
      <c r="D523" s="1548">
        <v>136400000</v>
      </c>
      <c r="E523" s="1717">
        <f t="shared" si="29"/>
        <v>8.888965990314325E-2</v>
      </c>
      <c r="F523" s="2755"/>
      <c r="G523" s="2429"/>
      <c r="H523" s="2429"/>
      <c r="I523" s="1315"/>
      <c r="J523" s="1315"/>
      <c r="K523" s="2787"/>
      <c r="L523" s="1315"/>
      <c r="M523" s="1315"/>
      <c r="N523" s="2634"/>
    </row>
    <row r="524" spans="2:14" ht="16.5" hidden="1" customHeight="1" x14ac:dyDescent="0.25">
      <c r="B524" s="2630"/>
      <c r="C524" s="509" t="s">
        <v>3077</v>
      </c>
      <c r="D524" s="1548">
        <v>100000000</v>
      </c>
      <c r="E524" s="1717">
        <f t="shared" si="29"/>
        <v>6.5168372363008237E-2</v>
      </c>
      <c r="F524" s="2755"/>
      <c r="G524" s="2429"/>
      <c r="H524" s="2429"/>
      <c r="I524" s="1315"/>
      <c r="J524" s="1315"/>
      <c r="K524" s="2787"/>
      <c r="L524" s="1315"/>
      <c r="M524" s="1315"/>
      <c r="N524" s="2634"/>
    </row>
    <row r="525" spans="2:14" ht="21" hidden="1" customHeight="1" x14ac:dyDescent="0.25">
      <c r="B525" s="2630"/>
      <c r="C525" s="509" t="s">
        <v>3078</v>
      </c>
      <c r="D525" s="1548">
        <v>150000000</v>
      </c>
      <c r="E525" s="1717">
        <f t="shared" si="29"/>
        <v>9.7752558544512369E-2</v>
      </c>
      <c r="F525" s="2755"/>
      <c r="G525" s="2429"/>
      <c r="H525" s="2429"/>
      <c r="I525" s="1315"/>
      <c r="J525" s="1315"/>
      <c r="K525" s="2787"/>
      <c r="L525" s="1315"/>
      <c r="M525" s="1315"/>
      <c r="N525" s="2634"/>
    </row>
    <row r="526" spans="2:14" ht="19.5" hidden="1" customHeight="1" x14ac:dyDescent="0.25">
      <c r="B526" s="2630"/>
      <c r="C526" s="509" t="s">
        <v>3079</v>
      </c>
      <c r="D526" s="1548">
        <v>100000000</v>
      </c>
      <c r="E526" s="1717">
        <f t="shared" si="29"/>
        <v>6.5168372363008237E-2</v>
      </c>
      <c r="F526" s="2755"/>
      <c r="G526" s="2429"/>
      <c r="H526" s="2429"/>
      <c r="I526" s="1315"/>
      <c r="J526" s="1315"/>
      <c r="K526" s="2787"/>
      <c r="L526" s="1315"/>
      <c r="M526" s="1315"/>
      <c r="N526" s="2634"/>
    </row>
    <row r="527" spans="2:14" ht="15" hidden="1" customHeight="1" x14ac:dyDescent="0.25">
      <c r="B527" s="2630"/>
      <c r="C527" s="509" t="s">
        <v>3080</v>
      </c>
      <c r="D527" s="1548">
        <v>100000000</v>
      </c>
      <c r="E527" s="1717">
        <f t="shared" si="29"/>
        <v>6.5168372363008237E-2</v>
      </c>
      <c r="F527" s="2755"/>
      <c r="G527" s="2429"/>
      <c r="H527" s="2429"/>
      <c r="I527" s="1315"/>
      <c r="J527" s="1315"/>
      <c r="K527" s="2787"/>
      <c r="L527" s="1315"/>
      <c r="M527" s="1315"/>
      <c r="N527" s="2634"/>
    </row>
    <row r="528" spans="2:14" ht="17.25" hidden="1" customHeight="1" x14ac:dyDescent="0.25">
      <c r="B528" s="2630"/>
      <c r="C528" s="509" t="s">
        <v>3081</v>
      </c>
      <c r="D528" s="1548">
        <v>50000000</v>
      </c>
      <c r="E528" s="1717">
        <f t="shared" si="29"/>
        <v>3.2584186181504118E-2</v>
      </c>
      <c r="F528" s="2755"/>
      <c r="G528" s="2429"/>
      <c r="H528" s="2429"/>
      <c r="I528" s="1315"/>
      <c r="J528" s="1315"/>
      <c r="K528" s="2787"/>
      <c r="L528" s="1315"/>
      <c r="M528" s="1315"/>
      <c r="N528" s="2634"/>
    </row>
    <row r="529" spans="1:18" ht="12" hidden="1" customHeight="1" x14ac:dyDescent="0.25">
      <c r="B529" s="2630"/>
      <c r="C529" s="1146"/>
      <c r="D529" s="990"/>
      <c r="E529" s="671"/>
      <c r="F529" s="2759"/>
      <c r="G529" s="2761"/>
      <c r="H529" s="2424"/>
      <c r="I529" s="2182"/>
      <c r="J529" s="2582"/>
      <c r="K529" s="3405"/>
      <c r="L529" s="2182"/>
      <c r="M529" s="2182"/>
      <c r="N529" s="2634"/>
    </row>
    <row r="530" spans="1:18" ht="19.5" hidden="1" customHeight="1" x14ac:dyDescent="0.25">
      <c r="B530" s="3654"/>
      <c r="C530" s="507" t="s">
        <v>3213</v>
      </c>
      <c r="D530" s="996">
        <f>SUM(D531)</f>
        <v>18690000000</v>
      </c>
      <c r="E530" s="2397">
        <f>D530/153448669000*100</f>
        <v>12.179968794646241</v>
      </c>
      <c r="F530" s="1590"/>
      <c r="G530" s="998"/>
      <c r="H530" s="2356"/>
      <c r="I530" s="1307"/>
      <c r="J530" s="2763"/>
      <c r="K530" s="2764"/>
      <c r="L530" s="2356"/>
      <c r="M530" s="1307"/>
      <c r="N530" s="2634"/>
    </row>
    <row r="531" spans="1:18" ht="19.5" hidden="1" customHeight="1" x14ac:dyDescent="0.25">
      <c r="A531" s="352"/>
      <c r="B531" s="1242"/>
      <c r="C531" s="1131" t="s">
        <v>3214</v>
      </c>
      <c r="D531" s="854">
        <f>SUM(D532:D539)</f>
        <v>18690000000</v>
      </c>
      <c r="E531" s="2259">
        <f>D531/153448669000*100</f>
        <v>12.179968794646241</v>
      </c>
      <c r="F531" s="1394"/>
      <c r="G531" s="1394"/>
      <c r="H531" s="1661"/>
      <c r="I531" s="1309"/>
      <c r="J531" s="854"/>
      <c r="K531" s="1394"/>
      <c r="L531" s="1308"/>
      <c r="M531" s="1659"/>
      <c r="N531" s="554"/>
      <c r="R531" s="522"/>
    </row>
    <row r="532" spans="1:18" ht="18.75" hidden="1" customHeight="1" x14ac:dyDescent="0.25">
      <c r="A532" s="352"/>
      <c r="B532" s="1242"/>
      <c r="C532" s="1280" t="s">
        <v>3215</v>
      </c>
      <c r="D532" s="1252">
        <v>8000000000</v>
      </c>
      <c r="E532" s="1717">
        <f t="shared" ref="E532:E539" si="30">D532/153448669000*100</f>
        <v>5.2134697890406594</v>
      </c>
      <c r="F532" s="1252"/>
      <c r="G532" s="798"/>
      <c r="H532" s="798"/>
      <c r="I532" s="798"/>
      <c r="J532" s="1252"/>
      <c r="K532" s="798"/>
      <c r="L532" s="798"/>
      <c r="M532" s="798"/>
      <c r="N532" s="554"/>
    </row>
    <row r="533" spans="1:18" ht="30" hidden="1" customHeight="1" x14ac:dyDescent="0.25">
      <c r="A533" s="352"/>
      <c r="B533" s="1242"/>
      <c r="C533" s="1281" t="s">
        <v>3216</v>
      </c>
      <c r="D533" s="3385">
        <v>1500000000</v>
      </c>
      <c r="E533" s="1717">
        <f t="shared" si="30"/>
        <v>0.97752558544512369</v>
      </c>
      <c r="F533" s="1411"/>
      <c r="G533" s="798"/>
      <c r="H533" s="798"/>
      <c r="I533" s="798"/>
      <c r="J533" s="1000"/>
      <c r="K533" s="798"/>
      <c r="L533" s="798"/>
      <c r="M533" s="798"/>
      <c r="N533" s="554"/>
    </row>
    <row r="534" spans="1:18" ht="18" hidden="1" customHeight="1" x14ac:dyDescent="0.25">
      <c r="A534" s="352"/>
      <c r="B534" s="1242"/>
      <c r="C534" s="1304" t="s">
        <v>3217</v>
      </c>
      <c r="D534" s="1411">
        <v>1000000000</v>
      </c>
      <c r="E534" s="1717">
        <f t="shared" si="30"/>
        <v>0.65168372363008242</v>
      </c>
      <c r="F534" s="1411"/>
      <c r="G534" s="782"/>
      <c r="H534" s="804"/>
      <c r="I534" s="804"/>
      <c r="J534" s="1000"/>
      <c r="K534" s="782"/>
      <c r="L534" s="1310"/>
      <c r="M534" s="1649"/>
      <c r="N534" s="554"/>
    </row>
    <row r="535" spans="1:18" ht="21" hidden="1" customHeight="1" x14ac:dyDescent="0.25">
      <c r="A535" s="352"/>
      <c r="B535" s="1242"/>
      <c r="C535" s="1304" t="s">
        <v>3218</v>
      </c>
      <c r="D535" s="798">
        <v>3690000000</v>
      </c>
      <c r="E535" s="1717">
        <f t="shared" si="30"/>
        <v>2.4047129401950045</v>
      </c>
      <c r="F535" s="798"/>
      <c r="G535" s="798"/>
      <c r="H535" s="798"/>
      <c r="I535" s="798"/>
      <c r="J535" s="1000"/>
      <c r="K535" s="782"/>
      <c r="L535" s="1310"/>
      <c r="M535" s="1649"/>
      <c r="N535" s="554"/>
    </row>
    <row r="536" spans="1:18" ht="16.5" hidden="1" customHeight="1" x14ac:dyDescent="0.25">
      <c r="A536" s="352"/>
      <c r="B536" s="1242"/>
      <c r="C536" s="1304" t="s">
        <v>3219</v>
      </c>
      <c r="D536" s="798">
        <v>500000000</v>
      </c>
      <c r="E536" s="1717">
        <f t="shared" si="30"/>
        <v>0.32584186181504121</v>
      </c>
      <c r="F536" s="798"/>
      <c r="G536" s="798"/>
      <c r="H536" s="798"/>
      <c r="I536" s="798"/>
      <c r="J536" s="1000"/>
      <c r="K536" s="798"/>
      <c r="L536" s="798"/>
      <c r="M536" s="798"/>
      <c r="N536" s="554"/>
    </row>
    <row r="537" spans="1:18" ht="19.5" hidden="1" customHeight="1" x14ac:dyDescent="0.25">
      <c r="A537" s="352"/>
      <c r="B537" s="1242"/>
      <c r="C537" s="1304" t="s">
        <v>3220</v>
      </c>
      <c r="D537" s="798">
        <v>1000000000</v>
      </c>
      <c r="E537" s="1717">
        <f t="shared" si="30"/>
        <v>0.65168372363008242</v>
      </c>
      <c r="F537" s="798"/>
      <c r="G537" s="798"/>
      <c r="H537" s="798"/>
      <c r="I537" s="798"/>
      <c r="J537" s="1000"/>
      <c r="K537" s="1411"/>
      <c r="L537" s="1310"/>
      <c r="M537" s="1649"/>
      <c r="N537" s="554"/>
    </row>
    <row r="538" spans="1:18" ht="21" hidden="1" customHeight="1" x14ac:dyDescent="0.25">
      <c r="A538" s="352"/>
      <c r="B538" s="1242"/>
      <c r="C538" s="3414" t="s">
        <v>3221</v>
      </c>
      <c r="D538" s="798">
        <v>2000000000</v>
      </c>
      <c r="E538" s="1717">
        <f t="shared" si="30"/>
        <v>1.3033674472601648</v>
      </c>
      <c r="F538" s="798"/>
      <c r="G538" s="798"/>
      <c r="H538" s="798"/>
      <c r="I538" s="798"/>
      <c r="J538" s="3379"/>
      <c r="K538" s="798"/>
      <c r="L538" s="798"/>
      <c r="M538" s="798"/>
      <c r="N538" s="554"/>
    </row>
    <row r="539" spans="1:18" ht="18.75" hidden="1" customHeight="1" x14ac:dyDescent="0.25">
      <c r="B539" s="2630"/>
      <c r="C539" s="1304" t="s">
        <v>3222</v>
      </c>
      <c r="D539" s="755">
        <v>1000000000</v>
      </c>
      <c r="E539" s="1717">
        <f t="shared" si="30"/>
        <v>0.65168372363008242</v>
      </c>
      <c r="F539" s="2755"/>
      <c r="G539" s="2429"/>
      <c r="H539" s="2429"/>
      <c r="I539" s="1315"/>
      <c r="J539" s="1315"/>
      <c r="K539" s="2787"/>
      <c r="L539" s="1717"/>
      <c r="M539" s="1315"/>
      <c r="N539" s="2634"/>
    </row>
    <row r="540" spans="1:18" ht="12" hidden="1" customHeight="1" x14ac:dyDescent="0.25">
      <c r="B540" s="2630"/>
      <c r="C540" s="3408"/>
      <c r="D540" s="853"/>
      <c r="E540" s="3409"/>
      <c r="F540" s="3410"/>
      <c r="G540" s="3411"/>
      <c r="H540" s="3412"/>
      <c r="I540" s="2583"/>
      <c r="J540" s="2582"/>
      <c r="K540" s="3413"/>
      <c r="L540" s="1705"/>
      <c r="M540" s="2266"/>
      <c r="N540" s="2634"/>
    </row>
    <row r="541" spans="1:18" ht="17.25" customHeight="1" x14ac:dyDescent="0.25">
      <c r="B541" s="2724"/>
      <c r="C541" s="1297" t="s">
        <v>267</v>
      </c>
      <c r="D541" s="2765">
        <f>SUM(D543+D585+D589)</f>
        <v>43179450000</v>
      </c>
      <c r="E541" s="4859">
        <f>D541/D83*100</f>
        <v>7.5876021941277125</v>
      </c>
      <c r="F541" s="4860"/>
      <c r="G541" s="4861"/>
      <c r="H541" s="4862"/>
      <c r="I541" s="4863"/>
      <c r="J541" s="3113"/>
      <c r="K541" s="4864"/>
      <c r="L541" s="4865"/>
      <c r="M541" s="4863"/>
      <c r="N541" s="2634"/>
    </row>
    <row r="542" spans="1:18" s="2029" customFormat="1" ht="12" hidden="1" customHeight="1" x14ac:dyDescent="0.25">
      <c r="A542" s="3048"/>
      <c r="B542" s="4868"/>
      <c r="C542" s="3977"/>
      <c r="D542" s="1020"/>
      <c r="E542" s="3094"/>
      <c r="F542" s="4869"/>
      <c r="G542" s="4870"/>
      <c r="H542" s="4871"/>
      <c r="I542" s="4872"/>
      <c r="J542" s="4873"/>
      <c r="K542" s="4874"/>
      <c r="L542" s="2580"/>
      <c r="M542" s="4872"/>
      <c r="N542" s="4875"/>
      <c r="P542" s="2142"/>
      <c r="Q542" s="2142"/>
    </row>
    <row r="543" spans="1:18" ht="18" hidden="1" customHeight="1" x14ac:dyDescent="0.25">
      <c r="B543" s="3655"/>
      <c r="C543" s="3995" t="s">
        <v>238</v>
      </c>
      <c r="D543" s="2404">
        <f>SUM(D544+D547+D551+D556+D570+D573+D582)</f>
        <v>36979450000</v>
      </c>
      <c r="E543" s="2652">
        <f>D543/147784925000*100</f>
        <v>25.022477766253896</v>
      </c>
      <c r="F543" s="1726"/>
      <c r="G543" s="1726"/>
      <c r="H543" s="1726"/>
      <c r="I543" s="1726"/>
      <c r="J543" s="1726"/>
      <c r="K543" s="3631"/>
      <c r="L543" s="1726"/>
      <c r="M543" s="1726"/>
      <c r="N543" s="2634"/>
    </row>
    <row r="544" spans="1:18" ht="17.25" hidden="1" customHeight="1" x14ac:dyDescent="0.25">
      <c r="B544" s="2624"/>
      <c r="C544" s="4021" t="s">
        <v>4194</v>
      </c>
      <c r="D544" s="2024">
        <v>40000000</v>
      </c>
      <c r="E544" s="2769">
        <f>D544/147784925000*100</f>
        <v>2.7066360117583035E-2</v>
      </c>
      <c r="F544" s="2855"/>
      <c r="G544" s="1668"/>
      <c r="H544" s="1668"/>
      <c r="I544" s="1668"/>
      <c r="J544" s="4866"/>
      <c r="K544" s="4867"/>
      <c r="L544" s="2303"/>
      <c r="M544" s="1668"/>
      <c r="N544" s="2634"/>
    </row>
    <row r="545" spans="2:14" ht="18" hidden="1" customHeight="1" x14ac:dyDescent="0.25">
      <c r="B545" s="2624"/>
      <c r="C545" s="3937" t="s">
        <v>4195</v>
      </c>
      <c r="D545" s="666">
        <v>40000000</v>
      </c>
      <c r="E545" s="2771">
        <f>D545/147784925000*100</f>
        <v>2.7066360117583035E-2</v>
      </c>
      <c r="F545" s="2543"/>
      <c r="G545" s="2371"/>
      <c r="H545" s="2386"/>
      <c r="I545" s="1311"/>
      <c r="J545" s="2543"/>
      <c r="K545" s="2371"/>
      <c r="L545" s="2386"/>
      <c r="M545" s="1311"/>
      <c r="N545" s="2634"/>
    </row>
    <row r="546" spans="2:14" ht="13.5" hidden="1" customHeight="1" x14ac:dyDescent="0.25">
      <c r="B546" s="2624"/>
      <c r="C546" s="4118"/>
      <c r="D546" s="780"/>
      <c r="E546" s="2771"/>
      <c r="F546" s="2772"/>
      <c r="G546" s="2772"/>
      <c r="H546" s="2574"/>
      <c r="I546" s="1650"/>
      <c r="J546" s="2772"/>
      <c r="K546" s="1006"/>
      <c r="L546" s="1308"/>
      <c r="M546" s="1650"/>
      <c r="N546" s="2634"/>
    </row>
    <row r="547" spans="2:14" ht="30" hidden="1" customHeight="1" x14ac:dyDescent="0.25">
      <c r="B547" s="2624"/>
      <c r="C547" s="3938" t="s">
        <v>4196</v>
      </c>
      <c r="D547" s="768">
        <v>40000000</v>
      </c>
      <c r="E547" s="2769">
        <f t="shared" ref="E547:E583" si="31">D547/147784925000*100</f>
        <v>2.7066360117583035E-2</v>
      </c>
      <c r="F547" s="2429"/>
      <c r="G547" s="1716"/>
      <c r="H547" s="2371"/>
      <c r="I547" s="2371"/>
      <c r="J547" s="2770"/>
      <c r="K547" s="1420"/>
      <c r="L547" s="1310"/>
      <c r="M547" s="2371"/>
      <c r="N547" s="2634"/>
    </row>
    <row r="548" spans="2:14" ht="16.5" hidden="1" customHeight="1" x14ac:dyDescent="0.25">
      <c r="B548" s="2624"/>
      <c r="C548" s="3937" t="s">
        <v>4197</v>
      </c>
      <c r="D548" s="666">
        <v>20000000</v>
      </c>
      <c r="E548" s="2771">
        <f t="shared" si="31"/>
        <v>1.3533180058791517E-2</v>
      </c>
      <c r="F548" s="2429"/>
      <c r="G548" s="1716"/>
      <c r="H548" s="1716"/>
      <c r="I548" s="1716"/>
      <c r="J548" s="2770"/>
      <c r="K548" s="798"/>
      <c r="L548" s="798"/>
      <c r="M548" s="798"/>
      <c r="N548" s="2634"/>
    </row>
    <row r="549" spans="2:14" ht="16.5" hidden="1" customHeight="1" x14ac:dyDescent="0.25">
      <c r="B549" s="2624"/>
      <c r="C549" s="3937" t="s">
        <v>4198</v>
      </c>
      <c r="D549" s="666">
        <v>20000000</v>
      </c>
      <c r="E549" s="2771">
        <f t="shared" si="31"/>
        <v>1.3533180058791517E-2</v>
      </c>
      <c r="F549" s="2429"/>
      <c r="G549" s="1716"/>
      <c r="H549" s="1716"/>
      <c r="I549" s="1716"/>
      <c r="J549" s="2770"/>
      <c r="K549" s="798"/>
      <c r="L549" s="798"/>
      <c r="M549" s="798"/>
      <c r="N549" s="2634"/>
    </row>
    <row r="550" spans="2:14" ht="12" hidden="1" customHeight="1" x14ac:dyDescent="0.25">
      <c r="B550" s="2624"/>
      <c r="C550" s="3937"/>
      <c r="D550" s="666"/>
      <c r="E550" s="2771"/>
      <c r="F550" s="2371"/>
      <c r="G550" s="2371"/>
      <c r="H550" s="2386"/>
      <c r="I550" s="1311"/>
      <c r="J550" s="2371"/>
      <c r="K550" s="2371"/>
      <c r="L550" s="1507"/>
      <c r="M550" s="1311"/>
      <c r="N550" s="2634"/>
    </row>
    <row r="551" spans="2:14" ht="18" hidden="1" customHeight="1" x14ac:dyDescent="0.25">
      <c r="B551" s="2624"/>
      <c r="C551" s="3938" t="s">
        <v>4199</v>
      </c>
      <c r="D551" s="2024">
        <v>1600000000</v>
      </c>
      <c r="E551" s="2769">
        <f t="shared" si="31"/>
        <v>1.0826544047033215</v>
      </c>
      <c r="F551" s="1729"/>
      <c r="G551" s="1729"/>
      <c r="H551" s="2574"/>
      <c r="I551" s="1650"/>
      <c r="J551" s="1729"/>
      <c r="K551" s="753"/>
      <c r="L551" s="1308"/>
      <c r="M551" s="1650"/>
      <c r="N551" s="2634"/>
    </row>
    <row r="552" spans="2:14" ht="18" hidden="1" customHeight="1" x14ac:dyDescent="0.25">
      <c r="B552" s="2624"/>
      <c r="C552" s="4118" t="s">
        <v>4200</v>
      </c>
      <c r="D552" s="780">
        <v>800000000</v>
      </c>
      <c r="E552" s="2771">
        <f t="shared" si="31"/>
        <v>0.54132720235166076</v>
      </c>
      <c r="F552" s="2429"/>
      <c r="G552" s="1716"/>
      <c r="H552" s="1716"/>
      <c r="I552" s="1716"/>
      <c r="J552" s="2770"/>
      <c r="K552" s="798"/>
      <c r="L552" s="798"/>
      <c r="M552" s="798"/>
      <c r="N552" s="2634"/>
    </row>
    <row r="553" spans="2:14" ht="16.5" hidden="1" customHeight="1" x14ac:dyDescent="0.25">
      <c r="B553" s="2624"/>
      <c r="C553" s="3937" t="s">
        <v>4201</v>
      </c>
      <c r="D553" s="666">
        <v>300000000</v>
      </c>
      <c r="E553" s="2771">
        <f t="shared" si="31"/>
        <v>0.20299770088187274</v>
      </c>
      <c r="F553" s="2429"/>
      <c r="G553" s="1716"/>
      <c r="H553" s="2371"/>
      <c r="I553" s="2371"/>
      <c r="J553" s="2770"/>
      <c r="K553" s="1420"/>
      <c r="L553" s="1310"/>
      <c r="M553" s="2371"/>
      <c r="N553" s="2634"/>
    </row>
    <row r="554" spans="2:14" ht="17.25" hidden="1" customHeight="1" x14ac:dyDescent="0.25">
      <c r="B554" s="2624"/>
      <c r="C554" s="3937" t="s">
        <v>4202</v>
      </c>
      <c r="D554" s="666">
        <v>500000000</v>
      </c>
      <c r="E554" s="2771">
        <f t="shared" si="31"/>
        <v>0.33832950146978791</v>
      </c>
      <c r="F554" s="2429"/>
      <c r="G554" s="1716"/>
      <c r="H554" s="2371"/>
      <c r="I554" s="1312"/>
      <c r="J554" s="2770"/>
      <c r="K554" s="1420"/>
      <c r="L554" s="1310"/>
      <c r="M554" s="1312"/>
      <c r="N554" s="2634"/>
    </row>
    <row r="555" spans="2:14" ht="15" hidden="1" customHeight="1" x14ac:dyDescent="0.25">
      <c r="B555" s="2624"/>
      <c r="C555" s="3937"/>
      <c r="D555" s="666"/>
      <c r="E555" s="2771"/>
      <c r="F555" s="2429"/>
      <c r="G555" s="1716"/>
      <c r="H555" s="1716"/>
      <c r="I555" s="1716"/>
      <c r="J555" s="2770"/>
      <c r="K555" s="1420"/>
      <c r="L555" s="1310"/>
      <c r="M555" s="1312"/>
      <c r="N555" s="2634"/>
    </row>
    <row r="556" spans="2:14" ht="18.75" hidden="1" customHeight="1" x14ac:dyDescent="0.25">
      <c r="B556" s="2624"/>
      <c r="C556" s="3561" t="s">
        <v>4203</v>
      </c>
      <c r="D556" s="673">
        <v>25999450000</v>
      </c>
      <c r="E556" s="2769">
        <f t="shared" si="31"/>
        <v>17.592761913977355</v>
      </c>
      <c r="F556" s="2429"/>
      <c r="G556" s="1716"/>
      <c r="H556" s="1716"/>
      <c r="I556" s="1716"/>
      <c r="J556" s="2770"/>
      <c r="K556" s="1420"/>
      <c r="L556" s="1310"/>
      <c r="M556" s="1310"/>
      <c r="N556" s="2634"/>
    </row>
    <row r="557" spans="2:14" ht="21.75" hidden="1" customHeight="1" x14ac:dyDescent="0.25">
      <c r="B557" s="2624"/>
      <c r="C557" s="3937" t="s">
        <v>4284</v>
      </c>
      <c r="D557" s="666">
        <v>8300000000</v>
      </c>
      <c r="E557" s="2771">
        <f t="shared" si="31"/>
        <v>5.6162697243984798</v>
      </c>
      <c r="F557" s="2429"/>
      <c r="G557" s="1716"/>
      <c r="H557" s="1716"/>
      <c r="I557" s="1716"/>
      <c r="J557" s="2770"/>
      <c r="K557" s="1420"/>
      <c r="L557" s="1310"/>
      <c r="M557" s="1310"/>
      <c r="N557" s="2634"/>
    </row>
    <row r="558" spans="2:14" ht="21" hidden="1" customHeight="1" x14ac:dyDescent="0.25">
      <c r="B558" s="2624"/>
      <c r="C558" s="3937" t="s">
        <v>4283</v>
      </c>
      <c r="D558" s="666">
        <v>12299450000</v>
      </c>
      <c r="E558" s="2771">
        <f t="shared" si="31"/>
        <v>8.3225335737051669</v>
      </c>
      <c r="F558" s="2429"/>
      <c r="G558" s="1716"/>
      <c r="H558" s="2371"/>
      <c r="I558" s="2371"/>
      <c r="J558" s="2770"/>
      <c r="K558" s="1420"/>
      <c r="L558" s="1310"/>
      <c r="M558" s="1310"/>
      <c r="N558" s="2634"/>
    </row>
    <row r="559" spans="2:14" ht="20.25" hidden="1" customHeight="1" x14ac:dyDescent="0.25">
      <c r="B559" s="2624"/>
      <c r="C559" s="3937" t="s">
        <v>4282</v>
      </c>
      <c r="D559" s="666">
        <v>2100000000</v>
      </c>
      <c r="E559" s="2771">
        <f t="shared" si="31"/>
        <v>1.4209839061731093</v>
      </c>
      <c r="F559" s="2429"/>
      <c r="G559" s="1716"/>
      <c r="H559" s="2371"/>
      <c r="I559" s="1312"/>
      <c r="J559" s="2770"/>
      <c r="K559" s="1420"/>
      <c r="L559" s="1310"/>
      <c r="M559" s="1310"/>
      <c r="N559" s="2634"/>
    </row>
    <row r="560" spans="2:14" ht="18" hidden="1" customHeight="1" x14ac:dyDescent="0.25">
      <c r="B560" s="2624"/>
      <c r="C560" s="3937" t="s">
        <v>4281</v>
      </c>
      <c r="D560" s="666">
        <v>200000000</v>
      </c>
      <c r="E560" s="2771">
        <f t="shared" si="31"/>
        <v>0.13533180058791519</v>
      </c>
      <c r="F560" s="2429"/>
      <c r="G560" s="1716"/>
      <c r="H560" s="1716"/>
      <c r="I560" s="1716"/>
      <c r="J560" s="2770"/>
      <c r="K560" s="1420"/>
      <c r="L560" s="1310"/>
      <c r="M560" s="1310"/>
      <c r="N560" s="2634"/>
    </row>
    <row r="561" spans="2:14" ht="19.5" hidden="1" customHeight="1" x14ac:dyDescent="0.25">
      <c r="B561" s="2624"/>
      <c r="C561" s="3937" t="s">
        <v>4280</v>
      </c>
      <c r="D561" s="666">
        <v>200000000</v>
      </c>
      <c r="E561" s="2771">
        <f t="shared" si="31"/>
        <v>0.13533180058791519</v>
      </c>
      <c r="F561" s="2429"/>
      <c r="G561" s="1716"/>
      <c r="H561" s="2371"/>
      <c r="I561" s="1312"/>
      <c r="J561" s="2770"/>
      <c r="K561" s="1420"/>
      <c r="L561" s="1310"/>
      <c r="M561" s="1310"/>
      <c r="N561" s="2634"/>
    </row>
    <row r="562" spans="2:14" ht="16.5" hidden="1" customHeight="1" x14ac:dyDescent="0.25">
      <c r="B562" s="2624"/>
      <c r="C562" s="3937" t="s">
        <v>4279</v>
      </c>
      <c r="D562" s="666">
        <v>200000000</v>
      </c>
      <c r="E562" s="2771">
        <f t="shared" si="31"/>
        <v>0.13533180058791519</v>
      </c>
      <c r="F562" s="2429"/>
      <c r="G562" s="1716"/>
      <c r="H562" s="2371"/>
      <c r="I562" s="2371"/>
      <c r="J562" s="2770"/>
      <c r="K562" s="1420"/>
      <c r="L562" s="1310"/>
      <c r="M562" s="1310"/>
      <c r="N562" s="2634"/>
    </row>
    <row r="563" spans="2:14" ht="15" hidden="1" customHeight="1" x14ac:dyDescent="0.25">
      <c r="B563" s="2624"/>
      <c r="C563" s="3937" t="s">
        <v>4278</v>
      </c>
      <c r="D563" s="666">
        <v>200000000</v>
      </c>
      <c r="E563" s="2771">
        <f t="shared" si="31"/>
        <v>0.13533180058791519</v>
      </c>
      <c r="F563" s="2429"/>
      <c r="G563" s="1716"/>
      <c r="H563" s="1716"/>
      <c r="I563" s="1716"/>
      <c r="J563" s="2770"/>
      <c r="K563" s="1420"/>
      <c r="L563" s="1310"/>
      <c r="M563" s="1310"/>
      <c r="N563" s="2634"/>
    </row>
    <row r="564" spans="2:14" ht="18.75" hidden="1" customHeight="1" x14ac:dyDescent="0.25">
      <c r="B564" s="2624"/>
      <c r="C564" s="3937" t="s">
        <v>4277</v>
      </c>
      <c r="D564" s="666">
        <v>200000000</v>
      </c>
      <c r="E564" s="2771">
        <f t="shared" si="31"/>
        <v>0.13533180058791519</v>
      </c>
      <c r="F564" s="2429"/>
      <c r="G564" s="1716"/>
      <c r="H564" s="1716"/>
      <c r="I564" s="1716"/>
      <c r="J564" s="2770"/>
      <c r="K564" s="1420"/>
      <c r="L564" s="1310"/>
      <c r="M564" s="1310"/>
      <c r="N564" s="2634"/>
    </row>
    <row r="565" spans="2:14" ht="18" hidden="1" customHeight="1" x14ac:dyDescent="0.25">
      <c r="B565" s="2624"/>
      <c r="C565" s="3937" t="s">
        <v>4276</v>
      </c>
      <c r="D565" s="666">
        <v>200000000</v>
      </c>
      <c r="E565" s="2771">
        <f t="shared" si="31"/>
        <v>0.13533180058791519</v>
      </c>
      <c r="F565" s="2429"/>
      <c r="G565" s="1716"/>
      <c r="H565" s="1716"/>
      <c r="I565" s="1716"/>
      <c r="J565" s="2770"/>
      <c r="K565" s="1420"/>
      <c r="L565" s="1310"/>
      <c r="M565" s="1310"/>
      <c r="N565" s="2634"/>
    </row>
    <row r="566" spans="2:14" ht="18" hidden="1" customHeight="1" x14ac:dyDescent="0.25">
      <c r="B566" s="2624"/>
      <c r="C566" s="3937" t="s">
        <v>4275</v>
      </c>
      <c r="D566" s="666">
        <v>1000000000</v>
      </c>
      <c r="E566" s="2771">
        <f t="shared" si="31"/>
        <v>0.67665900293957582</v>
      </c>
      <c r="F566" s="2429"/>
      <c r="G566" s="1716"/>
      <c r="H566" s="1716"/>
      <c r="I566" s="1716"/>
      <c r="J566" s="2770"/>
      <c r="K566" s="1420"/>
      <c r="L566" s="1310"/>
      <c r="M566" s="1310"/>
      <c r="N566" s="2634"/>
    </row>
    <row r="567" spans="2:14" ht="15" hidden="1" customHeight="1" x14ac:dyDescent="0.25">
      <c r="B567" s="2624"/>
      <c r="C567" s="3937" t="s">
        <v>4274</v>
      </c>
      <c r="D567" s="666">
        <v>1000000000</v>
      </c>
      <c r="E567" s="2771">
        <f t="shared" si="31"/>
        <v>0.67665900293957582</v>
      </c>
      <c r="F567" s="2543"/>
      <c r="G567" s="2371"/>
      <c r="H567" s="2389"/>
      <c r="I567" s="2266"/>
      <c r="J567" s="2543"/>
      <c r="K567" s="1421"/>
      <c r="L567" s="2389"/>
      <c r="M567" s="2389"/>
      <c r="N567" s="2634"/>
    </row>
    <row r="568" spans="2:14" ht="18" hidden="1" customHeight="1" x14ac:dyDescent="0.25">
      <c r="B568" s="2624"/>
      <c r="C568" s="4118" t="s">
        <v>4273</v>
      </c>
      <c r="D568" s="780">
        <v>100000000</v>
      </c>
      <c r="E568" s="2771">
        <f t="shared" si="31"/>
        <v>6.7665900293957595E-2</v>
      </c>
      <c r="F568" s="2772"/>
      <c r="G568" s="2772"/>
      <c r="H568" s="2577"/>
      <c r="I568" s="1650"/>
      <c r="J568" s="2772"/>
      <c r="K568" s="1006"/>
      <c r="L568" s="1308"/>
      <c r="M568" s="1650"/>
      <c r="N568" s="2634"/>
    </row>
    <row r="569" spans="2:14" ht="14.25" hidden="1" customHeight="1" x14ac:dyDescent="0.25">
      <c r="B569" s="2624"/>
      <c r="C569" s="3938"/>
      <c r="D569" s="768"/>
      <c r="E569" s="2771"/>
      <c r="F569" s="2429"/>
      <c r="G569" s="1716"/>
      <c r="H569" s="1716"/>
      <c r="I569" s="1716"/>
      <c r="J569" s="2770"/>
      <c r="K569" s="1420"/>
      <c r="L569" s="1310"/>
      <c r="M569" s="1716"/>
      <c r="N569" s="2634"/>
    </row>
    <row r="570" spans="2:14" ht="20.25" hidden="1" customHeight="1" x14ac:dyDescent="0.25">
      <c r="B570" s="2624"/>
      <c r="C570" s="3561" t="s">
        <v>4204</v>
      </c>
      <c r="D570" s="673">
        <v>6000000000</v>
      </c>
      <c r="E570" s="2769">
        <f t="shared" si="31"/>
        <v>4.0599540176374553</v>
      </c>
      <c r="F570" s="2429"/>
      <c r="G570" s="1716"/>
      <c r="H570" s="2371"/>
      <c r="I570" s="1312"/>
      <c r="J570" s="2770"/>
      <c r="K570" s="1420"/>
      <c r="L570" s="1310"/>
      <c r="M570" s="1716"/>
      <c r="N570" s="2634"/>
    </row>
    <row r="571" spans="2:14" ht="19.5" hidden="1" customHeight="1" x14ac:dyDescent="0.25">
      <c r="B571" s="2624"/>
      <c r="C571" s="3937" t="s">
        <v>4272</v>
      </c>
      <c r="D571" s="666">
        <v>6000000000</v>
      </c>
      <c r="E571" s="2771">
        <f t="shared" si="31"/>
        <v>4.0599540176374553</v>
      </c>
      <c r="F571" s="2429"/>
      <c r="G571" s="1716"/>
      <c r="H571" s="2371"/>
      <c r="I571" s="1312"/>
      <c r="J571" s="2770"/>
      <c r="K571" s="1420"/>
      <c r="L571" s="1310"/>
      <c r="M571" s="1312"/>
      <c r="N571" s="2634"/>
    </row>
    <row r="572" spans="2:14" ht="12.75" hidden="1" customHeight="1" x14ac:dyDescent="0.25">
      <c r="B572" s="2624"/>
      <c r="C572" s="3937"/>
      <c r="D572" s="666"/>
      <c r="E572" s="2771"/>
      <c r="F572" s="2429"/>
      <c r="G572" s="1716"/>
      <c r="H572" s="1716"/>
      <c r="I572" s="1716"/>
      <c r="J572" s="2770"/>
      <c r="K572" s="1420"/>
      <c r="L572" s="1310"/>
      <c r="M572" s="1716"/>
      <c r="N572" s="2634"/>
    </row>
    <row r="573" spans="2:14" ht="18" hidden="1" customHeight="1" x14ac:dyDescent="0.25">
      <c r="B573" s="2624"/>
      <c r="C573" s="3561" t="s">
        <v>809</v>
      </c>
      <c r="D573" s="673">
        <v>1600000000</v>
      </c>
      <c r="E573" s="2769">
        <f t="shared" si="31"/>
        <v>1.0826544047033215</v>
      </c>
      <c r="F573" s="2429"/>
      <c r="G573" s="1716"/>
      <c r="H573" s="1716"/>
      <c r="I573" s="1716"/>
      <c r="J573" s="2770"/>
      <c r="K573" s="1420"/>
      <c r="L573" s="1310"/>
      <c r="M573" s="1716"/>
      <c r="N573" s="2634"/>
    </row>
    <row r="574" spans="2:14" ht="18.75" hidden="1" customHeight="1" x14ac:dyDescent="0.25">
      <c r="B574" s="2624"/>
      <c r="C574" s="3937" t="s">
        <v>4205</v>
      </c>
      <c r="D574" s="666">
        <v>100000000</v>
      </c>
      <c r="E574" s="2771">
        <f t="shared" si="31"/>
        <v>6.7665900293957595E-2</v>
      </c>
      <c r="F574" s="2429"/>
      <c r="G574" s="1716"/>
      <c r="H574" s="1716"/>
      <c r="I574" s="1716"/>
      <c r="J574" s="2770"/>
      <c r="K574" s="798"/>
      <c r="L574" s="798"/>
      <c r="M574" s="798"/>
      <c r="N574" s="2634"/>
    </row>
    <row r="575" spans="2:14" ht="16.5" hidden="1" customHeight="1" x14ac:dyDescent="0.25">
      <c r="B575" s="2624"/>
      <c r="C575" s="3937" t="s">
        <v>934</v>
      </c>
      <c r="D575" s="666">
        <v>100000000</v>
      </c>
      <c r="E575" s="2771">
        <f t="shared" si="31"/>
        <v>6.7665900293957595E-2</v>
      </c>
      <c r="F575" s="2543"/>
      <c r="G575" s="1716"/>
      <c r="H575" s="2390"/>
      <c r="I575" s="1311"/>
      <c r="J575" s="2543"/>
      <c r="K575" s="1716"/>
      <c r="L575" s="2390"/>
      <c r="M575" s="1311"/>
      <c r="N575" s="2634"/>
    </row>
    <row r="576" spans="2:14" ht="15.75" hidden="1" customHeight="1" x14ac:dyDescent="0.25">
      <c r="B576" s="2624"/>
      <c r="C576" s="4118" t="s">
        <v>4270</v>
      </c>
      <c r="D576" s="780">
        <v>100000000</v>
      </c>
      <c r="E576" s="2771">
        <f t="shared" si="31"/>
        <v>6.7665900293957595E-2</v>
      </c>
      <c r="F576" s="2772"/>
      <c r="G576" s="2772"/>
      <c r="H576" s="2577"/>
      <c r="I576" s="1650"/>
      <c r="J576" s="2772"/>
      <c r="K576" s="1729"/>
      <c r="L576" s="1308"/>
      <c r="M576" s="1650"/>
      <c r="N576" s="2634"/>
    </row>
    <row r="577" spans="1:17" ht="18.75" hidden="1" customHeight="1" x14ac:dyDescent="0.25">
      <c r="B577" s="2624"/>
      <c r="C577" s="4118" t="s">
        <v>4271</v>
      </c>
      <c r="D577" s="780">
        <v>300000000</v>
      </c>
      <c r="E577" s="2771">
        <f t="shared" si="31"/>
        <v>0.20299770088187274</v>
      </c>
      <c r="F577" s="2429"/>
      <c r="G577" s="1716"/>
      <c r="H577" s="1716"/>
      <c r="I577" s="1716"/>
      <c r="J577" s="2770"/>
      <c r="K577" s="1420"/>
      <c r="L577" s="1310"/>
      <c r="M577" s="1312"/>
      <c r="N577" s="2634"/>
    </row>
    <row r="578" spans="1:17" ht="21.75" hidden="1" customHeight="1" x14ac:dyDescent="0.25">
      <c r="B578" s="2624"/>
      <c r="C578" s="3937" t="s">
        <v>4206</v>
      </c>
      <c r="D578" s="666">
        <v>100000000</v>
      </c>
      <c r="E578" s="2771">
        <f t="shared" si="31"/>
        <v>6.7665900293957595E-2</v>
      </c>
      <c r="F578" s="2429"/>
      <c r="G578" s="1716"/>
      <c r="H578" s="2371"/>
      <c r="I578" s="1312"/>
      <c r="J578" s="2770"/>
      <c r="K578" s="1420"/>
      <c r="L578" s="1310"/>
      <c r="M578" s="1312"/>
      <c r="N578" s="2634"/>
    </row>
    <row r="579" spans="1:17" ht="16.5" hidden="1" customHeight="1" x14ac:dyDescent="0.25">
      <c r="B579" s="2624"/>
      <c r="C579" s="3937" t="s">
        <v>4207</v>
      </c>
      <c r="D579" s="666">
        <v>400000000</v>
      </c>
      <c r="E579" s="2771">
        <f t="shared" si="31"/>
        <v>0.27066360117583038</v>
      </c>
      <c r="F579" s="2429"/>
      <c r="G579" s="1716"/>
      <c r="H579" s="2371"/>
      <c r="I579" s="1312"/>
      <c r="J579" s="2770"/>
      <c r="K579" s="1420"/>
      <c r="L579" s="1310"/>
      <c r="M579" s="1312"/>
      <c r="N579" s="2634"/>
    </row>
    <row r="580" spans="1:17" ht="18" hidden="1" customHeight="1" x14ac:dyDescent="0.25">
      <c r="B580" s="2624"/>
      <c r="C580" s="3937" t="s">
        <v>4208</v>
      </c>
      <c r="D580" s="666">
        <v>500000000</v>
      </c>
      <c r="E580" s="2771">
        <f t="shared" si="31"/>
        <v>0.33832950146978791</v>
      </c>
      <c r="F580" s="2429"/>
      <c r="G580" s="1716"/>
      <c r="H580" s="1716"/>
      <c r="I580" s="1716"/>
      <c r="J580" s="2770"/>
      <c r="K580" s="1420"/>
      <c r="L580" s="1310"/>
      <c r="M580" s="1312"/>
      <c r="N580" s="2634"/>
    </row>
    <row r="581" spans="1:17" ht="10.5" hidden="1" customHeight="1" x14ac:dyDescent="0.25">
      <c r="B581" s="2624"/>
      <c r="C581" s="3937"/>
      <c r="D581" s="666"/>
      <c r="E581" s="2771"/>
      <c r="F581" s="2429"/>
      <c r="G581" s="1716"/>
      <c r="H581" s="1716"/>
      <c r="I581" s="1716"/>
      <c r="J581" s="2770"/>
      <c r="K581" s="1420"/>
      <c r="L581" s="1310"/>
      <c r="M581" s="1312"/>
      <c r="N581" s="2634"/>
    </row>
    <row r="582" spans="1:17" ht="19.5" hidden="1" customHeight="1" x14ac:dyDescent="0.25">
      <c r="B582" s="2624"/>
      <c r="C582" s="3561" t="s">
        <v>943</v>
      </c>
      <c r="D582" s="673">
        <v>1700000000</v>
      </c>
      <c r="E582" s="2769">
        <f t="shared" si="31"/>
        <v>1.150320304997279</v>
      </c>
      <c r="F582" s="2696"/>
      <c r="G582" s="3553"/>
      <c r="H582" s="3553"/>
      <c r="I582" s="3553"/>
      <c r="J582" s="4430"/>
      <c r="K582" s="798"/>
      <c r="L582" s="798"/>
      <c r="M582" s="798"/>
      <c r="N582" s="2634"/>
    </row>
    <row r="583" spans="1:17" s="3627" customFormat="1" ht="19.5" hidden="1" customHeight="1" x14ac:dyDescent="0.25">
      <c r="A583" s="3628"/>
      <c r="B583" s="3652"/>
      <c r="C583" s="3937" t="s">
        <v>4209</v>
      </c>
      <c r="D583" s="666">
        <v>1700000000</v>
      </c>
      <c r="E583" s="2771">
        <f t="shared" si="31"/>
        <v>1.150320304997279</v>
      </c>
      <c r="F583" s="3583"/>
      <c r="G583" s="3648"/>
      <c r="H583" s="1507"/>
      <c r="I583" s="1315"/>
      <c r="J583" s="3564"/>
      <c r="K583" s="3648"/>
      <c r="L583" s="1507"/>
      <c r="M583" s="1315"/>
      <c r="N583" s="3653"/>
      <c r="P583" s="522"/>
      <c r="Q583" s="522"/>
    </row>
    <row r="584" spans="1:17" s="3627" customFormat="1" ht="12" hidden="1" customHeight="1" x14ac:dyDescent="0.25">
      <c r="A584" s="3628"/>
      <c r="B584" s="3652"/>
      <c r="C584" s="3643"/>
      <c r="D584" s="3640"/>
      <c r="E584" s="799"/>
      <c r="F584" s="3581"/>
      <c r="G584" s="3651"/>
      <c r="H584" s="2681"/>
      <c r="I584" s="2182"/>
      <c r="J584" s="3584"/>
      <c r="K584" s="3651"/>
      <c r="L584" s="2681"/>
      <c r="M584" s="2583"/>
      <c r="N584" s="3653"/>
      <c r="P584" s="522"/>
      <c r="Q584" s="522"/>
    </row>
    <row r="585" spans="1:17" s="4099" customFormat="1" ht="18.75" hidden="1" customHeight="1" x14ac:dyDescent="0.25">
      <c r="A585" s="4100"/>
      <c r="B585" s="3654"/>
      <c r="C585" s="3913" t="s">
        <v>4248</v>
      </c>
      <c r="D585" s="3579">
        <f>D586</f>
        <v>200000000</v>
      </c>
      <c r="E585" s="2652">
        <f>D585/147784925000*100</f>
        <v>0.13533180058791519</v>
      </c>
      <c r="F585" s="3615"/>
      <c r="G585" s="3656"/>
      <c r="H585" s="3569"/>
      <c r="I585" s="2533"/>
      <c r="J585" s="4429"/>
      <c r="K585" s="3656"/>
      <c r="L585" s="3569"/>
      <c r="M585" s="2583"/>
      <c r="N585" s="3653"/>
      <c r="P585" s="522"/>
      <c r="Q585" s="522"/>
    </row>
    <row r="586" spans="1:17" s="3598" customFormat="1" ht="17.25" hidden="1" customHeight="1" x14ac:dyDescent="0.25">
      <c r="B586" s="2630"/>
      <c r="C586" s="3968" t="s">
        <v>4254</v>
      </c>
      <c r="D586" s="3567">
        <f>D587</f>
        <v>200000000</v>
      </c>
      <c r="E586" s="2769">
        <f>D586/147784925000*100</f>
        <v>0.13533180058791519</v>
      </c>
      <c r="F586" s="4431"/>
      <c r="G586" s="2380"/>
      <c r="H586" s="2774"/>
      <c r="I586" s="1671"/>
      <c r="J586" s="4432"/>
      <c r="K586" s="2380"/>
      <c r="L586" s="2774"/>
      <c r="M586" s="1671"/>
      <c r="N586" s="2623"/>
      <c r="P586" s="2002"/>
      <c r="Q586" s="2002"/>
    </row>
    <row r="587" spans="1:17" s="4099" customFormat="1" ht="15" hidden="1" customHeight="1" x14ac:dyDescent="0.25">
      <c r="A587" s="4100"/>
      <c r="B587" s="2630"/>
      <c r="C587" s="4118" t="s">
        <v>4255</v>
      </c>
      <c r="D587" s="3650">
        <v>200000000</v>
      </c>
      <c r="E587" s="2771">
        <f>D587/147784925000*100</f>
        <v>0.13533180058791519</v>
      </c>
      <c r="F587" s="3583"/>
      <c r="G587" s="3648"/>
      <c r="H587" s="1507"/>
      <c r="I587" s="1315"/>
      <c r="J587" s="3564"/>
      <c r="K587" s="3648"/>
      <c r="L587" s="1507"/>
      <c r="M587" s="1315"/>
      <c r="N587" s="3653"/>
      <c r="P587" s="522"/>
      <c r="Q587" s="522"/>
    </row>
    <row r="588" spans="1:17" s="4099" customFormat="1" ht="12" hidden="1" customHeight="1" x14ac:dyDescent="0.25">
      <c r="A588" s="4100"/>
      <c r="B588" s="2630"/>
      <c r="C588" s="3896"/>
      <c r="D588" s="3640"/>
      <c r="E588" s="799"/>
      <c r="F588" s="3582"/>
      <c r="G588" s="3473"/>
      <c r="H588" s="2400"/>
      <c r="I588" s="2182"/>
      <c r="J588" s="3578"/>
      <c r="K588" s="3473"/>
      <c r="L588" s="2400"/>
      <c r="M588" s="2583"/>
      <c r="N588" s="3653"/>
      <c r="P588" s="522"/>
      <c r="Q588" s="522"/>
    </row>
    <row r="589" spans="1:17" ht="19.5" hidden="1" customHeight="1" x14ac:dyDescent="0.25">
      <c r="B589" s="3654"/>
      <c r="C589" s="1180" t="s">
        <v>4257</v>
      </c>
      <c r="D589" s="765">
        <f>SUM(D590)</f>
        <v>6000000000</v>
      </c>
      <c r="E589" s="2652">
        <f>D589/147784925000*100</f>
        <v>4.0599540176374553</v>
      </c>
      <c r="F589" s="765"/>
      <c r="G589" s="765"/>
      <c r="H589" s="2065"/>
      <c r="I589" s="1307"/>
      <c r="J589" s="765"/>
      <c r="K589" s="765"/>
      <c r="L589" s="2065"/>
      <c r="M589" s="1307"/>
      <c r="N589" s="2634"/>
    </row>
    <row r="590" spans="1:17" ht="18" hidden="1" customHeight="1" x14ac:dyDescent="0.25">
      <c r="B590" s="2630"/>
      <c r="C590" s="1282" t="s">
        <v>995</v>
      </c>
      <c r="D590" s="1012">
        <f>SUM(D591:D592)</f>
        <v>6000000000</v>
      </c>
      <c r="E590" s="2769">
        <f>D590/147784925000*100</f>
        <v>4.0599540176374553</v>
      </c>
      <c r="F590" s="1012"/>
      <c r="G590" s="1012"/>
      <c r="H590" s="2574"/>
      <c r="I590" s="1659"/>
      <c r="J590" s="1012"/>
      <c r="K590" s="1012"/>
      <c r="L590" s="2774"/>
      <c r="M590" s="1659"/>
      <c r="N590" s="2634"/>
    </row>
    <row r="591" spans="1:17" ht="21.75" hidden="1" customHeight="1" x14ac:dyDescent="0.25">
      <c r="B591" s="2630"/>
      <c r="C591" s="3644" t="s">
        <v>4258</v>
      </c>
      <c r="D591" s="3647">
        <v>3000000000</v>
      </c>
      <c r="E591" s="2771">
        <f>D591/147784925000*100</f>
        <v>2.0299770088187277</v>
      </c>
      <c r="F591" s="995"/>
      <c r="G591" s="1648"/>
      <c r="H591" s="2386"/>
      <c r="I591" s="1312"/>
      <c r="J591" s="891"/>
      <c r="K591" s="1422"/>
      <c r="L591" s="1716"/>
      <c r="M591" s="1312"/>
      <c r="N591" s="2634"/>
    </row>
    <row r="592" spans="1:17" ht="17.25" hidden="1" customHeight="1" x14ac:dyDescent="0.25">
      <c r="B592" s="2630"/>
      <c r="C592" s="1195" t="s">
        <v>1000</v>
      </c>
      <c r="D592" s="881">
        <v>3000000000</v>
      </c>
      <c r="E592" s="2771">
        <f>D592/147784925000*100</f>
        <v>2.0299770088187277</v>
      </c>
      <c r="F592" s="995"/>
      <c r="G592" s="2271"/>
      <c r="H592" s="3648"/>
      <c r="I592" s="3648"/>
      <c r="J592" s="891"/>
      <c r="K592" s="2271"/>
      <c r="L592" s="2271"/>
      <c r="M592" s="2271"/>
      <c r="N592" s="2634"/>
    </row>
    <row r="593" spans="1:17" ht="12" hidden="1" customHeight="1" x14ac:dyDescent="0.25">
      <c r="B593" s="2630"/>
      <c r="C593" s="1271"/>
      <c r="D593" s="1007"/>
      <c r="E593" s="660"/>
      <c r="F593" s="2271"/>
      <c r="G593" s="1722"/>
      <c r="H593" s="2445"/>
      <c r="I593" s="2445"/>
      <c r="J593" s="2175"/>
      <c r="K593" s="1514"/>
      <c r="L593" s="1323"/>
      <c r="M593" s="2285"/>
      <c r="N593" s="2634"/>
    </row>
    <row r="594" spans="1:17" s="269" customFormat="1" ht="16.5" customHeight="1" x14ac:dyDescent="0.25">
      <c r="A594" s="505"/>
      <c r="B594" s="2724"/>
      <c r="C594" s="1297" t="s">
        <v>604</v>
      </c>
      <c r="D594" s="2765">
        <f>SUM(D595+D691)</f>
        <v>42655020000</v>
      </c>
      <c r="E594" s="2530">
        <f>D594/D83*100</f>
        <v>7.4954480277669457</v>
      </c>
      <c r="F594" s="3534"/>
      <c r="G594" s="2767"/>
      <c r="H594" s="2775"/>
      <c r="I594" s="2507"/>
      <c r="J594" s="2765"/>
      <c r="K594" s="2766"/>
      <c r="L594" s="2775"/>
      <c r="M594" s="2531"/>
      <c r="N594" s="2623"/>
      <c r="P594" s="2069"/>
      <c r="Q594" s="2069"/>
    </row>
    <row r="595" spans="1:17" ht="17.25" hidden="1" customHeight="1" x14ac:dyDescent="0.25">
      <c r="B595" s="2743"/>
      <c r="C595" s="1284" t="s">
        <v>238</v>
      </c>
      <c r="D595" s="1022">
        <f>SUM(D596+D602+D642+D648+D666+D671+D683)</f>
        <v>39296600000</v>
      </c>
      <c r="E595" s="1022">
        <f>D595/146478382000*100</f>
        <v>26.827576508866681</v>
      </c>
      <c r="F595" s="3535"/>
      <c r="G595" s="1022"/>
      <c r="H595" s="2407"/>
      <c r="I595" s="765"/>
      <c r="J595" s="1022"/>
      <c r="K595" s="1022"/>
      <c r="L595" s="2407"/>
      <c r="M595" s="2752"/>
      <c r="N595" s="2634"/>
    </row>
    <row r="596" spans="1:17" ht="18.75" hidden="1" customHeight="1" x14ac:dyDescent="0.25">
      <c r="B596" s="2630"/>
      <c r="C596" s="1202" t="s">
        <v>3806</v>
      </c>
      <c r="D596" s="1438">
        <f>SUM(D597:D600)</f>
        <v>1100000000</v>
      </c>
      <c r="E596" s="1023">
        <f>D596/146478382000*100</f>
        <v>0.75096405693503632</v>
      </c>
      <c r="F596" s="1438"/>
      <c r="G596" s="753"/>
      <c r="H596" s="753"/>
      <c r="I596" s="766"/>
      <c r="J596" s="1023"/>
      <c r="K596" s="1023"/>
      <c r="L596" s="2410"/>
      <c r="M596" s="1650"/>
      <c r="N596" s="2634"/>
    </row>
    <row r="597" spans="1:17" ht="16.5" hidden="1" customHeight="1" x14ac:dyDescent="0.25">
      <c r="B597" s="2630"/>
      <c r="C597" s="1196" t="s">
        <v>3764</v>
      </c>
      <c r="D597" s="1434">
        <v>350000000</v>
      </c>
      <c r="E597" s="1070">
        <f>D597/146478382000*100</f>
        <v>0.23894310902478427</v>
      </c>
      <c r="F597" s="1434"/>
      <c r="G597" s="755"/>
      <c r="H597" s="755"/>
      <c r="I597" s="755"/>
      <c r="J597" s="939"/>
      <c r="K597" s="939"/>
      <c r="L597" s="1310"/>
      <c r="M597" s="2411"/>
      <c r="N597" s="2634"/>
    </row>
    <row r="598" spans="1:17" ht="15" hidden="1" customHeight="1" x14ac:dyDescent="0.25">
      <c r="B598" s="2630"/>
      <c r="C598" s="1196" t="s">
        <v>3765</v>
      </c>
      <c r="D598" s="1434">
        <v>350000000</v>
      </c>
      <c r="E598" s="1070">
        <f t="shared" ref="E598:E661" si="32">D598/146478382000*100</f>
        <v>0.23894310902478427</v>
      </c>
      <c r="F598" s="2776"/>
      <c r="G598" s="2777"/>
      <c r="H598" s="2411"/>
      <c r="I598" s="2182"/>
      <c r="J598" s="1434"/>
      <c r="K598" s="1398"/>
      <c r="L598" s="2411"/>
      <c r="M598" s="2411"/>
      <c r="N598" s="2634"/>
    </row>
    <row r="599" spans="1:17" ht="18" hidden="1" customHeight="1" x14ac:dyDescent="0.25">
      <c r="B599" s="2630"/>
      <c r="C599" s="1196" t="s">
        <v>3766</v>
      </c>
      <c r="D599" s="1434">
        <v>250000000</v>
      </c>
      <c r="E599" s="1070">
        <f t="shared" si="32"/>
        <v>0.17067364930341736</v>
      </c>
      <c r="F599" s="1435"/>
      <c r="G599" s="1026"/>
      <c r="H599" s="1023"/>
      <c r="I599" s="1908"/>
      <c r="J599" s="1025"/>
      <c r="K599" s="1025"/>
      <c r="L599" s="2410"/>
      <c r="M599" s="2410"/>
      <c r="N599" s="2634"/>
    </row>
    <row r="600" spans="1:17" ht="15.75" hidden="1" customHeight="1" x14ac:dyDescent="0.25">
      <c r="B600" s="2630"/>
      <c r="C600" s="1196" t="s">
        <v>3767</v>
      </c>
      <c r="D600" s="1434">
        <v>150000000</v>
      </c>
      <c r="E600" s="1070">
        <f t="shared" si="32"/>
        <v>0.1024041895820504</v>
      </c>
      <c r="F600" s="1434"/>
      <c r="G600" s="967"/>
      <c r="H600" s="1070"/>
      <c r="I600" s="1929"/>
      <c r="J600" s="939"/>
      <c r="K600" s="1439"/>
      <c r="L600" s="1310"/>
      <c r="M600" s="2411"/>
      <c r="N600" s="2634"/>
    </row>
    <row r="601" spans="1:17" ht="14.25" hidden="1" customHeight="1" x14ac:dyDescent="0.25">
      <c r="B601" s="2630"/>
      <c r="C601" s="1196"/>
      <c r="D601" s="1434"/>
      <c r="E601" s="1070"/>
      <c r="F601" s="1434"/>
      <c r="G601" s="967"/>
      <c r="H601" s="1070"/>
      <c r="I601" s="2413"/>
      <c r="J601" s="939"/>
      <c r="K601" s="2778"/>
      <c r="L601" s="1310"/>
      <c r="M601" s="2414"/>
      <c r="N601" s="2634"/>
    </row>
    <row r="602" spans="1:17" ht="15" hidden="1" customHeight="1" x14ac:dyDescent="0.25">
      <c r="B602" s="2630"/>
      <c r="C602" s="1200" t="s">
        <v>356</v>
      </c>
      <c r="D602" s="1025">
        <f>SUM(D603:D640)</f>
        <v>28494000000</v>
      </c>
      <c r="E602" s="1023">
        <f t="shared" si="32"/>
        <v>19.452699853006294</v>
      </c>
      <c r="F602" s="1434"/>
      <c r="G602" s="967"/>
      <c r="H602" s="1070"/>
      <c r="I602" s="894"/>
      <c r="J602" s="939"/>
      <c r="K602" s="2202"/>
      <c r="L602" s="1310"/>
      <c r="M602" s="1312"/>
      <c r="N602" s="2634"/>
    </row>
    <row r="603" spans="1:17" ht="16.5" hidden="1" customHeight="1" x14ac:dyDescent="0.25">
      <c r="B603" s="2630"/>
      <c r="C603" s="1196" t="s">
        <v>3768</v>
      </c>
      <c r="D603" s="1434">
        <v>150000000</v>
      </c>
      <c r="E603" s="1070">
        <f t="shared" si="32"/>
        <v>0.1024041895820504</v>
      </c>
      <c r="F603" s="1434"/>
      <c r="G603" s="967"/>
      <c r="H603" s="1070"/>
      <c r="I603" s="963"/>
      <c r="J603" s="939"/>
      <c r="K603" s="967"/>
      <c r="L603" s="1070"/>
      <c r="M603" s="963"/>
      <c r="N603" s="2634"/>
    </row>
    <row r="604" spans="1:17" ht="14.25" hidden="1" customHeight="1" x14ac:dyDescent="0.25">
      <c r="B604" s="2630"/>
      <c r="C604" s="1196" t="s">
        <v>3769</v>
      </c>
      <c r="D604" s="1434">
        <v>250000000</v>
      </c>
      <c r="E604" s="1070">
        <f t="shared" si="32"/>
        <v>0.17067364930341736</v>
      </c>
      <c r="F604" s="1434"/>
      <c r="G604" s="967"/>
      <c r="H604" s="1070"/>
      <c r="I604" s="755"/>
      <c r="J604" s="939"/>
      <c r="K604" s="2202"/>
      <c r="L604" s="1310"/>
      <c r="M604" s="2411"/>
      <c r="N604" s="2634"/>
    </row>
    <row r="605" spans="1:17" ht="14.25" hidden="1" customHeight="1" x14ac:dyDescent="0.25">
      <c r="B605" s="2630"/>
      <c r="C605" s="1196" t="s">
        <v>3770</v>
      </c>
      <c r="D605" s="1434">
        <v>200000000</v>
      </c>
      <c r="E605" s="1070">
        <f t="shared" si="32"/>
        <v>0.13653891944273389</v>
      </c>
      <c r="F605" s="1434"/>
      <c r="G605" s="967"/>
      <c r="H605" s="963"/>
      <c r="I605" s="963"/>
      <c r="J605" s="939"/>
      <c r="K605" s="2202"/>
      <c r="L605" s="1310"/>
      <c r="M605" s="2411"/>
      <c r="N605" s="2634"/>
    </row>
    <row r="606" spans="1:17" ht="16.5" hidden="1" customHeight="1" x14ac:dyDescent="0.25">
      <c r="B606" s="2630"/>
      <c r="C606" s="1196" t="s">
        <v>3771</v>
      </c>
      <c r="D606" s="1434">
        <v>150000000</v>
      </c>
      <c r="E606" s="1070">
        <f t="shared" si="32"/>
        <v>0.1024041895820504</v>
      </c>
      <c r="F606" s="1434"/>
      <c r="G606" s="967"/>
      <c r="H606" s="963"/>
      <c r="I606" s="963"/>
      <c r="J606" s="939"/>
      <c r="K606" s="2202"/>
      <c r="L606" s="1310"/>
      <c r="M606" s="2411"/>
      <c r="N606" s="2634"/>
    </row>
    <row r="607" spans="1:17" ht="16.5" hidden="1" customHeight="1" x14ac:dyDescent="0.25">
      <c r="B607" s="2630"/>
      <c r="C607" s="1196" t="s">
        <v>3772</v>
      </c>
      <c r="D607" s="1434">
        <v>200000000</v>
      </c>
      <c r="E607" s="1070">
        <f t="shared" si="32"/>
        <v>0.13653891944273389</v>
      </c>
      <c r="F607" s="1434"/>
      <c r="G607" s="967"/>
      <c r="H607" s="963"/>
      <c r="I607" s="963"/>
      <c r="J607" s="939"/>
      <c r="K607" s="1439"/>
      <c r="L607" s="1310"/>
      <c r="M607" s="2411"/>
      <c r="N607" s="2634"/>
    </row>
    <row r="608" spans="1:17" ht="15.75" hidden="1" customHeight="1" x14ac:dyDescent="0.25">
      <c r="B608" s="2630"/>
      <c r="C608" s="1196" t="s">
        <v>3773</v>
      </c>
      <c r="D608" s="1434">
        <v>1500000000</v>
      </c>
      <c r="E608" s="1070">
        <f t="shared" si="32"/>
        <v>1.024041895820504</v>
      </c>
      <c r="F608" s="1434"/>
      <c r="G608" s="967"/>
      <c r="H608" s="963"/>
      <c r="I608" s="963"/>
      <c r="J608" s="939"/>
      <c r="K608" s="1439"/>
      <c r="L608" s="1310"/>
      <c r="M608" s="2411"/>
      <c r="N608" s="2634"/>
    </row>
    <row r="609" spans="2:14" ht="13.5" hidden="1" customHeight="1" x14ac:dyDescent="0.25">
      <c r="B609" s="2630"/>
      <c r="C609" s="1196" t="s">
        <v>3774</v>
      </c>
      <c r="D609" s="1434">
        <v>500000000</v>
      </c>
      <c r="E609" s="1070">
        <f t="shared" si="32"/>
        <v>0.34134729860683471</v>
      </c>
      <c r="F609" s="1434"/>
      <c r="G609" s="967"/>
      <c r="H609" s="963"/>
      <c r="I609" s="963"/>
      <c r="J609" s="939"/>
      <c r="K609" s="1439"/>
      <c r="L609" s="1310"/>
      <c r="M609" s="2411"/>
      <c r="N609" s="2634"/>
    </row>
    <row r="610" spans="2:14" ht="13.5" hidden="1" customHeight="1" x14ac:dyDescent="0.25">
      <c r="B610" s="2630"/>
      <c r="C610" s="1196" t="s">
        <v>3775</v>
      </c>
      <c r="D610" s="1434">
        <v>5000000000</v>
      </c>
      <c r="E610" s="1070">
        <f t="shared" si="32"/>
        <v>3.413472986068347</v>
      </c>
      <c r="F610" s="1434"/>
      <c r="G610" s="967"/>
      <c r="H610" s="963"/>
      <c r="I610" s="963"/>
      <c r="J610" s="939"/>
      <c r="K610" s="2202"/>
      <c r="L610" s="1310"/>
      <c r="M610" s="2411"/>
      <c r="N610" s="2634"/>
    </row>
    <row r="611" spans="2:14" ht="14.25" hidden="1" customHeight="1" x14ac:dyDescent="0.25">
      <c r="B611" s="2630"/>
      <c r="C611" s="1196" t="s">
        <v>3776</v>
      </c>
      <c r="D611" s="1434">
        <v>500000000</v>
      </c>
      <c r="E611" s="1070">
        <f t="shared" si="32"/>
        <v>0.34134729860683471</v>
      </c>
      <c r="F611" s="1434"/>
      <c r="G611" s="967"/>
      <c r="H611" s="963"/>
      <c r="I611" s="963"/>
      <c r="J611" s="939"/>
      <c r="K611" s="2202"/>
      <c r="L611" s="1310"/>
      <c r="M611" s="2411"/>
      <c r="N611" s="2634"/>
    </row>
    <row r="612" spans="2:14" ht="15" hidden="1" customHeight="1" x14ac:dyDescent="0.25">
      <c r="B612" s="2630"/>
      <c r="C612" s="1196" t="s">
        <v>3777</v>
      </c>
      <c r="D612" s="1434">
        <v>500000000</v>
      </c>
      <c r="E612" s="1070">
        <f t="shared" si="32"/>
        <v>0.34134729860683471</v>
      </c>
      <c r="F612" s="1434"/>
      <c r="G612" s="967"/>
      <c r="H612" s="963"/>
      <c r="I612" s="963"/>
      <c r="J612" s="939"/>
      <c r="K612" s="2202"/>
      <c r="L612" s="1310"/>
      <c r="M612" s="2411"/>
      <c r="N612" s="2634"/>
    </row>
    <row r="613" spans="2:14" ht="15.75" hidden="1" customHeight="1" x14ac:dyDescent="0.25">
      <c r="B613" s="2630"/>
      <c r="C613" s="1196" t="s">
        <v>3778</v>
      </c>
      <c r="D613" s="1434">
        <v>1000000000</v>
      </c>
      <c r="E613" s="1070">
        <f t="shared" si="32"/>
        <v>0.68269459721366943</v>
      </c>
      <c r="F613" s="1434"/>
      <c r="G613" s="967"/>
      <c r="H613" s="963"/>
      <c r="I613" s="963"/>
      <c r="J613" s="939"/>
      <c r="K613" s="2202"/>
      <c r="L613" s="1310"/>
      <c r="M613" s="1311"/>
      <c r="N613" s="2634"/>
    </row>
    <row r="614" spans="2:14" ht="12.75" hidden="1" customHeight="1" x14ac:dyDescent="0.25">
      <c r="B614" s="2630"/>
      <c r="C614" s="1196" t="s">
        <v>3779</v>
      </c>
      <c r="D614" s="1434">
        <v>10000000000</v>
      </c>
      <c r="E614" s="1070">
        <f t="shared" si="32"/>
        <v>6.8269459721366941</v>
      </c>
      <c r="F614" s="1434"/>
      <c r="G614" s="967"/>
      <c r="H614" s="963"/>
      <c r="I614" s="963"/>
      <c r="J614" s="939"/>
      <c r="K614" s="2429"/>
      <c r="L614" s="1310"/>
      <c r="M614" s="1312"/>
      <c r="N614" s="2634"/>
    </row>
    <row r="615" spans="2:14" ht="15" hidden="1" customHeight="1" x14ac:dyDescent="0.25">
      <c r="B615" s="2630"/>
      <c r="C615" s="1196" t="s">
        <v>3780</v>
      </c>
      <c r="D615" s="1434">
        <v>300000000</v>
      </c>
      <c r="E615" s="1070">
        <f t="shared" si="32"/>
        <v>0.2048083791641008</v>
      </c>
      <c r="F615" s="1434"/>
      <c r="G615" s="967"/>
      <c r="H615" s="963"/>
      <c r="I615" s="963"/>
      <c r="J615" s="939"/>
      <c r="K615" s="2202"/>
      <c r="L615" s="1310"/>
      <c r="M615" s="2411"/>
      <c r="N615" s="2634"/>
    </row>
    <row r="616" spans="2:14" ht="15.75" hidden="1" customHeight="1" x14ac:dyDescent="0.25">
      <c r="B616" s="2630"/>
      <c r="C616" s="1196" t="s">
        <v>3781</v>
      </c>
      <c r="D616" s="1434">
        <v>500000000</v>
      </c>
      <c r="E616" s="1070">
        <f t="shared" si="32"/>
        <v>0.34134729860683471</v>
      </c>
      <c r="F616" s="1434"/>
      <c r="G616" s="967"/>
      <c r="H616" s="963"/>
      <c r="I616" s="963"/>
      <c r="J616" s="939"/>
      <c r="K616" s="1716"/>
      <c r="L616" s="1310"/>
      <c r="M616" s="1716"/>
      <c r="N616" s="2634"/>
    </row>
    <row r="617" spans="2:14" ht="15.75" hidden="1" customHeight="1" x14ac:dyDescent="0.25">
      <c r="B617" s="2630"/>
      <c r="C617" s="1196" t="s">
        <v>3782</v>
      </c>
      <c r="D617" s="1434">
        <v>500000000</v>
      </c>
      <c r="E617" s="1070">
        <f t="shared" si="32"/>
        <v>0.34134729860683471</v>
      </c>
      <c r="F617" s="1434"/>
      <c r="G617" s="967"/>
      <c r="H617" s="963"/>
      <c r="I617" s="963"/>
      <c r="J617" s="939"/>
      <c r="K617" s="1716"/>
      <c r="L617" s="1310"/>
      <c r="M617" s="1716"/>
      <c r="N617" s="2634"/>
    </row>
    <row r="618" spans="2:14" ht="15" hidden="1" customHeight="1" x14ac:dyDescent="0.25">
      <c r="B618" s="2630"/>
      <c r="C618" s="1196" t="s">
        <v>3783</v>
      </c>
      <c r="D618" s="1434">
        <v>634000000</v>
      </c>
      <c r="E618" s="1070">
        <f t="shared" si="32"/>
        <v>0.43282837463346641</v>
      </c>
      <c r="F618" s="1434"/>
      <c r="G618" s="967"/>
      <c r="H618" s="963"/>
      <c r="I618" s="963"/>
      <c r="J618" s="939"/>
      <c r="K618" s="1716"/>
      <c r="L618" s="1310"/>
      <c r="M618" s="1716"/>
      <c r="N618" s="2634"/>
    </row>
    <row r="619" spans="2:14" ht="14.25" hidden="1" customHeight="1" x14ac:dyDescent="0.25">
      <c r="B619" s="2630"/>
      <c r="C619" s="1196" t="s">
        <v>3784</v>
      </c>
      <c r="D619" s="1434">
        <v>600000000</v>
      </c>
      <c r="E619" s="1070">
        <f t="shared" si="32"/>
        <v>0.4096167583282016</v>
      </c>
      <c r="F619" s="1434"/>
      <c r="G619" s="967"/>
      <c r="H619" s="963"/>
      <c r="I619" s="963"/>
      <c r="J619" s="939"/>
      <c r="K619" s="1716"/>
      <c r="L619" s="1310"/>
      <c r="M619" s="1716"/>
      <c r="N619" s="2634"/>
    </row>
    <row r="620" spans="2:14" ht="18" hidden="1" customHeight="1" x14ac:dyDescent="0.25">
      <c r="B620" s="2630"/>
      <c r="C620" s="1196" t="s">
        <v>3785</v>
      </c>
      <c r="D620" s="1434">
        <v>600000000</v>
      </c>
      <c r="E620" s="1070">
        <f t="shared" si="32"/>
        <v>0.4096167583282016</v>
      </c>
      <c r="F620" s="1434"/>
      <c r="G620" s="967"/>
      <c r="H620" s="963"/>
      <c r="I620" s="963"/>
      <c r="J620" s="939"/>
      <c r="K620" s="1716"/>
      <c r="L620" s="1310"/>
      <c r="M620" s="1716"/>
      <c r="N620" s="2634"/>
    </row>
    <row r="621" spans="2:14" ht="18" hidden="1" customHeight="1" x14ac:dyDescent="0.25">
      <c r="B621" s="2630"/>
      <c r="C621" s="1196" t="s">
        <v>3786</v>
      </c>
      <c r="D621" s="1434">
        <v>600000000</v>
      </c>
      <c r="E621" s="1070">
        <f t="shared" si="32"/>
        <v>0.4096167583282016</v>
      </c>
      <c r="F621" s="1434"/>
      <c r="G621" s="967"/>
      <c r="H621" s="963"/>
      <c r="I621" s="963"/>
      <c r="J621" s="939"/>
      <c r="K621" s="1716"/>
      <c r="L621" s="1310"/>
      <c r="M621" s="1716"/>
      <c r="N621" s="2634"/>
    </row>
    <row r="622" spans="2:14" ht="17.25" hidden="1" customHeight="1" x14ac:dyDescent="0.25">
      <c r="B622" s="2630"/>
      <c r="C622" s="1196" t="s">
        <v>3787</v>
      </c>
      <c r="D622" s="1434">
        <v>500000000</v>
      </c>
      <c r="E622" s="1070">
        <f t="shared" si="32"/>
        <v>0.34134729860683471</v>
      </c>
      <c r="F622" s="1434"/>
      <c r="G622" s="967"/>
      <c r="H622" s="963"/>
      <c r="I622" s="963"/>
      <c r="J622" s="939"/>
      <c r="K622" s="2202"/>
      <c r="L622" s="1310"/>
      <c r="M622" s="1312"/>
      <c r="N622" s="2634"/>
    </row>
    <row r="623" spans="2:14" ht="15" hidden="1" customHeight="1" x14ac:dyDescent="0.25">
      <c r="B623" s="2630"/>
      <c r="C623" s="1196" t="s">
        <v>3788</v>
      </c>
      <c r="D623" s="1434">
        <v>200000000</v>
      </c>
      <c r="E623" s="1070">
        <f t="shared" si="32"/>
        <v>0.13653891944273389</v>
      </c>
      <c r="F623" s="1434"/>
      <c r="G623" s="967"/>
      <c r="H623" s="963"/>
      <c r="I623" s="963"/>
      <c r="J623" s="939"/>
      <c r="K623" s="2429"/>
      <c r="L623" s="1310"/>
      <c r="M623" s="1312"/>
      <c r="N623" s="2634"/>
    </row>
    <row r="624" spans="2:14" ht="19.5" hidden="1" customHeight="1" x14ac:dyDescent="0.25">
      <c r="B624" s="2630"/>
      <c r="C624" s="1196" t="s">
        <v>3789</v>
      </c>
      <c r="D624" s="1434">
        <v>210000000</v>
      </c>
      <c r="E624" s="1070">
        <f t="shared" si="32"/>
        <v>0.14336586541487056</v>
      </c>
      <c r="F624" s="1434"/>
      <c r="G624" s="967"/>
      <c r="H624" s="963"/>
      <c r="I624" s="963"/>
      <c r="J624" s="939"/>
      <c r="K624" s="967"/>
      <c r="L624" s="1070"/>
      <c r="M624" s="963"/>
      <c r="N624" s="2634"/>
    </row>
    <row r="625" spans="2:14" ht="18.75" hidden="1" customHeight="1" x14ac:dyDescent="0.25">
      <c r="B625" s="2630"/>
      <c r="C625" s="1196" t="s">
        <v>3790</v>
      </c>
      <c r="D625" s="1434">
        <v>250000000</v>
      </c>
      <c r="E625" s="1070">
        <f t="shared" si="32"/>
        <v>0.17067364930341736</v>
      </c>
      <c r="F625" s="1434"/>
      <c r="G625" s="967"/>
      <c r="H625" s="963"/>
      <c r="I625" s="963"/>
      <c r="J625" s="939"/>
      <c r="K625" s="1716"/>
      <c r="L625" s="1310"/>
      <c r="M625" s="1716"/>
      <c r="N625" s="2634"/>
    </row>
    <row r="626" spans="2:14" ht="15.75" hidden="1" customHeight="1" x14ac:dyDescent="0.25">
      <c r="B626" s="2630"/>
      <c r="C626" s="1196" t="s">
        <v>3791</v>
      </c>
      <c r="D626" s="1238">
        <v>450000000</v>
      </c>
      <c r="E626" s="1070">
        <f t="shared" si="32"/>
        <v>0.30721256874615122</v>
      </c>
      <c r="F626" s="971"/>
      <c r="G626" s="971"/>
      <c r="H626" s="1238"/>
      <c r="I626" s="1238"/>
      <c r="J626" s="1717"/>
      <c r="K626" s="1716"/>
      <c r="L626" s="1310"/>
      <c r="M626" s="1310"/>
      <c r="N626" s="2634"/>
    </row>
    <row r="627" spans="2:14" ht="15.75" hidden="1" customHeight="1" x14ac:dyDescent="0.25">
      <c r="B627" s="2630"/>
      <c r="C627" s="1196" t="s">
        <v>3792</v>
      </c>
      <c r="D627" s="2776">
        <v>450000000</v>
      </c>
      <c r="E627" s="1070">
        <f t="shared" si="32"/>
        <v>0.30721256874615122</v>
      </c>
      <c r="F627" s="2776"/>
      <c r="G627" s="1716"/>
      <c r="H627" s="2411"/>
      <c r="I627" s="1716"/>
      <c r="J627" s="1717"/>
      <c r="K627" s="1716"/>
      <c r="L627" s="1716"/>
      <c r="M627" s="1716"/>
      <c r="N627" s="2634"/>
    </row>
    <row r="628" spans="2:14" ht="18" hidden="1" customHeight="1" x14ac:dyDescent="0.25">
      <c r="B628" s="2630"/>
      <c r="C628" s="1196" t="s">
        <v>3793</v>
      </c>
      <c r="D628" s="1434">
        <v>300000000</v>
      </c>
      <c r="E628" s="1070">
        <f t="shared" si="32"/>
        <v>0.2048083791641008</v>
      </c>
      <c r="F628" s="1435"/>
      <c r="G628" s="1025"/>
      <c r="H628" s="1023"/>
      <c r="I628" s="753"/>
      <c r="J628" s="1025"/>
      <c r="K628" s="1025"/>
      <c r="L628" s="2410"/>
      <c r="M628" s="1650"/>
      <c r="N628" s="2634"/>
    </row>
    <row r="629" spans="2:14" ht="15.75" hidden="1" customHeight="1" x14ac:dyDescent="0.25">
      <c r="B629" s="2630"/>
      <c r="C629" s="1196" t="s">
        <v>3794</v>
      </c>
      <c r="D629" s="1434">
        <v>200000000</v>
      </c>
      <c r="E629" s="1070">
        <f t="shared" si="32"/>
        <v>0.13653891944273389</v>
      </c>
      <c r="F629" s="1434"/>
      <c r="G629" s="967"/>
      <c r="H629" s="963"/>
      <c r="I629" s="963"/>
      <c r="J629" s="939"/>
      <c r="K629" s="2202"/>
      <c r="L629" s="1310"/>
      <c r="M629" s="1312"/>
      <c r="N629" s="2634"/>
    </row>
    <row r="630" spans="2:14" ht="16.5" hidden="1" customHeight="1" x14ac:dyDescent="0.25">
      <c r="B630" s="2630"/>
      <c r="C630" s="1196" t="s">
        <v>3795</v>
      </c>
      <c r="D630" s="1434">
        <v>150000000</v>
      </c>
      <c r="E630" s="1070">
        <f t="shared" si="32"/>
        <v>0.1024041895820504</v>
      </c>
      <c r="F630" s="1434"/>
      <c r="G630" s="967"/>
      <c r="H630" s="1070"/>
      <c r="I630" s="755"/>
      <c r="J630" s="1717"/>
      <c r="K630" s="1716"/>
      <c r="L630" s="1310"/>
      <c r="M630" s="1716"/>
      <c r="N630" s="2634"/>
    </row>
    <row r="631" spans="2:14" ht="14.25" hidden="1" customHeight="1" x14ac:dyDescent="0.25">
      <c r="B631" s="2630"/>
      <c r="C631" s="1196" t="s">
        <v>3796</v>
      </c>
      <c r="D631" s="2776">
        <v>150000000</v>
      </c>
      <c r="E631" s="1070">
        <f t="shared" si="32"/>
        <v>0.1024041895820504</v>
      </c>
      <c r="F631" s="2776"/>
      <c r="G631" s="2779"/>
      <c r="H631" s="1070"/>
      <c r="I631" s="791"/>
      <c r="J631" s="1717"/>
      <c r="K631" s="2202"/>
      <c r="L631" s="2411"/>
      <c r="M631" s="1312"/>
      <c r="N631" s="2634"/>
    </row>
    <row r="632" spans="2:14" ht="16.5" hidden="1" customHeight="1" x14ac:dyDescent="0.25">
      <c r="B632" s="2630"/>
      <c r="C632" s="1196" t="s">
        <v>3797</v>
      </c>
      <c r="D632" s="1434">
        <v>250000000</v>
      </c>
      <c r="E632" s="1070">
        <f t="shared" si="32"/>
        <v>0.17067364930341736</v>
      </c>
      <c r="F632" s="1435"/>
      <c r="G632" s="1025"/>
      <c r="H632" s="1023"/>
      <c r="I632" s="753"/>
      <c r="J632" s="1025"/>
      <c r="K632" s="1025"/>
      <c r="L632" s="2410"/>
      <c r="M632" s="1650"/>
      <c r="N632" s="2634"/>
    </row>
    <row r="633" spans="2:14" ht="14.25" hidden="1" customHeight="1" x14ac:dyDescent="0.25">
      <c r="B633" s="2630"/>
      <c r="C633" s="1196" t="s">
        <v>3798</v>
      </c>
      <c r="D633" s="1434">
        <v>250000000</v>
      </c>
      <c r="E633" s="1070">
        <f t="shared" si="32"/>
        <v>0.17067364930341736</v>
      </c>
      <c r="F633" s="1434"/>
      <c r="G633" s="967"/>
      <c r="H633" s="963"/>
      <c r="I633" s="963"/>
      <c r="J633" s="963"/>
      <c r="K633" s="967"/>
      <c r="L633" s="963"/>
      <c r="M633" s="963"/>
      <c r="N633" s="2634"/>
    </row>
    <row r="634" spans="2:14" ht="17.25" hidden="1" customHeight="1" x14ac:dyDescent="0.25">
      <c r="B634" s="2630"/>
      <c r="C634" s="1196" t="s">
        <v>3799</v>
      </c>
      <c r="D634" s="1434">
        <v>200000000</v>
      </c>
      <c r="E634" s="1070">
        <f t="shared" si="32"/>
        <v>0.13653891944273389</v>
      </c>
      <c r="F634" s="1434"/>
      <c r="G634" s="967"/>
      <c r="H634" s="963"/>
      <c r="I634" s="963"/>
      <c r="J634" s="963"/>
      <c r="K634" s="967"/>
      <c r="L634" s="963"/>
      <c r="M634" s="963"/>
      <c r="N634" s="2634"/>
    </row>
    <row r="635" spans="2:14" ht="18.75" hidden="1" customHeight="1" x14ac:dyDescent="0.25">
      <c r="B635" s="2630"/>
      <c r="C635" s="1196" t="s">
        <v>3800</v>
      </c>
      <c r="D635" s="1434">
        <v>150000000</v>
      </c>
      <c r="E635" s="1070">
        <f t="shared" si="32"/>
        <v>0.1024041895820504</v>
      </c>
      <c r="F635" s="1434"/>
      <c r="G635" s="967"/>
      <c r="H635" s="963"/>
      <c r="I635" s="963"/>
      <c r="J635" s="971"/>
      <c r="K635" s="971"/>
      <c r="L635" s="971"/>
      <c r="M635" s="971"/>
      <c r="N635" s="2634"/>
    </row>
    <row r="636" spans="2:14" ht="18" hidden="1" customHeight="1" x14ac:dyDescent="0.25">
      <c r="B636" s="2630"/>
      <c r="C636" s="1196" t="s">
        <v>3801</v>
      </c>
      <c r="D636" s="1434">
        <v>150000000</v>
      </c>
      <c r="E636" s="1070">
        <f t="shared" si="32"/>
        <v>0.1024041895820504</v>
      </c>
      <c r="F636" s="1434"/>
      <c r="G636" s="967"/>
      <c r="H636" s="963"/>
      <c r="I636" s="963"/>
      <c r="J636" s="963"/>
      <c r="K636" s="967"/>
      <c r="L636" s="963"/>
      <c r="M636" s="963"/>
      <c r="N636" s="2634"/>
    </row>
    <row r="637" spans="2:14" ht="15.75" hidden="1" customHeight="1" x14ac:dyDescent="0.25">
      <c r="B637" s="2630"/>
      <c r="C637" s="1196" t="s">
        <v>3802</v>
      </c>
      <c r="D637" s="1434">
        <v>200000000</v>
      </c>
      <c r="E637" s="1070">
        <f t="shared" si="32"/>
        <v>0.13653891944273389</v>
      </c>
      <c r="F637" s="1434"/>
      <c r="G637" s="967"/>
      <c r="H637" s="1070"/>
      <c r="I637" s="755"/>
      <c r="J637" s="1717"/>
      <c r="K637" s="1716"/>
      <c r="L637" s="1310"/>
      <c r="M637" s="1716"/>
      <c r="N637" s="2634"/>
    </row>
    <row r="638" spans="2:14" ht="18" hidden="1" customHeight="1" x14ac:dyDescent="0.25">
      <c r="B638" s="2630"/>
      <c r="C638" s="1196" t="s">
        <v>3803</v>
      </c>
      <c r="D638" s="1434">
        <v>200000000</v>
      </c>
      <c r="E638" s="1070">
        <f t="shared" si="32"/>
        <v>0.13653891944273389</v>
      </c>
      <c r="F638" s="1434"/>
      <c r="G638" s="967"/>
      <c r="H638" s="1070"/>
      <c r="I638" s="791"/>
      <c r="J638" s="939"/>
      <c r="K638" s="2202"/>
      <c r="L638" s="1310"/>
      <c r="M638" s="1312"/>
      <c r="N638" s="2634"/>
    </row>
    <row r="639" spans="2:14" ht="17.25" hidden="1" customHeight="1" x14ac:dyDescent="0.25">
      <c r="B639" s="2630"/>
      <c r="C639" s="1196" t="s">
        <v>3804</v>
      </c>
      <c r="D639" s="1434">
        <v>250000000</v>
      </c>
      <c r="E639" s="1070">
        <f t="shared" si="32"/>
        <v>0.17067364930341736</v>
      </c>
      <c r="F639" s="1434"/>
      <c r="G639" s="967"/>
      <c r="H639" s="1070"/>
      <c r="I639" s="894"/>
      <c r="J639" s="939"/>
      <c r="K639" s="2644"/>
      <c r="L639" s="1310"/>
      <c r="M639" s="1312"/>
      <c r="N639" s="2634"/>
    </row>
    <row r="640" spans="2:14" ht="18" hidden="1" customHeight="1" x14ac:dyDescent="0.25">
      <c r="B640" s="2630"/>
      <c r="C640" s="1196" t="s">
        <v>3805</v>
      </c>
      <c r="D640" s="1434">
        <v>300000000</v>
      </c>
      <c r="E640" s="1070">
        <f t="shared" si="32"/>
        <v>0.2048083791641008</v>
      </c>
      <c r="F640" s="1434"/>
      <c r="G640" s="967"/>
      <c r="H640" s="963"/>
      <c r="I640" s="963"/>
      <c r="J640" s="963"/>
      <c r="K640" s="967"/>
      <c r="L640" s="963"/>
      <c r="M640" s="963"/>
      <c r="N640" s="2634"/>
    </row>
    <row r="641" spans="2:14" ht="13.5" hidden="1" customHeight="1" x14ac:dyDescent="0.25">
      <c r="B641" s="2630"/>
      <c r="C641" s="1196"/>
      <c r="D641" s="1434"/>
      <c r="E641" s="1070"/>
      <c r="F641" s="1434"/>
      <c r="G641" s="967"/>
      <c r="H641" s="963"/>
      <c r="I641" s="963"/>
      <c r="J641" s="963"/>
      <c r="K641" s="967"/>
      <c r="L641" s="963"/>
      <c r="M641" s="963"/>
      <c r="N641" s="2634"/>
    </row>
    <row r="642" spans="2:14" ht="15.75" hidden="1" customHeight="1" x14ac:dyDescent="0.25">
      <c r="B642" s="2630"/>
      <c r="C642" s="1200" t="s">
        <v>1334</v>
      </c>
      <c r="D642" s="1025">
        <f>SUM(D643:D646)</f>
        <v>650000000</v>
      </c>
      <c r="E642" s="1023">
        <f t="shared" si="32"/>
        <v>0.4437514881888851</v>
      </c>
      <c r="F642" s="1434"/>
      <c r="G642" s="967"/>
      <c r="H642" s="963"/>
      <c r="I642" s="963"/>
      <c r="J642" s="963"/>
      <c r="K642" s="967"/>
      <c r="L642" s="963"/>
      <c r="M642" s="963"/>
      <c r="N642" s="2634"/>
    </row>
    <row r="643" spans="2:14" ht="17.25" hidden="1" customHeight="1" x14ac:dyDescent="0.25">
      <c r="B643" s="2630"/>
      <c r="C643" s="1196" t="s">
        <v>3807</v>
      </c>
      <c r="D643" s="1434">
        <v>200000000</v>
      </c>
      <c r="E643" s="1070">
        <f t="shared" si="32"/>
        <v>0.13653891944273389</v>
      </c>
      <c r="F643" s="1434"/>
      <c r="G643" s="967"/>
      <c r="H643" s="963"/>
      <c r="I643" s="963"/>
      <c r="J643" s="963"/>
      <c r="K643" s="967"/>
      <c r="L643" s="963"/>
      <c r="M643" s="963"/>
      <c r="N643" s="2634"/>
    </row>
    <row r="644" spans="2:14" ht="17.25" hidden="1" customHeight="1" x14ac:dyDescent="0.25">
      <c r="B644" s="2630"/>
      <c r="C644" s="1196" t="s">
        <v>3808</v>
      </c>
      <c r="D644" s="1434">
        <v>100000000</v>
      </c>
      <c r="E644" s="1070">
        <f t="shared" si="32"/>
        <v>6.8269459721366943E-2</v>
      </c>
      <c r="F644" s="1434"/>
      <c r="G644" s="967"/>
      <c r="H644" s="1070"/>
      <c r="I644" s="666"/>
      <c r="J644" s="939"/>
      <c r="K644" s="2202"/>
      <c r="L644" s="1310"/>
      <c r="M644" s="1312"/>
      <c r="N644" s="2634"/>
    </row>
    <row r="645" spans="2:14" ht="17.25" hidden="1" customHeight="1" x14ac:dyDescent="0.25">
      <c r="B645" s="2630"/>
      <c r="C645" s="1196" t="s">
        <v>3809</v>
      </c>
      <c r="D645" s="1434">
        <v>200000000</v>
      </c>
      <c r="E645" s="1070">
        <f t="shared" si="32"/>
        <v>0.13653891944273389</v>
      </c>
      <c r="F645" s="1434"/>
      <c r="G645" s="967"/>
      <c r="H645" s="1070"/>
      <c r="I645" s="2181"/>
      <c r="J645" s="939"/>
      <c r="K645" s="2202"/>
      <c r="L645" s="1310"/>
      <c r="M645" s="1312"/>
      <c r="N645" s="2634"/>
    </row>
    <row r="646" spans="2:14" ht="16.5" hidden="1" customHeight="1" x14ac:dyDescent="0.25">
      <c r="B646" s="2630"/>
      <c r="C646" s="1196" t="s">
        <v>3810</v>
      </c>
      <c r="D646" s="1434">
        <v>150000000</v>
      </c>
      <c r="E646" s="1070">
        <f t="shared" si="32"/>
        <v>0.1024041895820504</v>
      </c>
      <c r="F646" s="1434"/>
      <c r="G646" s="782"/>
      <c r="H646" s="1070"/>
      <c r="I646" s="755"/>
      <c r="J646" s="1717"/>
      <c r="K646" s="2202"/>
      <c r="L646" s="2411"/>
      <c r="M646" s="1312"/>
      <c r="N646" s="2634"/>
    </row>
    <row r="647" spans="2:14" ht="13.5" hidden="1" customHeight="1" x14ac:dyDescent="0.25">
      <c r="B647" s="2630"/>
      <c r="C647" s="1200"/>
      <c r="D647" s="1435"/>
      <c r="E647" s="1070"/>
      <c r="F647" s="1435"/>
      <c r="G647" s="966"/>
      <c r="H647" s="965"/>
      <c r="I647" s="965"/>
      <c r="J647" s="1025"/>
      <c r="K647" s="1379"/>
      <c r="L647" s="1379"/>
      <c r="M647" s="1379"/>
      <c r="N647" s="2634"/>
    </row>
    <row r="648" spans="2:14" ht="18.75" hidden="1" customHeight="1" x14ac:dyDescent="0.25">
      <c r="B648" s="2630"/>
      <c r="C648" s="1200" t="s">
        <v>1897</v>
      </c>
      <c r="D648" s="1025">
        <f>SUM(D649:D664)</f>
        <v>3752600000</v>
      </c>
      <c r="E648" s="1023">
        <f t="shared" si="32"/>
        <v>2.5618797455040156</v>
      </c>
      <c r="F648" s="1434"/>
      <c r="G648" s="967"/>
      <c r="H648" s="963"/>
      <c r="I648" s="963"/>
      <c r="J648" s="939"/>
      <c r="K648" s="967"/>
      <c r="L648" s="963"/>
      <c r="M648" s="963"/>
      <c r="N648" s="2634"/>
    </row>
    <row r="649" spans="2:14" ht="18" hidden="1" customHeight="1" x14ac:dyDescent="0.25">
      <c r="B649" s="2630"/>
      <c r="C649" s="1196" t="s">
        <v>3811</v>
      </c>
      <c r="D649" s="1434">
        <v>250000000</v>
      </c>
      <c r="E649" s="1070">
        <f t="shared" si="32"/>
        <v>0.17067364930341736</v>
      </c>
      <c r="F649" s="1434"/>
      <c r="G649" s="2780"/>
      <c r="H649" s="1070"/>
      <c r="I649" s="2181"/>
      <c r="J649" s="1717"/>
      <c r="K649" s="2202"/>
      <c r="L649" s="2411"/>
      <c r="M649" s="1312"/>
      <c r="N649" s="2634"/>
    </row>
    <row r="650" spans="2:14" ht="17.25" hidden="1" customHeight="1" x14ac:dyDescent="0.25">
      <c r="B650" s="2630"/>
      <c r="C650" s="1196" t="s">
        <v>3812</v>
      </c>
      <c r="D650" s="1434">
        <v>200000000</v>
      </c>
      <c r="E650" s="1070">
        <f t="shared" si="32"/>
        <v>0.13653891944273389</v>
      </c>
      <c r="F650" s="1435"/>
      <c r="G650" s="1025"/>
      <c r="H650" s="1023"/>
      <c r="I650" s="2409"/>
      <c r="J650" s="1025"/>
      <c r="K650" s="1025"/>
      <c r="L650" s="2410"/>
      <c r="M650" s="1650"/>
      <c r="N650" s="2634"/>
    </row>
    <row r="651" spans="2:14" ht="17.25" hidden="1" customHeight="1" x14ac:dyDescent="0.25">
      <c r="B651" s="2630"/>
      <c r="C651" s="1196" t="s">
        <v>3813</v>
      </c>
      <c r="D651" s="1434">
        <v>250000000</v>
      </c>
      <c r="E651" s="1070">
        <f t="shared" si="32"/>
        <v>0.17067364930341736</v>
      </c>
      <c r="F651" s="1434"/>
      <c r="G651" s="967"/>
      <c r="H651" s="1070"/>
      <c r="I651" s="755"/>
      <c r="J651" s="1717"/>
      <c r="K651" s="1716"/>
      <c r="L651" s="1310"/>
      <c r="M651" s="1716"/>
      <c r="N651" s="2634"/>
    </row>
    <row r="652" spans="2:14" ht="16.5" hidden="1" customHeight="1" x14ac:dyDescent="0.25">
      <c r="B652" s="2630"/>
      <c r="C652" s="1196" t="s">
        <v>3814</v>
      </c>
      <c r="D652" s="1434">
        <v>350000000</v>
      </c>
      <c r="E652" s="1070">
        <f t="shared" si="32"/>
        <v>0.23894310902478427</v>
      </c>
      <c r="F652" s="1434"/>
      <c r="G652" s="967"/>
      <c r="H652" s="963"/>
      <c r="I652" s="963"/>
      <c r="J652" s="1311"/>
      <c r="K652" s="967"/>
      <c r="L652" s="963"/>
      <c r="M652" s="963"/>
      <c r="N652" s="2634"/>
    </row>
    <row r="653" spans="2:14" ht="16.5" hidden="1" customHeight="1" x14ac:dyDescent="0.25">
      <c r="B653" s="2630"/>
      <c r="C653" s="1196" t="s">
        <v>3815</v>
      </c>
      <c r="D653" s="1434">
        <v>200000000</v>
      </c>
      <c r="E653" s="1070">
        <f t="shared" si="32"/>
        <v>0.13653891944273389</v>
      </c>
      <c r="F653" s="1434"/>
      <c r="G653" s="967"/>
      <c r="H653" s="963"/>
      <c r="I653" s="963"/>
      <c r="J653" s="939"/>
      <c r="K653" s="1434"/>
      <c r="L653" s="1310"/>
      <c r="M653" s="1312"/>
      <c r="N653" s="2634"/>
    </row>
    <row r="654" spans="2:14" ht="16.5" hidden="1" customHeight="1" x14ac:dyDescent="0.25">
      <c r="B654" s="2630"/>
      <c r="C654" s="1196" t="s">
        <v>3816</v>
      </c>
      <c r="D654" s="1434">
        <v>200000000</v>
      </c>
      <c r="E654" s="1070">
        <f t="shared" si="32"/>
        <v>0.13653891944273389</v>
      </c>
      <c r="F654" s="1434"/>
      <c r="G654" s="967"/>
      <c r="H654" s="1070"/>
      <c r="I654" s="755"/>
      <c r="J654" s="939"/>
      <c r="K654" s="2202"/>
      <c r="L654" s="1310"/>
      <c r="M654" s="1312"/>
      <c r="N654" s="2634"/>
    </row>
    <row r="655" spans="2:14" ht="15.75" hidden="1" customHeight="1" x14ac:dyDescent="0.25">
      <c r="B655" s="2630"/>
      <c r="C655" s="1196" t="s">
        <v>3817</v>
      </c>
      <c r="D655" s="1434">
        <v>300000000</v>
      </c>
      <c r="E655" s="1070">
        <f t="shared" si="32"/>
        <v>0.2048083791641008</v>
      </c>
      <c r="F655" s="1434"/>
      <c r="G655" s="967"/>
      <c r="H655" s="1070"/>
      <c r="I655" s="755"/>
      <c r="J655" s="1434"/>
      <c r="K655" s="2202"/>
      <c r="L655" s="1310"/>
      <c r="M655" s="1312"/>
      <c r="N655" s="2634"/>
    </row>
    <row r="656" spans="2:14" ht="15.75" hidden="1" customHeight="1" x14ac:dyDescent="0.25">
      <c r="B656" s="2630"/>
      <c r="C656" s="1196" t="s">
        <v>3818</v>
      </c>
      <c r="D656" s="1434">
        <v>250000000</v>
      </c>
      <c r="E656" s="1070">
        <f t="shared" si="32"/>
        <v>0.17067364930341736</v>
      </c>
      <c r="F656" s="1434"/>
      <c r="G656" s="967"/>
      <c r="H656" s="1070"/>
      <c r="I656" s="2181"/>
      <c r="J656" s="1434"/>
      <c r="K656" s="2202"/>
      <c r="L656" s="1310"/>
      <c r="M656" s="1312"/>
      <c r="N656" s="2634"/>
    </row>
    <row r="657" spans="1:17" ht="15" hidden="1" customHeight="1" x14ac:dyDescent="0.25">
      <c r="B657" s="2630"/>
      <c r="C657" s="1196" t="s">
        <v>3819</v>
      </c>
      <c r="D657" s="1434">
        <v>400000000</v>
      </c>
      <c r="E657" s="1070">
        <f t="shared" si="32"/>
        <v>0.27307783888546777</v>
      </c>
      <c r="F657" s="1434"/>
      <c r="G657" s="967"/>
      <c r="H657" s="1070"/>
      <c r="I657" s="755"/>
      <c r="J657" s="939"/>
      <c r="K657" s="1716"/>
      <c r="L657" s="1310"/>
      <c r="M657" s="1716"/>
      <c r="N657" s="2634"/>
    </row>
    <row r="658" spans="1:17" ht="14.25" hidden="1" customHeight="1" x14ac:dyDescent="0.25">
      <c r="B658" s="2630"/>
      <c r="C658" s="1196" t="s">
        <v>3820</v>
      </c>
      <c r="D658" s="1434">
        <v>402600000</v>
      </c>
      <c r="E658" s="1070">
        <f t="shared" si="32"/>
        <v>0.27485284483822331</v>
      </c>
      <c r="F658" s="1434"/>
      <c r="G658" s="967"/>
      <c r="H658" s="963"/>
      <c r="I658" s="963"/>
      <c r="J658" s="939"/>
      <c r="K658" s="1716"/>
      <c r="L658" s="1310"/>
      <c r="M658" s="1716"/>
      <c r="N658" s="2634"/>
    </row>
    <row r="659" spans="1:17" ht="14.25" hidden="1" customHeight="1" x14ac:dyDescent="0.25">
      <c r="B659" s="2630"/>
      <c r="C659" s="1196" t="s">
        <v>3821</v>
      </c>
      <c r="D659" s="1434">
        <v>150000000</v>
      </c>
      <c r="E659" s="1070">
        <f t="shared" si="32"/>
        <v>0.1024041895820504</v>
      </c>
      <c r="F659" s="1434"/>
      <c r="G659" s="967"/>
      <c r="H659" s="1070"/>
      <c r="I659" s="2181"/>
      <c r="J659" s="939"/>
      <c r="K659" s="2202"/>
      <c r="L659" s="1310"/>
      <c r="M659" s="1312"/>
      <c r="N659" s="2634"/>
    </row>
    <row r="660" spans="1:17" ht="16.5" hidden="1" customHeight="1" x14ac:dyDescent="0.25">
      <c r="B660" s="2630"/>
      <c r="C660" s="1196" t="s">
        <v>3822</v>
      </c>
      <c r="D660" s="1434">
        <v>150000000</v>
      </c>
      <c r="E660" s="1070">
        <f t="shared" si="32"/>
        <v>0.1024041895820504</v>
      </c>
      <c r="F660" s="1434"/>
      <c r="G660" s="967"/>
      <c r="H660" s="1070"/>
      <c r="I660" s="2181"/>
      <c r="J660" s="939"/>
      <c r="K660" s="2202"/>
      <c r="L660" s="1310"/>
      <c r="M660" s="1312"/>
      <c r="N660" s="2634"/>
    </row>
    <row r="661" spans="1:17" ht="16.5" hidden="1" customHeight="1" x14ac:dyDescent="0.25">
      <c r="B661" s="2630"/>
      <c r="C661" s="1196" t="s">
        <v>3823</v>
      </c>
      <c r="D661" s="1434">
        <v>150000000</v>
      </c>
      <c r="E661" s="1070">
        <f t="shared" si="32"/>
        <v>0.1024041895820504</v>
      </c>
      <c r="F661" s="1434"/>
      <c r="G661" s="2781"/>
      <c r="H661" s="1070"/>
      <c r="I661" s="2181"/>
      <c r="J661" s="1434"/>
      <c r="K661" s="2202"/>
      <c r="L661" s="2411"/>
      <c r="M661" s="1312"/>
      <c r="N661" s="2634"/>
    </row>
    <row r="662" spans="1:17" ht="15.75" hidden="1" customHeight="1" x14ac:dyDescent="0.25">
      <c r="B662" s="2630"/>
      <c r="C662" s="1196" t="s">
        <v>3824</v>
      </c>
      <c r="D662" s="1434">
        <v>150000000</v>
      </c>
      <c r="E662" s="1070">
        <f t="shared" ref="E662:E694" si="33">D662/146478382000*100</f>
        <v>0.1024041895820504</v>
      </c>
      <c r="F662" s="1435"/>
      <c r="G662" s="1025"/>
      <c r="H662" s="1023"/>
      <c r="I662" s="2409"/>
      <c r="J662" s="1025"/>
      <c r="K662" s="1025"/>
      <c r="L662" s="2410"/>
      <c r="M662" s="775"/>
      <c r="N662" s="2634"/>
    </row>
    <row r="663" spans="1:17" ht="17.25" hidden="1" customHeight="1" x14ac:dyDescent="0.25">
      <c r="B663" s="2630"/>
      <c r="C663" s="1196" t="s">
        <v>3825</v>
      </c>
      <c r="D663" s="1434">
        <v>150000000</v>
      </c>
      <c r="E663" s="1070">
        <f t="shared" si="33"/>
        <v>0.1024041895820504</v>
      </c>
      <c r="F663" s="1434"/>
      <c r="G663" s="967"/>
      <c r="H663" s="963"/>
      <c r="I663" s="963"/>
      <c r="J663" s="963"/>
      <c r="K663" s="967"/>
      <c r="L663" s="963"/>
      <c r="M663" s="963"/>
      <c r="N663" s="2634"/>
    </row>
    <row r="664" spans="1:17" ht="14.25" hidden="1" customHeight="1" x14ac:dyDescent="0.25">
      <c r="B664" s="2630"/>
      <c r="C664" s="1196" t="s">
        <v>3826</v>
      </c>
      <c r="D664" s="1434">
        <v>200000000</v>
      </c>
      <c r="E664" s="1070">
        <f t="shared" si="33"/>
        <v>0.13653891944273389</v>
      </c>
      <c r="F664" s="1434"/>
      <c r="G664" s="967"/>
      <c r="H664" s="963"/>
      <c r="I664" s="963"/>
      <c r="J664" s="963"/>
      <c r="K664" s="967"/>
      <c r="L664" s="963"/>
      <c r="M664" s="963"/>
      <c r="N664" s="2634"/>
    </row>
    <row r="665" spans="1:17" ht="12" hidden="1" customHeight="1" x14ac:dyDescent="0.25">
      <c r="B665" s="2630"/>
      <c r="C665" s="1196"/>
      <c r="D665" s="1434"/>
      <c r="E665" s="1070"/>
      <c r="F665" s="1434"/>
      <c r="G665" s="967"/>
      <c r="H665" s="1070"/>
      <c r="I665" s="1111"/>
      <c r="J665" s="939"/>
      <c r="K665" s="967"/>
      <c r="L665" s="1310"/>
      <c r="M665" s="1312"/>
      <c r="N665" s="2634"/>
    </row>
    <row r="666" spans="1:17" ht="16.5" hidden="1" customHeight="1" x14ac:dyDescent="0.25">
      <c r="B666" s="2630"/>
      <c r="C666" s="1200" t="s">
        <v>261</v>
      </c>
      <c r="D666" s="1025">
        <f>SUM(D667:D669)</f>
        <v>1650000000</v>
      </c>
      <c r="E666" s="1023">
        <f t="shared" si="33"/>
        <v>1.1264460854025544</v>
      </c>
      <c r="F666" s="1434"/>
      <c r="G666" s="967"/>
      <c r="H666" s="1070"/>
      <c r="I666" s="1111"/>
      <c r="J666" s="939"/>
      <c r="K666" s="967"/>
      <c r="L666" s="1310"/>
      <c r="M666" s="1312"/>
      <c r="N666" s="2634"/>
    </row>
    <row r="667" spans="1:17" ht="18" hidden="1" customHeight="1" x14ac:dyDescent="0.25">
      <c r="B667" s="2630"/>
      <c r="C667" s="1196" t="s">
        <v>3827</v>
      </c>
      <c r="D667" s="1434">
        <v>300000000</v>
      </c>
      <c r="E667" s="1070">
        <f t="shared" si="33"/>
        <v>0.2048083791641008</v>
      </c>
      <c r="F667" s="1434"/>
      <c r="G667" s="967"/>
      <c r="H667" s="1070"/>
      <c r="I667" s="791"/>
      <c r="J667" s="939"/>
      <c r="K667" s="967"/>
      <c r="L667" s="1310"/>
      <c r="M667" s="1323"/>
      <c r="N667" s="2634"/>
    </row>
    <row r="668" spans="1:17" ht="18.75" hidden="1" customHeight="1" x14ac:dyDescent="0.25">
      <c r="B668" s="2630"/>
      <c r="C668" s="1196" t="s">
        <v>3828</v>
      </c>
      <c r="D668" s="1434">
        <v>150000000</v>
      </c>
      <c r="E668" s="1070">
        <f t="shared" si="33"/>
        <v>0.1024041895820504</v>
      </c>
      <c r="F668" s="1434"/>
      <c r="G668" s="971"/>
      <c r="H668" s="971"/>
      <c r="I668" s="971"/>
      <c r="J668" s="939"/>
      <c r="K668" s="2429"/>
      <c r="L668" s="1310"/>
      <c r="M668" s="1312"/>
      <c r="N668" s="2634"/>
    </row>
    <row r="669" spans="1:17" ht="18.75" hidden="1" customHeight="1" x14ac:dyDescent="0.25">
      <c r="B669" s="2630"/>
      <c r="C669" s="1146" t="s">
        <v>3829</v>
      </c>
      <c r="D669" s="1205">
        <v>1200000000</v>
      </c>
      <c r="E669" s="1070">
        <f t="shared" si="33"/>
        <v>0.8192335166564032</v>
      </c>
      <c r="F669" s="2782"/>
      <c r="G669" s="2783"/>
      <c r="H669" s="2784"/>
      <c r="I669" s="2785"/>
      <c r="J669" s="2182"/>
      <c r="K669" s="2424"/>
      <c r="L669" s="2416"/>
      <c r="M669" s="1703"/>
      <c r="N669" s="2634"/>
    </row>
    <row r="670" spans="1:17" ht="10.5" hidden="1" customHeight="1" x14ac:dyDescent="0.25">
      <c r="A670" s="352"/>
      <c r="B670" s="1242"/>
      <c r="C670" s="1200"/>
      <c r="D670" s="1025"/>
      <c r="E670" s="1070"/>
      <c r="F670" s="1025"/>
      <c r="G670" s="1025"/>
      <c r="H670" s="4114"/>
      <c r="I670" s="673"/>
      <c r="J670" s="4114"/>
      <c r="K670" s="4114"/>
      <c r="L670" s="3507"/>
      <c r="M670" s="1650"/>
      <c r="N670" s="554"/>
    </row>
    <row r="671" spans="1:17" s="1696" customFormat="1" ht="20.25" hidden="1" customHeight="1" x14ac:dyDescent="0.25">
      <c r="A671" s="350"/>
      <c r="B671" s="1242"/>
      <c r="C671" s="1200" t="s">
        <v>3633</v>
      </c>
      <c r="D671" s="1025">
        <f>SUM(D672:D681)</f>
        <v>2150000000</v>
      </c>
      <c r="E671" s="1023">
        <f t="shared" si="33"/>
        <v>1.4677933840093893</v>
      </c>
      <c r="F671" s="1025"/>
      <c r="G671" s="1379"/>
      <c r="H671" s="1379"/>
      <c r="I671" s="1379"/>
      <c r="J671" s="1025"/>
      <c r="K671" s="1704"/>
      <c r="L671" s="1308"/>
      <c r="M671" s="1650"/>
      <c r="N671" s="2626"/>
      <c r="P671" s="2002"/>
      <c r="Q671" s="2002"/>
    </row>
    <row r="672" spans="1:17" ht="19.5" hidden="1" customHeight="1" x14ac:dyDescent="0.25">
      <c r="A672" s="352"/>
      <c r="B672" s="1242"/>
      <c r="C672" s="1196" t="s">
        <v>3830</v>
      </c>
      <c r="D672" s="939">
        <v>150000000</v>
      </c>
      <c r="E672" s="1070">
        <f t="shared" si="33"/>
        <v>0.1024041895820504</v>
      </c>
      <c r="F672" s="939"/>
      <c r="G672" s="971"/>
      <c r="H672" s="971"/>
      <c r="I672" s="971"/>
      <c r="J672" s="939"/>
      <c r="K672" s="2202"/>
      <c r="L672" s="1310"/>
      <c r="M672" s="1312"/>
      <c r="N672" s="554"/>
    </row>
    <row r="673" spans="1:17" ht="18.75" hidden="1" customHeight="1" x14ac:dyDescent="0.25">
      <c r="A673" s="352"/>
      <c r="B673" s="1242"/>
      <c r="C673" s="1196" t="s">
        <v>3831</v>
      </c>
      <c r="D673" s="939">
        <v>150000000</v>
      </c>
      <c r="E673" s="1070">
        <f t="shared" si="33"/>
        <v>0.1024041895820504</v>
      </c>
      <c r="F673" s="939"/>
      <c r="G673" s="967"/>
      <c r="H673" s="1070"/>
      <c r="I673" s="755"/>
      <c r="J673" s="939"/>
      <c r="K673" s="2202"/>
      <c r="L673" s="1310"/>
      <c r="M673" s="1312"/>
      <c r="N673" s="554"/>
    </row>
    <row r="674" spans="1:17" ht="19.5" hidden="1" customHeight="1" x14ac:dyDescent="0.25">
      <c r="B674" s="2630"/>
      <c r="C674" s="1146" t="s">
        <v>3832</v>
      </c>
      <c r="D674" s="1205">
        <v>150000000</v>
      </c>
      <c r="E674" s="1070">
        <f t="shared" si="33"/>
        <v>0.1024041895820504</v>
      </c>
      <c r="F674" s="2782"/>
      <c r="G674" s="2783"/>
      <c r="H674" s="2784"/>
      <c r="I674" s="2785"/>
      <c r="J674" s="2182"/>
      <c r="K674" s="2424"/>
      <c r="L674" s="2416"/>
      <c r="M674" s="1703"/>
      <c r="N674" s="2634"/>
    </row>
    <row r="675" spans="1:17" s="3504" customFormat="1" ht="19.5" hidden="1" customHeight="1" x14ac:dyDescent="0.25">
      <c r="A675" s="303"/>
      <c r="B675" s="2630"/>
      <c r="C675" s="509" t="s">
        <v>3833</v>
      </c>
      <c r="D675" s="1057">
        <v>150000000</v>
      </c>
      <c r="E675" s="1070">
        <f t="shared" si="33"/>
        <v>0.1024041895820504</v>
      </c>
      <c r="F675" s="2858"/>
      <c r="G675" s="3530"/>
      <c r="H675" s="3531"/>
      <c r="I675" s="3532"/>
      <c r="J675" s="1315"/>
      <c r="K675" s="2429"/>
      <c r="L675" s="2415"/>
      <c r="M675" s="1717"/>
      <c r="N675" s="2634"/>
      <c r="P675" s="522"/>
      <c r="Q675" s="522"/>
    </row>
    <row r="676" spans="1:17" s="3504" customFormat="1" ht="17.25" hidden="1" customHeight="1" x14ac:dyDescent="0.25">
      <c r="A676" s="303"/>
      <c r="B676" s="2630"/>
      <c r="C676" s="509" t="s">
        <v>3834</v>
      </c>
      <c r="D676" s="1057">
        <v>150000000</v>
      </c>
      <c r="E676" s="1070">
        <f t="shared" si="33"/>
        <v>0.1024041895820504</v>
      </c>
      <c r="F676" s="2858"/>
      <c r="G676" s="3530"/>
      <c r="H676" s="3531"/>
      <c r="I676" s="3532"/>
      <c r="J676" s="1315"/>
      <c r="K676" s="2429"/>
      <c r="L676" s="2415"/>
      <c r="M676" s="1717"/>
      <c r="N676" s="2634"/>
      <c r="P676" s="522"/>
      <c r="Q676" s="522"/>
    </row>
    <row r="677" spans="1:17" s="3504" customFormat="1" ht="26.25" hidden="1" customHeight="1" x14ac:dyDescent="0.25">
      <c r="A677" s="303"/>
      <c r="B677" s="2630"/>
      <c r="C677" s="509" t="s">
        <v>3835</v>
      </c>
      <c r="D677" s="1057">
        <v>300000000</v>
      </c>
      <c r="E677" s="1070">
        <f t="shared" si="33"/>
        <v>0.2048083791641008</v>
      </c>
      <c r="F677" s="2858"/>
      <c r="G677" s="3530"/>
      <c r="H677" s="3531"/>
      <c r="I677" s="3532"/>
      <c r="J677" s="1315"/>
      <c r="K677" s="2429"/>
      <c r="L677" s="2415"/>
      <c r="M677" s="1717"/>
      <c r="N677" s="2634"/>
      <c r="P677" s="522"/>
      <c r="Q677" s="522"/>
    </row>
    <row r="678" spans="1:17" s="3504" customFormat="1" ht="16.5" hidden="1" customHeight="1" x14ac:dyDescent="0.25">
      <c r="A678" s="303"/>
      <c r="B678" s="2630"/>
      <c r="C678" s="509" t="s">
        <v>3836</v>
      </c>
      <c r="D678" s="1057">
        <v>300000000</v>
      </c>
      <c r="E678" s="1070">
        <f t="shared" si="33"/>
        <v>0.2048083791641008</v>
      </c>
      <c r="F678" s="2858"/>
      <c r="G678" s="3530"/>
      <c r="H678" s="3531"/>
      <c r="I678" s="3532"/>
      <c r="J678" s="1315"/>
      <c r="K678" s="2429"/>
      <c r="L678" s="2415"/>
      <c r="M678" s="1717"/>
      <c r="N678" s="2634"/>
      <c r="P678" s="522"/>
      <c r="Q678" s="522"/>
    </row>
    <row r="679" spans="1:17" s="3504" customFormat="1" ht="18.75" hidden="1" customHeight="1" x14ac:dyDescent="0.25">
      <c r="A679" s="303"/>
      <c r="B679" s="2630"/>
      <c r="C679" s="509" t="s">
        <v>3837</v>
      </c>
      <c r="D679" s="1057">
        <v>500000000</v>
      </c>
      <c r="E679" s="1070">
        <f t="shared" si="33"/>
        <v>0.34134729860683471</v>
      </c>
      <c r="F679" s="2858"/>
      <c r="G679" s="3530"/>
      <c r="H679" s="3531"/>
      <c r="I679" s="3532"/>
      <c r="J679" s="1315"/>
      <c r="K679" s="2429"/>
      <c r="L679" s="2415"/>
      <c r="M679" s="1717"/>
      <c r="N679" s="2634"/>
      <c r="P679" s="522"/>
      <c r="Q679" s="522"/>
    </row>
    <row r="680" spans="1:17" s="3504" customFormat="1" ht="15.75" hidden="1" customHeight="1" x14ac:dyDescent="0.25">
      <c r="A680" s="303"/>
      <c r="B680" s="2630"/>
      <c r="C680" s="509" t="s">
        <v>3838</v>
      </c>
      <c r="D680" s="1057">
        <v>150000000</v>
      </c>
      <c r="E680" s="1070">
        <f t="shared" si="33"/>
        <v>0.1024041895820504</v>
      </c>
      <c r="F680" s="2858"/>
      <c r="G680" s="3530"/>
      <c r="H680" s="3531"/>
      <c r="I680" s="3532"/>
      <c r="J680" s="1315"/>
      <c r="K680" s="2429"/>
      <c r="L680" s="2415"/>
      <c r="M680" s="1717"/>
      <c r="N680" s="2634"/>
      <c r="P680" s="522"/>
      <c r="Q680" s="522"/>
    </row>
    <row r="681" spans="1:17" s="3504" customFormat="1" ht="16.5" hidden="1" customHeight="1" x14ac:dyDescent="0.25">
      <c r="A681" s="303"/>
      <c r="B681" s="2630"/>
      <c r="C681" s="509" t="s">
        <v>3839</v>
      </c>
      <c r="D681" s="1057">
        <v>150000000</v>
      </c>
      <c r="E681" s="1070">
        <f t="shared" si="33"/>
        <v>0.1024041895820504</v>
      </c>
      <c r="F681" s="2858"/>
      <c r="G681" s="3530"/>
      <c r="H681" s="3531"/>
      <c r="I681" s="3532"/>
      <c r="J681" s="1315"/>
      <c r="K681" s="2429"/>
      <c r="L681" s="2415"/>
      <c r="M681" s="1717"/>
      <c r="N681" s="2634"/>
      <c r="P681" s="522"/>
      <c r="Q681" s="522"/>
    </row>
    <row r="682" spans="1:17" s="3504" customFormat="1" ht="12" hidden="1" customHeight="1" x14ac:dyDescent="0.25">
      <c r="A682" s="303"/>
      <c r="B682" s="2630"/>
      <c r="C682" s="509"/>
      <c r="D682" s="1057"/>
      <c r="E682" s="1070"/>
      <c r="F682" s="2858"/>
      <c r="G682" s="3530"/>
      <c r="H682" s="3531"/>
      <c r="I682" s="3532"/>
      <c r="J682" s="1315"/>
      <c r="K682" s="2429"/>
      <c r="L682" s="2415"/>
      <c r="M682" s="1717"/>
      <c r="N682" s="2634"/>
      <c r="P682" s="522"/>
      <c r="Q682" s="522"/>
    </row>
    <row r="683" spans="1:17" s="1696" customFormat="1" ht="19.5" hidden="1" customHeight="1" x14ac:dyDescent="0.25">
      <c r="B683" s="2630"/>
      <c r="C683" s="1132" t="s">
        <v>2295</v>
      </c>
      <c r="D683" s="1025">
        <f>SUM(D684:D689)</f>
        <v>1500000000</v>
      </c>
      <c r="E683" s="1023">
        <f t="shared" si="33"/>
        <v>1.024041895820504</v>
      </c>
      <c r="F683" s="2858"/>
      <c r="G683" s="3530"/>
      <c r="H683" s="2494"/>
      <c r="I683" s="3533"/>
      <c r="J683" s="2261"/>
      <c r="K683" s="2713"/>
      <c r="L683" s="3507"/>
      <c r="M683" s="2261"/>
      <c r="N683" s="2623"/>
      <c r="P683" s="2002"/>
      <c r="Q683" s="2002"/>
    </row>
    <row r="684" spans="1:17" s="3504" customFormat="1" ht="19.5" hidden="1" customHeight="1" x14ac:dyDescent="0.25">
      <c r="A684" s="303"/>
      <c r="B684" s="2630"/>
      <c r="C684" s="509" t="s">
        <v>3840</v>
      </c>
      <c r="D684" s="1057">
        <v>250000000</v>
      </c>
      <c r="E684" s="1070">
        <f t="shared" si="33"/>
        <v>0.17067364930341736</v>
      </c>
      <c r="F684" s="2858"/>
      <c r="G684" s="3530"/>
      <c r="H684" s="3531"/>
      <c r="I684" s="3532"/>
      <c r="J684" s="1315"/>
      <c r="K684" s="2429"/>
      <c r="L684" s="2415"/>
      <c r="M684" s="1717"/>
      <c r="N684" s="2634"/>
      <c r="P684" s="522"/>
      <c r="Q684" s="522"/>
    </row>
    <row r="685" spans="1:17" s="3504" customFormat="1" ht="19.5" hidden="1" customHeight="1" x14ac:dyDescent="0.25">
      <c r="A685" s="303"/>
      <c r="B685" s="2630"/>
      <c r="C685" s="509" t="s">
        <v>3841</v>
      </c>
      <c r="D685" s="1057">
        <v>150000000</v>
      </c>
      <c r="E685" s="1070">
        <f t="shared" si="33"/>
        <v>0.1024041895820504</v>
      </c>
      <c r="F685" s="2858"/>
      <c r="G685" s="3530"/>
      <c r="H685" s="3531"/>
      <c r="I685" s="3532"/>
      <c r="J685" s="1315"/>
      <c r="K685" s="2429"/>
      <c r="L685" s="2415"/>
      <c r="M685" s="1717"/>
      <c r="N685" s="2634"/>
      <c r="P685" s="522"/>
      <c r="Q685" s="522"/>
    </row>
    <row r="686" spans="1:17" s="3504" customFormat="1" ht="20.25" hidden="1" customHeight="1" x14ac:dyDescent="0.25">
      <c r="A686" s="303"/>
      <c r="B686" s="2630"/>
      <c r="C686" s="509" t="s">
        <v>3842</v>
      </c>
      <c r="D686" s="1057">
        <v>450000000</v>
      </c>
      <c r="E686" s="1070">
        <f t="shared" si="33"/>
        <v>0.30721256874615122</v>
      </c>
      <c r="F686" s="2858"/>
      <c r="G686" s="3530"/>
      <c r="H686" s="3531"/>
      <c r="I686" s="3532"/>
      <c r="J686" s="1315"/>
      <c r="K686" s="2429"/>
      <c r="L686" s="2415"/>
      <c r="M686" s="1717"/>
      <c r="N686" s="2634"/>
      <c r="P686" s="522"/>
      <c r="Q686" s="522"/>
    </row>
    <row r="687" spans="1:17" s="3504" customFormat="1" ht="19.5" hidden="1" customHeight="1" x14ac:dyDescent="0.25">
      <c r="A687" s="303"/>
      <c r="B687" s="2630"/>
      <c r="C687" s="509" t="s">
        <v>3843</v>
      </c>
      <c r="D687" s="1057">
        <v>250000000</v>
      </c>
      <c r="E687" s="1070">
        <f t="shared" si="33"/>
        <v>0.17067364930341736</v>
      </c>
      <c r="F687" s="2858"/>
      <c r="G687" s="3530"/>
      <c r="H687" s="3531"/>
      <c r="I687" s="3532"/>
      <c r="J687" s="1315"/>
      <c r="K687" s="2429"/>
      <c r="L687" s="2415"/>
      <c r="M687" s="1717"/>
      <c r="N687" s="2634"/>
      <c r="P687" s="522"/>
      <c r="Q687" s="522"/>
    </row>
    <row r="688" spans="1:17" s="3504" customFormat="1" ht="18.75" hidden="1" customHeight="1" x14ac:dyDescent="0.25">
      <c r="A688" s="303"/>
      <c r="B688" s="2630"/>
      <c r="C688" s="509" t="s">
        <v>3844</v>
      </c>
      <c r="D688" s="1057">
        <v>200000000</v>
      </c>
      <c r="E688" s="1070">
        <f t="shared" si="33"/>
        <v>0.13653891944273389</v>
      </c>
      <c r="F688" s="2858"/>
      <c r="G688" s="3530"/>
      <c r="H688" s="3531"/>
      <c r="I688" s="3532"/>
      <c r="J688" s="1315"/>
      <c r="K688" s="2429"/>
      <c r="L688" s="2415"/>
      <c r="M688" s="1717"/>
      <c r="N688" s="2634"/>
      <c r="P688" s="522"/>
      <c r="Q688" s="522"/>
    </row>
    <row r="689" spans="1:17" s="3504" customFormat="1" ht="18" hidden="1" customHeight="1" x14ac:dyDescent="0.25">
      <c r="A689" s="303"/>
      <c r="B689" s="2630"/>
      <c r="C689" s="509" t="s">
        <v>3845</v>
      </c>
      <c r="D689" s="1057">
        <v>200000000</v>
      </c>
      <c r="E689" s="1070">
        <f t="shared" si="33"/>
        <v>0.13653891944273389</v>
      </c>
      <c r="F689" s="2858"/>
      <c r="G689" s="3530"/>
      <c r="H689" s="3531"/>
      <c r="I689" s="3532"/>
      <c r="J689" s="1315"/>
      <c r="K689" s="2429"/>
      <c r="L689" s="2415"/>
      <c r="M689" s="1717"/>
      <c r="N689" s="2634"/>
      <c r="P689" s="522"/>
      <c r="Q689" s="522"/>
    </row>
    <row r="690" spans="1:17" s="4099" customFormat="1" ht="16.5" hidden="1" customHeight="1" x14ac:dyDescent="0.25">
      <c r="A690" s="4100"/>
      <c r="B690" s="2630"/>
      <c r="C690" s="3892"/>
      <c r="D690" s="1205"/>
      <c r="E690" s="1038"/>
      <c r="F690" s="2782"/>
      <c r="G690" s="2783"/>
      <c r="H690" s="2784"/>
      <c r="I690" s="2785"/>
      <c r="J690" s="2182"/>
      <c r="K690" s="2424"/>
      <c r="L690" s="2416"/>
      <c r="M690" s="1703"/>
      <c r="N690" s="3653"/>
      <c r="P690" s="522"/>
      <c r="Q690" s="522"/>
    </row>
    <row r="691" spans="1:17" s="3504" customFormat="1" ht="18" hidden="1" customHeight="1" x14ac:dyDescent="0.25">
      <c r="A691" s="303"/>
      <c r="B691" s="3654"/>
      <c r="C691" s="3858" t="s">
        <v>4105</v>
      </c>
      <c r="D691" s="1055">
        <f>D692</f>
        <v>3358420000</v>
      </c>
      <c r="E691" s="1039">
        <f t="shared" si="33"/>
        <v>2.2927751891743315</v>
      </c>
      <c r="F691" s="5251"/>
      <c r="G691" s="5252"/>
      <c r="H691" s="2786"/>
      <c r="I691" s="5253"/>
      <c r="J691" s="2356"/>
      <c r="K691" s="2198"/>
      <c r="L691" s="2417"/>
      <c r="M691" s="2356"/>
      <c r="N691" s="2634"/>
      <c r="P691" s="522"/>
      <c r="Q691" s="522"/>
    </row>
    <row r="692" spans="1:17" s="3504" customFormat="1" ht="19.5" hidden="1" customHeight="1" x14ac:dyDescent="0.25">
      <c r="A692" s="303"/>
      <c r="B692" s="2630"/>
      <c r="C692" s="3881" t="s">
        <v>4121</v>
      </c>
      <c r="D692" s="5246">
        <f>SUM(D693:D694)</f>
        <v>3358420000</v>
      </c>
      <c r="E692" s="1070">
        <f t="shared" si="33"/>
        <v>2.2927751891743315</v>
      </c>
      <c r="F692" s="5247"/>
      <c r="G692" s="5248"/>
      <c r="H692" s="5249"/>
      <c r="I692" s="5250"/>
      <c r="J692" s="2269"/>
      <c r="K692" s="2855"/>
      <c r="L692" s="2411"/>
      <c r="M692" s="2373"/>
      <c r="N692" s="2634"/>
      <c r="P692" s="522"/>
      <c r="Q692" s="522"/>
    </row>
    <row r="693" spans="1:17" s="3504" customFormat="1" ht="16.5" hidden="1" customHeight="1" x14ac:dyDescent="0.25">
      <c r="A693" s="303"/>
      <c r="B693" s="2630"/>
      <c r="C693" s="509" t="s">
        <v>4122</v>
      </c>
      <c r="D693" s="1057">
        <v>1600000000</v>
      </c>
      <c r="E693" s="1070">
        <f t="shared" si="33"/>
        <v>1.0923113555418711</v>
      </c>
      <c r="F693" s="2858"/>
      <c r="G693" s="3530"/>
      <c r="H693" s="3531"/>
      <c r="I693" s="3532"/>
      <c r="J693" s="1315"/>
      <c r="K693" s="2429"/>
      <c r="L693" s="2415"/>
      <c r="M693" s="1717"/>
      <c r="N693" s="2634"/>
      <c r="P693" s="522"/>
      <c r="Q693" s="522"/>
    </row>
    <row r="694" spans="1:17" s="3504" customFormat="1" ht="16.5" hidden="1" customHeight="1" x14ac:dyDescent="0.25">
      <c r="A694" s="303"/>
      <c r="B694" s="2630"/>
      <c r="C694" s="509" t="s">
        <v>4123</v>
      </c>
      <c r="D694" s="1057">
        <v>1758420000</v>
      </c>
      <c r="E694" s="1070">
        <f t="shared" si="33"/>
        <v>1.2004638336324605</v>
      </c>
      <c r="F694" s="2858"/>
      <c r="G694" s="3530"/>
      <c r="H694" s="3531"/>
      <c r="I694" s="3532"/>
      <c r="J694" s="1315"/>
      <c r="K694" s="2429"/>
      <c r="L694" s="2415"/>
      <c r="M694" s="1717"/>
      <c r="N694" s="2634"/>
      <c r="P694" s="522"/>
      <c r="Q694" s="522"/>
    </row>
    <row r="695" spans="1:17" s="3504" customFormat="1" ht="12" hidden="1" customHeight="1" x14ac:dyDescent="0.25">
      <c r="A695" s="303"/>
      <c r="B695" s="2630"/>
      <c r="C695" s="509"/>
      <c r="D695" s="1058"/>
      <c r="E695" s="939"/>
      <c r="F695" s="2858"/>
      <c r="G695" s="3530"/>
      <c r="H695" s="3531"/>
      <c r="I695" s="3532"/>
      <c r="J695" s="1315"/>
      <c r="K695" s="2429"/>
      <c r="L695" s="2415"/>
      <c r="M695" s="1717"/>
      <c r="N695" s="2634"/>
      <c r="P695" s="522"/>
      <c r="Q695" s="522"/>
    </row>
    <row r="696" spans="1:17" ht="17.25" customHeight="1" thickBot="1" x14ac:dyDescent="0.3">
      <c r="B696" s="2724"/>
      <c r="C696" s="1297" t="s">
        <v>7103</v>
      </c>
      <c r="D696" s="2797">
        <f>D698+D725+D729+D733+D741</f>
        <v>17469870084</v>
      </c>
      <c r="E696" s="2530">
        <f>D696/D83*100</f>
        <v>3.0698497683616743</v>
      </c>
      <c r="F696" s="4363"/>
      <c r="G696" s="2798"/>
      <c r="H696" s="2531"/>
      <c r="I696" s="2799"/>
      <c r="J696" s="2798"/>
      <c r="K696" s="2798"/>
      <c r="L696" s="2531"/>
      <c r="M696" s="2799"/>
      <c r="N696" s="2634"/>
    </row>
    <row r="697" spans="1:17" s="2029" customFormat="1" ht="9" hidden="1" customHeight="1" x14ac:dyDescent="0.25">
      <c r="A697" s="3048"/>
      <c r="B697" s="5158"/>
      <c r="C697" s="5284"/>
      <c r="D697" s="5285"/>
      <c r="E697" s="2404"/>
      <c r="F697" s="5286"/>
      <c r="G697" s="5287"/>
      <c r="H697" s="2408"/>
      <c r="I697" s="5288"/>
      <c r="J697" s="5287"/>
      <c r="K697" s="5287"/>
      <c r="L697" s="2408"/>
      <c r="M697" s="5288"/>
      <c r="N697" s="4875"/>
      <c r="P697" s="2142"/>
      <c r="Q697" s="2142"/>
    </row>
    <row r="698" spans="1:17" ht="18.75" hidden="1" customHeight="1" x14ac:dyDescent="0.25">
      <c r="B698" s="2743"/>
      <c r="C698" s="1209" t="s">
        <v>378</v>
      </c>
      <c r="D698" s="4147">
        <f>SUM(D699+D702+D705+D713+D716+D720)</f>
        <v>13981970160</v>
      </c>
      <c r="E698" s="2800">
        <f>D698/144432461000*100</f>
        <v>9.6806286226750657</v>
      </c>
      <c r="F698" s="2801"/>
      <c r="G698" s="2801"/>
      <c r="H698" s="2291"/>
      <c r="I698" s="2451"/>
      <c r="J698" s="1077"/>
      <c r="K698" s="1077"/>
      <c r="L698" s="2289"/>
      <c r="M698" s="2451"/>
      <c r="N698" s="2634"/>
    </row>
    <row r="699" spans="1:17" ht="15.75" hidden="1" customHeight="1" x14ac:dyDescent="0.25">
      <c r="B699" s="2630"/>
      <c r="C699" s="3949" t="s">
        <v>5702</v>
      </c>
      <c r="D699" s="673">
        <f>SUM(D700:D700)</f>
        <v>500000000</v>
      </c>
      <c r="E699" s="2802">
        <f>D699/144432461000*100</f>
        <v>0.34618256625842581</v>
      </c>
      <c r="F699" s="2697"/>
      <c r="G699" s="2697"/>
      <c r="H699" s="1650"/>
      <c r="I699" s="2006"/>
      <c r="J699" s="541"/>
      <c r="K699" s="541"/>
      <c r="L699" s="1415"/>
      <c r="M699" s="2006"/>
      <c r="N699" s="2634"/>
    </row>
    <row r="700" spans="1:17" ht="15.75" hidden="1" customHeight="1" x14ac:dyDescent="0.25">
      <c r="B700" s="2630"/>
      <c r="C700" s="3950" t="s">
        <v>5703</v>
      </c>
      <c r="D700" s="1078">
        <v>500000000</v>
      </c>
      <c r="E700" s="2803">
        <f>D700/144432461000*100</f>
        <v>0.34618256625842581</v>
      </c>
      <c r="F700" s="2804"/>
      <c r="G700" s="1395"/>
      <c r="H700" s="1312"/>
      <c r="I700" s="2230"/>
      <c r="J700" s="2453"/>
      <c r="K700" s="2035"/>
      <c r="L700" s="880"/>
      <c r="M700" s="2230"/>
      <c r="N700" s="2634"/>
    </row>
    <row r="701" spans="1:17" ht="12.75" hidden="1" customHeight="1" x14ac:dyDescent="0.25">
      <c r="B701" s="2630"/>
      <c r="C701" s="3950"/>
      <c r="D701" s="1078"/>
      <c r="E701" s="2803"/>
      <c r="F701" s="2804"/>
      <c r="G701" s="1395"/>
      <c r="H701" s="1312"/>
      <c r="I701" s="2230"/>
      <c r="J701" s="2453"/>
      <c r="K701" s="2035"/>
      <c r="L701" s="880"/>
      <c r="M701" s="2230"/>
      <c r="N701" s="2634"/>
    </row>
    <row r="702" spans="1:17" ht="21.75" hidden="1" customHeight="1" x14ac:dyDescent="0.25">
      <c r="B702" s="2630"/>
      <c r="C702" s="3949" t="s">
        <v>5704</v>
      </c>
      <c r="D702" s="673">
        <f>D703</f>
        <v>184666886</v>
      </c>
      <c r="E702" s="2802">
        <f t="shared" ref="E702:E723" si="34">D702/144432461000*100</f>
        <v>0.12785691299686433</v>
      </c>
      <c r="F702" s="2805"/>
      <c r="G702" s="2429"/>
      <c r="H702" s="2467"/>
      <c r="I702" s="2003"/>
      <c r="J702" s="2452"/>
      <c r="K702" s="1717"/>
      <c r="L702" s="2456"/>
      <c r="M702" s="2003"/>
      <c r="N702" s="2634"/>
    </row>
    <row r="703" spans="1:17" ht="30" hidden="1" customHeight="1" x14ac:dyDescent="0.25">
      <c r="B703" s="2630"/>
      <c r="C703" s="3950" t="s">
        <v>5716</v>
      </c>
      <c r="D703" s="1078">
        <v>184666886</v>
      </c>
      <c r="E703" s="2803">
        <f t="shared" si="34"/>
        <v>0.12785691299686433</v>
      </c>
      <c r="F703" s="2697"/>
      <c r="G703" s="2697"/>
      <c r="H703" s="1650"/>
      <c r="I703" s="2006"/>
      <c r="J703" s="541"/>
      <c r="K703" s="541"/>
      <c r="L703" s="1415"/>
      <c r="M703" s="2006"/>
      <c r="N703" s="2634"/>
    </row>
    <row r="704" spans="1:17" ht="9.75" hidden="1" customHeight="1" x14ac:dyDescent="0.25">
      <c r="B704" s="2630"/>
      <c r="C704" s="3951"/>
      <c r="D704" s="666"/>
      <c r="E704" s="2803"/>
      <c r="F704" s="2806"/>
      <c r="G704" s="1080"/>
      <c r="H704" s="1312"/>
      <c r="I704" s="2230"/>
      <c r="J704" s="2807"/>
      <c r="K704" s="2807"/>
      <c r="L704" s="880"/>
      <c r="M704" s="2230"/>
      <c r="N704" s="2634"/>
    </row>
    <row r="705" spans="1:17" ht="19.5" hidden="1" customHeight="1" x14ac:dyDescent="0.25">
      <c r="B705" s="2630"/>
      <c r="C705" s="3949" t="s">
        <v>366</v>
      </c>
      <c r="D705" s="673">
        <f>SUM(D706:D711)</f>
        <v>12020713563</v>
      </c>
      <c r="E705" s="2802">
        <f t="shared" si="34"/>
        <v>8.3227229389936106</v>
      </c>
      <c r="F705" s="1409"/>
      <c r="G705" s="2429"/>
      <c r="H705" s="2467"/>
      <c r="I705" s="2003"/>
      <c r="J705" s="2452"/>
      <c r="K705" s="1717"/>
      <c r="L705" s="2456"/>
      <c r="M705" s="2003"/>
      <c r="N705" s="2634"/>
    </row>
    <row r="706" spans="1:17" ht="16.5" hidden="1" customHeight="1" x14ac:dyDescent="0.25">
      <c r="B706" s="2630"/>
      <c r="C706" s="3950" t="s">
        <v>5706</v>
      </c>
      <c r="D706" s="666">
        <v>1800000000</v>
      </c>
      <c r="E706" s="2803">
        <f t="shared" si="34"/>
        <v>1.246257238530333</v>
      </c>
      <c r="F706" s="2697"/>
      <c r="G706" s="2697"/>
      <c r="H706" s="1650"/>
      <c r="I706" s="2006"/>
      <c r="J706" s="541"/>
      <c r="K706" s="541"/>
      <c r="L706" s="1415"/>
      <c r="M706" s="2006"/>
      <c r="N706" s="2634"/>
    </row>
    <row r="707" spans="1:17" ht="18" hidden="1" customHeight="1" x14ac:dyDescent="0.25">
      <c r="B707" s="2630"/>
      <c r="C707" s="4310" t="s">
        <v>5707</v>
      </c>
      <c r="D707" s="666">
        <v>1698690503</v>
      </c>
      <c r="E707" s="2803">
        <f t="shared" si="34"/>
        <v>1.1761140752147121</v>
      </c>
      <c r="F707" s="1409"/>
      <c r="G707" s="1395"/>
      <c r="H707" s="1312"/>
      <c r="I707" s="2230"/>
      <c r="J707" s="2807"/>
      <c r="K707" s="2807"/>
      <c r="L707" s="880"/>
      <c r="M707" s="2230"/>
      <c r="N707" s="2634"/>
    </row>
    <row r="708" spans="1:17" ht="15" hidden="1" customHeight="1" x14ac:dyDescent="0.25">
      <c r="B708" s="2630"/>
      <c r="C708" s="4310" t="s">
        <v>5717</v>
      </c>
      <c r="D708" s="666">
        <v>308835000</v>
      </c>
      <c r="E708" s="2803">
        <f t="shared" si="34"/>
        <v>0.21382658570084184</v>
      </c>
      <c r="F708" s="1409"/>
      <c r="G708" s="2429"/>
      <c r="H708" s="2467"/>
      <c r="I708" s="2003"/>
      <c r="J708" s="2452"/>
      <c r="K708" s="1717"/>
      <c r="L708" s="2456"/>
      <c r="M708" s="2003"/>
      <c r="N708" s="2634"/>
    </row>
    <row r="709" spans="1:17" ht="17.25" hidden="1" customHeight="1" x14ac:dyDescent="0.25">
      <c r="B709" s="2630"/>
      <c r="C709" s="4310" t="s">
        <v>5718</v>
      </c>
      <c r="D709" s="666">
        <v>93188060</v>
      </c>
      <c r="E709" s="2803">
        <f t="shared" si="34"/>
        <v>6.4520163510888323E-2</v>
      </c>
      <c r="F709" s="2697"/>
      <c r="G709" s="2757"/>
      <c r="H709" s="2377"/>
      <c r="I709" s="2377"/>
      <c r="J709" s="541"/>
      <c r="K709" s="965"/>
      <c r="L709" s="966"/>
      <c r="M709" s="965"/>
      <c r="N709" s="2634"/>
    </row>
    <row r="710" spans="1:17" ht="17.25" hidden="1" customHeight="1" x14ac:dyDescent="0.25">
      <c r="B710" s="2630"/>
      <c r="C710" s="4310" t="s">
        <v>5719</v>
      </c>
      <c r="D710" s="666">
        <v>6120000000</v>
      </c>
      <c r="E710" s="2803">
        <f t="shared" si="34"/>
        <v>4.2372746110031319</v>
      </c>
      <c r="F710" s="2804"/>
      <c r="G710" s="2755"/>
      <c r="H710" s="2372"/>
      <c r="I710" s="2372"/>
      <c r="J710" s="2807"/>
      <c r="K710" s="1238"/>
      <c r="L710" s="971"/>
      <c r="M710" s="1238"/>
      <c r="N710" s="2634"/>
    </row>
    <row r="711" spans="1:17" ht="17.25" hidden="1" customHeight="1" x14ac:dyDescent="0.25">
      <c r="B711" s="2627"/>
      <c r="C711" s="4310" t="s">
        <v>5720</v>
      </c>
      <c r="D711" s="666">
        <v>2000000000</v>
      </c>
      <c r="E711" s="2803">
        <f t="shared" si="34"/>
        <v>1.3847302650337032</v>
      </c>
      <c r="F711" s="2809"/>
      <c r="G711" s="2696"/>
      <c r="H711" s="2479"/>
      <c r="I711" s="2466"/>
      <c r="J711" s="2465"/>
      <c r="K711" s="2696"/>
      <c r="L711" s="2479"/>
      <c r="M711" s="2466"/>
      <c r="N711" s="2634"/>
    </row>
    <row r="712" spans="1:17" s="4099" customFormat="1" ht="12" hidden="1" customHeight="1" x14ac:dyDescent="0.25">
      <c r="A712" s="4100"/>
      <c r="B712" s="2630"/>
      <c r="C712" s="3951"/>
      <c r="D712" s="666"/>
      <c r="E712" s="2803"/>
      <c r="F712" s="1409"/>
      <c r="G712" s="2429"/>
      <c r="H712" s="2456"/>
      <c r="I712" s="2483"/>
      <c r="J712" s="2452"/>
      <c r="K712" s="2429"/>
      <c r="L712" s="2456"/>
      <c r="M712" s="2483"/>
      <c r="N712" s="3653"/>
      <c r="P712" s="522"/>
      <c r="Q712" s="522"/>
    </row>
    <row r="713" spans="1:17" s="4099" customFormat="1" ht="19.5" hidden="1" customHeight="1" x14ac:dyDescent="0.25">
      <c r="A713" s="4100"/>
      <c r="B713" s="2630"/>
      <c r="C713" s="4311" t="s">
        <v>280</v>
      </c>
      <c r="D713" s="673">
        <f>D714</f>
        <v>271181000</v>
      </c>
      <c r="E713" s="2802">
        <f t="shared" si="34"/>
        <v>0.18775626900105233</v>
      </c>
      <c r="F713" s="1409"/>
      <c r="G713" s="2429"/>
      <c r="H713" s="2456"/>
      <c r="I713" s="2483"/>
      <c r="J713" s="2452"/>
      <c r="K713" s="2429"/>
      <c r="L713" s="2456"/>
      <c r="M713" s="2483"/>
      <c r="N713" s="3653"/>
      <c r="P713" s="522"/>
      <c r="Q713" s="522"/>
    </row>
    <row r="714" spans="1:17" s="4099" customFormat="1" ht="17.25" hidden="1" customHeight="1" x14ac:dyDescent="0.25">
      <c r="A714" s="4100"/>
      <c r="B714" s="2630"/>
      <c r="C714" s="4310" t="s">
        <v>5721</v>
      </c>
      <c r="D714" s="666">
        <v>271181000</v>
      </c>
      <c r="E714" s="2803">
        <f t="shared" si="34"/>
        <v>0.18775626900105233</v>
      </c>
      <c r="F714" s="1409"/>
      <c r="G714" s="2429"/>
      <c r="H714" s="2456"/>
      <c r="I714" s="2483"/>
      <c r="J714" s="2452"/>
      <c r="K714" s="2429"/>
      <c r="L714" s="2456"/>
      <c r="M714" s="2483"/>
      <c r="N714" s="3653"/>
      <c r="P714" s="522"/>
      <c r="Q714" s="522"/>
    </row>
    <row r="715" spans="1:17" s="4099" customFormat="1" ht="12" hidden="1" customHeight="1" x14ac:dyDescent="0.25">
      <c r="A715" s="4100"/>
      <c r="B715" s="2630"/>
      <c r="C715" s="3951"/>
      <c r="D715" s="666"/>
      <c r="E715" s="2803"/>
      <c r="F715" s="1409"/>
      <c r="G715" s="2429"/>
      <c r="H715" s="2456"/>
      <c r="I715" s="2483"/>
      <c r="J715" s="2452"/>
      <c r="K715" s="2429"/>
      <c r="L715" s="2456"/>
      <c r="M715" s="2483"/>
      <c r="N715" s="3653"/>
      <c r="P715" s="522"/>
      <c r="Q715" s="522"/>
    </row>
    <row r="716" spans="1:17" s="4099" customFormat="1" ht="17.25" hidden="1" customHeight="1" x14ac:dyDescent="0.25">
      <c r="A716" s="4100"/>
      <c r="B716" s="2630"/>
      <c r="C716" s="4311" t="s">
        <v>392</v>
      </c>
      <c r="D716" s="673">
        <f>SUM(D717:D718)</f>
        <v>670069051</v>
      </c>
      <c r="E716" s="2803">
        <f t="shared" si="34"/>
        <v>0.46393244729105598</v>
      </c>
      <c r="F716" s="1409"/>
      <c r="G716" s="2429"/>
      <c r="H716" s="2456"/>
      <c r="I716" s="2483"/>
      <c r="J716" s="2452"/>
      <c r="K716" s="2429"/>
      <c r="L716" s="2456"/>
      <c r="M716" s="2483"/>
      <c r="N716" s="3653"/>
      <c r="P716" s="522"/>
      <c r="Q716" s="522"/>
    </row>
    <row r="717" spans="1:17" s="4099" customFormat="1" ht="17.25" hidden="1" customHeight="1" x14ac:dyDescent="0.25">
      <c r="A717" s="4100"/>
      <c r="B717" s="2630"/>
      <c r="C717" s="4310" t="s">
        <v>5722</v>
      </c>
      <c r="D717" s="666">
        <v>278771000</v>
      </c>
      <c r="E717" s="2803">
        <f t="shared" si="34"/>
        <v>0.19301132035685525</v>
      </c>
      <c r="F717" s="1409"/>
      <c r="G717" s="2429"/>
      <c r="H717" s="2456"/>
      <c r="I717" s="2483"/>
      <c r="J717" s="2452"/>
      <c r="K717" s="2429"/>
      <c r="L717" s="2456"/>
      <c r="M717" s="2483"/>
      <c r="N717" s="3653"/>
      <c r="P717" s="522"/>
      <c r="Q717" s="522"/>
    </row>
    <row r="718" spans="1:17" s="4099" customFormat="1" ht="17.25" hidden="1" customHeight="1" x14ac:dyDescent="0.25">
      <c r="A718" s="4100"/>
      <c r="B718" s="2630"/>
      <c r="C718" s="4310" t="s">
        <v>5723</v>
      </c>
      <c r="D718" s="666">
        <v>391298051</v>
      </c>
      <c r="E718" s="2803">
        <f t="shared" si="34"/>
        <v>0.27092112693420073</v>
      </c>
      <c r="F718" s="1409"/>
      <c r="G718" s="2429"/>
      <c r="H718" s="2456"/>
      <c r="I718" s="2483"/>
      <c r="J718" s="2452"/>
      <c r="K718" s="2429"/>
      <c r="L718" s="2456"/>
      <c r="M718" s="2483"/>
      <c r="N718" s="3653"/>
      <c r="P718" s="522"/>
      <c r="Q718" s="522"/>
    </row>
    <row r="719" spans="1:17" s="4099" customFormat="1" ht="12" hidden="1" customHeight="1" x14ac:dyDescent="0.25">
      <c r="A719" s="4100"/>
      <c r="B719" s="2630"/>
      <c r="C719" s="3951"/>
      <c r="D719" s="666"/>
      <c r="E719" s="2803"/>
      <c r="F719" s="1409"/>
      <c r="G719" s="2429"/>
      <c r="H719" s="2456"/>
      <c r="I719" s="2483"/>
      <c r="J719" s="2452"/>
      <c r="K719" s="2429"/>
      <c r="L719" s="2456"/>
      <c r="M719" s="2483"/>
      <c r="N719" s="3653"/>
      <c r="P719" s="522"/>
      <c r="Q719" s="522"/>
    </row>
    <row r="720" spans="1:17" s="4099" customFormat="1" ht="17.25" hidden="1" customHeight="1" x14ac:dyDescent="0.25">
      <c r="A720" s="4100"/>
      <c r="B720" s="2630"/>
      <c r="C720" s="4311" t="s">
        <v>2290</v>
      </c>
      <c r="D720" s="673">
        <f>SUM(D721:D723)</f>
        <v>335339660</v>
      </c>
      <c r="E720" s="2802">
        <f t="shared" si="34"/>
        <v>0.23217748813405595</v>
      </c>
      <c r="F720" s="1409"/>
      <c r="G720" s="2429"/>
      <c r="H720" s="2456"/>
      <c r="I720" s="2483"/>
      <c r="J720" s="2452"/>
      <c r="K720" s="2429"/>
      <c r="L720" s="2456"/>
      <c r="M720" s="2483"/>
      <c r="N720" s="3653"/>
      <c r="P720" s="522"/>
      <c r="Q720" s="522"/>
    </row>
    <row r="721" spans="1:17" s="4099" customFormat="1" ht="17.25" hidden="1" customHeight="1" x14ac:dyDescent="0.25">
      <c r="A721" s="4100"/>
      <c r="B721" s="2630"/>
      <c r="C721" s="4310" t="s">
        <v>5724</v>
      </c>
      <c r="D721" s="666">
        <v>101488000</v>
      </c>
      <c r="E721" s="2803">
        <f t="shared" si="34"/>
        <v>7.026675256887023E-2</v>
      </c>
      <c r="F721" s="1409"/>
      <c r="G721" s="2429"/>
      <c r="H721" s="2456"/>
      <c r="I721" s="2483"/>
      <c r="J721" s="2452"/>
      <c r="K721" s="2429"/>
      <c r="L721" s="2456"/>
      <c r="M721" s="2483"/>
      <c r="N721" s="3653"/>
      <c r="P721" s="522"/>
      <c r="Q721" s="522"/>
    </row>
    <row r="722" spans="1:17" s="4099" customFormat="1" ht="17.25" hidden="1" customHeight="1" x14ac:dyDescent="0.25">
      <c r="A722" s="4100"/>
      <c r="B722" s="2630"/>
      <c r="C722" s="4310" t="s">
        <v>5725</v>
      </c>
      <c r="D722" s="666">
        <v>109635660</v>
      </c>
      <c r="E722" s="2803">
        <f t="shared" si="34"/>
        <v>7.5907908264472496E-2</v>
      </c>
      <c r="F722" s="1409"/>
      <c r="G722" s="2429"/>
      <c r="H722" s="2456"/>
      <c r="I722" s="2483"/>
      <c r="J722" s="2452"/>
      <c r="K722" s="2429"/>
      <c r="L722" s="2456"/>
      <c r="M722" s="2483"/>
      <c r="N722" s="3653"/>
      <c r="P722" s="522"/>
      <c r="Q722" s="522"/>
    </row>
    <row r="723" spans="1:17" s="4099" customFormat="1" ht="15.75" hidden="1" customHeight="1" x14ac:dyDescent="0.25">
      <c r="A723" s="4100"/>
      <c r="B723" s="2630"/>
      <c r="C723" s="4310" t="s">
        <v>5726</v>
      </c>
      <c r="D723" s="666">
        <v>124216000</v>
      </c>
      <c r="E723" s="2803">
        <f t="shared" si="34"/>
        <v>8.6002827300713236E-2</v>
      </c>
      <c r="F723" s="1409"/>
      <c r="G723" s="2429"/>
      <c r="H723" s="2456"/>
      <c r="I723" s="2483"/>
      <c r="J723" s="2452"/>
      <c r="K723" s="2429"/>
      <c r="L723" s="2456"/>
      <c r="M723" s="2483"/>
      <c r="N723" s="3653"/>
      <c r="P723" s="522"/>
      <c r="Q723" s="522"/>
    </row>
    <row r="724" spans="1:17" s="4099" customFormat="1" ht="12" hidden="1" customHeight="1" x14ac:dyDescent="0.25">
      <c r="A724" s="4100"/>
      <c r="B724" s="2630"/>
      <c r="C724" s="4362"/>
      <c r="D724" s="671"/>
      <c r="E724" s="3135"/>
      <c r="F724" s="2695"/>
      <c r="G724" s="2761"/>
      <c r="H724" s="2470"/>
      <c r="I724" s="2004"/>
      <c r="J724" s="2460"/>
      <c r="K724" s="2761"/>
      <c r="L724" s="2470"/>
      <c r="M724" s="2004"/>
      <c r="N724" s="3653"/>
      <c r="P724" s="522"/>
      <c r="Q724" s="522"/>
    </row>
    <row r="725" spans="1:17" ht="18.75" hidden="1" customHeight="1" x14ac:dyDescent="0.25">
      <c r="B725" s="2635"/>
      <c r="C725" s="3906" t="s">
        <v>5837</v>
      </c>
      <c r="D725" s="669">
        <f>SUM(D726)</f>
        <v>789700000</v>
      </c>
      <c r="E725" s="2810">
        <f>D725/144432461000*100</f>
        <v>0.54676074514855777</v>
      </c>
      <c r="F725" s="2686"/>
      <c r="G725" s="2760"/>
      <c r="H725" s="2811"/>
      <c r="I725" s="2811"/>
      <c r="J725" s="2686"/>
      <c r="K725" s="2686"/>
      <c r="L725" s="1462"/>
      <c r="M725" s="2462"/>
      <c r="N725" s="2634"/>
    </row>
    <row r="726" spans="1:17" ht="18.75" hidden="1" customHeight="1" x14ac:dyDescent="0.25">
      <c r="B726" s="2653"/>
      <c r="C726" s="4102" t="s">
        <v>5835</v>
      </c>
      <c r="D726" s="1942">
        <f>D727</f>
        <v>789700000</v>
      </c>
      <c r="E726" s="2802">
        <f>D726/144432461000*100</f>
        <v>0.54676074514855777</v>
      </c>
      <c r="F726" s="2812"/>
      <c r="G726" s="2813"/>
      <c r="H726" s="2376"/>
      <c r="I726" s="2376"/>
      <c r="J726" s="2812"/>
      <c r="K726" s="2812"/>
      <c r="L726" s="1659"/>
      <c r="M726" s="2464"/>
      <c r="N726" s="2634"/>
    </row>
    <row r="727" spans="1:17" ht="16.5" hidden="1" customHeight="1" x14ac:dyDescent="0.25">
      <c r="B727" s="2624"/>
      <c r="C727" s="4106" t="s">
        <v>5836</v>
      </c>
      <c r="D727" s="666">
        <v>789700000</v>
      </c>
      <c r="E727" s="2803">
        <f>D727/144432461000*100</f>
        <v>0.54676074514855777</v>
      </c>
      <c r="F727" s="1409"/>
      <c r="G727" s="2755"/>
      <c r="H727" s="3798"/>
      <c r="I727" s="3798"/>
      <c r="J727" s="542"/>
      <c r="K727" s="2814"/>
      <c r="L727" s="1310"/>
      <c r="M727" s="2302"/>
      <c r="N727" s="2634"/>
    </row>
    <row r="728" spans="1:17" s="4099" customFormat="1" ht="16.5" hidden="1" customHeight="1" x14ac:dyDescent="0.25">
      <c r="A728" s="4100"/>
      <c r="B728" s="2630"/>
      <c r="C728" s="4117"/>
      <c r="D728" s="671"/>
      <c r="E728" s="5278"/>
      <c r="F728" s="2695"/>
      <c r="G728" s="5272"/>
      <c r="H728" s="3375"/>
      <c r="I728" s="3375"/>
      <c r="J728" s="543"/>
      <c r="K728" s="5279"/>
      <c r="L728" s="2255"/>
      <c r="M728" s="2302"/>
      <c r="N728" s="3653"/>
      <c r="P728" s="522"/>
      <c r="Q728" s="522"/>
    </row>
    <row r="729" spans="1:17" s="4099" customFormat="1" ht="19.5" hidden="1" customHeight="1" x14ac:dyDescent="0.25">
      <c r="A729" s="4100"/>
      <c r="B729" s="3654"/>
      <c r="C729" s="3973" t="s">
        <v>5791</v>
      </c>
      <c r="D729" s="669">
        <f>D730</f>
        <v>16880000</v>
      </c>
      <c r="E729" s="2810">
        <f>D729/144432461000*100</f>
        <v>1.1687123436884455E-2</v>
      </c>
      <c r="F729" s="4133"/>
      <c r="G729" s="5273"/>
      <c r="H729" s="3365"/>
      <c r="I729" s="3365"/>
      <c r="J729" s="5274"/>
      <c r="K729" s="5275"/>
      <c r="L729" s="5277"/>
      <c r="M729" s="3273"/>
      <c r="N729" s="3653"/>
      <c r="P729" s="522"/>
      <c r="Q729" s="522"/>
    </row>
    <row r="730" spans="1:17" s="4099" customFormat="1" ht="16.5" hidden="1" customHeight="1" x14ac:dyDescent="0.25">
      <c r="A730" s="4100"/>
      <c r="B730" s="2630"/>
      <c r="C730" s="5271" t="s">
        <v>5794</v>
      </c>
      <c r="D730" s="667">
        <v>16880000</v>
      </c>
      <c r="E730" s="2802">
        <f>D730/144432461000*100</f>
        <v>1.1687123436884455E-2</v>
      </c>
      <c r="F730" s="2695"/>
      <c r="G730" s="5272"/>
      <c r="H730" s="3375"/>
      <c r="I730" s="3375"/>
      <c r="J730" s="543"/>
      <c r="K730" s="5279"/>
      <c r="L730" s="2255"/>
      <c r="M730" s="2302"/>
      <c r="N730" s="3653"/>
      <c r="P730" s="522"/>
      <c r="Q730" s="522"/>
    </row>
    <row r="731" spans="1:17" s="4099" customFormat="1" ht="16.5" hidden="1" customHeight="1" x14ac:dyDescent="0.25">
      <c r="A731" s="4100"/>
      <c r="B731" s="2630"/>
      <c r="C731" s="4104" t="s">
        <v>5795</v>
      </c>
      <c r="D731" s="666">
        <v>16880000</v>
      </c>
      <c r="E731" s="2803">
        <f>D731/144432461000*100</f>
        <v>1.1687123436884455E-2</v>
      </c>
      <c r="F731" s="1409"/>
      <c r="G731" s="2755"/>
      <c r="H731" s="3798"/>
      <c r="I731" s="3798"/>
      <c r="J731" s="542"/>
      <c r="K731" s="2035"/>
      <c r="L731" s="880"/>
      <c r="M731" s="2338"/>
      <c r="N731" s="3653"/>
      <c r="P731" s="522"/>
      <c r="Q731" s="522"/>
    </row>
    <row r="732" spans="1:17" s="4099" customFormat="1" ht="16.5" hidden="1" customHeight="1" x14ac:dyDescent="0.25">
      <c r="A732" s="4100"/>
      <c r="B732" s="2630"/>
      <c r="C732" s="4117"/>
      <c r="D732" s="671"/>
      <c r="E732" s="5278"/>
      <c r="F732" s="2695"/>
      <c r="G732" s="5272"/>
      <c r="H732" s="3375"/>
      <c r="I732" s="3375"/>
      <c r="J732" s="543"/>
      <c r="K732" s="5279"/>
      <c r="L732" s="2255"/>
      <c r="M732" s="2302"/>
      <c r="N732" s="3653"/>
      <c r="P732" s="522"/>
      <c r="Q732" s="522"/>
    </row>
    <row r="733" spans="1:17" s="4099" customFormat="1" ht="16.5" hidden="1" customHeight="1" x14ac:dyDescent="0.25">
      <c r="A733" s="4100"/>
      <c r="B733" s="3654"/>
      <c r="C733" s="3973" t="s">
        <v>5803</v>
      </c>
      <c r="D733" s="669">
        <f>SUM(D734+D738)</f>
        <v>681319000</v>
      </c>
      <c r="E733" s="2810">
        <f>D733/144432461000*100</f>
        <v>0.47172151972124882</v>
      </c>
      <c r="F733" s="4133"/>
      <c r="G733" s="5273"/>
      <c r="H733" s="3365"/>
      <c r="I733" s="3365"/>
      <c r="J733" s="5274"/>
      <c r="K733" s="5275"/>
      <c r="L733" s="5277"/>
      <c r="M733" s="3273"/>
      <c r="N733" s="3653"/>
      <c r="P733" s="522"/>
      <c r="Q733" s="522"/>
    </row>
    <row r="734" spans="1:17" s="4099" customFormat="1" ht="16.5" hidden="1" customHeight="1" x14ac:dyDescent="0.25">
      <c r="A734" s="4100"/>
      <c r="B734" s="2630"/>
      <c r="C734" s="3958" t="s">
        <v>5805</v>
      </c>
      <c r="D734" s="673">
        <f>D735+D736</f>
        <v>431799000</v>
      </c>
      <c r="E734" s="2802">
        <f>D734/144432461000*100</f>
        <v>0.29896257185564401</v>
      </c>
      <c r="F734" s="2695"/>
      <c r="G734" s="5272"/>
      <c r="H734" s="3375"/>
      <c r="I734" s="3375"/>
      <c r="J734" s="543"/>
      <c r="K734" s="5279"/>
      <c r="L734" s="2255"/>
      <c r="M734" s="2302"/>
      <c r="N734" s="3653"/>
      <c r="P734" s="522"/>
      <c r="Q734" s="522"/>
    </row>
    <row r="735" spans="1:17" s="4099" customFormat="1" ht="16.5" hidden="1" customHeight="1" x14ac:dyDescent="0.25">
      <c r="A735" s="4100"/>
      <c r="B735" s="2630"/>
      <c r="C735" s="3959" t="s">
        <v>5806</v>
      </c>
      <c r="D735" s="4276">
        <v>181799000</v>
      </c>
      <c r="E735" s="2803">
        <f>D735/144432461000*100</f>
        <v>0.12587128872643111</v>
      </c>
      <c r="F735" s="1409"/>
      <c r="G735" s="2755"/>
      <c r="H735" s="3798"/>
      <c r="I735" s="3798"/>
      <c r="J735" s="542"/>
      <c r="K735" s="2035"/>
      <c r="L735" s="880"/>
      <c r="M735" s="2338"/>
      <c r="N735" s="3653"/>
      <c r="P735" s="522"/>
      <c r="Q735" s="522"/>
    </row>
    <row r="736" spans="1:17" s="4099" customFormat="1" ht="16.5" hidden="1" customHeight="1" x14ac:dyDescent="0.25">
      <c r="A736" s="4100"/>
      <c r="B736" s="2630"/>
      <c r="C736" s="3959" t="s">
        <v>5807</v>
      </c>
      <c r="D736" s="666">
        <v>250000000</v>
      </c>
      <c r="E736" s="2803">
        <f>D736/144432461000*100</f>
        <v>0.1730912831292129</v>
      </c>
      <c r="F736" s="1409"/>
      <c r="G736" s="2755"/>
      <c r="H736" s="3798"/>
      <c r="I736" s="3798"/>
      <c r="J736" s="542"/>
      <c r="K736" s="2035"/>
      <c r="L736" s="880"/>
      <c r="M736" s="2338"/>
      <c r="N736" s="3653"/>
      <c r="P736" s="522"/>
      <c r="Q736" s="522"/>
    </row>
    <row r="737" spans="1:17" s="4099" customFormat="1" ht="11.25" hidden="1" customHeight="1" x14ac:dyDescent="0.25">
      <c r="A737" s="4100"/>
      <c r="B737" s="2630"/>
      <c r="C737" s="3957"/>
      <c r="D737" s="666"/>
      <c r="E737" s="5281"/>
      <c r="F737" s="1409"/>
      <c r="G737" s="2755"/>
      <c r="H737" s="3798"/>
      <c r="I737" s="3798"/>
      <c r="J737" s="542"/>
      <c r="K737" s="2035"/>
      <c r="L737" s="880"/>
      <c r="M737" s="2338"/>
      <c r="N737" s="3653"/>
      <c r="P737" s="522"/>
      <c r="Q737" s="522"/>
    </row>
    <row r="738" spans="1:17" s="4099" customFormat="1" ht="16.5" hidden="1" customHeight="1" x14ac:dyDescent="0.25">
      <c r="A738" s="4100"/>
      <c r="B738" s="2630"/>
      <c r="C738" s="3958" t="s">
        <v>5808</v>
      </c>
      <c r="D738" s="673">
        <f>D739</f>
        <v>249520000</v>
      </c>
      <c r="E738" s="5283">
        <f>D738/144432461000*100</f>
        <v>0.17275894786560481</v>
      </c>
      <c r="F738" s="1409"/>
      <c r="G738" s="2755"/>
      <c r="H738" s="3798"/>
      <c r="I738" s="3798"/>
      <c r="J738" s="542"/>
      <c r="K738" s="2035"/>
      <c r="L738" s="880"/>
      <c r="M738" s="2338"/>
      <c r="N738" s="3653"/>
      <c r="P738" s="522"/>
      <c r="Q738" s="522"/>
    </row>
    <row r="739" spans="1:17" s="4099" customFormat="1" ht="16.5" hidden="1" customHeight="1" x14ac:dyDescent="0.25">
      <c r="A739" s="4100"/>
      <c r="B739" s="2630"/>
      <c r="C739" s="3959" t="s">
        <v>5809</v>
      </c>
      <c r="D739" s="4276">
        <v>249520000</v>
      </c>
      <c r="E739" s="5282">
        <f>D739/144432461000*100</f>
        <v>0.17275894786560481</v>
      </c>
      <c r="F739" s="1409"/>
      <c r="G739" s="2755"/>
      <c r="H739" s="3798"/>
      <c r="I739" s="3798"/>
      <c r="J739" s="542"/>
      <c r="K739" s="2035"/>
      <c r="L739" s="880"/>
      <c r="M739" s="2338"/>
      <c r="N739" s="3653"/>
      <c r="P739" s="522"/>
      <c r="Q739" s="522"/>
    </row>
    <row r="740" spans="1:17" s="4099" customFormat="1" ht="16.5" hidden="1" customHeight="1" x14ac:dyDescent="0.25">
      <c r="A740" s="4100"/>
      <c r="B740" s="2630"/>
      <c r="C740" s="3983"/>
      <c r="D740" s="671"/>
      <c r="E740" s="2803"/>
      <c r="F740" s="2695"/>
      <c r="G740" s="5272"/>
      <c r="H740" s="3375"/>
      <c r="I740" s="3375"/>
      <c r="J740" s="543"/>
      <c r="K740" s="5279"/>
      <c r="L740" s="2255"/>
      <c r="M740" s="2302"/>
      <c r="N740" s="3653"/>
      <c r="P740" s="522"/>
      <c r="Q740" s="522"/>
    </row>
    <row r="741" spans="1:17" s="4099" customFormat="1" ht="16.5" hidden="1" customHeight="1" x14ac:dyDescent="0.25">
      <c r="A741" s="4100"/>
      <c r="B741" s="3654"/>
      <c r="C741" s="3973" t="s">
        <v>5825</v>
      </c>
      <c r="D741" s="669">
        <f>D742</f>
        <v>2000000924</v>
      </c>
      <c r="E741" s="2810">
        <f>D741/144432461000*100</f>
        <v>1.3847309047790857</v>
      </c>
      <c r="F741" s="4133"/>
      <c r="G741" s="5273"/>
      <c r="H741" s="3365"/>
      <c r="I741" s="3365"/>
      <c r="J741" s="5274"/>
      <c r="K741" s="5275"/>
      <c r="L741" s="5277"/>
      <c r="M741" s="3273"/>
      <c r="N741" s="3653"/>
      <c r="P741" s="522"/>
      <c r="Q741" s="522"/>
    </row>
    <row r="742" spans="1:17" s="4099" customFormat="1" ht="16.5" hidden="1" customHeight="1" x14ac:dyDescent="0.25">
      <c r="A742" s="4100"/>
      <c r="B742" s="2630"/>
      <c r="C742" s="5276" t="s">
        <v>5830</v>
      </c>
      <c r="D742" s="4354">
        <f>SUM(D743:D744)</f>
        <v>2000000924</v>
      </c>
      <c r="E742" s="2802">
        <f>D742/144432461000*100</f>
        <v>1.3847309047790857</v>
      </c>
      <c r="F742" s="2695"/>
      <c r="G742" s="5272"/>
      <c r="H742" s="3375"/>
      <c r="I742" s="3375"/>
      <c r="J742" s="543"/>
      <c r="K742" s="5279"/>
      <c r="L742" s="2255"/>
      <c r="M742" s="2302"/>
      <c r="N742" s="3653"/>
      <c r="P742" s="522"/>
      <c r="Q742" s="522"/>
    </row>
    <row r="743" spans="1:17" s="4099" customFormat="1" ht="16.5" hidden="1" customHeight="1" x14ac:dyDescent="0.25">
      <c r="A743" s="4100"/>
      <c r="B743" s="2630"/>
      <c r="C743" s="3959" t="s">
        <v>5831</v>
      </c>
      <c r="D743" s="4276">
        <v>1000000924</v>
      </c>
      <c r="E743" s="2803">
        <f>D743/144432461000*100</f>
        <v>0.69236577226223406</v>
      </c>
      <c r="F743" s="1409"/>
      <c r="G743" s="2755"/>
      <c r="H743" s="3798"/>
      <c r="I743" s="3798"/>
      <c r="J743" s="542"/>
      <c r="K743" s="2035"/>
      <c r="L743" s="880"/>
      <c r="M743" s="2338"/>
      <c r="N743" s="3653"/>
      <c r="P743" s="522"/>
      <c r="Q743" s="522"/>
    </row>
    <row r="744" spans="1:17" s="4099" customFormat="1" ht="16.5" hidden="1" customHeight="1" x14ac:dyDescent="0.25">
      <c r="A744" s="4100"/>
      <c r="B744" s="2630"/>
      <c r="C744" s="3959" t="s">
        <v>5832</v>
      </c>
      <c r="D744" s="4276">
        <v>1000000000</v>
      </c>
      <c r="E744" s="2803">
        <f>D744/144432461000*100</f>
        <v>0.69236513251685161</v>
      </c>
      <c r="F744" s="1409"/>
      <c r="G744" s="2755"/>
      <c r="H744" s="3798"/>
      <c r="I744" s="3798"/>
      <c r="J744" s="542"/>
      <c r="K744" s="2035"/>
      <c r="L744" s="880"/>
      <c r="M744" s="2338"/>
      <c r="N744" s="3653"/>
      <c r="P744" s="522"/>
      <c r="Q744" s="522"/>
    </row>
    <row r="745" spans="1:17" s="4099" customFormat="1" ht="12" hidden="1" customHeight="1" thickBot="1" x14ac:dyDescent="0.3">
      <c r="A745" s="4100"/>
      <c r="B745" s="2630"/>
      <c r="C745" s="3956"/>
      <c r="D745" s="1065"/>
      <c r="E745" s="3540"/>
      <c r="F745" s="3473"/>
      <c r="G745" s="3473"/>
      <c r="H745" s="3473"/>
      <c r="I745" s="3473"/>
      <c r="J745" s="2515"/>
      <c r="K745" s="5280"/>
      <c r="L745" s="1703"/>
      <c r="M745" s="2182"/>
      <c r="N745" s="3653"/>
      <c r="P745" s="522"/>
      <c r="Q745" s="522"/>
    </row>
    <row r="746" spans="1:17" ht="18" customHeight="1" thickBot="1" x14ac:dyDescent="0.3">
      <c r="B746" s="2724"/>
      <c r="C746" s="2815" t="s">
        <v>7104</v>
      </c>
      <c r="D746" s="2530">
        <f>(D748+D828+D806+D816+D821+D825)</f>
        <v>37830000000</v>
      </c>
      <c r="E746" s="2530">
        <f>D746/D83*100</f>
        <v>6.6475833064999987</v>
      </c>
      <c r="F746" s="4130"/>
      <c r="G746" s="2505"/>
      <c r="H746" s="2816"/>
      <c r="I746" s="2531"/>
      <c r="J746" s="2506"/>
      <c r="K746" s="1424"/>
      <c r="L746" s="2492"/>
      <c r="M746" s="2493"/>
      <c r="N746" s="2634"/>
    </row>
    <row r="747" spans="1:17" ht="9" hidden="1" customHeight="1" x14ac:dyDescent="0.25">
      <c r="B747" s="2630"/>
      <c r="C747" s="391"/>
      <c r="D747" s="2471"/>
      <c r="E747" s="2817"/>
      <c r="F747" s="4131"/>
      <c r="G747" s="2818"/>
      <c r="H747" s="2470"/>
      <c r="I747" s="1671"/>
      <c r="J747" s="2472"/>
      <c r="K747" s="2818"/>
      <c r="L747" s="2470"/>
      <c r="M747" s="1671"/>
      <c r="N747" s="2634"/>
    </row>
    <row r="748" spans="1:17" ht="18.75" hidden="1" customHeight="1" x14ac:dyDescent="0.25">
      <c r="B748" s="3654"/>
      <c r="C748" s="650" t="s">
        <v>365</v>
      </c>
      <c r="D748" s="1824">
        <f>D749+D758+D778+D782+D790+D794+D798+D801</f>
        <v>32020000000</v>
      </c>
      <c r="E748" s="2819">
        <f>D748/138203382000*100</f>
        <v>23.168752845715453</v>
      </c>
      <c r="F748" s="866"/>
      <c r="G748" s="866"/>
      <c r="H748" s="2786"/>
      <c r="I748" s="2066"/>
      <c r="J748" s="847"/>
      <c r="K748" s="866"/>
      <c r="L748" s="1030"/>
      <c r="M748" s="2066"/>
      <c r="N748" s="2634"/>
    </row>
    <row r="749" spans="1:17" ht="16.5" hidden="1" customHeight="1" x14ac:dyDescent="0.25">
      <c r="B749" s="3655"/>
      <c r="C749" s="3810" t="s">
        <v>288</v>
      </c>
      <c r="D749" s="4087">
        <v>3780000000</v>
      </c>
      <c r="E749" s="2820">
        <f>D749/138203382000*100</f>
        <v>2.7350994927171897</v>
      </c>
      <c r="F749" s="1426"/>
      <c r="G749" s="2697"/>
      <c r="H749" s="2494"/>
      <c r="I749" s="2377"/>
      <c r="J749" s="541"/>
      <c r="K749" s="1064"/>
      <c r="L749" s="2494"/>
      <c r="M749" s="2494"/>
      <c r="N749" s="2634"/>
    </row>
    <row r="750" spans="1:17" ht="18" hidden="1" customHeight="1" x14ac:dyDescent="0.25">
      <c r="B750" s="2624"/>
      <c r="C750" s="4106" t="s">
        <v>7119</v>
      </c>
      <c r="D750" s="4088">
        <v>1200000000</v>
      </c>
      <c r="E750" s="2821">
        <f t="shared" ref="E750:E804" si="35">D750/138203382000*100</f>
        <v>0.86828555324355228</v>
      </c>
      <c r="F750" s="1429"/>
      <c r="G750" s="2755"/>
      <c r="H750" s="2435"/>
      <c r="I750" s="2372"/>
      <c r="J750" s="542"/>
      <c r="K750" s="1425"/>
      <c r="L750" s="2435"/>
      <c r="M750" s="2435"/>
      <c r="N750" s="2634"/>
    </row>
    <row r="751" spans="1:17" ht="17.25" hidden="1" customHeight="1" x14ac:dyDescent="0.25">
      <c r="B751" s="2624"/>
      <c r="C751" s="4106" t="s">
        <v>7120</v>
      </c>
      <c r="D751" s="4088">
        <v>600000000</v>
      </c>
      <c r="E751" s="2821">
        <f t="shared" si="35"/>
        <v>0.43414277662177614</v>
      </c>
      <c r="F751" s="1429"/>
      <c r="G751" s="2755"/>
      <c r="H751" s="2435"/>
      <c r="I751" s="2372"/>
      <c r="J751" s="542"/>
      <c r="K751" s="1425"/>
      <c r="L751" s="2435"/>
      <c r="M751" s="2435"/>
      <c r="N751" s="2634"/>
    </row>
    <row r="752" spans="1:17" ht="17.25" hidden="1" customHeight="1" x14ac:dyDescent="0.25">
      <c r="B752" s="2624"/>
      <c r="C752" s="4106" t="s">
        <v>4836</v>
      </c>
      <c r="D752" s="4088">
        <v>300000000</v>
      </c>
      <c r="E752" s="2821">
        <f t="shared" si="35"/>
        <v>0.21707138831088807</v>
      </c>
      <c r="F752" s="1429"/>
      <c r="G752" s="1729"/>
      <c r="H752" s="1729"/>
      <c r="I752" s="1716"/>
      <c r="J752" s="542"/>
      <c r="L752" s="538"/>
      <c r="M752" s="538"/>
      <c r="N752" s="2634"/>
    </row>
    <row r="753" spans="2:14" ht="15" hidden="1" customHeight="1" x14ac:dyDescent="0.25">
      <c r="B753" s="2624"/>
      <c r="C753" s="4106" t="s">
        <v>4837</v>
      </c>
      <c r="D753" s="4088">
        <v>1000000000</v>
      </c>
      <c r="E753" s="2821">
        <f t="shared" si="35"/>
        <v>0.72357129436962697</v>
      </c>
      <c r="F753" s="1426"/>
      <c r="G753" s="2697"/>
      <c r="H753" s="2494"/>
      <c r="I753" s="2006"/>
      <c r="J753" s="541"/>
      <c r="K753" s="1426"/>
      <c r="L753" s="2494"/>
      <c r="M753" s="2006"/>
      <c r="N753" s="2634"/>
    </row>
    <row r="754" spans="2:14" ht="14.25" hidden="1" customHeight="1" x14ac:dyDescent="0.25">
      <c r="B754" s="2624"/>
      <c r="C754" s="4106" t="s">
        <v>5082</v>
      </c>
      <c r="D754" s="4088">
        <v>280000000</v>
      </c>
      <c r="E754" s="2821">
        <f t="shared" si="35"/>
        <v>0.20259996242349554</v>
      </c>
      <c r="F754" s="1429"/>
      <c r="G754" s="2429"/>
      <c r="H754" s="2435"/>
      <c r="I754" s="2230"/>
      <c r="J754" s="542"/>
      <c r="K754" s="1427"/>
      <c r="L754" s="2435"/>
      <c r="M754" s="2230"/>
      <c r="N754" s="2634"/>
    </row>
    <row r="755" spans="2:14" ht="16.5" hidden="1" customHeight="1" x14ac:dyDescent="0.25">
      <c r="B755" s="2624"/>
      <c r="C755" s="4106" t="s">
        <v>4839</v>
      </c>
      <c r="D755" s="4088">
        <v>250000000</v>
      </c>
      <c r="E755" s="2821">
        <f t="shared" si="35"/>
        <v>0.18089282359240674</v>
      </c>
      <c r="F755" s="1429"/>
      <c r="G755" s="2429"/>
      <c r="H755" s="2435"/>
      <c r="I755" s="2230"/>
      <c r="J755" s="542"/>
      <c r="K755" s="1427"/>
      <c r="L755" s="2435"/>
      <c r="M755" s="2230"/>
      <c r="N755" s="2634"/>
    </row>
    <row r="756" spans="2:14" ht="18.75" hidden="1" customHeight="1" x14ac:dyDescent="0.25">
      <c r="B756" s="2624"/>
      <c r="C756" s="4106" t="s">
        <v>4840</v>
      </c>
      <c r="D756" s="4088">
        <v>150000000</v>
      </c>
      <c r="E756" s="2821">
        <f t="shared" si="35"/>
        <v>0.10853569415544403</v>
      </c>
      <c r="F756" s="1429"/>
      <c r="G756" s="2429"/>
      <c r="H756" s="2435"/>
      <c r="I756" s="2230"/>
      <c r="J756" s="542"/>
      <c r="K756" s="1427"/>
      <c r="L756" s="2435"/>
      <c r="M756" s="2230"/>
      <c r="N756" s="2634"/>
    </row>
    <row r="757" spans="2:14" ht="12.75" hidden="1" customHeight="1" x14ac:dyDescent="0.25">
      <c r="B757" s="2624"/>
      <c r="C757" s="4106"/>
      <c r="D757" s="3763"/>
      <c r="E757" s="2821"/>
      <c r="F757" s="1429"/>
      <c r="G757" s="2755"/>
      <c r="H757" s="2435"/>
      <c r="I757" s="2230"/>
      <c r="J757" s="542"/>
      <c r="K757" s="1427"/>
      <c r="L757" s="2435"/>
      <c r="M757" s="2230"/>
      <c r="N757" s="2634"/>
    </row>
    <row r="758" spans="2:14" ht="17.25" hidden="1" customHeight="1" x14ac:dyDescent="0.25">
      <c r="B758" s="2624"/>
      <c r="C758" s="4045" t="s">
        <v>279</v>
      </c>
      <c r="D758" s="4089">
        <f>SUM(D759:D776)</f>
        <v>21325000000</v>
      </c>
      <c r="E758" s="2820">
        <f t="shared" si="35"/>
        <v>15.430157852432295</v>
      </c>
      <c r="F758" s="1429"/>
      <c r="G758" s="2755"/>
      <c r="H758" s="2435"/>
      <c r="I758" s="2230"/>
      <c r="J758" s="542"/>
      <c r="K758" s="1427"/>
      <c r="L758" s="2435"/>
      <c r="M758" s="2372"/>
      <c r="N758" s="2634"/>
    </row>
    <row r="759" spans="2:14" ht="18" hidden="1" customHeight="1" x14ac:dyDescent="0.25">
      <c r="B759" s="2624"/>
      <c r="C759" s="4106" t="s">
        <v>4841</v>
      </c>
      <c r="D759" s="3746">
        <v>900000000</v>
      </c>
      <c r="E759" s="2821">
        <f t="shared" si="35"/>
        <v>0.65121416493266426</v>
      </c>
      <c r="F759" s="1429"/>
      <c r="G759" s="2755"/>
      <c r="H759" s="2435"/>
      <c r="I759" s="2230"/>
      <c r="J759" s="542"/>
      <c r="K759" s="1427"/>
      <c r="L759" s="2435"/>
      <c r="M759" s="2230"/>
      <c r="N759" s="2634"/>
    </row>
    <row r="760" spans="2:14" ht="17.25" hidden="1" customHeight="1" x14ac:dyDescent="0.25">
      <c r="B760" s="2624"/>
      <c r="C760" s="4106" t="s">
        <v>4842</v>
      </c>
      <c r="D760" s="3746">
        <v>2000000000</v>
      </c>
      <c r="E760" s="2821">
        <f t="shared" si="35"/>
        <v>1.4471425887392539</v>
      </c>
      <c r="F760" s="1429"/>
      <c r="G760" s="2755"/>
      <c r="H760" s="2435"/>
      <c r="I760" s="2230"/>
      <c r="J760" s="542"/>
      <c r="K760" s="1427"/>
      <c r="L760" s="2435"/>
      <c r="M760" s="2372"/>
      <c r="N760" s="2634"/>
    </row>
    <row r="761" spans="2:14" ht="18" hidden="1" customHeight="1" x14ac:dyDescent="0.25">
      <c r="B761" s="2624"/>
      <c r="C761" s="4106" t="s">
        <v>4843</v>
      </c>
      <c r="D761" s="4090">
        <v>1540000000</v>
      </c>
      <c r="E761" s="2821">
        <f t="shared" si="35"/>
        <v>1.1142997933292254</v>
      </c>
      <c r="F761" s="1429"/>
      <c r="G761" s="2755"/>
      <c r="H761" s="2435"/>
      <c r="I761" s="2230"/>
      <c r="J761" s="542"/>
      <c r="K761" s="1427"/>
      <c r="L761" s="2435"/>
      <c r="M761" s="2230"/>
      <c r="N761" s="2634"/>
    </row>
    <row r="762" spans="2:14" ht="18.75" hidden="1" customHeight="1" x14ac:dyDescent="0.25">
      <c r="B762" s="2624"/>
      <c r="C762" s="4106" t="s">
        <v>4844</v>
      </c>
      <c r="D762" s="3744">
        <v>1850000000</v>
      </c>
      <c r="E762" s="2821">
        <f t="shared" si="35"/>
        <v>1.3386068945838099</v>
      </c>
      <c r="F762" s="1429"/>
      <c r="G762" s="2429"/>
      <c r="H762" s="2435"/>
      <c r="I762" s="2230"/>
      <c r="J762" s="542"/>
      <c r="K762" s="1427"/>
      <c r="L762" s="2435"/>
      <c r="M762" s="2230"/>
      <c r="N762" s="2634"/>
    </row>
    <row r="763" spans="2:14" ht="18" hidden="1" customHeight="1" x14ac:dyDescent="0.25">
      <c r="B763" s="2624"/>
      <c r="C763" s="4106" t="s">
        <v>4845</v>
      </c>
      <c r="D763" s="3744">
        <v>700000000</v>
      </c>
      <c r="E763" s="2821">
        <f t="shared" si="35"/>
        <v>0.50649990605873885</v>
      </c>
      <c r="F763" s="1429"/>
      <c r="G763" s="2755"/>
      <c r="H763" s="2435"/>
      <c r="I763" s="2230"/>
      <c r="J763" s="542"/>
      <c r="K763" s="1427"/>
      <c r="L763" s="2435"/>
      <c r="M763" s="2372"/>
      <c r="N763" s="2634"/>
    </row>
    <row r="764" spans="2:14" ht="18" hidden="1" customHeight="1" x14ac:dyDescent="0.25">
      <c r="B764" s="2624"/>
      <c r="C764" s="4106" t="s">
        <v>4846</v>
      </c>
      <c r="D764" s="3744">
        <v>880000000</v>
      </c>
      <c r="E764" s="2821">
        <f t="shared" si="35"/>
        <v>0.63674273904527168</v>
      </c>
      <c r="F764" s="1429"/>
      <c r="G764" s="2429"/>
      <c r="H764" s="2435"/>
      <c r="I764" s="2230"/>
      <c r="J764" s="542"/>
      <c r="K764" s="1427"/>
      <c r="L764" s="2435"/>
      <c r="M764" s="2230"/>
      <c r="N764" s="2634"/>
    </row>
    <row r="765" spans="2:14" ht="16.5" hidden="1" customHeight="1" x14ac:dyDescent="0.25">
      <c r="B765" s="2624"/>
      <c r="C765" s="4106" t="s">
        <v>4847</v>
      </c>
      <c r="D765" s="3744">
        <v>1400000000</v>
      </c>
      <c r="E765" s="2821">
        <f t="shared" si="35"/>
        <v>1.0129998121174777</v>
      </c>
      <c r="F765" s="1429"/>
      <c r="G765" s="2755"/>
      <c r="H765" s="2435"/>
      <c r="I765" s="2230"/>
      <c r="J765" s="542"/>
      <c r="K765" s="1427"/>
      <c r="L765" s="2435"/>
      <c r="M765" s="2230"/>
      <c r="N765" s="2634"/>
    </row>
    <row r="766" spans="2:14" ht="16.5" hidden="1" customHeight="1" x14ac:dyDescent="0.25">
      <c r="B766" s="2624"/>
      <c r="C766" s="4106" t="s">
        <v>4848</v>
      </c>
      <c r="D766" s="3744">
        <v>55000000</v>
      </c>
      <c r="E766" s="2821">
        <f t="shared" si="35"/>
        <v>3.979642119032948E-2</v>
      </c>
      <c r="F766" s="1429"/>
      <c r="G766" s="2429"/>
      <c r="H766" s="2435"/>
      <c r="I766" s="2230"/>
      <c r="J766" s="542"/>
      <c r="K766" s="1427"/>
      <c r="L766" s="2435"/>
      <c r="M766" s="2230"/>
      <c r="N766" s="2634"/>
    </row>
    <row r="767" spans="2:14" ht="18.75" hidden="1" customHeight="1" x14ac:dyDescent="0.25">
      <c r="B767" s="2624"/>
      <c r="C767" s="4106" t="s">
        <v>4849</v>
      </c>
      <c r="D767" s="3744">
        <v>1100000000</v>
      </c>
      <c r="E767" s="2821">
        <f t="shared" si="35"/>
        <v>0.79592842380658957</v>
      </c>
      <c r="F767" s="1429"/>
      <c r="G767" s="2755"/>
      <c r="H767" s="2435"/>
      <c r="I767" s="2230"/>
      <c r="J767" s="542"/>
      <c r="K767" s="1427"/>
      <c r="L767" s="2435"/>
      <c r="M767" s="2372"/>
      <c r="N767" s="2634"/>
    </row>
    <row r="768" spans="2:14" ht="18.75" hidden="1" customHeight="1" x14ac:dyDescent="0.25">
      <c r="B768" s="2624"/>
      <c r="C768" s="4106" t="s">
        <v>4850</v>
      </c>
      <c r="D768" s="3744">
        <v>800000000</v>
      </c>
      <c r="E768" s="2821">
        <f t="shared" si="35"/>
        <v>0.57885703549570156</v>
      </c>
      <c r="F768" s="1429"/>
      <c r="G768" s="2755"/>
      <c r="H768" s="2435"/>
      <c r="I768" s="2230"/>
      <c r="J768" s="542"/>
      <c r="K768" s="1427"/>
      <c r="L768" s="2435"/>
      <c r="M768" s="2230"/>
      <c r="N768" s="2634"/>
    </row>
    <row r="769" spans="2:14" ht="16.5" hidden="1" customHeight="1" x14ac:dyDescent="0.25">
      <c r="B769" s="2624"/>
      <c r="C769" s="4106" t="s">
        <v>4851</v>
      </c>
      <c r="D769" s="3744">
        <v>400000000</v>
      </c>
      <c r="E769" s="2821">
        <f t="shared" si="35"/>
        <v>0.28942851774785078</v>
      </c>
      <c r="F769" s="1429"/>
      <c r="G769" s="2755"/>
      <c r="H769" s="2435"/>
      <c r="I769" s="2230"/>
      <c r="J769" s="542"/>
      <c r="K769" s="1427"/>
      <c r="L769" s="2435"/>
      <c r="M769" s="2230"/>
      <c r="N769" s="2634"/>
    </row>
    <row r="770" spans="2:14" ht="18" hidden="1" customHeight="1" x14ac:dyDescent="0.25">
      <c r="B770" s="2624"/>
      <c r="C770" s="4106" t="s">
        <v>4852</v>
      </c>
      <c r="D770" s="3744">
        <v>800000000</v>
      </c>
      <c r="E770" s="2821">
        <f t="shared" si="35"/>
        <v>0.57885703549570156</v>
      </c>
      <c r="F770" s="1429"/>
      <c r="G770" s="2755"/>
      <c r="H770" s="2435"/>
      <c r="I770" s="2230"/>
      <c r="J770" s="542"/>
      <c r="K770" s="1427"/>
      <c r="L770" s="2435"/>
      <c r="M770" s="2230"/>
      <c r="N770" s="2634"/>
    </row>
    <row r="771" spans="2:14" ht="17.25" hidden="1" customHeight="1" x14ac:dyDescent="0.25">
      <c r="B771" s="2624"/>
      <c r="C771" s="4106" t="s">
        <v>4853</v>
      </c>
      <c r="D771" s="3744">
        <v>600000000</v>
      </c>
      <c r="E771" s="2821">
        <f t="shared" si="35"/>
        <v>0.43414277662177614</v>
      </c>
      <c r="F771" s="1429"/>
      <c r="G771" s="2755"/>
      <c r="H771" s="2435"/>
      <c r="I771" s="2230"/>
      <c r="J771" s="542"/>
      <c r="K771" s="1427"/>
      <c r="L771" s="2435"/>
      <c r="M771" s="2230"/>
      <c r="N771" s="2634"/>
    </row>
    <row r="772" spans="2:14" ht="15" hidden="1" customHeight="1" x14ac:dyDescent="0.25">
      <c r="B772" s="2624"/>
      <c r="C772" s="4106" t="s">
        <v>4854</v>
      </c>
      <c r="D772" s="3744">
        <v>2500000000</v>
      </c>
      <c r="E772" s="2821">
        <f t="shared" si="35"/>
        <v>1.8089282359240673</v>
      </c>
      <c r="F772" s="1429"/>
      <c r="G772" s="2755"/>
      <c r="H772" s="2435"/>
      <c r="I772" s="2230"/>
      <c r="J772" s="542"/>
      <c r="K772" s="1427"/>
      <c r="L772" s="2435"/>
      <c r="M772" s="2230"/>
      <c r="N772" s="2634"/>
    </row>
    <row r="773" spans="2:14" ht="17.25" hidden="1" customHeight="1" x14ac:dyDescent="0.25">
      <c r="B773" s="2624"/>
      <c r="C773" s="4106" t="s">
        <v>4855</v>
      </c>
      <c r="D773" s="3744">
        <v>3000000000</v>
      </c>
      <c r="E773" s="2821">
        <f t="shared" si="35"/>
        <v>2.1707138831088808</v>
      </c>
      <c r="F773" s="1429"/>
      <c r="G773" s="2755"/>
      <c r="H773" s="2435"/>
      <c r="I773" s="2230"/>
      <c r="J773" s="542"/>
      <c r="K773" s="1427"/>
      <c r="L773" s="2435"/>
      <c r="M773" s="2230"/>
      <c r="N773" s="2634"/>
    </row>
    <row r="774" spans="2:14" ht="18" hidden="1" customHeight="1" x14ac:dyDescent="0.25">
      <c r="B774" s="2624"/>
      <c r="C774" s="4106" t="s">
        <v>4856</v>
      </c>
      <c r="D774" s="3744">
        <v>460000000</v>
      </c>
      <c r="E774" s="2821">
        <f t="shared" si="35"/>
        <v>0.33284279541002837</v>
      </c>
      <c r="F774" s="1429"/>
      <c r="G774" s="2429"/>
      <c r="H774" s="2435"/>
      <c r="I774" s="2230"/>
      <c r="J774" s="542"/>
      <c r="K774" s="1427"/>
      <c r="L774" s="2435"/>
      <c r="M774" s="2230"/>
      <c r="N774" s="2634"/>
    </row>
    <row r="775" spans="2:14" ht="15" hidden="1" customHeight="1" x14ac:dyDescent="0.25">
      <c r="B775" s="2624"/>
      <c r="C775" s="4106" t="s">
        <v>4857</v>
      </c>
      <c r="D775" s="3744">
        <v>1900000000</v>
      </c>
      <c r="E775" s="2821">
        <f t="shared" si="35"/>
        <v>1.3747854593022912</v>
      </c>
      <c r="F775" s="1429"/>
      <c r="G775" s="2755"/>
      <c r="H775" s="2435"/>
      <c r="I775" s="2230"/>
      <c r="J775" s="542"/>
      <c r="K775" s="1427"/>
      <c r="L775" s="2435"/>
      <c r="M775" s="2435"/>
      <c r="N775" s="2634"/>
    </row>
    <row r="776" spans="2:14" ht="16.5" hidden="1" customHeight="1" x14ac:dyDescent="0.25">
      <c r="B776" s="2624"/>
      <c r="C776" s="4106" t="s">
        <v>4858</v>
      </c>
      <c r="D776" s="3744">
        <v>440000000</v>
      </c>
      <c r="E776" s="2821">
        <f t="shared" si="35"/>
        <v>0.31837136952263584</v>
      </c>
      <c r="F776" s="1429"/>
      <c r="G776" s="2429"/>
      <c r="H776" s="2435"/>
      <c r="I776" s="2230"/>
      <c r="J776" s="542"/>
      <c r="K776" s="1427"/>
      <c r="L776" s="2435"/>
      <c r="M776" s="2435"/>
      <c r="N776" s="2634"/>
    </row>
    <row r="777" spans="2:14" ht="9.75" hidden="1" customHeight="1" x14ac:dyDescent="0.25">
      <c r="B777" s="2624"/>
      <c r="C777" s="4106"/>
      <c r="D777" s="4091"/>
      <c r="E777" s="2821"/>
      <c r="F777" s="1429"/>
      <c r="G777" s="2755"/>
      <c r="H777" s="2435"/>
      <c r="I777" s="2230"/>
      <c r="J777" s="542"/>
      <c r="K777" s="1427"/>
      <c r="L777" s="2435"/>
      <c r="M777" s="2435"/>
      <c r="N777" s="2634"/>
    </row>
    <row r="778" spans="2:14" ht="18.75" hidden="1" customHeight="1" x14ac:dyDescent="0.25">
      <c r="B778" s="2624"/>
      <c r="C778" s="3958" t="s">
        <v>224</v>
      </c>
      <c r="D778" s="4092">
        <f>SUM(D779:D780)</f>
        <v>1700000000</v>
      </c>
      <c r="E778" s="2820">
        <f t="shared" si="35"/>
        <v>1.2300712004283658</v>
      </c>
      <c r="F778" s="1429"/>
      <c r="G778" s="2755"/>
      <c r="H778" s="2435"/>
      <c r="I778" s="2230"/>
      <c r="J778" s="542"/>
      <c r="K778" s="1427"/>
      <c r="L778" s="2435"/>
      <c r="M778" s="2435"/>
      <c r="N778" s="2634"/>
    </row>
    <row r="779" spans="2:14" ht="15.75" hidden="1" customHeight="1" x14ac:dyDescent="0.25">
      <c r="B779" s="2624"/>
      <c r="C779" s="4106" t="s">
        <v>5080</v>
      </c>
      <c r="D779" s="3744">
        <v>1000000000</v>
      </c>
      <c r="E779" s="2821">
        <f t="shared" si="35"/>
        <v>0.72357129436962697</v>
      </c>
      <c r="F779" s="1429"/>
      <c r="G779" s="2755"/>
      <c r="H779" s="2435"/>
      <c r="I779" s="2230"/>
      <c r="J779" s="542"/>
      <c r="K779" s="1427"/>
      <c r="L779" s="2435"/>
      <c r="M779" s="2435"/>
      <c r="N779" s="2634"/>
    </row>
    <row r="780" spans="2:14" ht="17.25" hidden="1" customHeight="1" x14ac:dyDescent="0.25">
      <c r="B780" s="2624"/>
      <c r="C780" s="4106" t="s">
        <v>5081</v>
      </c>
      <c r="D780" s="3763">
        <v>700000000</v>
      </c>
      <c r="E780" s="2821">
        <f t="shared" si="35"/>
        <v>0.50649990605873885</v>
      </c>
      <c r="F780" s="1429"/>
      <c r="G780" s="2429"/>
      <c r="H780" s="2435"/>
      <c r="I780" s="2230"/>
      <c r="J780" s="542"/>
      <c r="K780" s="1427"/>
      <c r="L780" s="2435"/>
      <c r="M780" s="2435"/>
      <c r="N780" s="2634"/>
    </row>
    <row r="781" spans="2:14" ht="11.25" hidden="1" customHeight="1" x14ac:dyDescent="0.25">
      <c r="B781" s="2624"/>
      <c r="C781" s="4106"/>
      <c r="D781" s="3763"/>
      <c r="E781" s="2821"/>
      <c r="F781" s="1429"/>
      <c r="G781" s="2755"/>
      <c r="H781" s="2435"/>
      <c r="I781" s="2230"/>
      <c r="J781" s="542"/>
      <c r="K781" s="1428"/>
      <c r="L781" s="2435"/>
      <c r="M781" s="2435"/>
      <c r="N781" s="2634"/>
    </row>
    <row r="782" spans="2:14" ht="18" hidden="1" customHeight="1" x14ac:dyDescent="0.25">
      <c r="B782" s="2624"/>
      <c r="C782" s="4045" t="s">
        <v>280</v>
      </c>
      <c r="D782" s="4089">
        <f>SUM(D783:D788)</f>
        <v>1900000000</v>
      </c>
      <c r="E782" s="2820">
        <f t="shared" si="35"/>
        <v>1.3747854593022912</v>
      </c>
      <c r="F782" s="1429"/>
      <c r="G782" s="2755"/>
      <c r="H782" s="2435"/>
      <c r="I782" s="2230"/>
      <c r="J782" s="542"/>
      <c r="K782" s="1427"/>
      <c r="L782" s="2435"/>
      <c r="M782" s="2435"/>
      <c r="N782" s="2634"/>
    </row>
    <row r="783" spans="2:14" ht="18" hidden="1" customHeight="1" x14ac:dyDescent="0.25">
      <c r="B783" s="2624"/>
      <c r="C783" s="4106" t="s">
        <v>4861</v>
      </c>
      <c r="D783" s="4129">
        <v>250000000</v>
      </c>
      <c r="E783" s="2821">
        <f t="shared" si="35"/>
        <v>0.18089282359240674</v>
      </c>
      <c r="F783" s="1429"/>
      <c r="G783" s="2755"/>
      <c r="H783" s="2435"/>
      <c r="I783" s="2230"/>
      <c r="J783" s="542"/>
      <c r="K783" s="1427"/>
      <c r="L783" s="2435"/>
      <c r="M783" s="2435"/>
      <c r="N783" s="2634"/>
    </row>
    <row r="784" spans="2:14" ht="18.75" hidden="1" customHeight="1" x14ac:dyDescent="0.25">
      <c r="B784" s="2624"/>
      <c r="C784" s="4106" t="s">
        <v>4862</v>
      </c>
      <c r="D784" s="4129">
        <v>250000000</v>
      </c>
      <c r="E784" s="2821">
        <f t="shared" si="35"/>
        <v>0.18089282359240674</v>
      </c>
      <c r="F784" s="1429"/>
      <c r="G784" s="2755"/>
      <c r="H784" s="2435"/>
      <c r="I784" s="2230"/>
      <c r="J784" s="542"/>
      <c r="K784" s="1427"/>
      <c r="L784" s="2435"/>
      <c r="M784" s="2435"/>
      <c r="N784" s="2634"/>
    </row>
    <row r="785" spans="2:14" ht="15" hidden="1" customHeight="1" x14ac:dyDescent="0.25">
      <c r="B785" s="2624"/>
      <c r="C785" s="4106" t="s">
        <v>4863</v>
      </c>
      <c r="D785" s="4129">
        <v>500000000</v>
      </c>
      <c r="E785" s="2821">
        <f t="shared" si="35"/>
        <v>0.36178564718481349</v>
      </c>
      <c r="F785" s="1429"/>
      <c r="G785" s="2429"/>
      <c r="H785" s="2435"/>
      <c r="I785" s="2230"/>
      <c r="J785" s="542"/>
      <c r="K785" s="1427"/>
      <c r="L785" s="2435"/>
      <c r="M785" s="2230"/>
      <c r="N785" s="2634"/>
    </row>
    <row r="786" spans="2:14" ht="16.5" hidden="1" customHeight="1" x14ac:dyDescent="0.25">
      <c r="B786" s="2624"/>
      <c r="C786" s="4106" t="s">
        <v>4864</v>
      </c>
      <c r="D786" s="4129">
        <v>250000000</v>
      </c>
      <c r="E786" s="2821">
        <f t="shared" si="35"/>
        <v>0.18089282359240674</v>
      </c>
      <c r="F786" s="1429"/>
      <c r="G786" s="2429"/>
      <c r="H786" s="2435"/>
      <c r="I786" s="2230"/>
      <c r="J786" s="542"/>
      <c r="K786" s="1427"/>
      <c r="L786" s="2435"/>
      <c r="M786" s="2230"/>
      <c r="N786" s="2634"/>
    </row>
    <row r="787" spans="2:14" ht="16.5" hidden="1" customHeight="1" x14ac:dyDescent="0.25">
      <c r="B787" s="2624"/>
      <c r="C787" s="4106" t="s">
        <v>4865</v>
      </c>
      <c r="D787" s="4129">
        <v>400000000</v>
      </c>
      <c r="E787" s="2821">
        <f t="shared" si="35"/>
        <v>0.28942851774785078</v>
      </c>
      <c r="F787" s="1429"/>
      <c r="G787" s="2822"/>
      <c r="H787" s="2230"/>
      <c r="I787" s="2230"/>
      <c r="J787" s="542"/>
      <c r="K787" s="1427"/>
      <c r="L787" s="2435"/>
      <c r="M787" s="2230"/>
      <c r="N787" s="2634"/>
    </row>
    <row r="788" spans="2:14" ht="18" hidden="1" customHeight="1" x14ac:dyDescent="0.25">
      <c r="B788" s="2624"/>
      <c r="C788" s="4106" t="s">
        <v>4866</v>
      </c>
      <c r="D788" s="4129">
        <v>250000000</v>
      </c>
      <c r="E788" s="2821">
        <f t="shared" si="35"/>
        <v>0.18089282359240674</v>
      </c>
      <c r="F788" s="1426"/>
      <c r="G788" s="2697"/>
      <c r="H788" s="2494"/>
      <c r="I788" s="2006"/>
      <c r="J788" s="541"/>
      <c r="K788" s="1426"/>
      <c r="L788" s="2494"/>
      <c r="M788" s="2006"/>
      <c r="N788" s="2634"/>
    </row>
    <row r="789" spans="2:14" ht="9" hidden="1" customHeight="1" x14ac:dyDescent="0.25">
      <c r="B789" s="2624"/>
      <c r="C789" s="4106"/>
      <c r="D789" s="3773"/>
      <c r="E789" s="2821"/>
      <c r="F789" s="1429"/>
      <c r="G789" s="2429"/>
      <c r="H789" s="2435"/>
      <c r="I789" s="2230"/>
      <c r="J789" s="542"/>
      <c r="K789" s="1429"/>
      <c r="L789" s="2435"/>
      <c r="M789" s="2230"/>
      <c r="N789" s="2634"/>
    </row>
    <row r="790" spans="2:14" ht="20.25" hidden="1" customHeight="1" x14ac:dyDescent="0.25">
      <c r="B790" s="2624"/>
      <c r="C790" s="3958" t="s">
        <v>4867</v>
      </c>
      <c r="D790" s="4089">
        <f>SUM(D791:D792)</f>
        <v>995000000</v>
      </c>
      <c r="E790" s="2820">
        <f t="shared" si="35"/>
        <v>0.71995343789777877</v>
      </c>
      <c r="F790" s="1429"/>
      <c r="G790" s="2429"/>
      <c r="H790" s="2435"/>
      <c r="I790" s="2230"/>
      <c r="J790" s="542"/>
      <c r="K790" s="1429"/>
      <c r="L790" s="2435"/>
      <c r="M790" s="2230"/>
      <c r="N790" s="2634"/>
    </row>
    <row r="791" spans="2:14" ht="16.5" hidden="1" customHeight="1" x14ac:dyDescent="0.25">
      <c r="B791" s="2624"/>
      <c r="C791" s="4106" t="s">
        <v>4868</v>
      </c>
      <c r="D791" s="3763">
        <v>700000000</v>
      </c>
      <c r="E791" s="2821">
        <f t="shared" si="35"/>
        <v>0.50649990605873885</v>
      </c>
      <c r="F791" s="1429"/>
      <c r="G791" s="2429"/>
      <c r="H791" s="2435"/>
      <c r="I791" s="2230"/>
      <c r="J791" s="542"/>
      <c r="K791" s="1429"/>
      <c r="L791" s="2435"/>
      <c r="M791" s="2230"/>
      <c r="N791" s="2634"/>
    </row>
    <row r="792" spans="2:14" ht="19.5" hidden="1" customHeight="1" x14ac:dyDescent="0.25">
      <c r="B792" s="2624"/>
      <c r="C792" s="4106" t="s">
        <v>4869</v>
      </c>
      <c r="D792" s="3763">
        <v>295000000</v>
      </c>
      <c r="E792" s="2821">
        <f t="shared" si="35"/>
        <v>0.21345353183903995</v>
      </c>
      <c r="F792" s="1429"/>
      <c r="G792" s="2755"/>
      <c r="H792" s="2435"/>
      <c r="I792" s="2230"/>
      <c r="J792" s="542"/>
      <c r="K792" s="1429"/>
      <c r="L792" s="2435"/>
      <c r="M792" s="2230"/>
      <c r="N792" s="2634"/>
    </row>
    <row r="793" spans="2:14" ht="9" hidden="1" customHeight="1" x14ac:dyDescent="0.25">
      <c r="B793" s="2624"/>
      <c r="C793" s="4106"/>
      <c r="D793" s="3763"/>
      <c r="E793" s="2821"/>
      <c r="F793" s="1429"/>
      <c r="G793" s="2429"/>
      <c r="H793" s="2435"/>
      <c r="I793" s="2230"/>
      <c r="J793" s="542"/>
      <c r="K793" s="1429"/>
      <c r="L793" s="2435"/>
      <c r="M793" s="2230"/>
      <c r="N793" s="2634"/>
    </row>
    <row r="794" spans="2:14" ht="18.75" hidden="1" customHeight="1" x14ac:dyDescent="0.25">
      <c r="B794" s="2624"/>
      <c r="C794" s="4045" t="s">
        <v>4870</v>
      </c>
      <c r="D794" s="4089">
        <f>SUM(D795:D796)</f>
        <v>1000000000</v>
      </c>
      <c r="E794" s="2820">
        <f t="shared" si="35"/>
        <v>0.72357129436962697</v>
      </c>
      <c r="F794" s="2823"/>
      <c r="G794" s="2822"/>
      <c r="H794" s="2230"/>
      <c r="I794" s="2230"/>
      <c r="J794" s="869"/>
      <c r="K794" s="1429"/>
      <c r="L794" s="2435"/>
      <c r="M794" s="2230"/>
      <c r="N794" s="2634"/>
    </row>
    <row r="795" spans="2:14" ht="20.25" hidden="1" customHeight="1" x14ac:dyDescent="0.25">
      <c r="B795" s="2624"/>
      <c r="C795" s="4106" t="s">
        <v>4871</v>
      </c>
      <c r="D795" s="3763">
        <v>500000000</v>
      </c>
      <c r="E795" s="2821">
        <f t="shared" si="35"/>
        <v>0.36178564718481349</v>
      </c>
      <c r="F795" s="1426"/>
      <c r="G795" s="2697"/>
      <c r="H795" s="2494"/>
      <c r="I795" s="2006"/>
      <c r="J795" s="541"/>
      <c r="K795" s="1426"/>
      <c r="L795" s="2494"/>
      <c r="M795" s="2006"/>
      <c r="N795" s="2634"/>
    </row>
    <row r="796" spans="2:14" ht="21.75" hidden="1" customHeight="1" x14ac:dyDescent="0.25">
      <c r="B796" s="2624"/>
      <c r="C796" s="4106" t="s">
        <v>4872</v>
      </c>
      <c r="D796" s="3763">
        <v>500000000</v>
      </c>
      <c r="E796" s="2821">
        <f t="shared" si="35"/>
        <v>0.36178564718481349</v>
      </c>
      <c r="F796" s="1429"/>
      <c r="G796" s="2755"/>
      <c r="H796" s="2435"/>
      <c r="I796" s="2230"/>
      <c r="J796" s="542"/>
      <c r="K796" s="1429"/>
      <c r="L796" s="2435"/>
      <c r="M796" s="2230"/>
      <c r="N796" s="2634"/>
    </row>
    <row r="797" spans="2:14" ht="10.5" hidden="1" customHeight="1" x14ac:dyDescent="0.25">
      <c r="B797" s="2624"/>
      <c r="C797" s="4106"/>
      <c r="D797" s="3763"/>
      <c r="E797" s="2821"/>
      <c r="F797" s="1429"/>
      <c r="G797" s="2755"/>
      <c r="H797" s="2435"/>
      <c r="I797" s="2230"/>
      <c r="J797" s="542"/>
      <c r="K797" s="1429"/>
      <c r="L797" s="2435"/>
      <c r="M797" s="2230"/>
      <c r="N797" s="2634"/>
    </row>
    <row r="798" spans="2:14" ht="19.5" hidden="1" customHeight="1" x14ac:dyDescent="0.25">
      <c r="B798" s="2624"/>
      <c r="C798" s="3958" t="s">
        <v>4873</v>
      </c>
      <c r="D798" s="4089">
        <f>D799</f>
        <v>710000000</v>
      </c>
      <c r="E798" s="2820">
        <f t="shared" si="35"/>
        <v>0.51373561900243514</v>
      </c>
      <c r="F798" s="1429"/>
      <c r="G798" s="2755"/>
      <c r="H798" s="2435"/>
      <c r="I798" s="2230"/>
      <c r="J798" s="542"/>
      <c r="K798" s="1429"/>
      <c r="L798" s="2435"/>
      <c r="M798" s="2230"/>
      <c r="N798" s="2634"/>
    </row>
    <row r="799" spans="2:14" ht="19.5" hidden="1" customHeight="1" x14ac:dyDescent="0.25">
      <c r="B799" s="2624"/>
      <c r="C799" s="4106" t="s">
        <v>4874</v>
      </c>
      <c r="D799" s="3763">
        <v>710000000</v>
      </c>
      <c r="E799" s="2821">
        <f t="shared" si="35"/>
        <v>0.51373561900243514</v>
      </c>
      <c r="F799" s="1429"/>
      <c r="G799" s="2429"/>
      <c r="H799" s="2435"/>
      <c r="I799" s="1312"/>
      <c r="J799" s="542"/>
      <c r="K799" s="1429"/>
      <c r="L799" s="2435"/>
      <c r="M799" s="2230"/>
      <c r="N799" s="2634"/>
    </row>
    <row r="800" spans="2:14" ht="10.5" hidden="1" customHeight="1" x14ac:dyDescent="0.25">
      <c r="B800" s="2624"/>
      <c r="C800" s="4106"/>
      <c r="D800" s="3763"/>
      <c r="E800" s="2821"/>
      <c r="F800" s="1429"/>
      <c r="G800" s="2429"/>
      <c r="H800" s="1312"/>
      <c r="I800" s="1312"/>
      <c r="J800" s="542"/>
      <c r="K800" s="1429"/>
      <c r="L800" s="2435"/>
      <c r="M800" s="2230"/>
      <c r="N800" s="2634"/>
    </row>
    <row r="801" spans="1:17" ht="20.25" hidden="1" customHeight="1" x14ac:dyDescent="0.25">
      <c r="B801" s="2624"/>
      <c r="C801" s="3958" t="s">
        <v>4875</v>
      </c>
      <c r="D801" s="4089">
        <f>SUM(D802:D804)</f>
        <v>610000000</v>
      </c>
      <c r="E801" s="2820">
        <f t="shared" si="35"/>
        <v>0.44137848956547243</v>
      </c>
      <c r="F801" s="1426"/>
      <c r="G801" s="2697"/>
      <c r="H801" s="2494"/>
      <c r="I801" s="2006"/>
      <c r="J801" s="541"/>
      <c r="K801" s="1426"/>
      <c r="L801" s="2494"/>
      <c r="M801" s="2006"/>
      <c r="N801" s="2634"/>
    </row>
    <row r="802" spans="1:17" ht="18" hidden="1" customHeight="1" x14ac:dyDescent="0.25">
      <c r="B802" s="2624"/>
      <c r="C802" s="4106" t="s">
        <v>4876</v>
      </c>
      <c r="D802" s="3763">
        <v>350000000</v>
      </c>
      <c r="E802" s="2821">
        <f t="shared" si="35"/>
        <v>0.25324995302936942</v>
      </c>
      <c r="F802" s="1429"/>
      <c r="G802" s="2755"/>
      <c r="H802" s="2435"/>
      <c r="I802" s="2230"/>
      <c r="J802" s="542"/>
      <c r="K802" s="1430"/>
      <c r="L802" s="2435"/>
      <c r="M802" s="2230"/>
      <c r="N802" s="2634"/>
    </row>
    <row r="803" spans="1:17" ht="17.25" hidden="1" customHeight="1" x14ac:dyDescent="0.25">
      <c r="B803" s="2624"/>
      <c r="C803" s="3964" t="s">
        <v>4877</v>
      </c>
      <c r="D803" s="3785">
        <v>160000000</v>
      </c>
      <c r="E803" s="2821">
        <f t="shared" si="35"/>
        <v>0.11577140709914031</v>
      </c>
      <c r="F803" s="1429"/>
      <c r="G803" s="2755"/>
      <c r="H803" s="2435"/>
      <c r="I803" s="2230"/>
      <c r="J803" s="542"/>
      <c r="K803" s="1430"/>
      <c r="L803" s="2435"/>
      <c r="M803" s="2230"/>
      <c r="N803" s="2634"/>
    </row>
    <row r="804" spans="1:17" ht="24.75" hidden="1" customHeight="1" x14ac:dyDescent="0.25">
      <c r="B804" s="2624"/>
      <c r="C804" s="4104" t="s">
        <v>4878</v>
      </c>
      <c r="D804" s="3763">
        <v>100000000</v>
      </c>
      <c r="E804" s="2821">
        <f t="shared" si="35"/>
        <v>7.2357129436962694E-2</v>
      </c>
      <c r="F804" s="1429"/>
      <c r="G804" s="2755"/>
      <c r="H804" s="2435"/>
      <c r="I804" s="2230"/>
      <c r="J804" s="542"/>
      <c r="K804" s="1430"/>
      <c r="L804" s="2435"/>
      <c r="M804" s="2230"/>
      <c r="N804" s="2634"/>
    </row>
    <row r="805" spans="1:17" s="4099" customFormat="1" ht="13.5" hidden="1" customHeight="1" x14ac:dyDescent="0.25">
      <c r="A805" s="4100"/>
      <c r="B805" s="3652"/>
      <c r="C805" s="3904"/>
      <c r="D805" s="5289"/>
      <c r="E805" s="2808"/>
      <c r="F805" s="1563"/>
      <c r="G805" s="5290"/>
      <c r="H805" s="2824"/>
      <c r="I805" s="2227"/>
      <c r="J805" s="1114"/>
      <c r="K805" s="4132"/>
      <c r="L805" s="2824"/>
      <c r="M805" s="2227"/>
      <c r="N805" s="3653"/>
      <c r="P805" s="522"/>
      <c r="Q805" s="522"/>
    </row>
    <row r="806" spans="1:17" s="4099" customFormat="1" ht="21" hidden="1" customHeight="1" x14ac:dyDescent="0.25">
      <c r="A806" s="4100"/>
      <c r="B806" s="3654"/>
      <c r="C806" s="4070" t="s">
        <v>2334</v>
      </c>
      <c r="D806" s="5294">
        <f>SUM(D807+D811)</f>
        <v>1960000000</v>
      </c>
      <c r="E806" s="2819">
        <f>D806/138203382000*100</f>
        <v>1.4181997369644688</v>
      </c>
      <c r="F806" s="5293"/>
      <c r="G806" s="5273"/>
      <c r="H806" s="4135"/>
      <c r="I806" s="3273"/>
      <c r="J806" s="5274"/>
      <c r="K806" s="4134"/>
      <c r="L806" s="4135"/>
      <c r="M806" s="3273"/>
      <c r="N806" s="3653"/>
      <c r="P806" s="522"/>
      <c r="Q806" s="522"/>
    </row>
    <row r="807" spans="1:17" s="4099" customFormat="1" ht="24.75" hidden="1" customHeight="1" x14ac:dyDescent="0.25">
      <c r="A807" s="4100"/>
      <c r="B807" s="2630"/>
      <c r="C807" s="4069" t="s">
        <v>4944</v>
      </c>
      <c r="D807" s="768">
        <f>SUM(D808:D809)</f>
        <v>660000000</v>
      </c>
      <c r="E807" s="2820">
        <f>D807/138203382000*100</f>
        <v>0.47755705428395379</v>
      </c>
      <c r="F807" s="5186"/>
      <c r="G807" s="5272"/>
      <c r="H807" s="5291"/>
      <c r="I807" s="2302"/>
      <c r="J807" s="543"/>
      <c r="K807" s="5292"/>
      <c r="L807" s="5291"/>
      <c r="M807" s="2302"/>
      <c r="N807" s="3653"/>
      <c r="P807" s="522"/>
      <c r="Q807" s="522"/>
    </row>
    <row r="808" spans="1:17" s="4099" customFormat="1" ht="21" hidden="1" customHeight="1" x14ac:dyDescent="0.25">
      <c r="A808" s="4100"/>
      <c r="B808" s="3652"/>
      <c r="C808" s="3827" t="s">
        <v>4945</v>
      </c>
      <c r="D808" s="780">
        <v>260000000</v>
      </c>
      <c r="E808" s="2821">
        <f t="shared" ref="E808:E814" si="36">D808/138203382000*100</f>
        <v>0.18812853653610301</v>
      </c>
      <c r="F808" s="1563"/>
      <c r="G808" s="5290"/>
      <c r="H808" s="2824"/>
      <c r="I808" s="2227"/>
      <c r="J808" s="1114"/>
      <c r="K808" s="4132"/>
      <c r="L808" s="2824"/>
      <c r="M808" s="2227"/>
      <c r="N808" s="3653"/>
      <c r="P808" s="522"/>
      <c r="Q808" s="522"/>
    </row>
    <row r="809" spans="1:17" s="4099" customFormat="1" ht="21" hidden="1" customHeight="1" x14ac:dyDescent="0.25">
      <c r="A809" s="4100"/>
      <c r="B809" s="3652"/>
      <c r="C809" s="4118" t="s">
        <v>4947</v>
      </c>
      <c r="D809" s="780">
        <v>400000000</v>
      </c>
      <c r="E809" s="2821">
        <f t="shared" si="36"/>
        <v>0.28942851774785078</v>
      </c>
      <c r="F809" s="1563"/>
      <c r="G809" s="5290"/>
      <c r="H809" s="2824"/>
      <c r="I809" s="2227"/>
      <c r="J809" s="1114"/>
      <c r="K809" s="4132"/>
      <c r="L809" s="2824"/>
      <c r="M809" s="2227"/>
      <c r="N809" s="3653"/>
      <c r="P809" s="522"/>
      <c r="Q809" s="522"/>
    </row>
    <row r="810" spans="1:17" s="4099" customFormat="1" ht="15.75" hidden="1" customHeight="1" x14ac:dyDescent="0.25">
      <c r="A810" s="4100"/>
      <c r="B810" s="3652"/>
      <c r="C810" s="4118"/>
      <c r="D810" s="780"/>
      <c r="E810" s="2821"/>
      <c r="F810" s="1563"/>
      <c r="G810" s="5290"/>
      <c r="H810" s="2824"/>
      <c r="I810" s="2227"/>
      <c r="J810" s="1114"/>
      <c r="K810" s="4132"/>
      <c r="L810" s="2824"/>
      <c r="M810" s="2227"/>
      <c r="N810" s="3653"/>
      <c r="P810" s="522"/>
      <c r="Q810" s="522"/>
    </row>
    <row r="811" spans="1:17" s="4099" customFormat="1" ht="20.25" hidden="1" customHeight="1" x14ac:dyDescent="0.25">
      <c r="A811" s="4100"/>
      <c r="B811" s="3652"/>
      <c r="C811" s="3938" t="s">
        <v>4948</v>
      </c>
      <c r="D811" s="768">
        <f>+SUM(D812:D814)</f>
        <v>1300000000</v>
      </c>
      <c r="E811" s="2820">
        <f t="shared" si="36"/>
        <v>0.94064268268051499</v>
      </c>
      <c r="F811" s="1563"/>
      <c r="G811" s="5290"/>
      <c r="H811" s="2824"/>
      <c r="I811" s="2227"/>
      <c r="J811" s="1114"/>
      <c r="K811" s="4132"/>
      <c r="L811" s="2824"/>
      <c r="M811" s="2227"/>
      <c r="N811" s="3653"/>
      <c r="P811" s="522"/>
      <c r="Q811" s="522"/>
    </row>
    <row r="812" spans="1:17" s="4099" customFormat="1" ht="32.25" hidden="1" customHeight="1" x14ac:dyDescent="0.25">
      <c r="A812" s="4100"/>
      <c r="B812" s="3652"/>
      <c r="C812" s="3826" t="s">
        <v>4949</v>
      </c>
      <c r="D812" s="780">
        <v>400000000</v>
      </c>
      <c r="E812" s="2821">
        <f t="shared" si="36"/>
        <v>0.28942851774785078</v>
      </c>
      <c r="F812" s="1563"/>
      <c r="G812" s="5290"/>
      <c r="H812" s="2824"/>
      <c r="I812" s="2227"/>
      <c r="J812" s="1114"/>
      <c r="K812" s="4132"/>
      <c r="L812" s="2824"/>
      <c r="M812" s="2227"/>
      <c r="N812" s="3653"/>
      <c r="P812" s="522"/>
      <c r="Q812" s="522"/>
    </row>
    <row r="813" spans="1:17" s="4099" customFormat="1" ht="18.75" hidden="1" customHeight="1" x14ac:dyDescent="0.25">
      <c r="A813" s="4100"/>
      <c r="B813" s="3652"/>
      <c r="C813" s="3826" t="s">
        <v>4951</v>
      </c>
      <c r="D813" s="4231">
        <v>400000000</v>
      </c>
      <c r="E813" s="2821">
        <f t="shared" si="36"/>
        <v>0.28942851774785078</v>
      </c>
      <c r="F813" s="1563"/>
      <c r="G813" s="5290"/>
      <c r="H813" s="2824"/>
      <c r="I813" s="2227"/>
      <c r="J813" s="1114"/>
      <c r="K813" s="4132"/>
      <c r="L813" s="2824"/>
      <c r="M813" s="2227"/>
      <c r="N813" s="3653"/>
      <c r="P813" s="522"/>
      <c r="Q813" s="522"/>
    </row>
    <row r="814" spans="1:17" s="4099" customFormat="1" ht="17.25" hidden="1" customHeight="1" x14ac:dyDescent="0.25">
      <c r="A814" s="4100"/>
      <c r="B814" s="3652"/>
      <c r="C814" s="3826" t="s">
        <v>4952</v>
      </c>
      <c r="D814" s="4231">
        <v>500000000</v>
      </c>
      <c r="E814" s="2821">
        <f t="shared" si="36"/>
        <v>0.36178564718481349</v>
      </c>
      <c r="F814" s="1563"/>
      <c r="G814" s="5290"/>
      <c r="H814" s="2824"/>
      <c r="I814" s="2227"/>
      <c r="J814" s="1114"/>
      <c r="K814" s="4132"/>
      <c r="L814" s="2824"/>
      <c r="M814" s="2227"/>
      <c r="N814" s="3653"/>
      <c r="P814" s="522"/>
      <c r="Q814" s="522"/>
    </row>
    <row r="815" spans="1:17" ht="12" hidden="1" customHeight="1" x14ac:dyDescent="0.25">
      <c r="B815" s="2627"/>
      <c r="C815" s="3904"/>
      <c r="D815" s="1114"/>
      <c r="E815" s="2808"/>
      <c r="F815" s="2809"/>
      <c r="G815" s="3553"/>
      <c r="H815" s="2285"/>
      <c r="I815" s="3553"/>
      <c r="J815" s="2465"/>
      <c r="K815" s="4132"/>
      <c r="L815" s="2824"/>
      <c r="M815" s="2314"/>
      <c r="N815" s="2634"/>
    </row>
    <row r="816" spans="1:17" s="4099" customFormat="1" ht="19.5" hidden="1" customHeight="1" x14ac:dyDescent="0.25">
      <c r="A816" s="4100"/>
      <c r="B816" s="3654"/>
      <c r="C816" s="3994" t="s">
        <v>265</v>
      </c>
      <c r="D816" s="4283">
        <f>D817</f>
        <v>1200000000</v>
      </c>
      <c r="E816" s="2819">
        <f>D816/138203382000*100</f>
        <v>0.86828555324355228</v>
      </c>
      <c r="F816" s="4133"/>
      <c r="G816" s="3656"/>
      <c r="H816" s="2533"/>
      <c r="I816" s="3656"/>
      <c r="J816" s="3828"/>
      <c r="K816" s="4134"/>
      <c r="L816" s="4135"/>
      <c r="M816" s="3273"/>
      <c r="N816" s="3653"/>
      <c r="P816" s="522"/>
      <c r="Q816" s="522"/>
    </row>
    <row r="817" spans="1:17" s="4099" customFormat="1" ht="20.25" hidden="1" customHeight="1" x14ac:dyDescent="0.25">
      <c r="A817" s="4100"/>
      <c r="B817" s="2630"/>
      <c r="C817" s="4102" t="s">
        <v>4955</v>
      </c>
      <c r="D817" s="667">
        <v>1200000000</v>
      </c>
      <c r="E817" s="2820">
        <f>D817/138203382000*100</f>
        <v>0.86828555324355228</v>
      </c>
      <c r="F817" s="2695"/>
      <c r="G817" s="3651"/>
      <c r="H817" s="2279"/>
      <c r="I817" s="3651"/>
      <c r="J817" s="2460"/>
      <c r="K817" s="3754"/>
      <c r="L817" s="5291"/>
      <c r="M817" s="3290"/>
      <c r="N817" s="3653"/>
      <c r="P817" s="522"/>
      <c r="Q817" s="522"/>
    </row>
    <row r="818" spans="1:17" s="4099" customFormat="1" ht="19.5" hidden="1" customHeight="1" x14ac:dyDescent="0.25">
      <c r="A818" s="4100"/>
      <c r="B818" s="2630"/>
      <c r="C818" s="4124" t="s">
        <v>4956</v>
      </c>
      <c r="D818" s="386">
        <v>600000000</v>
      </c>
      <c r="E818" s="2821">
        <f t="shared" ref="E818:E819" si="37">D818/138203382000*100</f>
        <v>0.43414277662177614</v>
      </c>
      <c r="F818" s="1409"/>
      <c r="G818" s="3648"/>
      <c r="H818" s="1315"/>
      <c r="I818" s="3648"/>
      <c r="J818" s="2452"/>
      <c r="K818" s="4136"/>
      <c r="L818" s="4123"/>
      <c r="M818" s="2338"/>
      <c r="N818" s="3653"/>
      <c r="P818" s="522"/>
      <c r="Q818" s="522"/>
    </row>
    <row r="819" spans="1:17" s="4099" customFormat="1" ht="20.25" hidden="1" customHeight="1" x14ac:dyDescent="0.25">
      <c r="A819" s="4100"/>
      <c r="B819" s="2630"/>
      <c r="C819" s="4124" t="s">
        <v>4957</v>
      </c>
      <c r="D819" s="386">
        <v>600000000</v>
      </c>
      <c r="E819" s="2821">
        <f t="shared" si="37"/>
        <v>0.43414277662177614</v>
      </c>
      <c r="F819" s="1409"/>
      <c r="G819" s="3648"/>
      <c r="H819" s="1315"/>
      <c r="I819" s="3648"/>
      <c r="J819" s="2452"/>
      <c r="K819" s="4136"/>
      <c r="L819" s="4123"/>
      <c r="M819" s="2338"/>
      <c r="N819" s="3653"/>
      <c r="P819" s="522"/>
      <c r="Q819" s="522"/>
    </row>
    <row r="820" spans="1:17" s="4099" customFormat="1" ht="12" hidden="1" customHeight="1" x14ac:dyDescent="0.25">
      <c r="A820" s="4100"/>
      <c r="B820" s="2630"/>
      <c r="C820" s="4117"/>
      <c r="D820" s="543"/>
      <c r="E820" s="3135"/>
      <c r="F820" s="2695"/>
      <c r="G820" s="3651"/>
      <c r="H820" s="2279"/>
      <c r="I820" s="3651"/>
      <c r="J820" s="2460"/>
      <c r="K820" s="3754"/>
      <c r="L820" s="5291"/>
      <c r="M820" s="3290"/>
      <c r="N820" s="3653"/>
      <c r="P820" s="522"/>
      <c r="Q820" s="522"/>
    </row>
    <row r="821" spans="1:17" s="4099" customFormat="1" ht="20.25" hidden="1" customHeight="1" x14ac:dyDescent="0.25">
      <c r="A821" s="4100"/>
      <c r="B821" s="3654"/>
      <c r="C821" s="3994" t="s">
        <v>4973</v>
      </c>
      <c r="D821" s="669">
        <f>SUM(D822)</f>
        <v>300000000</v>
      </c>
      <c r="E821" s="2819">
        <f>D821/138203382000*100</f>
        <v>0.21707138831088807</v>
      </c>
      <c r="F821" s="4133"/>
      <c r="G821" s="3656"/>
      <c r="H821" s="2533"/>
      <c r="I821" s="3656"/>
      <c r="J821" s="3828"/>
      <c r="K821" s="4134"/>
      <c r="L821" s="4135"/>
      <c r="M821" s="3273"/>
      <c r="N821" s="3653"/>
      <c r="P821" s="522"/>
      <c r="Q821" s="522"/>
    </row>
    <row r="822" spans="1:17" s="4099" customFormat="1" ht="18.75" hidden="1" customHeight="1" x14ac:dyDescent="0.25">
      <c r="A822" s="4100"/>
      <c r="B822" s="2630"/>
      <c r="C822" s="4494" t="s">
        <v>4974</v>
      </c>
      <c r="D822" s="889">
        <f>D823</f>
        <v>300000000</v>
      </c>
      <c r="E822" s="2820">
        <f>D822/138203382000*100</f>
        <v>0.21707138831088807</v>
      </c>
      <c r="F822" s="2695"/>
      <c r="G822" s="3651"/>
      <c r="H822" s="2279"/>
      <c r="I822" s="3651"/>
      <c r="J822" s="2460"/>
      <c r="K822" s="3754"/>
      <c r="L822" s="5291"/>
      <c r="M822" s="3290"/>
      <c r="N822" s="3653"/>
      <c r="P822" s="522"/>
      <c r="Q822" s="522"/>
    </row>
    <row r="823" spans="1:17" s="4099" customFormat="1" ht="20.25" hidden="1" customHeight="1" x14ac:dyDescent="0.25">
      <c r="A823" s="4100"/>
      <c r="B823" s="2630"/>
      <c r="C823" s="4106" t="s">
        <v>4975</v>
      </c>
      <c r="D823" s="666">
        <v>300000000</v>
      </c>
      <c r="E823" s="2821">
        <f t="shared" ref="E823" si="38">D823/138203382000*100</f>
        <v>0.21707138831088807</v>
      </c>
      <c r="F823" s="1409"/>
      <c r="G823" s="3648"/>
      <c r="H823" s="1315"/>
      <c r="I823" s="3648"/>
      <c r="J823" s="2452"/>
      <c r="K823" s="4136"/>
      <c r="L823" s="4123"/>
      <c r="M823" s="2338"/>
      <c r="N823" s="3653"/>
      <c r="P823" s="522"/>
      <c r="Q823" s="522"/>
    </row>
    <row r="824" spans="1:17" s="4099" customFormat="1" ht="12" hidden="1" customHeight="1" x14ac:dyDescent="0.25">
      <c r="A824" s="4100"/>
      <c r="B824" s="2630"/>
      <c r="C824" s="4117"/>
      <c r="D824" s="543"/>
      <c r="E824" s="3135"/>
      <c r="F824" s="2695"/>
      <c r="G824" s="3651"/>
      <c r="H824" s="2279"/>
      <c r="I824" s="3651"/>
      <c r="J824" s="2460"/>
      <c r="K824" s="3754"/>
      <c r="L824" s="5291"/>
      <c r="M824" s="3290"/>
      <c r="N824" s="3653"/>
      <c r="P824" s="522"/>
      <c r="Q824" s="522"/>
    </row>
    <row r="825" spans="1:17" s="4099" customFormat="1" ht="19.5" hidden="1" customHeight="1" x14ac:dyDescent="0.25">
      <c r="A825" s="4100"/>
      <c r="B825" s="3654"/>
      <c r="C825" s="3994" t="s">
        <v>4997</v>
      </c>
      <c r="D825" s="847">
        <f>D826</f>
        <v>350000000</v>
      </c>
      <c r="E825" s="2819">
        <f>D825/138203382000*100</f>
        <v>0.25324995302936942</v>
      </c>
      <c r="F825" s="4133"/>
      <c r="G825" s="3656"/>
      <c r="H825" s="2533"/>
      <c r="I825" s="3656"/>
      <c r="J825" s="3828"/>
      <c r="K825" s="4134"/>
      <c r="L825" s="4135"/>
      <c r="M825" s="3273"/>
      <c r="N825" s="3653"/>
      <c r="P825" s="522"/>
      <c r="Q825" s="522"/>
    </row>
    <row r="826" spans="1:17" s="4099" customFormat="1" ht="24" hidden="1" customHeight="1" x14ac:dyDescent="0.25">
      <c r="A826" s="4100"/>
      <c r="B826" s="2630"/>
      <c r="C826" s="4106" t="s">
        <v>5004</v>
      </c>
      <c r="D826" s="666">
        <v>350000000</v>
      </c>
      <c r="E826" s="2820">
        <f>D826/138203382000*100</f>
        <v>0.25324995302936942</v>
      </c>
      <c r="F826" s="2695"/>
      <c r="G826" s="3651"/>
      <c r="H826" s="2279"/>
      <c r="I826" s="3651"/>
      <c r="J826" s="2460"/>
      <c r="K826" s="3754"/>
      <c r="L826" s="5291"/>
      <c r="M826" s="3290"/>
      <c r="N826" s="3653"/>
      <c r="P826" s="522"/>
      <c r="Q826" s="522"/>
    </row>
    <row r="827" spans="1:17" s="4099" customFormat="1" ht="12" hidden="1" customHeight="1" x14ac:dyDescent="0.25">
      <c r="A827" s="4100"/>
      <c r="B827" s="2630"/>
      <c r="C827" s="4117"/>
      <c r="D827" s="543"/>
      <c r="E827" s="2821"/>
      <c r="F827" s="5295"/>
      <c r="G827" s="2445"/>
      <c r="H827" s="2282"/>
      <c r="I827" s="2445"/>
      <c r="J827" s="5296"/>
      <c r="K827" s="5297"/>
      <c r="L827" s="5298"/>
      <c r="M827" s="3751"/>
      <c r="N827" s="3653"/>
      <c r="P827" s="522"/>
      <c r="Q827" s="522"/>
    </row>
    <row r="828" spans="1:17" s="4099" customFormat="1" ht="21" hidden="1" customHeight="1" x14ac:dyDescent="0.25">
      <c r="A828" s="4100"/>
      <c r="B828" s="3654"/>
      <c r="C828" s="3858" t="s">
        <v>5071</v>
      </c>
      <c r="D828" s="847">
        <f>D829</f>
        <v>2000000000</v>
      </c>
      <c r="E828" s="2819">
        <f>D828/138203382000*100</f>
        <v>1.4471425887392539</v>
      </c>
      <c r="F828" s="4133"/>
      <c r="G828" s="3656"/>
      <c r="H828" s="2533"/>
      <c r="I828" s="3656"/>
      <c r="J828" s="3828"/>
      <c r="K828" s="4134"/>
      <c r="L828" s="4135"/>
      <c r="M828" s="3273"/>
      <c r="N828" s="3653"/>
      <c r="P828" s="522"/>
      <c r="Q828" s="522"/>
    </row>
    <row r="829" spans="1:17" s="4099" customFormat="1" ht="21" hidden="1" customHeight="1" x14ac:dyDescent="0.25">
      <c r="A829" s="4100"/>
      <c r="B829" s="2630"/>
      <c r="C829" s="3953" t="s">
        <v>5076</v>
      </c>
      <c r="D829" s="867">
        <f>D830</f>
        <v>2000000000</v>
      </c>
      <c r="E829" s="2820">
        <f>D829/138203382000*100</f>
        <v>1.4471425887392539</v>
      </c>
      <c r="F829" s="2695"/>
      <c r="G829" s="3651"/>
      <c r="H829" s="2182"/>
      <c r="I829" s="1649"/>
      <c r="J829" s="2460"/>
      <c r="K829" s="3754"/>
      <c r="L829" s="3806"/>
      <c r="M829" s="2302"/>
      <c r="N829" s="3653"/>
      <c r="P829" s="522"/>
      <c r="Q829" s="522"/>
    </row>
    <row r="830" spans="1:17" s="4099" customFormat="1" ht="16.5" hidden="1" customHeight="1" x14ac:dyDescent="0.25">
      <c r="A830" s="4100"/>
      <c r="B830" s="2630"/>
      <c r="C830" s="4104" t="s">
        <v>5077</v>
      </c>
      <c r="D830" s="542">
        <v>2000000000</v>
      </c>
      <c r="E830" s="2821">
        <f t="shared" ref="E830" si="39">D830/138203382000*100</f>
        <v>1.4471425887392539</v>
      </c>
      <c r="F830" s="1409"/>
      <c r="G830" s="3648"/>
      <c r="H830" s="1315"/>
      <c r="I830" s="3648"/>
      <c r="J830" s="2452"/>
      <c r="K830" s="4136"/>
      <c r="L830" s="4123"/>
      <c r="M830" s="2338"/>
      <c r="N830" s="3653"/>
      <c r="P830" s="522"/>
      <c r="Q830" s="522"/>
    </row>
    <row r="831" spans="1:17" s="4099" customFormat="1" ht="12" hidden="1" customHeight="1" x14ac:dyDescent="0.25">
      <c r="A831" s="4100"/>
      <c r="B831" s="2630"/>
      <c r="C831" s="3896"/>
      <c r="D831" s="1007"/>
      <c r="E831" s="799"/>
      <c r="F831" s="2773"/>
      <c r="G831" s="3651"/>
      <c r="H831" s="1649"/>
      <c r="I831" s="1649"/>
      <c r="J831" s="2582"/>
      <c r="K831" s="5299"/>
      <c r="L831" s="1703"/>
      <c r="M831" s="2182"/>
      <c r="N831" s="3653"/>
      <c r="P831" s="522"/>
      <c r="Q831" s="522"/>
    </row>
    <row r="832" spans="1:17" ht="17.25" customHeight="1" x14ac:dyDescent="0.25">
      <c r="B832" s="2724"/>
      <c r="C832" s="1297" t="s">
        <v>867</v>
      </c>
      <c r="D832" s="1066">
        <f>SUM(D833+D913)</f>
        <v>54425640000</v>
      </c>
      <c r="E832" s="2530">
        <f>D832/D83*100</f>
        <v>9.563811152777653</v>
      </c>
      <c r="F832" s="4410"/>
      <c r="G832" s="1067"/>
      <c r="H832" s="2788"/>
      <c r="I832" s="2788"/>
      <c r="J832" s="1066"/>
      <c r="K832" s="1067"/>
      <c r="L832" s="2788"/>
      <c r="M832" s="2788"/>
      <c r="N832" s="2634"/>
    </row>
    <row r="833" spans="2:14" ht="20.25" hidden="1" customHeight="1" x14ac:dyDescent="0.25">
      <c r="B833" s="2743"/>
      <c r="C833" s="2790" t="s">
        <v>287</v>
      </c>
      <c r="D833" s="2792">
        <f>SUM(D834+D838+D845+D862+D865+D880+D883+D895+D898+D910)</f>
        <v>46005100000</v>
      </c>
      <c r="E833" s="2792">
        <f>D833/137286690000*100</f>
        <v>33.510240504742299</v>
      </c>
      <c r="F833" s="2793"/>
      <c r="G833" s="2793"/>
      <c r="H833" s="2439"/>
      <c r="I833" s="1004"/>
      <c r="J833" s="2791"/>
      <c r="K833" s="2793"/>
      <c r="L833" s="2439"/>
      <c r="M833" s="2264"/>
      <c r="N833" s="2634"/>
    </row>
    <row r="834" spans="2:14" ht="15" hidden="1" customHeight="1" x14ac:dyDescent="0.25">
      <c r="B834" s="2630"/>
      <c r="C834" s="3930" t="s">
        <v>236</v>
      </c>
      <c r="D834" s="4240">
        <f>SUM(D835:D836)</f>
        <v>800000000</v>
      </c>
      <c r="E834" s="2026">
        <f>D834/137286690000*100</f>
        <v>0.58272218523150354</v>
      </c>
      <c r="F834" s="1585"/>
      <c r="G834" s="1423"/>
      <c r="H834" s="2441"/>
      <c r="I834" s="803"/>
      <c r="J834" s="994"/>
      <c r="K834" s="1423"/>
      <c r="L834" s="2441"/>
      <c r="M834" s="1706"/>
      <c r="N834" s="2634"/>
    </row>
    <row r="835" spans="2:14" ht="15" hidden="1" customHeight="1" x14ac:dyDescent="0.25">
      <c r="B835" s="2630"/>
      <c r="C835" s="3945" t="s">
        <v>5985</v>
      </c>
      <c r="D835" s="4184">
        <v>300000000</v>
      </c>
      <c r="E835" s="780">
        <f>D835/137286690000*100</f>
        <v>0.21852081946181381</v>
      </c>
      <c r="F835" s="967"/>
      <c r="G835" s="1073"/>
      <c r="H835" s="1074"/>
      <c r="I835" s="802"/>
      <c r="J835" s="963"/>
      <c r="K835" s="1716"/>
      <c r="L835" s="1074"/>
      <c r="M835" s="1648"/>
      <c r="N835" s="2634"/>
    </row>
    <row r="836" spans="2:14" ht="15" hidden="1" customHeight="1" x14ac:dyDescent="0.25">
      <c r="B836" s="2630"/>
      <c r="C836" s="3945" t="s">
        <v>5986</v>
      </c>
      <c r="D836" s="4184">
        <v>500000000</v>
      </c>
      <c r="E836" s="780">
        <f t="shared" ref="E836:E899" si="40">D836/137286690000*100</f>
        <v>0.3642013657696897</v>
      </c>
      <c r="F836" s="967"/>
      <c r="G836" s="1073"/>
      <c r="H836" s="1074"/>
      <c r="I836" s="802"/>
      <c r="J836" s="963"/>
      <c r="K836" s="967"/>
      <c r="L836" s="1074"/>
      <c r="M836" s="1648"/>
      <c r="N836" s="2634"/>
    </row>
    <row r="837" spans="2:14" ht="15" hidden="1" customHeight="1" x14ac:dyDescent="0.25">
      <c r="B837" s="2630"/>
      <c r="C837" s="3956"/>
      <c r="D837" s="799"/>
      <c r="E837" s="780"/>
      <c r="F837" s="967"/>
      <c r="G837" s="1073"/>
      <c r="H837" s="1074"/>
      <c r="I837" s="802"/>
      <c r="J837" s="963"/>
      <c r="K837" s="967"/>
      <c r="L837" s="1074"/>
      <c r="M837" s="1648"/>
      <c r="N837" s="2634"/>
    </row>
    <row r="838" spans="2:14" ht="17.25" hidden="1" customHeight="1" x14ac:dyDescent="0.25">
      <c r="B838" s="2630"/>
      <c r="C838" s="3930" t="s">
        <v>559</v>
      </c>
      <c r="D838" s="4235">
        <f>SUM(D839:D843)</f>
        <v>4709368500</v>
      </c>
      <c r="E838" s="768">
        <f t="shared" si="40"/>
        <v>3.4303168792255097</v>
      </c>
      <c r="F838" s="967"/>
      <c r="G838" s="937"/>
      <c r="H838" s="782"/>
      <c r="I838" s="782"/>
      <c r="J838" s="963"/>
      <c r="K838" s="1648"/>
      <c r="L838" s="1074"/>
      <c r="M838" s="1648"/>
      <c r="N838" s="2634"/>
    </row>
    <row r="839" spans="2:14" ht="15" hidden="1" customHeight="1" x14ac:dyDescent="0.25">
      <c r="B839" s="2630"/>
      <c r="C839" s="3945" t="s">
        <v>5987</v>
      </c>
      <c r="D839" s="4184">
        <v>893000000</v>
      </c>
      <c r="E839" s="780">
        <f t="shared" si="40"/>
        <v>0.65046363926466577</v>
      </c>
      <c r="F839" s="967"/>
      <c r="G839" s="755"/>
      <c r="H839" s="755"/>
      <c r="I839" s="802"/>
      <c r="J839" s="963"/>
      <c r="K839" s="1716"/>
      <c r="L839" s="1716"/>
      <c r="M839" s="1648"/>
      <c r="N839" s="2634"/>
    </row>
    <row r="840" spans="2:14" ht="15" hidden="1" customHeight="1" x14ac:dyDescent="0.25">
      <c r="B840" s="2630"/>
      <c r="C840" s="3945" t="s">
        <v>5988</v>
      </c>
      <c r="D840" s="4184">
        <v>592810000</v>
      </c>
      <c r="E840" s="780">
        <f t="shared" si="40"/>
        <v>0.43180442328385948</v>
      </c>
      <c r="F840" s="2418"/>
      <c r="G840" s="966"/>
      <c r="H840" s="2442"/>
      <c r="I840" s="803"/>
      <c r="J840" s="2794"/>
      <c r="K840" s="966"/>
      <c r="L840" s="2441"/>
      <c r="M840" s="1706"/>
      <c r="N840" s="2634"/>
    </row>
    <row r="841" spans="2:14" ht="14.25" hidden="1" customHeight="1" x14ac:dyDescent="0.25">
      <c r="B841" s="2630"/>
      <c r="C841" s="3945" t="s">
        <v>5989</v>
      </c>
      <c r="D841" s="4184">
        <v>282443000</v>
      </c>
      <c r="E841" s="780">
        <f t="shared" si="40"/>
        <v>0.20573225270417694</v>
      </c>
      <c r="F841" s="967"/>
      <c r="G841" s="1074"/>
      <c r="H841" s="1074"/>
      <c r="I841" s="802"/>
      <c r="J841" s="963"/>
      <c r="K841" s="1716"/>
      <c r="L841" s="1074"/>
      <c r="M841" s="1648"/>
      <c r="N841" s="2634"/>
    </row>
    <row r="842" spans="2:14" ht="14.25" hidden="1" customHeight="1" x14ac:dyDescent="0.25">
      <c r="B842" s="2630"/>
      <c r="C842" s="3945" t="s">
        <v>5990</v>
      </c>
      <c r="D842" s="4184">
        <v>1679700000</v>
      </c>
      <c r="E842" s="780">
        <f t="shared" si="40"/>
        <v>1.2234980681666956</v>
      </c>
      <c r="F842" s="967"/>
      <c r="G842" s="1074"/>
      <c r="H842" s="1074"/>
      <c r="I842" s="802"/>
      <c r="J842" s="963"/>
      <c r="K842" s="1716"/>
      <c r="L842" s="1074"/>
      <c r="M842" s="1648"/>
      <c r="N842" s="2634"/>
    </row>
    <row r="843" spans="2:14" ht="13.5" hidden="1" customHeight="1" x14ac:dyDescent="0.25">
      <c r="B843" s="2630"/>
      <c r="C843" s="3945" t="s">
        <v>5991</v>
      </c>
      <c r="D843" s="4184">
        <v>1261415500</v>
      </c>
      <c r="E843" s="780">
        <f t="shared" si="40"/>
        <v>0.91881849580611208</v>
      </c>
      <c r="F843" s="967"/>
      <c r="G843" s="1074"/>
      <c r="H843" s="1074"/>
      <c r="I843" s="802"/>
      <c r="J843" s="963"/>
      <c r="K843" s="1716"/>
      <c r="L843" s="1074"/>
      <c r="M843" s="1648"/>
      <c r="N843" s="2634"/>
    </row>
    <row r="844" spans="2:14" ht="15" hidden="1" customHeight="1" x14ac:dyDescent="0.25">
      <c r="B844" s="2630"/>
      <c r="C844" s="4038"/>
      <c r="D844" s="671"/>
      <c r="E844" s="780"/>
      <c r="F844" s="967"/>
      <c r="G844" s="1074"/>
      <c r="H844" s="1074"/>
      <c r="I844" s="802"/>
      <c r="J844" s="963"/>
      <c r="K844" s="1716"/>
      <c r="L844" s="1074"/>
      <c r="M844" s="1648"/>
      <c r="N844" s="2634"/>
    </row>
    <row r="845" spans="2:14" ht="16.5" hidden="1" customHeight="1" x14ac:dyDescent="0.25">
      <c r="B845" s="2630"/>
      <c r="C845" s="3930" t="s">
        <v>366</v>
      </c>
      <c r="D845" s="4235">
        <f>SUM(D846:D860)</f>
        <v>16064060000</v>
      </c>
      <c r="E845" s="768">
        <f t="shared" si="40"/>
        <v>11.701105183612484</v>
      </c>
      <c r="F845" s="967"/>
      <c r="G845" s="1074"/>
      <c r="H845" s="1074"/>
      <c r="I845" s="802"/>
      <c r="J845" s="963"/>
      <c r="K845" s="1716"/>
      <c r="L845" s="1074"/>
      <c r="M845" s="1648"/>
      <c r="N845" s="2634"/>
    </row>
    <row r="846" spans="2:14" ht="19.5" hidden="1" customHeight="1" x14ac:dyDescent="0.25">
      <c r="B846" s="2630"/>
      <c r="C846" s="3945" t="s">
        <v>5997</v>
      </c>
      <c r="D846" s="666">
        <v>10946860000</v>
      </c>
      <c r="E846" s="780">
        <f t="shared" si="40"/>
        <v>7.9737227257791714</v>
      </c>
      <c r="F846" s="967"/>
      <c r="G846" s="1074"/>
      <c r="H846" s="1074"/>
      <c r="I846" s="802"/>
      <c r="J846" s="963"/>
      <c r="K846" s="1074"/>
      <c r="L846" s="1074"/>
      <c r="M846" s="1648"/>
      <c r="N846" s="2634"/>
    </row>
    <row r="847" spans="2:14" ht="18" hidden="1" customHeight="1" x14ac:dyDescent="0.25">
      <c r="B847" s="2630"/>
      <c r="C847" s="3945" t="s">
        <v>5992</v>
      </c>
      <c r="D847" s="4184">
        <v>100000000</v>
      </c>
      <c r="E847" s="780">
        <f t="shared" si="40"/>
        <v>7.2840273153937943E-2</v>
      </c>
      <c r="F847" s="967"/>
      <c r="G847" s="1074"/>
      <c r="H847" s="1074"/>
      <c r="I847" s="802"/>
      <c r="J847" s="963"/>
      <c r="K847" s="1074"/>
      <c r="L847" s="1074"/>
      <c r="M847" s="1648"/>
      <c r="N847" s="2634"/>
    </row>
    <row r="848" spans="2:14" ht="17.25" hidden="1" customHeight="1" x14ac:dyDescent="0.25">
      <c r="B848" s="2630"/>
      <c r="C848" s="3945" t="s">
        <v>5993</v>
      </c>
      <c r="D848" s="4184">
        <v>200000000</v>
      </c>
      <c r="E848" s="780">
        <f t="shared" si="40"/>
        <v>0.14568054630787589</v>
      </c>
      <c r="F848" s="967"/>
      <c r="G848" s="937"/>
      <c r="H848" s="937"/>
      <c r="I848" s="937"/>
      <c r="J848" s="963"/>
      <c r="K848" s="937"/>
      <c r="L848" s="937"/>
      <c r="M848" s="937"/>
      <c r="N848" s="2634"/>
    </row>
    <row r="849" spans="2:14" ht="30" hidden="1" customHeight="1" x14ac:dyDescent="0.25">
      <c r="B849" s="2630"/>
      <c r="C849" s="3945" t="s">
        <v>5994</v>
      </c>
      <c r="D849" s="2711">
        <v>398550000</v>
      </c>
      <c r="E849" s="780">
        <f t="shared" si="40"/>
        <v>0.29030490865501968</v>
      </c>
      <c r="F849" s="967"/>
      <c r="G849" s="1074"/>
      <c r="H849" s="1074"/>
      <c r="I849" s="802"/>
      <c r="J849" s="963"/>
      <c r="K849" s="2777"/>
      <c r="L849" s="1074"/>
      <c r="M849" s="1648"/>
      <c r="N849" s="2634"/>
    </row>
    <row r="850" spans="2:14" ht="18" hidden="1" customHeight="1" x14ac:dyDescent="0.25">
      <c r="B850" s="2630"/>
      <c r="C850" s="3945" t="s">
        <v>5995</v>
      </c>
      <c r="D850" s="4184">
        <v>250000000</v>
      </c>
      <c r="E850" s="780">
        <f t="shared" si="40"/>
        <v>0.18210068288484485</v>
      </c>
      <c r="F850" s="967"/>
      <c r="G850" s="937"/>
      <c r="H850" s="937"/>
      <c r="I850" s="937"/>
      <c r="J850" s="963"/>
      <c r="K850" s="1716"/>
      <c r="L850" s="1074"/>
      <c r="M850" s="1648"/>
      <c r="N850" s="2634"/>
    </row>
    <row r="851" spans="2:14" ht="16.5" hidden="1" customHeight="1" x14ac:dyDescent="0.25">
      <c r="B851" s="2630"/>
      <c r="C851" s="3945" t="s">
        <v>5996</v>
      </c>
      <c r="D851" s="4184">
        <v>200000000</v>
      </c>
      <c r="E851" s="780">
        <f t="shared" si="40"/>
        <v>0.14568054630787589</v>
      </c>
      <c r="F851" s="967"/>
      <c r="G851" s="937"/>
      <c r="H851" s="937"/>
      <c r="I851" s="937"/>
      <c r="J851" s="963"/>
      <c r="K851" s="1716"/>
      <c r="L851" s="1074"/>
      <c r="M851" s="1648"/>
      <c r="N851" s="2634"/>
    </row>
    <row r="852" spans="2:14" ht="17.25" hidden="1" customHeight="1" x14ac:dyDescent="0.25">
      <c r="B852" s="2630"/>
      <c r="C852" s="3945" t="s">
        <v>5998</v>
      </c>
      <c r="D852" s="4184">
        <v>200000000</v>
      </c>
      <c r="E852" s="780">
        <f t="shared" si="40"/>
        <v>0.14568054630787589</v>
      </c>
      <c r="F852" s="967"/>
      <c r="G852" s="937"/>
      <c r="H852" s="937"/>
      <c r="I852" s="937"/>
      <c r="J852" s="963"/>
      <c r="K852" s="2777"/>
      <c r="L852" s="1074"/>
      <c r="M852" s="1648"/>
      <c r="N852" s="2634"/>
    </row>
    <row r="853" spans="2:14" ht="17.25" hidden="1" customHeight="1" x14ac:dyDescent="0.25">
      <c r="B853" s="2630"/>
      <c r="C853" s="3945" t="s">
        <v>5999</v>
      </c>
      <c r="D853" s="4184">
        <v>200000000</v>
      </c>
      <c r="E853" s="780">
        <f t="shared" si="40"/>
        <v>0.14568054630787589</v>
      </c>
      <c r="F853" s="967"/>
      <c r="G853" s="937"/>
      <c r="H853" s="937"/>
      <c r="I853" s="937"/>
      <c r="J853" s="963"/>
      <c r="K853" s="937"/>
      <c r="L853" s="937"/>
      <c r="M853" s="937"/>
      <c r="N853" s="2634"/>
    </row>
    <row r="854" spans="2:14" ht="16.5" hidden="1" customHeight="1" x14ac:dyDescent="0.25">
      <c r="B854" s="2630"/>
      <c r="C854" s="3945" t="s">
        <v>6000</v>
      </c>
      <c r="D854" s="4184">
        <v>650000000</v>
      </c>
      <c r="E854" s="780">
        <f t="shared" si="40"/>
        <v>0.47346177550059659</v>
      </c>
      <c r="F854" s="967"/>
      <c r="G854" s="937"/>
      <c r="H854" s="937"/>
      <c r="I854" s="937"/>
      <c r="J854" s="963"/>
      <c r="K854" s="1716"/>
      <c r="L854" s="1074"/>
      <c r="M854" s="1648"/>
      <c r="N854" s="2634"/>
    </row>
    <row r="855" spans="2:14" ht="16.5" hidden="1" customHeight="1" x14ac:dyDescent="0.25">
      <c r="B855" s="2630"/>
      <c r="C855" s="3945" t="s">
        <v>6001</v>
      </c>
      <c r="D855" s="4184">
        <v>200000000</v>
      </c>
      <c r="E855" s="780">
        <f t="shared" si="40"/>
        <v>0.14568054630787589</v>
      </c>
      <c r="F855" s="967"/>
      <c r="G855" s="782"/>
      <c r="H855" s="782"/>
      <c r="I855" s="802"/>
      <c r="J855" s="963"/>
      <c r="K855" s="2777"/>
      <c r="L855" s="1716"/>
      <c r="M855" s="1648"/>
      <c r="N855" s="2634"/>
    </row>
    <row r="856" spans="2:14" ht="15.75" hidden="1" customHeight="1" x14ac:dyDescent="0.25">
      <c r="B856" s="2630"/>
      <c r="C856" s="3945" t="s">
        <v>6002</v>
      </c>
      <c r="D856" s="4184">
        <v>1200000000</v>
      </c>
      <c r="E856" s="780">
        <f t="shared" si="40"/>
        <v>0.87408327784725526</v>
      </c>
      <c r="F856" s="966"/>
      <c r="G856" s="966"/>
      <c r="H856" s="2442"/>
      <c r="I856" s="803"/>
      <c r="J856" s="965"/>
      <c r="K856" s="966"/>
      <c r="L856" s="2441"/>
      <c r="M856" s="1706"/>
      <c r="N856" s="2634"/>
    </row>
    <row r="857" spans="2:14" ht="17.25" hidden="1" customHeight="1" x14ac:dyDescent="0.25">
      <c r="B857" s="2630"/>
      <c r="C857" s="3945" t="s">
        <v>6003</v>
      </c>
      <c r="D857" s="4184">
        <v>150000000</v>
      </c>
      <c r="E857" s="780">
        <f t="shared" si="40"/>
        <v>0.10926040973090691</v>
      </c>
      <c r="F857" s="967"/>
      <c r="G857" s="1074"/>
      <c r="H857" s="1074"/>
      <c r="I857" s="803"/>
      <c r="J857" s="963"/>
      <c r="K857" s="1074"/>
      <c r="L857" s="1074"/>
      <c r="M857" s="1648"/>
      <c r="N857" s="2634"/>
    </row>
    <row r="858" spans="2:14" ht="15" hidden="1" customHeight="1" x14ac:dyDescent="0.25">
      <c r="B858" s="2630"/>
      <c r="C858" s="3945" t="s">
        <v>6004</v>
      </c>
      <c r="D858" s="4184">
        <v>500000000</v>
      </c>
      <c r="E858" s="780">
        <f t="shared" si="40"/>
        <v>0.3642013657696897</v>
      </c>
      <c r="F858" s="967"/>
      <c r="G858" s="1074"/>
      <c r="H858" s="1074"/>
      <c r="I858" s="802"/>
      <c r="J858" s="963"/>
      <c r="K858" s="2777"/>
      <c r="L858" s="1074"/>
      <c r="M858" s="1648"/>
      <c r="N858" s="2634"/>
    </row>
    <row r="859" spans="2:14" ht="16.5" hidden="1" customHeight="1" x14ac:dyDescent="0.25">
      <c r="B859" s="2630"/>
      <c r="C859" s="3945" t="s">
        <v>6005</v>
      </c>
      <c r="D859" s="4184">
        <v>600000000</v>
      </c>
      <c r="E859" s="780">
        <f t="shared" si="40"/>
        <v>0.43704163892362763</v>
      </c>
      <c r="F859" s="967"/>
      <c r="G859" s="1074"/>
      <c r="H859" s="1074"/>
      <c r="I859" s="802"/>
      <c r="J859" s="963"/>
      <c r="K859" s="967"/>
      <c r="L859" s="1074"/>
      <c r="M859" s="1648"/>
      <c r="N859" s="2634"/>
    </row>
    <row r="860" spans="2:14" ht="17.25" hidden="1" customHeight="1" x14ac:dyDescent="0.25">
      <c r="B860" s="2630"/>
      <c r="C860" s="3945" t="s">
        <v>6006</v>
      </c>
      <c r="D860" s="4184">
        <v>268650000</v>
      </c>
      <c r="E860" s="780">
        <f t="shared" si="40"/>
        <v>0.19568539382805428</v>
      </c>
      <c r="F860" s="967"/>
      <c r="G860" s="1074"/>
      <c r="H860" s="1074"/>
      <c r="I860" s="802"/>
      <c r="J860" s="963"/>
      <c r="K860" s="1074"/>
      <c r="L860" s="1074"/>
      <c r="M860" s="1648"/>
      <c r="N860" s="2634"/>
    </row>
    <row r="861" spans="2:14" ht="9.75" hidden="1" customHeight="1" x14ac:dyDescent="0.25">
      <c r="B861" s="2630"/>
      <c r="C861" s="4038"/>
      <c r="D861" s="671"/>
      <c r="E861" s="780"/>
      <c r="F861" s="967"/>
      <c r="G861" s="1074"/>
      <c r="H861" s="1074"/>
      <c r="I861" s="802"/>
      <c r="J861" s="963"/>
      <c r="K861" s="1074"/>
      <c r="L861" s="1074"/>
      <c r="M861" s="1648"/>
      <c r="N861" s="2634"/>
    </row>
    <row r="862" spans="2:14" ht="19.5" hidden="1" customHeight="1" x14ac:dyDescent="0.25">
      <c r="B862" s="2630"/>
      <c r="C862" s="3930" t="s">
        <v>6007</v>
      </c>
      <c r="D862" s="4235">
        <f>SUM(D863)</f>
        <v>500000000</v>
      </c>
      <c r="E862" s="768">
        <f t="shared" si="40"/>
        <v>0.3642013657696897</v>
      </c>
      <c r="F862" s="967"/>
      <c r="G862" s="1074"/>
      <c r="H862" s="1074"/>
      <c r="I862" s="802"/>
      <c r="J862" s="963"/>
      <c r="K862" s="1074"/>
      <c r="L862" s="1074"/>
      <c r="M862" s="1648"/>
      <c r="N862" s="2634"/>
    </row>
    <row r="863" spans="2:14" ht="16.5" hidden="1" customHeight="1" x14ac:dyDescent="0.25">
      <c r="B863" s="2630"/>
      <c r="C863" s="3945" t="s">
        <v>6008</v>
      </c>
      <c r="D863" s="4184">
        <v>500000000</v>
      </c>
      <c r="E863" s="780">
        <f t="shared" si="40"/>
        <v>0.3642013657696897</v>
      </c>
      <c r="F863" s="967"/>
      <c r="G863" s="1074"/>
      <c r="H863" s="1074"/>
      <c r="I863" s="802"/>
      <c r="J863" s="963"/>
      <c r="K863" s="1074"/>
      <c r="L863" s="1074"/>
      <c r="M863" s="1648"/>
      <c r="N863" s="2634"/>
    </row>
    <row r="864" spans="2:14" ht="15" hidden="1" customHeight="1" x14ac:dyDescent="0.25">
      <c r="B864" s="2630"/>
      <c r="C864" s="4033"/>
      <c r="D864" s="671"/>
      <c r="E864" s="780"/>
      <c r="F864" s="967"/>
      <c r="G864" s="1074"/>
      <c r="H864" s="1074"/>
      <c r="I864" s="802"/>
      <c r="J864" s="963"/>
      <c r="K864" s="1074"/>
      <c r="L864" s="937"/>
      <c r="M864" s="937"/>
      <c r="N864" s="2634"/>
    </row>
    <row r="865" spans="2:14" ht="20.25" hidden="1" customHeight="1" x14ac:dyDescent="0.25">
      <c r="B865" s="2630"/>
      <c r="C865" s="4039" t="s">
        <v>5712</v>
      </c>
      <c r="D865" s="4235">
        <f>SUM(D866:D878)</f>
        <v>3348884000</v>
      </c>
      <c r="E865" s="768">
        <f t="shared" si="40"/>
        <v>2.439336253208523</v>
      </c>
      <c r="F865" s="967"/>
      <c r="G865" s="1074"/>
      <c r="H865" s="1074"/>
      <c r="I865" s="802"/>
      <c r="J865" s="963"/>
      <c r="K865" s="1074"/>
      <c r="L865" s="1074"/>
      <c r="M865" s="1648"/>
      <c r="N865" s="2634"/>
    </row>
    <row r="866" spans="2:14" ht="19.5" hidden="1" customHeight="1" x14ac:dyDescent="0.25">
      <c r="B866" s="2630"/>
      <c r="C866" s="3945" t="s">
        <v>6009</v>
      </c>
      <c r="D866" s="4184">
        <v>200000000</v>
      </c>
      <c r="E866" s="780">
        <f t="shared" si="40"/>
        <v>0.14568054630787589</v>
      </c>
      <c r="F866" s="967"/>
      <c r="G866" s="1074"/>
      <c r="H866" s="1074"/>
      <c r="I866" s="802"/>
      <c r="J866" s="963"/>
      <c r="K866" s="1074"/>
      <c r="L866" s="1074"/>
      <c r="M866" s="1648"/>
      <c r="N866" s="2634"/>
    </row>
    <row r="867" spans="2:14" ht="16.5" hidden="1" customHeight="1" x14ac:dyDescent="0.25">
      <c r="B867" s="2630"/>
      <c r="C867" s="3945" t="s">
        <v>6010</v>
      </c>
      <c r="D867" s="4184">
        <v>250000000</v>
      </c>
      <c r="E867" s="780">
        <f t="shared" si="40"/>
        <v>0.18210068288484485</v>
      </c>
      <c r="F867" s="967"/>
      <c r="G867" s="1074"/>
      <c r="H867" s="1074"/>
      <c r="I867" s="802"/>
      <c r="J867" s="963"/>
      <c r="K867" s="1074"/>
      <c r="L867" s="1074"/>
      <c r="M867" s="1648"/>
      <c r="N867" s="2634"/>
    </row>
    <row r="868" spans="2:14" ht="17.25" hidden="1" customHeight="1" x14ac:dyDescent="0.25">
      <c r="B868" s="2630"/>
      <c r="C868" s="3945" t="s">
        <v>6011</v>
      </c>
      <c r="D868" s="4184">
        <v>300000000</v>
      </c>
      <c r="E868" s="780">
        <f t="shared" si="40"/>
        <v>0.21852081946181381</v>
      </c>
      <c r="F868" s="967"/>
      <c r="G868" s="937"/>
      <c r="H868" s="937"/>
      <c r="I868" s="937"/>
      <c r="J868" s="963"/>
      <c r="K868" s="937"/>
      <c r="L868" s="937"/>
      <c r="M868" s="937"/>
      <c r="N868" s="2634"/>
    </row>
    <row r="869" spans="2:14" ht="16.5" hidden="1" customHeight="1" x14ac:dyDescent="0.25">
      <c r="B869" s="2630"/>
      <c r="C869" s="3945" t="s">
        <v>6012</v>
      </c>
      <c r="D869" s="4184">
        <v>210000000</v>
      </c>
      <c r="E869" s="780">
        <f t="shared" si="40"/>
        <v>0.15296457362326965</v>
      </c>
      <c r="F869" s="967"/>
      <c r="G869" s="937"/>
      <c r="H869" s="937"/>
      <c r="I869" s="937"/>
      <c r="J869" s="963"/>
      <c r="K869" s="937"/>
      <c r="L869" s="937"/>
      <c r="M869" s="937"/>
      <c r="N869" s="2634"/>
    </row>
    <row r="870" spans="2:14" ht="17.25" hidden="1" customHeight="1" x14ac:dyDescent="0.25">
      <c r="B870" s="2630"/>
      <c r="C870" s="3945" t="s">
        <v>6013</v>
      </c>
      <c r="D870" s="4184">
        <v>200000000</v>
      </c>
      <c r="E870" s="780">
        <f t="shared" si="40"/>
        <v>0.14568054630787589</v>
      </c>
      <c r="F870" s="967"/>
      <c r="G870" s="937"/>
      <c r="H870" s="937"/>
      <c r="I870" s="937"/>
      <c r="J870" s="963"/>
      <c r="K870" s="937"/>
      <c r="L870" s="937"/>
      <c r="M870" s="937"/>
      <c r="N870" s="2634"/>
    </row>
    <row r="871" spans="2:14" ht="17.25" hidden="1" customHeight="1" x14ac:dyDescent="0.25">
      <c r="B871" s="2630"/>
      <c r="C871" s="3945" t="s">
        <v>6014</v>
      </c>
      <c r="D871" s="4184">
        <v>300000000</v>
      </c>
      <c r="E871" s="780">
        <f t="shared" si="40"/>
        <v>0.21852081946181381</v>
      </c>
      <c r="F871" s="967"/>
      <c r="G871" s="1074"/>
      <c r="H871" s="1074"/>
      <c r="I871" s="802"/>
      <c r="J871" s="963"/>
      <c r="K871" s="1074"/>
      <c r="L871" s="1074"/>
      <c r="M871" s="1648"/>
      <c r="N871" s="2634"/>
    </row>
    <row r="872" spans="2:14" ht="18" hidden="1" customHeight="1" x14ac:dyDescent="0.25">
      <c r="B872" s="2630"/>
      <c r="C872" s="3945" t="s">
        <v>6015</v>
      </c>
      <c r="D872" s="4184">
        <v>250000000</v>
      </c>
      <c r="E872" s="780">
        <f t="shared" si="40"/>
        <v>0.18210068288484485</v>
      </c>
      <c r="F872" s="967"/>
      <c r="G872" s="1074"/>
      <c r="H872" s="1074"/>
      <c r="I872" s="802"/>
      <c r="J872" s="963"/>
      <c r="K872" s="1074"/>
      <c r="L872" s="1074"/>
      <c r="M872" s="1706"/>
      <c r="N872" s="2634"/>
    </row>
    <row r="873" spans="2:14" ht="18.75" hidden="1" customHeight="1" x14ac:dyDescent="0.25">
      <c r="B873" s="2630"/>
      <c r="C873" s="3945" t="s">
        <v>6016</v>
      </c>
      <c r="D873" s="4184">
        <v>200000000</v>
      </c>
      <c r="E873" s="780">
        <f t="shared" si="40"/>
        <v>0.14568054630787589</v>
      </c>
      <c r="F873" s="971"/>
      <c r="G873" s="937"/>
      <c r="H873" s="937"/>
      <c r="I873" s="937"/>
      <c r="J873" s="1238"/>
      <c r="K873" s="937"/>
      <c r="L873" s="937"/>
      <c r="M873" s="937"/>
      <c r="N873" s="2634"/>
    </row>
    <row r="874" spans="2:14" ht="21" hidden="1" customHeight="1" x14ac:dyDescent="0.25">
      <c r="B874" s="2630"/>
      <c r="C874" s="4025" t="s">
        <v>6017</v>
      </c>
      <c r="D874" s="1855">
        <v>300000000</v>
      </c>
      <c r="E874" s="780">
        <f t="shared" si="40"/>
        <v>0.21852081946181381</v>
      </c>
      <c r="F874" s="967"/>
      <c r="G874" s="937"/>
      <c r="H874" s="937"/>
      <c r="I874" s="937"/>
      <c r="J874" s="963"/>
      <c r="K874" s="937"/>
      <c r="L874" s="937"/>
      <c r="M874" s="937"/>
      <c r="N874" s="2634"/>
    </row>
    <row r="875" spans="2:14" ht="18.75" hidden="1" customHeight="1" x14ac:dyDescent="0.25">
      <c r="B875" s="2630"/>
      <c r="C875" s="4033" t="s">
        <v>6018</v>
      </c>
      <c r="D875" s="671">
        <v>200000000</v>
      </c>
      <c r="E875" s="780">
        <f t="shared" si="40"/>
        <v>0.14568054630787589</v>
      </c>
      <c r="F875" s="967"/>
      <c r="G875" s="937"/>
      <c r="H875" s="937"/>
      <c r="I875" s="937"/>
      <c r="J875" s="963"/>
      <c r="K875" s="937"/>
      <c r="L875" s="937"/>
      <c r="M875" s="937"/>
      <c r="N875" s="2634"/>
    </row>
    <row r="876" spans="2:14" ht="27.75" hidden="1" customHeight="1" x14ac:dyDescent="0.25">
      <c r="B876" s="2630"/>
      <c r="C876" s="3940" t="s">
        <v>6019</v>
      </c>
      <c r="D876" s="666">
        <v>338884000</v>
      </c>
      <c r="E876" s="780">
        <f t="shared" si="40"/>
        <v>0.24684403127499102</v>
      </c>
      <c r="F876" s="967"/>
      <c r="G876" s="937"/>
      <c r="H876" s="937"/>
      <c r="I876" s="937"/>
      <c r="J876" s="963"/>
      <c r="K876" s="937"/>
      <c r="L876" s="937"/>
      <c r="M876" s="937"/>
      <c r="N876" s="2634"/>
    </row>
    <row r="877" spans="2:14" ht="27.75" hidden="1" customHeight="1" x14ac:dyDescent="0.25">
      <c r="B877" s="2630"/>
      <c r="C877" s="3940" t="s">
        <v>6020</v>
      </c>
      <c r="D877" s="666">
        <v>300000000</v>
      </c>
      <c r="E877" s="780">
        <f t="shared" si="40"/>
        <v>0.21852081946181381</v>
      </c>
      <c r="F877" s="967"/>
      <c r="G877" s="1074"/>
      <c r="H877" s="1074"/>
      <c r="I877" s="802"/>
      <c r="J877" s="963"/>
      <c r="K877" s="937"/>
      <c r="L877" s="937"/>
      <c r="M877" s="937"/>
      <c r="N877" s="2634"/>
    </row>
    <row r="878" spans="2:14" ht="18.75" hidden="1" customHeight="1" x14ac:dyDescent="0.25">
      <c r="B878" s="2630"/>
      <c r="C878" s="3940" t="s">
        <v>6021</v>
      </c>
      <c r="D878" s="666">
        <v>300000000</v>
      </c>
      <c r="E878" s="780">
        <f t="shared" si="40"/>
        <v>0.21852081946181381</v>
      </c>
      <c r="F878" s="967"/>
      <c r="G878" s="937"/>
      <c r="H878" s="937"/>
      <c r="I878" s="937"/>
      <c r="J878" s="963"/>
      <c r="K878" s="1716"/>
      <c r="L878" s="1074"/>
      <c r="M878" s="1648"/>
      <c r="N878" s="2634"/>
    </row>
    <row r="879" spans="2:14" ht="15.75" hidden="1" customHeight="1" x14ac:dyDescent="0.25">
      <c r="B879" s="2630"/>
      <c r="C879" s="4033"/>
      <c r="D879" s="671"/>
      <c r="E879" s="780"/>
      <c r="F879" s="967"/>
      <c r="G879" s="937"/>
      <c r="H879" s="937"/>
      <c r="I879" s="937"/>
      <c r="J879" s="963"/>
      <c r="K879" s="1716"/>
      <c r="L879" s="1074"/>
      <c r="M879" s="1648"/>
      <c r="N879" s="2634"/>
    </row>
    <row r="880" spans="2:14" ht="18" hidden="1" customHeight="1" x14ac:dyDescent="0.25">
      <c r="B880" s="2630"/>
      <c r="C880" s="3942" t="s">
        <v>6022</v>
      </c>
      <c r="D880" s="673">
        <f>D881</f>
        <v>500000000</v>
      </c>
      <c r="E880" s="768">
        <f t="shared" si="40"/>
        <v>0.3642013657696897</v>
      </c>
      <c r="F880" s="967"/>
      <c r="G880" s="1074"/>
      <c r="H880" s="1074"/>
      <c r="I880" s="802"/>
      <c r="J880" s="963"/>
      <c r="K880" s="1074"/>
      <c r="L880" s="1074"/>
      <c r="M880" s="1648"/>
      <c r="N880" s="2634"/>
    </row>
    <row r="881" spans="2:14" ht="18" hidden="1" customHeight="1" x14ac:dyDescent="0.25">
      <c r="B881" s="2630"/>
      <c r="C881" s="3940" t="s">
        <v>6023</v>
      </c>
      <c r="D881" s="666">
        <v>500000000</v>
      </c>
      <c r="E881" s="780">
        <f t="shared" si="40"/>
        <v>0.3642013657696897</v>
      </c>
      <c r="F881" s="967"/>
      <c r="G881" s="1074"/>
      <c r="H881" s="1074"/>
      <c r="I881" s="802"/>
      <c r="J881" s="963"/>
      <c r="K881" s="1074"/>
      <c r="L881" s="1074"/>
      <c r="M881" s="1648"/>
      <c r="N881" s="2634"/>
    </row>
    <row r="882" spans="2:14" ht="12" hidden="1" customHeight="1" x14ac:dyDescent="0.25">
      <c r="B882" s="2630"/>
      <c r="C882" s="4033"/>
      <c r="D882" s="671"/>
      <c r="E882" s="780"/>
      <c r="F882" s="967"/>
      <c r="G882" s="2781"/>
      <c r="H882" s="782"/>
      <c r="I882" s="802"/>
      <c r="J882" s="963"/>
      <c r="K882" s="2795"/>
      <c r="L882" s="1716"/>
      <c r="M882" s="1648"/>
      <c r="N882" s="2634"/>
    </row>
    <row r="883" spans="2:14" ht="16.5" hidden="1" customHeight="1" x14ac:dyDescent="0.25">
      <c r="B883" s="2630"/>
      <c r="C883" s="4385" t="s">
        <v>6024</v>
      </c>
      <c r="D883" s="768">
        <f>SUM(D884:D893)</f>
        <v>15094000000</v>
      </c>
      <c r="E883" s="768">
        <f t="shared" si="40"/>
        <v>10.994510829855392</v>
      </c>
      <c r="F883" s="966"/>
      <c r="G883" s="1012"/>
      <c r="H883" s="1012"/>
      <c r="I883" s="1012"/>
      <c r="J883" s="965"/>
      <c r="K883" s="966"/>
      <c r="L883" s="2441"/>
      <c r="M883" s="1706"/>
      <c r="N883" s="2634"/>
    </row>
    <row r="884" spans="2:14" ht="19.5" hidden="1" customHeight="1" x14ac:dyDescent="0.25">
      <c r="B884" s="2630"/>
      <c r="C884" s="4066" t="s">
        <v>6025</v>
      </c>
      <c r="D884" s="780">
        <v>500000000</v>
      </c>
      <c r="E884" s="780">
        <f t="shared" si="40"/>
        <v>0.3642013657696897</v>
      </c>
      <c r="F884" s="967"/>
      <c r="G884" s="937"/>
      <c r="H884" s="937"/>
      <c r="I884" s="937"/>
      <c r="J884" s="963"/>
      <c r="K884" s="967"/>
      <c r="L884" s="1074"/>
      <c r="M884" s="1648"/>
      <c r="N884" s="2634"/>
    </row>
    <row r="885" spans="2:14" ht="18" hidden="1" customHeight="1" x14ac:dyDescent="0.25">
      <c r="B885" s="2630"/>
      <c r="C885" s="4066" t="s">
        <v>6026</v>
      </c>
      <c r="D885" s="780">
        <v>700000000</v>
      </c>
      <c r="E885" s="780">
        <f t="shared" si="40"/>
        <v>0.50988191207756561</v>
      </c>
      <c r="F885" s="967"/>
      <c r="G885" s="937"/>
      <c r="H885" s="937"/>
      <c r="I885" s="937"/>
      <c r="J885" s="963"/>
      <c r="K885" s="937"/>
      <c r="L885" s="937"/>
      <c r="M885" s="937"/>
      <c r="N885" s="2634"/>
    </row>
    <row r="886" spans="2:14" ht="17.25" hidden="1" customHeight="1" x14ac:dyDescent="0.25">
      <c r="B886" s="2630"/>
      <c r="C886" s="4382" t="s">
        <v>6027</v>
      </c>
      <c r="D886" s="660">
        <v>4740000000</v>
      </c>
      <c r="E886" s="780">
        <f t="shared" si="40"/>
        <v>3.4526289474966583</v>
      </c>
      <c r="F886" s="967"/>
      <c r="G886" s="937"/>
      <c r="H886" s="937"/>
      <c r="I886" s="937"/>
      <c r="J886" s="963"/>
      <c r="K886" s="967"/>
      <c r="L886" s="1074"/>
      <c r="M886" s="1648"/>
      <c r="N886" s="2634"/>
    </row>
    <row r="887" spans="2:14" ht="15.75" hidden="1" customHeight="1" x14ac:dyDescent="0.25">
      <c r="B887" s="2630"/>
      <c r="C887" s="4382" t="s">
        <v>6028</v>
      </c>
      <c r="D887" s="660">
        <v>6354000000</v>
      </c>
      <c r="E887" s="780">
        <f t="shared" si="40"/>
        <v>4.6282709562012165</v>
      </c>
      <c r="F887" s="967"/>
      <c r="G887" s="937"/>
      <c r="H887" s="937"/>
      <c r="I887" s="937"/>
      <c r="J887" s="963"/>
      <c r="K887" s="967"/>
      <c r="L887" s="1074"/>
      <c r="M887" s="1648"/>
      <c r="N887" s="2634"/>
    </row>
    <row r="888" spans="2:14" ht="18.75" hidden="1" customHeight="1" x14ac:dyDescent="0.25">
      <c r="B888" s="2630"/>
      <c r="C888" s="4382" t="s">
        <v>6029</v>
      </c>
      <c r="D888" s="660">
        <v>200000000</v>
      </c>
      <c r="E888" s="780">
        <f t="shared" si="40"/>
        <v>0.14568054630787589</v>
      </c>
      <c r="F888" s="967"/>
      <c r="G888" s="937"/>
      <c r="H888" s="937"/>
      <c r="I888" s="937"/>
      <c r="J888" s="963"/>
      <c r="K888" s="937"/>
      <c r="L888" s="937"/>
      <c r="M888" s="937"/>
      <c r="N888" s="2634"/>
    </row>
    <row r="889" spans="2:14" ht="18.75" hidden="1" customHeight="1" x14ac:dyDescent="0.25">
      <c r="B889" s="2630"/>
      <c r="C889" s="4382" t="s">
        <v>6030</v>
      </c>
      <c r="D889" s="660">
        <v>500000000</v>
      </c>
      <c r="E889" s="780">
        <f t="shared" si="40"/>
        <v>0.3642013657696897</v>
      </c>
      <c r="F889" s="966"/>
      <c r="G889" s="755"/>
      <c r="H889" s="755"/>
      <c r="I889" s="802"/>
      <c r="J889" s="965"/>
      <c r="K889" s="1716"/>
      <c r="L889" s="1716"/>
      <c r="M889" s="1648"/>
      <c r="N889" s="2634"/>
    </row>
    <row r="890" spans="2:14" ht="17.25" hidden="1" customHeight="1" x14ac:dyDescent="0.25">
      <c r="B890" s="2630"/>
      <c r="C890" s="4382" t="s">
        <v>6031</v>
      </c>
      <c r="D890" s="660">
        <v>500000000</v>
      </c>
      <c r="E890" s="780">
        <f t="shared" si="40"/>
        <v>0.3642013657696897</v>
      </c>
      <c r="F890" s="966"/>
      <c r="G890" s="966"/>
      <c r="H890" s="2442"/>
      <c r="I890" s="803"/>
      <c r="J890" s="965"/>
      <c r="K890" s="966"/>
      <c r="L890" s="2441"/>
      <c r="M890" s="1706"/>
      <c r="N890" s="2634"/>
    </row>
    <row r="891" spans="2:14" ht="16.5" hidden="1" customHeight="1" x14ac:dyDescent="0.25">
      <c r="B891" s="2630"/>
      <c r="C891" s="4382" t="s">
        <v>6032</v>
      </c>
      <c r="D891" s="660">
        <v>700000000</v>
      </c>
      <c r="E891" s="780">
        <f t="shared" si="40"/>
        <v>0.50988191207756561</v>
      </c>
      <c r="F891" s="967"/>
      <c r="G891" s="1074"/>
      <c r="H891" s="1074"/>
      <c r="I891" s="802"/>
      <c r="J891" s="963"/>
      <c r="K891" s="1074"/>
      <c r="L891" s="1074"/>
      <c r="M891" s="1648"/>
      <c r="N891" s="2634"/>
    </row>
    <row r="892" spans="2:14" ht="16.5" hidden="1" customHeight="1" x14ac:dyDescent="0.25">
      <c r="B892" s="2630"/>
      <c r="C892" s="4382" t="s">
        <v>6033</v>
      </c>
      <c r="D892" s="660">
        <v>300000000</v>
      </c>
      <c r="E892" s="780">
        <f t="shared" si="40"/>
        <v>0.21852081946181381</v>
      </c>
      <c r="F892" s="967"/>
      <c r="G892" s="1074"/>
      <c r="H892" s="1074"/>
      <c r="I892" s="803"/>
      <c r="J892" s="963"/>
      <c r="K892" s="1074"/>
      <c r="L892" s="1074"/>
      <c r="M892" s="1648"/>
      <c r="N892" s="2634"/>
    </row>
    <row r="893" spans="2:14" ht="20.25" hidden="1" customHeight="1" x14ac:dyDescent="0.25">
      <c r="B893" s="2630"/>
      <c r="C893" s="4382" t="s">
        <v>6034</v>
      </c>
      <c r="D893" s="660">
        <v>600000000</v>
      </c>
      <c r="E893" s="780">
        <f t="shared" si="40"/>
        <v>0.43704163892362763</v>
      </c>
      <c r="F893" s="967"/>
      <c r="G893" s="937"/>
      <c r="H893" s="937"/>
      <c r="I893" s="937"/>
      <c r="J893" s="963"/>
      <c r="K893" s="937"/>
      <c r="L893" s="937"/>
      <c r="M893" s="937"/>
      <c r="N893" s="2634"/>
    </row>
    <row r="894" spans="2:14" ht="12" hidden="1" customHeight="1" x14ac:dyDescent="0.25">
      <c r="B894" s="2630"/>
      <c r="C894" s="4382"/>
      <c r="D894" s="660"/>
      <c r="E894" s="780"/>
      <c r="F894" s="967"/>
      <c r="G894" s="937"/>
      <c r="H894" s="937"/>
      <c r="I894" s="937"/>
      <c r="J894" s="963"/>
      <c r="K894" s="937"/>
      <c r="L894" s="937"/>
      <c r="M894" s="937"/>
      <c r="N894" s="2634"/>
    </row>
    <row r="895" spans="2:14" ht="20.25" hidden="1" customHeight="1" x14ac:dyDescent="0.25">
      <c r="B895" s="2630"/>
      <c r="C895" s="4384" t="s">
        <v>6035</v>
      </c>
      <c r="D895" s="2280">
        <f>D896</f>
        <v>200000000</v>
      </c>
      <c r="E895" s="768">
        <f t="shared" si="40"/>
        <v>0.14568054630787589</v>
      </c>
      <c r="F895" s="967"/>
      <c r="G895" s="937"/>
      <c r="H895" s="937"/>
      <c r="I895" s="937"/>
      <c r="J895" s="963"/>
      <c r="K895" s="937"/>
      <c r="L895" s="937"/>
      <c r="M895" s="937"/>
      <c r="N895" s="2634"/>
    </row>
    <row r="896" spans="2:14" ht="17.25" hidden="1" customHeight="1" x14ac:dyDescent="0.25">
      <c r="B896" s="2630"/>
      <c r="C896" s="4382" t="s">
        <v>6036</v>
      </c>
      <c r="D896" s="660">
        <v>200000000</v>
      </c>
      <c r="E896" s="780">
        <f t="shared" si="40"/>
        <v>0.14568054630787589</v>
      </c>
      <c r="F896" s="967"/>
      <c r="G896" s="937"/>
      <c r="H896" s="937"/>
      <c r="I896" s="937"/>
      <c r="J896" s="963"/>
      <c r="K896" s="937"/>
      <c r="L896" s="937"/>
      <c r="M896" s="937"/>
      <c r="N896" s="2634"/>
    </row>
    <row r="897" spans="1:17" ht="12" hidden="1" customHeight="1" x14ac:dyDescent="0.25">
      <c r="B897" s="2630"/>
      <c r="C897" s="4382"/>
      <c r="D897" s="660"/>
      <c r="E897" s="780"/>
      <c r="F897" s="967"/>
      <c r="G897" s="937"/>
      <c r="H897" s="937"/>
      <c r="I897" s="937"/>
      <c r="J897" s="963"/>
      <c r="K897" s="2777"/>
      <c r="L897" s="1074"/>
      <c r="M897" s="1648"/>
      <c r="N897" s="2634"/>
    </row>
    <row r="898" spans="1:17" ht="18" hidden="1" customHeight="1" x14ac:dyDescent="0.25">
      <c r="B898" s="2630"/>
      <c r="C898" s="4384" t="s">
        <v>1074</v>
      </c>
      <c r="D898" s="2280">
        <f>SUM(D899:D908)</f>
        <v>4538787500</v>
      </c>
      <c r="E898" s="768">
        <f t="shared" si="40"/>
        <v>3.3060652128767911</v>
      </c>
      <c r="F898" s="967"/>
      <c r="G898" s="937"/>
      <c r="H898" s="937"/>
      <c r="I898" s="937"/>
      <c r="J898" s="963"/>
      <c r="K898" s="937"/>
      <c r="L898" s="937"/>
      <c r="M898" s="937"/>
      <c r="N898" s="2634"/>
    </row>
    <row r="899" spans="1:17" ht="17.25" hidden="1" customHeight="1" x14ac:dyDescent="0.25">
      <c r="B899" s="2653"/>
      <c r="C899" s="4382" t="s">
        <v>7300</v>
      </c>
      <c r="D899" s="660">
        <v>400000000</v>
      </c>
      <c r="E899" s="780">
        <f t="shared" si="40"/>
        <v>0.29136109261575177</v>
      </c>
      <c r="F899" s="1038"/>
      <c r="G899" s="2779"/>
      <c r="H899" s="782"/>
      <c r="I899" s="782"/>
      <c r="J899" s="1038"/>
      <c r="K899" s="2777"/>
      <c r="L899" s="1716"/>
      <c r="M899" s="1648"/>
      <c r="N899" s="2634"/>
    </row>
    <row r="900" spans="1:17" ht="19.5" hidden="1" customHeight="1" x14ac:dyDescent="0.25">
      <c r="A900" s="352"/>
      <c r="B900" s="1242"/>
      <c r="C900" s="4382" t="s">
        <v>6038</v>
      </c>
      <c r="D900" s="660">
        <v>500000000</v>
      </c>
      <c r="E900" s="780">
        <f t="shared" ref="E900:E911" si="41">D900/137286690000*100</f>
        <v>0.3642013657696897</v>
      </c>
      <c r="F900" s="1029"/>
      <c r="G900" s="1012"/>
      <c r="H900" s="1012"/>
      <c r="I900" s="1012"/>
      <c r="J900" s="1029"/>
      <c r="K900" s="1012"/>
      <c r="L900" s="1012"/>
      <c r="M900" s="1012"/>
      <c r="N900" s="554"/>
    </row>
    <row r="901" spans="1:17" ht="18.75" hidden="1" customHeight="1" x14ac:dyDescent="0.25">
      <c r="A901" s="352"/>
      <c r="B901" s="1242"/>
      <c r="C901" s="4382" t="s">
        <v>6039</v>
      </c>
      <c r="D901" s="660">
        <v>360000000</v>
      </c>
      <c r="E901" s="780">
        <f t="shared" si="41"/>
        <v>0.26222498335417654</v>
      </c>
      <c r="F901" s="939"/>
      <c r="G901" s="937"/>
      <c r="H901" s="937"/>
      <c r="I901" s="937"/>
      <c r="J901" s="939"/>
      <c r="K901" s="937"/>
      <c r="L901" s="937"/>
      <c r="M901" s="937"/>
      <c r="N901" s="554"/>
    </row>
    <row r="902" spans="1:17" ht="15.75" hidden="1" customHeight="1" x14ac:dyDescent="0.25">
      <c r="A902" s="352"/>
      <c r="B902" s="1242"/>
      <c r="C902" s="4382" t="s">
        <v>6040</v>
      </c>
      <c r="D902" s="660">
        <v>728787500</v>
      </c>
      <c r="E902" s="780">
        <f t="shared" si="41"/>
        <v>0.53085080571175547</v>
      </c>
      <c r="F902" s="939"/>
      <c r="G902" s="937"/>
      <c r="H902" s="937"/>
      <c r="I902" s="937"/>
      <c r="J902" s="939"/>
      <c r="K902" s="937"/>
      <c r="L902" s="937"/>
      <c r="M902" s="937"/>
      <c r="N902" s="554"/>
    </row>
    <row r="903" spans="1:17" ht="19.5" hidden="1" customHeight="1" x14ac:dyDescent="0.25">
      <c r="B903" s="2653"/>
      <c r="C903" s="4382" t="s">
        <v>6041</v>
      </c>
      <c r="D903" s="660">
        <v>150000000</v>
      </c>
      <c r="E903" s="780">
        <f t="shared" si="41"/>
        <v>0.10926040973090691</v>
      </c>
      <c r="F903" s="1038"/>
      <c r="G903" s="4414"/>
      <c r="H903" s="804"/>
      <c r="I903" s="804"/>
      <c r="J903" s="1038"/>
      <c r="K903" s="4415"/>
      <c r="L903" s="3553"/>
      <c r="M903" s="3576"/>
      <c r="N903" s="2634"/>
    </row>
    <row r="904" spans="1:17" ht="18.75" hidden="1" customHeight="1" x14ac:dyDescent="0.25">
      <c r="B904" s="2624"/>
      <c r="C904" s="4382" t="s">
        <v>6042</v>
      </c>
      <c r="D904" s="660">
        <v>200000000</v>
      </c>
      <c r="E904" s="780">
        <f t="shared" si="41"/>
        <v>0.14568054630787589</v>
      </c>
      <c r="F904" s="4114"/>
      <c r="G904" s="4114"/>
      <c r="H904" s="2442"/>
      <c r="I904" s="3629"/>
      <c r="J904" s="4114"/>
      <c r="K904" s="4114"/>
      <c r="L904" s="3600"/>
      <c r="M904" s="3600"/>
      <c r="N904" s="2634"/>
    </row>
    <row r="905" spans="1:17" ht="16.5" hidden="1" customHeight="1" x14ac:dyDescent="0.25">
      <c r="B905" s="2624"/>
      <c r="C905" s="4382" t="s">
        <v>6043</v>
      </c>
      <c r="D905" s="660">
        <v>700000000</v>
      </c>
      <c r="E905" s="780">
        <f t="shared" si="41"/>
        <v>0.50988191207756561</v>
      </c>
      <c r="F905" s="1052"/>
      <c r="G905" s="1052"/>
      <c r="H905" s="2442"/>
      <c r="I905" s="3629"/>
      <c r="J905" s="1052"/>
      <c r="K905" s="1052"/>
      <c r="L905" s="2442"/>
      <c r="M905" s="3600"/>
      <c r="N905" s="2634"/>
    </row>
    <row r="906" spans="1:17" ht="18" hidden="1" customHeight="1" x14ac:dyDescent="0.25">
      <c r="B906" s="2624"/>
      <c r="C906" s="4382" t="s">
        <v>6044</v>
      </c>
      <c r="D906" s="660">
        <v>500000000</v>
      </c>
      <c r="E906" s="780">
        <f t="shared" si="41"/>
        <v>0.3642013657696897</v>
      </c>
      <c r="F906" s="1162"/>
      <c r="G906" s="1074"/>
      <c r="H906" s="1074"/>
      <c r="I906" s="3630"/>
      <c r="J906" s="386"/>
      <c r="K906" s="3648"/>
      <c r="L906" s="1074"/>
      <c r="M906" s="3648"/>
      <c r="N906" s="2634"/>
    </row>
    <row r="907" spans="1:17" ht="20.25" hidden="1" customHeight="1" x14ac:dyDescent="0.25">
      <c r="B907" s="2627"/>
      <c r="C907" s="4382" t="s">
        <v>6045</v>
      </c>
      <c r="D907" s="660">
        <v>600000000</v>
      </c>
      <c r="E907" s="780">
        <f t="shared" si="41"/>
        <v>0.43704163892362763</v>
      </c>
      <c r="F907" s="2755"/>
      <c r="G907" s="2429"/>
      <c r="H907" s="2429"/>
      <c r="I907" s="1315"/>
      <c r="J907" s="1315"/>
      <c r="K907" s="2787"/>
      <c r="L907" s="1315"/>
      <c r="M907" s="1315"/>
      <c r="N907" s="2634"/>
    </row>
    <row r="908" spans="1:17" s="4099" customFormat="1" ht="17.25" hidden="1" customHeight="1" x14ac:dyDescent="0.25">
      <c r="A908" s="4100"/>
      <c r="B908" s="2630"/>
      <c r="C908" s="4382" t="s">
        <v>6046</v>
      </c>
      <c r="D908" s="660">
        <v>400000000</v>
      </c>
      <c r="E908" s="780">
        <f t="shared" si="41"/>
        <v>0.29136109261575177</v>
      </c>
      <c r="F908" s="2755"/>
      <c r="G908" s="2429"/>
      <c r="H908" s="2429"/>
      <c r="I908" s="1315"/>
      <c r="J908" s="1315"/>
      <c r="K908" s="2787"/>
      <c r="L908" s="1315"/>
      <c r="M908" s="1315"/>
      <c r="N908" s="3653"/>
      <c r="P908" s="522"/>
      <c r="Q908" s="522"/>
    </row>
    <row r="909" spans="1:17" s="4099" customFormat="1" ht="10.5" hidden="1" customHeight="1" x14ac:dyDescent="0.25">
      <c r="A909" s="4100"/>
      <c r="B909" s="2630"/>
      <c r="C909" s="4382"/>
      <c r="D909" s="660"/>
      <c r="E909" s="780"/>
      <c r="F909" s="2755"/>
      <c r="G909" s="2429"/>
      <c r="H909" s="2429"/>
      <c r="I909" s="1315"/>
      <c r="J909" s="1315"/>
      <c r="K909" s="2787"/>
      <c r="L909" s="1315"/>
      <c r="M909" s="1315"/>
      <c r="N909" s="3653"/>
      <c r="P909" s="522"/>
      <c r="Q909" s="522"/>
    </row>
    <row r="910" spans="1:17" s="4099" customFormat="1" ht="19.5" hidden="1" customHeight="1" x14ac:dyDescent="0.25">
      <c r="A910" s="4100"/>
      <c r="B910" s="2630"/>
      <c r="C910" s="4384" t="s">
        <v>6047</v>
      </c>
      <c r="D910" s="2280">
        <f>D911</f>
        <v>250000000</v>
      </c>
      <c r="E910" s="768">
        <f t="shared" si="41"/>
        <v>0.18210068288484485</v>
      </c>
      <c r="F910" s="2755"/>
      <c r="G910" s="2429"/>
      <c r="H910" s="2429"/>
      <c r="I910" s="1315"/>
      <c r="J910" s="1315"/>
      <c r="K910" s="2787"/>
      <c r="L910" s="1315"/>
      <c r="M910" s="1315"/>
      <c r="N910" s="3653"/>
      <c r="P910" s="522"/>
      <c r="Q910" s="522"/>
    </row>
    <row r="911" spans="1:17" s="4099" customFormat="1" ht="18" hidden="1" customHeight="1" x14ac:dyDescent="0.25">
      <c r="A911" s="4100"/>
      <c r="B911" s="2630"/>
      <c r="C911" s="4382" t="s">
        <v>6048</v>
      </c>
      <c r="D911" s="660">
        <v>250000000</v>
      </c>
      <c r="E911" s="780">
        <f t="shared" si="41"/>
        <v>0.18210068288484485</v>
      </c>
      <c r="F911" s="2755"/>
      <c r="G911" s="2429"/>
      <c r="H911" s="2429"/>
      <c r="I911" s="1315"/>
      <c r="J911" s="1315"/>
      <c r="K911" s="2787"/>
      <c r="L911" s="1315"/>
      <c r="M911" s="1315"/>
      <c r="N911" s="3653"/>
      <c r="P911" s="522"/>
      <c r="Q911" s="522"/>
    </row>
    <row r="912" spans="1:17" s="4099" customFormat="1" ht="10.5" hidden="1" customHeight="1" x14ac:dyDescent="0.25">
      <c r="A912" s="4100"/>
      <c r="B912" s="2630"/>
      <c r="C912" s="3894"/>
      <c r="D912" s="1251"/>
      <c r="E912" s="671"/>
      <c r="F912" s="2759"/>
      <c r="G912" s="2761"/>
      <c r="H912" s="2424"/>
      <c r="I912" s="2182"/>
      <c r="J912" s="2182"/>
      <c r="K912" s="2518"/>
      <c r="L912" s="2182"/>
      <c r="M912" s="2279"/>
      <c r="N912" s="3653"/>
      <c r="P912" s="522"/>
      <c r="Q912" s="522"/>
    </row>
    <row r="913" spans="1:17" s="3598" customFormat="1" ht="17.25" hidden="1" customHeight="1" x14ac:dyDescent="0.25">
      <c r="B913" s="3654"/>
      <c r="C913" s="3858" t="s">
        <v>7295</v>
      </c>
      <c r="D913" s="980">
        <f>D914</f>
        <v>8420540000</v>
      </c>
      <c r="E913" s="2659">
        <f>D913/137286690000*100</f>
        <v>6.1335443370366054</v>
      </c>
      <c r="F913" s="2760"/>
      <c r="G913" s="2198"/>
      <c r="H913" s="2198"/>
      <c r="I913" s="2356"/>
      <c r="J913" s="2356"/>
      <c r="K913" s="2198"/>
      <c r="L913" s="2356"/>
      <c r="M913" s="2356"/>
      <c r="N913" s="2623"/>
      <c r="P913" s="2002"/>
      <c r="Q913" s="2002"/>
    </row>
    <row r="914" spans="1:17" s="3598" customFormat="1" ht="17.25" hidden="1" customHeight="1" x14ac:dyDescent="0.25">
      <c r="B914" s="2630"/>
      <c r="C914" s="3893" t="s">
        <v>7296</v>
      </c>
      <c r="D914" s="4416">
        <f>D915</f>
        <v>8420540000</v>
      </c>
      <c r="E914" s="2026">
        <f>D914/137286690000*100</f>
        <v>6.1335443370366054</v>
      </c>
      <c r="F914" s="4417"/>
      <c r="G914" s="2660"/>
      <c r="H914" s="2519"/>
      <c r="I914" s="1671"/>
      <c r="J914" s="1671"/>
      <c r="K914" s="2519"/>
      <c r="L914" s="1671"/>
      <c r="M914" s="3691"/>
      <c r="N914" s="2623"/>
      <c r="P914" s="2002"/>
      <c r="Q914" s="2002"/>
    </row>
    <row r="915" spans="1:17" s="4099" customFormat="1" ht="19.5" hidden="1" customHeight="1" x14ac:dyDescent="0.25">
      <c r="A915" s="4100"/>
      <c r="B915" s="2630"/>
      <c r="C915" s="4104" t="s">
        <v>7297</v>
      </c>
      <c r="D915" s="3768">
        <v>8420540000</v>
      </c>
      <c r="E915" s="780">
        <f>D915/137286690000*100</f>
        <v>6.1335443370366054</v>
      </c>
      <c r="F915" s="2755"/>
      <c r="G915" s="2429"/>
      <c r="H915" s="2429"/>
      <c r="I915" s="1315"/>
      <c r="J915" s="1315"/>
      <c r="K915" s="2787"/>
      <c r="L915" s="1315"/>
      <c r="M915" s="1315"/>
      <c r="N915" s="3653"/>
      <c r="P915" s="522"/>
      <c r="Q915" s="522"/>
    </row>
    <row r="916" spans="1:17" s="4099" customFormat="1" ht="12" hidden="1" customHeight="1" x14ac:dyDescent="0.25">
      <c r="A916" s="4100"/>
      <c r="B916" s="2630"/>
      <c r="C916" s="4117"/>
      <c r="D916" s="543"/>
      <c r="E916" s="3135"/>
      <c r="F916" s="2695"/>
      <c r="G916" s="3651"/>
      <c r="H916" s="2583"/>
      <c r="I916" s="1649"/>
      <c r="J916" s="2460"/>
      <c r="K916" s="3754"/>
      <c r="L916" s="3806"/>
      <c r="M916" s="2302"/>
      <c r="N916" s="3653"/>
      <c r="P916" s="522"/>
      <c r="Q916" s="522"/>
    </row>
    <row r="917" spans="1:17" ht="18.75" customHeight="1" x14ac:dyDescent="0.25">
      <c r="B917" s="2724"/>
      <c r="C917" s="1297" t="s">
        <v>608</v>
      </c>
      <c r="D917" s="2699">
        <f>SUM(D919+D951)</f>
        <v>41620660800</v>
      </c>
      <c r="E917" s="2530">
        <f>D917/D83*100</f>
        <v>7.3136878123071352</v>
      </c>
      <c r="F917" s="3692"/>
      <c r="G917" s="2700"/>
      <c r="H917" s="2507"/>
      <c r="I917" s="2507"/>
      <c r="J917" s="2699"/>
      <c r="K917" s="2699"/>
      <c r="L917" s="2507"/>
      <c r="M917" s="2507"/>
      <c r="N917" s="2634"/>
    </row>
    <row r="918" spans="1:17" ht="9" hidden="1" customHeight="1" x14ac:dyDescent="0.25">
      <c r="B918" s="2630"/>
      <c r="C918" s="1147"/>
      <c r="D918" s="792"/>
      <c r="E918" s="667"/>
      <c r="F918" s="3697"/>
      <c r="G918" s="2825"/>
      <c r="H918" s="1671"/>
      <c r="I918" s="1671"/>
      <c r="J918" s="2826"/>
      <c r="K918" s="2825"/>
      <c r="L918" s="1671"/>
      <c r="M918" s="1671"/>
      <c r="N918" s="2634"/>
    </row>
    <row r="919" spans="1:17" ht="20.25" hidden="1" customHeight="1" x14ac:dyDescent="0.25">
      <c r="B919" s="2635"/>
      <c r="C919" s="507" t="s">
        <v>287</v>
      </c>
      <c r="D919" s="1546">
        <f>SUM(D920+D923+D928+D948)</f>
        <v>27644160800</v>
      </c>
      <c r="E919" s="669">
        <f>SUM(D919/128915048140*100)</f>
        <v>21.443703585308999</v>
      </c>
      <c r="F919" s="992"/>
      <c r="G919" s="2744"/>
      <c r="H919" s="1307"/>
      <c r="I919" s="1307"/>
      <c r="J919" s="992"/>
      <c r="K919" s="992"/>
      <c r="L919" s="1307"/>
      <c r="M919" s="1307"/>
      <c r="N919" s="2634"/>
    </row>
    <row r="920" spans="1:17" ht="14.25" hidden="1" customHeight="1" x14ac:dyDescent="0.25">
      <c r="B920" s="2630"/>
      <c r="C920" s="1131" t="s">
        <v>702</v>
      </c>
      <c r="D920" s="854">
        <v>15737400000</v>
      </c>
      <c r="E920" s="3008">
        <f>SUM(D920/128915048140*100)</f>
        <v>12.207574078481045</v>
      </c>
      <c r="F920" s="1394"/>
      <c r="G920" s="2827"/>
      <c r="H920" s="2006"/>
      <c r="I920" s="2006"/>
      <c r="J920" s="1617"/>
      <c r="K920" s="1618"/>
      <c r="L920" s="1646"/>
      <c r="M920" s="1110"/>
      <c r="N920" s="2634"/>
    </row>
    <row r="921" spans="1:17" ht="19.5" hidden="1" customHeight="1" x14ac:dyDescent="0.25">
      <c r="B921" s="2630"/>
      <c r="C921" s="509" t="s">
        <v>785</v>
      </c>
      <c r="D921" s="838">
        <v>15737400000</v>
      </c>
      <c r="E921" s="666">
        <f>SUM(D921/128915048140*100)</f>
        <v>12.207574078481045</v>
      </c>
      <c r="F921" s="1343"/>
      <c r="G921" s="2822"/>
      <c r="H921" s="2230"/>
      <c r="I921" s="2230"/>
      <c r="J921" s="1616"/>
      <c r="K921" s="939"/>
      <c r="L921" s="1647"/>
      <c r="M921" s="1109"/>
      <c r="N921" s="2634"/>
    </row>
    <row r="922" spans="1:17" ht="12.75" hidden="1" customHeight="1" x14ac:dyDescent="0.25">
      <c r="B922" s="2630"/>
      <c r="C922" s="1132"/>
      <c r="D922" s="838"/>
      <c r="E922" s="666"/>
      <c r="F922" s="1343"/>
      <c r="G922" s="2787"/>
      <c r="H922" s="1311"/>
      <c r="I922" s="1311"/>
      <c r="J922" s="2756"/>
      <c r="K922" s="2543"/>
      <c r="L922" s="2543"/>
      <c r="M922" s="1716"/>
      <c r="N922" s="2634"/>
    </row>
    <row r="923" spans="1:17" ht="17.25" hidden="1" customHeight="1" x14ac:dyDescent="0.25">
      <c r="B923" s="2630"/>
      <c r="C923" s="391" t="s">
        <v>559</v>
      </c>
      <c r="D923" s="843">
        <v>1880016000</v>
      </c>
      <c r="E923" s="673">
        <f t="shared" ref="E923:E949" si="42">SUM(D923/128915048140*100)</f>
        <v>1.4583371197738901</v>
      </c>
      <c r="F923" s="2828"/>
      <c r="G923" s="2829"/>
      <c r="H923" s="1650"/>
      <c r="I923" s="1650"/>
      <c r="J923" s="843"/>
      <c r="K923" s="843"/>
      <c r="L923" s="1308"/>
      <c r="M923" s="1650"/>
      <c r="N923" s="2634"/>
    </row>
    <row r="924" spans="1:17" ht="17.25" hidden="1" customHeight="1" x14ac:dyDescent="0.25">
      <c r="B924" s="2630"/>
      <c r="C924" s="509" t="s">
        <v>4525</v>
      </c>
      <c r="D924" s="939">
        <v>792000000</v>
      </c>
      <c r="E924" s="666">
        <f t="shared" si="42"/>
        <v>0.61435806868713938</v>
      </c>
      <c r="F924" s="939"/>
      <c r="G924" s="1396"/>
      <c r="H924" s="1716"/>
      <c r="I924" s="1648"/>
      <c r="J924" s="1619"/>
      <c r="K924" s="2830"/>
      <c r="L924" s="755"/>
      <c r="M924" s="1648"/>
      <c r="N924" s="2634"/>
    </row>
    <row r="925" spans="1:17" ht="18" hidden="1" customHeight="1" x14ac:dyDescent="0.25">
      <c r="B925" s="2630"/>
      <c r="C925" s="509" t="s">
        <v>4387</v>
      </c>
      <c r="D925" s="939">
        <v>265000000</v>
      </c>
      <c r="E925" s="666">
        <f t="shared" si="42"/>
        <v>0.20556172752789387</v>
      </c>
      <c r="F925" s="939"/>
      <c r="G925" s="1396"/>
      <c r="H925" s="1716"/>
      <c r="I925" s="1648"/>
      <c r="J925" s="1619"/>
      <c r="K925" s="2830"/>
      <c r="L925" s="755"/>
      <c r="M925" s="1648"/>
      <c r="N925" s="2634"/>
    </row>
    <row r="926" spans="1:17" ht="18" hidden="1" customHeight="1" x14ac:dyDescent="0.25">
      <c r="B926" s="2630"/>
      <c r="C926" s="509" t="s">
        <v>4388</v>
      </c>
      <c r="D926" s="939">
        <v>823016000</v>
      </c>
      <c r="E926" s="666">
        <f t="shared" si="42"/>
        <v>0.63841732355885694</v>
      </c>
      <c r="F926" s="939"/>
      <c r="G926" s="2822"/>
      <c r="H926" s="2230"/>
      <c r="I926" s="2230"/>
      <c r="J926" s="1619"/>
      <c r="K926" s="2830"/>
      <c r="L926" s="755"/>
      <c r="M926" s="1648"/>
      <c r="N926" s="2634"/>
    </row>
    <row r="927" spans="1:17" ht="11.25" hidden="1" customHeight="1" x14ac:dyDescent="0.25">
      <c r="B927" s="2630"/>
      <c r="C927" s="509"/>
      <c r="D927" s="939"/>
      <c r="E927" s="666"/>
      <c r="F927" s="939"/>
      <c r="G927" s="2822"/>
      <c r="H927" s="2230"/>
      <c r="I927" s="2230"/>
      <c r="J927" s="1619"/>
      <c r="K927" s="2830"/>
      <c r="L927" s="755"/>
      <c r="M927" s="1312"/>
      <c r="N927" s="2634"/>
    </row>
    <row r="928" spans="1:17" s="3598" customFormat="1" ht="19.5" hidden="1" customHeight="1" x14ac:dyDescent="0.25">
      <c r="B928" s="2630"/>
      <c r="C928" s="1132" t="s">
        <v>4389</v>
      </c>
      <c r="D928" s="1025">
        <v>9910894800</v>
      </c>
      <c r="E928" s="673">
        <f t="shared" si="42"/>
        <v>7.6879270054159248</v>
      </c>
      <c r="F928" s="1025"/>
      <c r="G928" s="2827"/>
      <c r="H928" s="2006"/>
      <c r="I928" s="2006"/>
      <c r="J928" s="3695"/>
      <c r="K928" s="3696"/>
      <c r="L928" s="3629"/>
      <c r="M928" s="1706"/>
      <c r="N928" s="2623"/>
      <c r="P928" s="2002"/>
      <c r="Q928" s="2002"/>
    </row>
    <row r="929" spans="2:14" ht="21.75" hidden="1" customHeight="1" x14ac:dyDescent="0.25">
      <c r="B929" s="2630"/>
      <c r="C929" s="509" t="s">
        <v>4390</v>
      </c>
      <c r="D929" s="939">
        <v>258000000</v>
      </c>
      <c r="E929" s="666">
        <f t="shared" si="42"/>
        <v>0.20013179510262874</v>
      </c>
      <c r="F929" s="939"/>
      <c r="G929" s="2822"/>
      <c r="H929" s="2230"/>
      <c r="I929" s="2230"/>
      <c r="J929" s="1619"/>
      <c r="K929" s="1109"/>
      <c r="L929" s="755"/>
      <c r="M929" s="755"/>
      <c r="N929" s="2634"/>
    </row>
    <row r="930" spans="2:14" ht="15" hidden="1" customHeight="1" x14ac:dyDescent="0.25">
      <c r="B930" s="2630"/>
      <c r="C930" s="509" t="s">
        <v>4391</v>
      </c>
      <c r="D930" s="838">
        <v>103200300</v>
      </c>
      <c r="E930" s="666">
        <f t="shared" si="42"/>
        <v>8.0052950752441149E-2</v>
      </c>
      <c r="F930" s="1343"/>
      <c r="G930" s="2787"/>
      <c r="H930" s="1315"/>
      <c r="I930" s="1311"/>
      <c r="J930" s="2831"/>
      <c r="K930" s="2269"/>
      <c r="L930" s="1315"/>
      <c r="M930" s="1311"/>
      <c r="N930" s="2634"/>
    </row>
    <row r="931" spans="2:14" ht="19.5" hidden="1" customHeight="1" x14ac:dyDescent="0.25">
      <c r="B931" s="2630"/>
      <c r="C931" s="509" t="s">
        <v>4392</v>
      </c>
      <c r="D931" s="838">
        <v>900000000</v>
      </c>
      <c r="E931" s="666">
        <f t="shared" si="42"/>
        <v>0.69813416896265834</v>
      </c>
      <c r="F931" s="1413"/>
      <c r="G931" s="2709"/>
      <c r="H931" s="1650"/>
      <c r="I931" s="1706"/>
      <c r="J931" s="843"/>
      <c r="K931" s="843"/>
      <c r="L931" s="1308"/>
      <c r="M931" s="1706"/>
      <c r="N931" s="2634"/>
    </row>
    <row r="932" spans="2:14" ht="15.75" hidden="1" customHeight="1" x14ac:dyDescent="0.25">
      <c r="B932" s="2630"/>
      <c r="C932" s="509" t="s">
        <v>4393</v>
      </c>
      <c r="D932" s="939">
        <v>675000000</v>
      </c>
      <c r="E932" s="666">
        <f t="shared" si="42"/>
        <v>0.52360062672199381</v>
      </c>
      <c r="F932" s="939"/>
      <c r="G932" s="1434"/>
      <c r="H932" s="1716"/>
      <c r="I932" s="1648"/>
      <c r="J932" s="1620"/>
      <c r="K932" s="2832"/>
      <c r="L932" s="755"/>
      <c r="M932" s="1648"/>
      <c r="N932" s="2634"/>
    </row>
    <row r="933" spans="2:14" ht="16.5" hidden="1" customHeight="1" x14ac:dyDescent="0.25">
      <c r="B933" s="2630"/>
      <c r="C933" s="509" t="s">
        <v>4394</v>
      </c>
      <c r="D933" s="939">
        <v>71750200</v>
      </c>
      <c r="E933" s="666">
        <f t="shared" si="42"/>
        <v>5.5656962499893922E-2</v>
      </c>
      <c r="F933" s="939"/>
      <c r="G933" s="1434"/>
      <c r="H933" s="1716"/>
      <c r="I933" s="1648"/>
      <c r="J933" s="1620"/>
      <c r="K933" s="2832"/>
      <c r="L933" s="755"/>
      <c r="M933" s="1648"/>
      <c r="N933" s="2634"/>
    </row>
    <row r="934" spans="2:14" ht="16.5" hidden="1" customHeight="1" x14ac:dyDescent="0.25">
      <c r="B934" s="2630"/>
      <c r="C934" s="509" t="s">
        <v>4395</v>
      </c>
      <c r="D934" s="939">
        <v>682550000</v>
      </c>
      <c r="E934" s="666">
        <f t="shared" si="42"/>
        <v>0.52945719669495839</v>
      </c>
      <c r="F934" s="939"/>
      <c r="G934" s="1434"/>
      <c r="H934" s="1716"/>
      <c r="I934" s="1648"/>
      <c r="J934" s="1620"/>
      <c r="K934" s="2832"/>
      <c r="L934" s="755"/>
      <c r="M934" s="1648"/>
      <c r="N934" s="2634"/>
    </row>
    <row r="935" spans="2:14" ht="16.5" hidden="1" customHeight="1" x14ac:dyDescent="0.25">
      <c r="B935" s="2630"/>
      <c r="C935" s="509" t="s">
        <v>4396</v>
      </c>
      <c r="D935" s="939">
        <v>425025500</v>
      </c>
      <c r="E935" s="666">
        <f t="shared" si="42"/>
        <v>0.32969424914493151</v>
      </c>
      <c r="F935" s="939"/>
      <c r="G935" s="1397"/>
      <c r="H935" s="1716"/>
      <c r="I935" s="1648"/>
      <c r="J935" s="1620"/>
      <c r="K935" s="2832"/>
      <c r="L935" s="755"/>
      <c r="M935" s="1648"/>
      <c r="N935" s="2634"/>
    </row>
    <row r="936" spans="2:14" ht="16.5" hidden="1" customHeight="1" x14ac:dyDescent="0.25">
      <c r="B936" s="2630"/>
      <c r="C936" s="509" t="s">
        <v>4397</v>
      </c>
      <c r="D936" s="939">
        <v>488925500</v>
      </c>
      <c r="E936" s="666">
        <f t="shared" si="42"/>
        <v>0.37926177514128023</v>
      </c>
      <c r="F936" s="939"/>
      <c r="G936" s="2822"/>
      <c r="H936" s="2230"/>
      <c r="I936" s="2230"/>
      <c r="J936" s="1620"/>
      <c r="K936" s="1647"/>
      <c r="L936" s="1647"/>
      <c r="M936" s="1647"/>
      <c r="N936" s="2634"/>
    </row>
    <row r="937" spans="2:14" ht="17.25" hidden="1" customHeight="1" x14ac:dyDescent="0.25">
      <c r="B937" s="2630"/>
      <c r="C937" s="509" t="s">
        <v>4402</v>
      </c>
      <c r="D937" s="939">
        <v>246000000</v>
      </c>
      <c r="E937" s="666">
        <f t="shared" si="42"/>
        <v>0.19082333951645997</v>
      </c>
      <c r="F937" s="939"/>
      <c r="G937" s="1398"/>
      <c r="H937" s="1716"/>
      <c r="I937" s="1648"/>
      <c r="J937" s="1620"/>
      <c r="K937" s="2832"/>
      <c r="L937" s="755"/>
      <c r="M937" s="1648"/>
      <c r="N937" s="2634"/>
    </row>
    <row r="938" spans="2:14" ht="17.25" hidden="1" customHeight="1" x14ac:dyDescent="0.25">
      <c r="B938" s="2630"/>
      <c r="C938" s="509" t="s">
        <v>4398</v>
      </c>
      <c r="D938" s="939">
        <v>205000000</v>
      </c>
      <c r="E938" s="666">
        <f t="shared" si="42"/>
        <v>0.15901944959704997</v>
      </c>
      <c r="F938" s="939"/>
      <c r="G938" s="2822"/>
      <c r="H938" s="2230"/>
      <c r="I938" s="2230"/>
      <c r="J938" s="1620"/>
      <c r="K938" s="2832"/>
      <c r="L938" s="755"/>
      <c r="M938" s="1648"/>
      <c r="N938" s="2634"/>
    </row>
    <row r="939" spans="2:14" ht="16.5" hidden="1" customHeight="1" x14ac:dyDescent="0.25">
      <c r="B939" s="2630"/>
      <c r="C939" s="509" t="s">
        <v>4403</v>
      </c>
      <c r="D939" s="939">
        <v>151600000</v>
      </c>
      <c r="E939" s="666">
        <f t="shared" si="42"/>
        <v>0.11759682223859891</v>
      </c>
      <c r="F939" s="939"/>
      <c r="G939" s="2822"/>
      <c r="H939" s="2230"/>
      <c r="I939" s="2230"/>
      <c r="J939" s="1620"/>
      <c r="K939" s="1647"/>
      <c r="L939" s="1647"/>
      <c r="M939" s="1647"/>
      <c r="N939" s="2634"/>
    </row>
    <row r="940" spans="2:14" ht="18" hidden="1" customHeight="1" x14ac:dyDescent="0.25">
      <c r="B940" s="2630"/>
      <c r="C940" s="509" t="s">
        <v>4399</v>
      </c>
      <c r="D940" s="939">
        <v>52400000</v>
      </c>
      <c r="E940" s="666">
        <f t="shared" si="42"/>
        <v>4.0646922726270338E-2</v>
      </c>
      <c r="F940" s="939"/>
      <c r="G940" s="2822"/>
      <c r="H940" s="2230"/>
      <c r="I940" s="2230"/>
      <c r="J940" s="1620"/>
      <c r="K940" s="1647"/>
      <c r="L940" s="1647"/>
      <c r="M940" s="1647"/>
      <c r="N940" s="2634"/>
    </row>
    <row r="941" spans="2:14" ht="15.75" hidden="1" customHeight="1" x14ac:dyDescent="0.25">
      <c r="B941" s="2630"/>
      <c r="C941" s="509" t="s">
        <v>4400</v>
      </c>
      <c r="D941" s="939">
        <v>121900000</v>
      </c>
      <c r="E941" s="666">
        <f t="shared" si="42"/>
        <v>9.4558394662831169E-2</v>
      </c>
      <c r="F941" s="939"/>
      <c r="G941" s="1434"/>
      <c r="H941" s="1716"/>
      <c r="I941" s="1648"/>
      <c r="J941" s="1620"/>
      <c r="K941" s="2832"/>
      <c r="L941" s="755"/>
      <c r="M941" s="1648"/>
      <c r="N941" s="2634"/>
    </row>
    <row r="942" spans="2:14" ht="17.25" hidden="1" customHeight="1" x14ac:dyDescent="0.25">
      <c r="B942" s="2630"/>
      <c r="C942" s="509" t="s">
        <v>4404</v>
      </c>
      <c r="D942" s="939">
        <v>90200000</v>
      </c>
      <c r="E942" s="666">
        <f t="shared" si="42"/>
        <v>6.9968557822701991E-2</v>
      </c>
      <c r="F942" s="939"/>
      <c r="G942" s="1398"/>
      <c r="H942" s="1716"/>
      <c r="I942" s="1648"/>
      <c r="J942" s="1620"/>
      <c r="K942" s="2832"/>
      <c r="L942" s="755"/>
      <c r="M942" s="1648"/>
      <c r="N942" s="2634"/>
    </row>
    <row r="943" spans="2:14" ht="16.5" hidden="1" customHeight="1" x14ac:dyDescent="0.25">
      <c r="B943" s="2630"/>
      <c r="C943" s="509" t="s">
        <v>4405</v>
      </c>
      <c r="D943" s="939">
        <v>38500000</v>
      </c>
      <c r="E943" s="666">
        <f t="shared" si="42"/>
        <v>2.9864628338958161E-2</v>
      </c>
      <c r="F943" s="939"/>
      <c r="G943" s="1398"/>
      <c r="H943" s="1716"/>
      <c r="I943" s="1648"/>
      <c r="J943" s="1620"/>
      <c r="K943" s="2832"/>
      <c r="L943" s="755"/>
      <c r="M943" s="1648"/>
      <c r="N943" s="2634"/>
    </row>
    <row r="944" spans="2:14" ht="15.75" hidden="1" customHeight="1" x14ac:dyDescent="0.25">
      <c r="B944" s="2630"/>
      <c r="C944" s="509" t="s">
        <v>4406</v>
      </c>
      <c r="D944" s="939">
        <v>223307000</v>
      </c>
      <c r="E944" s="666">
        <f t="shared" si="42"/>
        <v>0.1732202742983826</v>
      </c>
      <c r="F944" s="939"/>
      <c r="G944" s="1434"/>
      <c r="H944" s="1716"/>
      <c r="I944" s="1648"/>
      <c r="J944" s="1620"/>
      <c r="K944" s="2832"/>
      <c r="L944" s="755"/>
      <c r="M944" s="1648"/>
      <c r="N944" s="2634"/>
    </row>
    <row r="945" spans="1:17" ht="16.5" hidden="1" customHeight="1" x14ac:dyDescent="0.25">
      <c r="B945" s="2630"/>
      <c r="C945" s="509" t="s">
        <v>4407</v>
      </c>
      <c r="D945" s="939">
        <v>179460100</v>
      </c>
      <c r="E945" s="666">
        <f t="shared" si="42"/>
        <v>0.13920803086161729</v>
      </c>
      <c r="F945" s="939"/>
      <c r="G945" s="1434"/>
      <c r="H945" s="1716"/>
      <c r="I945" s="1648"/>
      <c r="J945" s="1620"/>
      <c r="K945" s="2832"/>
      <c r="L945" s="755"/>
      <c r="M945" s="1648"/>
      <c r="N945" s="2634"/>
    </row>
    <row r="946" spans="1:17" ht="17.25" hidden="1" customHeight="1" x14ac:dyDescent="0.25">
      <c r="B946" s="2630"/>
      <c r="C946" s="509" t="s">
        <v>4401</v>
      </c>
      <c r="D946" s="939">
        <v>4998076200</v>
      </c>
      <c r="E946" s="666">
        <f t="shared" si="42"/>
        <v>3.8770308603322685</v>
      </c>
      <c r="F946" s="939"/>
      <c r="G946" s="2822"/>
      <c r="H946" s="2230"/>
      <c r="I946" s="2230"/>
      <c r="J946" s="1620"/>
      <c r="K946" s="2832"/>
      <c r="L946" s="755"/>
      <c r="M946" s="1648"/>
      <c r="N946" s="2634"/>
    </row>
    <row r="947" spans="1:17" ht="13.5" hidden="1" customHeight="1" x14ac:dyDescent="0.25">
      <c r="B947" s="2630"/>
      <c r="C947" s="509"/>
      <c r="D947" s="939"/>
      <c r="E947" s="666"/>
      <c r="F947" s="939"/>
      <c r="G947" s="2822"/>
      <c r="H947" s="2230"/>
      <c r="I947" s="2230"/>
      <c r="J947" s="1620"/>
      <c r="K947" s="2832"/>
      <c r="L947" s="755"/>
      <c r="M947" s="1648"/>
      <c r="N947" s="2634"/>
    </row>
    <row r="948" spans="1:17" s="3598" customFormat="1" ht="20.25" hidden="1" customHeight="1" x14ac:dyDescent="0.25">
      <c r="B948" s="2630"/>
      <c r="C948" s="1132" t="s">
        <v>809</v>
      </c>
      <c r="D948" s="1025">
        <v>115850000</v>
      </c>
      <c r="E948" s="673">
        <f t="shared" si="42"/>
        <v>8.9865381638137745E-2</v>
      </c>
      <c r="F948" s="1025"/>
      <c r="G948" s="2827"/>
      <c r="H948" s="2006"/>
      <c r="I948" s="2006"/>
      <c r="J948" s="3693"/>
      <c r="K948" s="3694"/>
      <c r="L948" s="3629"/>
      <c r="M948" s="1706"/>
      <c r="N948" s="2623"/>
      <c r="P948" s="2002"/>
      <c r="Q948" s="2002"/>
    </row>
    <row r="949" spans="1:17" ht="20.25" hidden="1" customHeight="1" x14ac:dyDescent="0.25">
      <c r="B949" s="2630"/>
      <c r="C949" s="509" t="s">
        <v>4408</v>
      </c>
      <c r="D949" s="838">
        <v>115850000</v>
      </c>
      <c r="E949" s="666">
        <f t="shared" si="42"/>
        <v>8.9865381638137745E-2</v>
      </c>
      <c r="F949" s="1343"/>
      <c r="G949" s="1397"/>
      <c r="H949" s="538"/>
      <c r="I949" s="538"/>
      <c r="J949" s="2831"/>
      <c r="K949" s="2833"/>
      <c r="L949" s="2508"/>
      <c r="M949" s="1648"/>
      <c r="N949" s="2634"/>
    </row>
    <row r="950" spans="1:17" ht="12" hidden="1" customHeight="1" x14ac:dyDescent="0.25">
      <c r="B950" s="2630"/>
      <c r="C950" s="1148"/>
      <c r="D950" s="852"/>
      <c r="E950" s="973"/>
      <c r="F950" s="2842"/>
      <c r="G950" s="2843"/>
      <c r="H950" s="2843"/>
      <c r="I950" s="2739"/>
      <c r="J950" s="2844"/>
      <c r="K950" s="2843"/>
      <c r="L950" s="2843"/>
      <c r="M950" s="2739"/>
      <c r="N950" s="2837"/>
    </row>
    <row r="951" spans="1:17" ht="21" hidden="1" customHeight="1" x14ac:dyDescent="0.25">
      <c r="B951" s="2635"/>
      <c r="C951" s="507" t="s">
        <v>298</v>
      </c>
      <c r="D951" s="832">
        <f>D952</f>
        <v>13976500000</v>
      </c>
      <c r="E951" s="669">
        <f>D951/123371722000*100</f>
        <v>11.328771110125221</v>
      </c>
      <c r="F951" s="992"/>
      <c r="G951" s="992"/>
      <c r="H951" s="1307"/>
      <c r="I951" s="1307"/>
      <c r="J951" s="992"/>
      <c r="K951" s="992"/>
      <c r="L951" s="1307"/>
      <c r="M951" s="1307"/>
      <c r="N951" s="2837"/>
    </row>
    <row r="952" spans="1:17" ht="15.75" hidden="1" customHeight="1" x14ac:dyDescent="0.25">
      <c r="B952" s="2630"/>
      <c r="C952" s="1131" t="s">
        <v>299</v>
      </c>
      <c r="D952" s="854">
        <f>D953+D954</f>
        <v>13976500000</v>
      </c>
      <c r="E952" s="889">
        <f>D952/123371722000*100</f>
        <v>11.328771110125221</v>
      </c>
      <c r="F952" s="1394"/>
      <c r="G952" s="1394"/>
      <c r="H952" s="1659"/>
      <c r="I952" s="1659"/>
      <c r="J952" s="1394"/>
      <c r="K952" s="1394"/>
      <c r="L952" s="1308"/>
      <c r="M952" s="1659"/>
      <c r="N952" s="2837"/>
    </row>
    <row r="953" spans="1:17" ht="22.5" hidden="1" customHeight="1" x14ac:dyDescent="0.25">
      <c r="B953" s="2630"/>
      <c r="C953" s="509" t="s">
        <v>865</v>
      </c>
      <c r="D953" s="2846">
        <v>6900000000</v>
      </c>
      <c r="E953" s="666">
        <f>D953/123371722000*100</f>
        <v>5.5928537659545672</v>
      </c>
      <c r="F953" s="2846"/>
      <c r="G953" s="2429"/>
      <c r="H953" s="1716"/>
      <c r="I953" s="1717"/>
      <c r="J953" s="1697"/>
      <c r="K953" s="2847"/>
      <c r="L953" s="755"/>
      <c r="M953" s="1717"/>
      <c r="N953" s="2837"/>
    </row>
    <row r="954" spans="1:17" ht="20.25" hidden="1" customHeight="1" x14ac:dyDescent="0.25">
      <c r="B954" s="2630"/>
      <c r="C954" s="1183" t="s">
        <v>2240</v>
      </c>
      <c r="D954" s="1648">
        <v>7076500000</v>
      </c>
      <c r="E954" s="666">
        <f>D954/123371722000*100</f>
        <v>5.7359173441706517</v>
      </c>
      <c r="F954" s="1648"/>
      <c r="G954" s="2429"/>
      <c r="H954" s="1716"/>
      <c r="I954" s="1312"/>
      <c r="J954" s="1700"/>
      <c r="K954" s="2848"/>
      <c r="L954" s="755"/>
      <c r="M954" s="1323"/>
      <c r="N954" s="2837"/>
    </row>
    <row r="955" spans="1:17" ht="12" hidden="1" customHeight="1" x14ac:dyDescent="0.25">
      <c r="B955" s="2630"/>
      <c r="C955" s="1146"/>
      <c r="D955" s="990"/>
      <c r="E955" s="671"/>
      <c r="F955" s="2759"/>
      <c r="G955" s="2761"/>
      <c r="H955" s="2424"/>
      <c r="I955" s="2182"/>
      <c r="J955" s="2182"/>
      <c r="K955" s="2518"/>
      <c r="L955" s="2182"/>
      <c r="M955" s="2279"/>
      <c r="N955" s="2634"/>
    </row>
    <row r="956" spans="1:17" s="269" customFormat="1" ht="18" customHeight="1" thickBot="1" x14ac:dyDescent="0.3">
      <c r="A956" s="505"/>
      <c r="B956" s="2746"/>
      <c r="C956" s="2747" t="s">
        <v>609</v>
      </c>
      <c r="D956" s="4163">
        <f>SUM(D958+D1018)</f>
        <v>35408300000</v>
      </c>
      <c r="E956" s="2530">
        <f>D956/D83*100</f>
        <v>6.222036055816651</v>
      </c>
      <c r="F956" s="2849"/>
      <c r="G956" s="2850"/>
      <c r="H956" s="2850"/>
      <c r="I956" s="2851"/>
      <c r="J956" s="2849"/>
      <c r="K956" s="2850"/>
      <c r="L956" s="2851"/>
      <c r="M956" s="2851"/>
      <c r="N956" s="2623"/>
      <c r="P956" s="2069"/>
      <c r="Q956" s="2069"/>
    </row>
    <row r="957" spans="1:17" ht="9.75" hidden="1" customHeight="1" x14ac:dyDescent="0.25">
      <c r="B957" s="2630"/>
      <c r="C957" s="1254"/>
      <c r="D957" s="1008"/>
      <c r="E957" s="799"/>
      <c r="F957" s="1592"/>
      <c r="G957" s="1400"/>
      <c r="H957" s="2852"/>
      <c r="I957" s="2658"/>
      <c r="J957" s="2266"/>
      <c r="K957" s="2741"/>
      <c r="L957" s="2175"/>
      <c r="M957" s="2279"/>
      <c r="N957" s="2634"/>
    </row>
    <row r="958" spans="1:17" ht="18" hidden="1" customHeight="1" x14ac:dyDescent="0.25">
      <c r="B958" s="3654"/>
      <c r="C958" s="1303" t="s">
        <v>1024</v>
      </c>
      <c r="D958" s="4251">
        <f>SUM(D959+D968+D980+D987+D991+D995+D999+D1004)</f>
        <v>30898300000</v>
      </c>
      <c r="E958" s="669">
        <f>D958/127769792000*100</f>
        <v>24.182789622135413</v>
      </c>
      <c r="F958" s="4366"/>
      <c r="G958" s="2760"/>
      <c r="H958" s="2853"/>
      <c r="I958" s="1307"/>
      <c r="J958" s="1590"/>
      <c r="K958" s="2760"/>
      <c r="L958" s="2356"/>
      <c r="M958" s="2356"/>
      <c r="N958" s="2634"/>
    </row>
    <row r="959" spans="1:17" ht="16.5" hidden="1" customHeight="1" x14ac:dyDescent="0.25">
      <c r="B959" s="3655"/>
      <c r="C959" s="3938" t="s">
        <v>288</v>
      </c>
      <c r="D959" s="768">
        <f>SUM(D960:D966)</f>
        <v>6458725000</v>
      </c>
      <c r="E959" s="673">
        <f>D959/127769792000*100</f>
        <v>5.0549702702811006</v>
      </c>
      <c r="F959" s="753"/>
      <c r="G959" s="1729"/>
      <c r="H959" s="2856"/>
      <c r="I959" s="1659"/>
      <c r="J959" s="753"/>
      <c r="K959" s="753"/>
      <c r="L959" s="1650"/>
      <c r="M959" s="1650"/>
      <c r="N959" s="2634"/>
    </row>
    <row r="960" spans="1:17" ht="16.5" hidden="1" customHeight="1" x14ac:dyDescent="0.25">
      <c r="B960" s="2624"/>
      <c r="C960" s="4118" t="s">
        <v>5880</v>
      </c>
      <c r="D960" s="780">
        <v>1331675000</v>
      </c>
      <c r="E960" s="666">
        <f>D960/127769792000*100</f>
        <v>1.0422455724119828</v>
      </c>
      <c r="F960" s="755"/>
      <c r="G960" s="2543"/>
      <c r="H960" s="2543"/>
      <c r="I960" s="2543"/>
      <c r="J960" s="2000"/>
      <c r="K960" s="2001"/>
      <c r="L960" s="1311"/>
      <c r="M960" s="1311"/>
      <c r="N960" s="2634"/>
    </row>
    <row r="961" spans="2:14" ht="16.5" hidden="1" customHeight="1" x14ac:dyDescent="0.25">
      <c r="B961" s="2624"/>
      <c r="C961" s="4118" t="s">
        <v>5881</v>
      </c>
      <c r="D961" s="780">
        <v>299050000</v>
      </c>
      <c r="E961" s="666">
        <f t="shared" ref="E961:E1016" si="43">D961/127769792000*100</f>
        <v>0.2340537581840941</v>
      </c>
      <c r="F961" s="755"/>
      <c r="G961" s="2543"/>
      <c r="H961" s="2543"/>
      <c r="I961" s="2543"/>
      <c r="J961" s="2000"/>
      <c r="K961" s="2001"/>
      <c r="L961" s="1716"/>
      <c r="M961" s="1716"/>
      <c r="N961" s="2634"/>
    </row>
    <row r="962" spans="2:14" ht="16.5" hidden="1" customHeight="1" x14ac:dyDescent="0.25">
      <c r="B962" s="2624"/>
      <c r="C962" s="4118" t="s">
        <v>622</v>
      </c>
      <c r="D962" s="780">
        <v>600000000</v>
      </c>
      <c r="E962" s="666">
        <f t="shared" si="43"/>
        <v>0.46959456582663917</v>
      </c>
      <c r="F962" s="755"/>
      <c r="G962" s="2543"/>
      <c r="H962" s="2543"/>
      <c r="I962" s="2543"/>
      <c r="J962" s="1005"/>
      <c r="K962" s="1005"/>
      <c r="L962" s="1005"/>
      <c r="M962" s="1311"/>
      <c r="N962" s="2634"/>
    </row>
    <row r="963" spans="2:14" ht="16.5" hidden="1" customHeight="1" x14ac:dyDescent="0.25">
      <c r="B963" s="2624"/>
      <c r="C963" s="4118" t="s">
        <v>5882</v>
      </c>
      <c r="D963" s="780">
        <v>289000000</v>
      </c>
      <c r="E963" s="666">
        <f t="shared" si="43"/>
        <v>0.2261880492064979</v>
      </c>
      <c r="F963" s="755"/>
      <c r="G963" s="2543"/>
      <c r="H963" s="2543"/>
      <c r="I963" s="2543"/>
      <c r="J963" s="2000"/>
      <c r="K963" s="2001"/>
      <c r="L963" s="1311"/>
      <c r="M963" s="1311"/>
      <c r="N963" s="2634"/>
    </row>
    <row r="964" spans="2:14" ht="16.5" hidden="1" customHeight="1" x14ac:dyDescent="0.25">
      <c r="B964" s="2624"/>
      <c r="C964" s="4118" t="s">
        <v>5883</v>
      </c>
      <c r="D964" s="780">
        <v>680000000</v>
      </c>
      <c r="E964" s="666">
        <f t="shared" si="43"/>
        <v>0.5322071746035244</v>
      </c>
      <c r="F964" s="755"/>
      <c r="G964" s="2543"/>
      <c r="H964" s="2543"/>
      <c r="I964" s="2543"/>
      <c r="J964" s="2000"/>
      <c r="K964" s="2001"/>
      <c r="L964" s="1311"/>
      <c r="M964" s="1311"/>
      <c r="N964" s="2634"/>
    </row>
    <row r="965" spans="2:14" ht="16.5" hidden="1" customHeight="1" x14ac:dyDescent="0.25">
      <c r="B965" s="2624"/>
      <c r="C965" s="4118" t="s">
        <v>5884</v>
      </c>
      <c r="D965" s="780">
        <v>1995000000</v>
      </c>
      <c r="E965" s="666">
        <f t="shared" si="43"/>
        <v>1.5614019313735754</v>
      </c>
      <c r="F965" s="755"/>
      <c r="G965" s="2543"/>
      <c r="H965" s="2857"/>
      <c r="I965" s="1705"/>
      <c r="J965" s="2000"/>
      <c r="K965" s="2537"/>
      <c r="L965" s="1311"/>
      <c r="M965" s="1311"/>
      <c r="N965" s="2634"/>
    </row>
    <row r="966" spans="2:14" ht="22.5" hidden="1" customHeight="1" x14ac:dyDescent="0.25">
      <c r="B966" s="2624"/>
      <c r="C966" s="4118" t="s">
        <v>5885</v>
      </c>
      <c r="D966" s="780">
        <v>1264000000</v>
      </c>
      <c r="E966" s="666">
        <f t="shared" si="43"/>
        <v>0.98927921867478663</v>
      </c>
      <c r="F966" s="755"/>
      <c r="G966" s="2543"/>
      <c r="H966" s="2857"/>
      <c r="I966" s="1705"/>
      <c r="J966" s="2000"/>
      <c r="K966" s="2001"/>
      <c r="L966" s="1311"/>
      <c r="M966" s="1311"/>
      <c r="N966" s="2634"/>
    </row>
    <row r="967" spans="2:14" ht="11.25" hidden="1" customHeight="1" x14ac:dyDescent="0.25">
      <c r="B967" s="2624"/>
      <c r="C967" s="3896"/>
      <c r="D967" s="799"/>
      <c r="E967" s="666"/>
      <c r="F967" s="755"/>
      <c r="G967" s="1401"/>
      <c r="H967" s="2857"/>
      <c r="I967" s="1705"/>
      <c r="J967" s="2000"/>
      <c r="K967" s="2001"/>
      <c r="L967" s="1311"/>
      <c r="M967" s="1311"/>
      <c r="N967" s="2634"/>
    </row>
    <row r="968" spans="2:14" ht="19.5" hidden="1" customHeight="1" x14ac:dyDescent="0.25">
      <c r="B968" s="2624"/>
      <c r="C968" s="3938" t="s">
        <v>279</v>
      </c>
      <c r="D968" s="768">
        <f>SUM(D969:D978)</f>
        <v>9318750000</v>
      </c>
      <c r="E968" s="673">
        <f t="shared" si="43"/>
        <v>7.2933906004949911</v>
      </c>
      <c r="F968" s="755"/>
      <c r="G968" s="1402"/>
      <c r="H968" s="2857"/>
      <c r="I968" s="1705"/>
      <c r="J968" s="2000"/>
      <c r="K968" s="2537"/>
      <c r="L968" s="1311"/>
      <c r="M968" s="1311"/>
      <c r="N968" s="2634"/>
    </row>
    <row r="969" spans="2:14" ht="18" hidden="1" customHeight="1" x14ac:dyDescent="0.25">
      <c r="B969" s="2624"/>
      <c r="C969" s="4118" t="s">
        <v>3441</v>
      </c>
      <c r="D969" s="780">
        <v>509250000</v>
      </c>
      <c r="E969" s="666">
        <f t="shared" si="43"/>
        <v>0.39856838774536008</v>
      </c>
      <c r="F969" s="755"/>
      <c r="G969" s="1402"/>
      <c r="H969" s="2857"/>
      <c r="I969" s="1705"/>
      <c r="J969" s="2000"/>
      <c r="K969" s="2001"/>
      <c r="L969" s="1311"/>
      <c r="M969" s="1311"/>
      <c r="N969" s="2634"/>
    </row>
    <row r="970" spans="2:14" ht="18" hidden="1" customHeight="1" x14ac:dyDescent="0.25">
      <c r="B970" s="2624"/>
      <c r="C970" s="4118" t="s">
        <v>5886</v>
      </c>
      <c r="D970" s="780">
        <v>420000000</v>
      </c>
      <c r="E970" s="666">
        <f t="shared" si="43"/>
        <v>0.32871619607864744</v>
      </c>
      <c r="F970" s="755"/>
      <c r="G970" s="2543"/>
      <c r="H970" s="2543"/>
      <c r="I970" s="2543"/>
      <c r="J970" s="2000"/>
      <c r="K970" s="2000"/>
      <c r="L970" s="1311"/>
      <c r="M970" s="1311"/>
      <c r="N970" s="2634"/>
    </row>
    <row r="971" spans="2:14" ht="20.25" hidden="1" customHeight="1" x14ac:dyDescent="0.25">
      <c r="B971" s="2624"/>
      <c r="C971" s="4118" t="s">
        <v>5887</v>
      </c>
      <c r="D971" s="780">
        <v>1287900000</v>
      </c>
      <c r="E971" s="666">
        <f t="shared" si="43"/>
        <v>1.0079847355468809</v>
      </c>
      <c r="F971" s="827"/>
      <c r="G971" s="1399"/>
      <c r="H971" s="2852"/>
      <c r="I971" s="2182"/>
      <c r="J971" s="1716"/>
      <c r="K971" s="2202"/>
      <c r="L971" s="1312"/>
      <c r="M971" s="1717"/>
      <c r="N971" s="2634"/>
    </row>
    <row r="972" spans="2:14" ht="19.5" hidden="1" customHeight="1" x14ac:dyDescent="0.25">
      <c r="B972" s="2624"/>
      <c r="C972" s="4118" t="s">
        <v>5888</v>
      </c>
      <c r="D972" s="780">
        <v>3564000000</v>
      </c>
      <c r="E972" s="666">
        <f t="shared" si="43"/>
        <v>2.789391721010237</v>
      </c>
      <c r="F972" s="3629"/>
      <c r="G972" s="610"/>
      <c r="H972" s="2858"/>
      <c r="I972" s="1650"/>
      <c r="J972" s="795"/>
      <c r="K972" s="795"/>
      <c r="L972" s="1650"/>
      <c r="M972" s="1650"/>
      <c r="N972" s="2634"/>
    </row>
    <row r="973" spans="2:14" ht="33.75" hidden="1" customHeight="1" x14ac:dyDescent="0.25">
      <c r="B973" s="2624"/>
      <c r="C973" s="4118" t="s">
        <v>5889</v>
      </c>
      <c r="D973" s="780">
        <v>817500000</v>
      </c>
      <c r="E973" s="666">
        <f t="shared" si="43"/>
        <v>0.63982259593879598</v>
      </c>
      <c r="F973" s="755"/>
      <c r="G973" s="2543"/>
      <c r="H973" s="2543"/>
      <c r="I973" s="2543"/>
      <c r="J973" s="2000"/>
      <c r="K973" s="2001"/>
      <c r="L973" s="1312"/>
      <c r="M973" s="1312"/>
      <c r="N973" s="2634"/>
    </row>
    <row r="974" spans="2:14" ht="27.75" hidden="1" customHeight="1" x14ac:dyDescent="0.25">
      <c r="B974" s="2624"/>
      <c r="C974" s="4118" t="s">
        <v>5890</v>
      </c>
      <c r="D974" s="780">
        <v>1440000000</v>
      </c>
      <c r="E974" s="666">
        <f t="shared" si="43"/>
        <v>1.127026957983934</v>
      </c>
      <c r="F974" s="755"/>
      <c r="G974" s="1402"/>
      <c r="H974" s="2857"/>
      <c r="I974" s="1705"/>
      <c r="J974" s="2000"/>
      <c r="K974" s="2001"/>
      <c r="L974" s="1312"/>
      <c r="M974" s="1312"/>
      <c r="N974" s="2634"/>
    </row>
    <row r="975" spans="2:14" ht="19.5" hidden="1" customHeight="1" x14ac:dyDescent="0.25">
      <c r="B975" s="2624"/>
      <c r="C975" s="4118" t="s">
        <v>5891</v>
      </c>
      <c r="D975" s="780">
        <v>999100000</v>
      </c>
      <c r="E975" s="666">
        <f t="shared" si="43"/>
        <v>0.78195321786232541</v>
      </c>
      <c r="F975" s="755"/>
      <c r="G975" s="2543"/>
      <c r="H975" s="2543"/>
      <c r="I975" s="2543"/>
      <c r="J975" s="2000"/>
      <c r="K975" s="2001"/>
      <c r="L975" s="1312"/>
      <c r="M975" s="1312"/>
      <c r="N975" s="2634"/>
    </row>
    <row r="976" spans="2:14" ht="30" hidden="1" customHeight="1" x14ac:dyDescent="0.25">
      <c r="B976" s="2624"/>
      <c r="C976" s="4118" t="s">
        <v>5892</v>
      </c>
      <c r="D976" s="780">
        <v>46000000</v>
      </c>
      <c r="E976" s="666">
        <f t="shared" si="43"/>
        <v>3.6002250046709004E-2</v>
      </c>
      <c r="F976" s="755"/>
      <c r="G976" s="1402"/>
      <c r="H976" s="2857"/>
      <c r="I976" s="2859"/>
      <c r="J976" s="2000"/>
      <c r="K976" s="2001"/>
      <c r="L976" s="1312"/>
      <c r="M976" s="1312"/>
      <c r="N976" s="2634"/>
    </row>
    <row r="977" spans="2:14" ht="16.5" hidden="1" customHeight="1" x14ac:dyDescent="0.25">
      <c r="B977" s="2624"/>
      <c r="C977" s="4118" t="s">
        <v>5893</v>
      </c>
      <c r="D977" s="780">
        <v>219725000</v>
      </c>
      <c r="E977" s="666">
        <f t="shared" si="43"/>
        <v>0.17196944329376385</v>
      </c>
      <c r="F977" s="755"/>
      <c r="G977" s="1402"/>
      <c r="H977" s="2857"/>
      <c r="I977" s="2859"/>
      <c r="J977" s="2000"/>
      <c r="K977" s="2001"/>
      <c r="L977" s="1312"/>
      <c r="M977" s="1312"/>
      <c r="N977" s="2634"/>
    </row>
    <row r="978" spans="2:14" ht="21" hidden="1" customHeight="1" x14ac:dyDescent="0.25">
      <c r="B978" s="2624"/>
      <c r="C978" s="4118" t="s">
        <v>5894</v>
      </c>
      <c r="D978" s="780">
        <v>15275000</v>
      </c>
      <c r="E978" s="666">
        <f t="shared" si="43"/>
        <v>1.1955094988336523E-2</v>
      </c>
      <c r="F978" s="755"/>
      <c r="G978" s="2543"/>
      <c r="H978" s="2543"/>
      <c r="I978" s="2543"/>
      <c r="J978" s="2000"/>
      <c r="K978" s="2000"/>
      <c r="L978" s="1312"/>
      <c r="M978" s="1312"/>
      <c r="N978" s="2634"/>
    </row>
    <row r="979" spans="2:14" ht="15" hidden="1" customHeight="1" x14ac:dyDescent="0.25">
      <c r="B979" s="2624"/>
      <c r="C979" s="3896"/>
      <c r="D979" s="4260"/>
      <c r="E979" s="666"/>
      <c r="F979" s="755"/>
      <c r="G979" s="1402"/>
      <c r="H979" s="2857"/>
      <c r="I979" s="2859"/>
      <c r="J979" s="2000"/>
      <c r="K979" s="2001"/>
      <c r="L979" s="1716"/>
      <c r="M979" s="1716"/>
      <c r="N979" s="2634"/>
    </row>
    <row r="980" spans="2:14" ht="18.75" hidden="1" customHeight="1" x14ac:dyDescent="0.25">
      <c r="B980" s="2624"/>
      <c r="C980" s="3938" t="s">
        <v>5472</v>
      </c>
      <c r="D980" s="768">
        <f>SUM(D981:D985)</f>
        <v>1960900000</v>
      </c>
      <c r="E980" s="673">
        <f t="shared" si="43"/>
        <v>1.5347133068824281</v>
      </c>
      <c r="F980" s="755"/>
      <c r="G980" s="1402"/>
      <c r="H980" s="2857"/>
      <c r="I980" s="1705"/>
      <c r="J980" s="2000"/>
      <c r="K980" s="2001"/>
      <c r="L980" s="1312"/>
      <c r="M980" s="1312"/>
      <c r="N980" s="2634"/>
    </row>
    <row r="981" spans="2:14" ht="17.25" hidden="1" customHeight="1" x14ac:dyDescent="0.25">
      <c r="B981" s="2624"/>
      <c r="C981" s="4118" t="s">
        <v>5473</v>
      </c>
      <c r="D981" s="780">
        <v>359400000</v>
      </c>
      <c r="E981" s="666">
        <f t="shared" si="43"/>
        <v>0.28128714493015688</v>
      </c>
      <c r="F981" s="755"/>
      <c r="G981" s="1402"/>
      <c r="H981" s="2857"/>
      <c r="I981" s="2859"/>
      <c r="J981" s="2000"/>
      <c r="K981" s="2001"/>
      <c r="L981" s="1312"/>
      <c r="M981" s="1312"/>
      <c r="N981" s="2634"/>
    </row>
    <row r="982" spans="2:14" ht="30" hidden="1" customHeight="1" x14ac:dyDescent="0.25">
      <c r="B982" s="2624"/>
      <c r="C982" s="4118" t="s">
        <v>5474</v>
      </c>
      <c r="D982" s="780">
        <v>961500000</v>
      </c>
      <c r="E982" s="666">
        <f t="shared" si="43"/>
        <v>0.75252529173718929</v>
      </c>
      <c r="F982" s="755"/>
      <c r="G982" s="2543"/>
      <c r="H982" s="2543"/>
      <c r="I982" s="2543"/>
      <c r="J982" s="2000"/>
      <c r="K982" s="2001"/>
      <c r="L982" s="1312"/>
      <c r="M982" s="1312"/>
      <c r="N982" s="2634"/>
    </row>
    <row r="983" spans="2:14" ht="15" hidden="1" customHeight="1" x14ac:dyDescent="0.25">
      <c r="B983" s="2624"/>
      <c r="C983" s="4118" t="s">
        <v>5475</v>
      </c>
      <c r="D983" s="780">
        <v>60000000</v>
      </c>
      <c r="E983" s="666">
        <f t="shared" si="43"/>
        <v>4.6959456582663921E-2</v>
      </c>
      <c r="F983" s="755"/>
      <c r="G983" s="2543"/>
      <c r="H983" s="2543"/>
      <c r="I983" s="2543"/>
      <c r="J983" s="2000"/>
      <c r="K983" s="2001"/>
      <c r="L983" s="1312"/>
      <c r="M983" s="1312"/>
      <c r="N983" s="2634"/>
    </row>
    <row r="984" spans="2:14" ht="18.75" hidden="1" customHeight="1" x14ac:dyDescent="0.25">
      <c r="B984" s="2624"/>
      <c r="C984" s="4118" t="s">
        <v>5476</v>
      </c>
      <c r="D984" s="1791">
        <v>180000000</v>
      </c>
      <c r="E984" s="666">
        <f t="shared" si="43"/>
        <v>0.14087836974799176</v>
      </c>
      <c r="F984" s="755"/>
      <c r="G984" s="2543"/>
      <c r="H984" s="2543"/>
      <c r="I984" s="2543"/>
      <c r="J984" s="2000"/>
      <c r="K984" s="2001"/>
      <c r="L984" s="1312"/>
      <c r="M984" s="1312"/>
      <c r="N984" s="2634"/>
    </row>
    <row r="985" spans="2:14" ht="16.5" hidden="1" customHeight="1" x14ac:dyDescent="0.25">
      <c r="B985" s="1242"/>
      <c r="C985" s="4118" t="s">
        <v>5477</v>
      </c>
      <c r="D985" s="1846">
        <v>400000000</v>
      </c>
      <c r="E985" s="666">
        <f t="shared" si="43"/>
        <v>0.31306304388442613</v>
      </c>
      <c r="F985" s="1005"/>
      <c r="G985" s="1005"/>
      <c r="H985" s="1005"/>
      <c r="I985" s="1005"/>
      <c r="J985" s="2000"/>
      <c r="K985" s="2001"/>
      <c r="L985" s="1312"/>
      <c r="M985" s="1312"/>
      <c r="N985" s="2634"/>
    </row>
    <row r="986" spans="2:14" ht="12" hidden="1" customHeight="1" x14ac:dyDescent="0.25">
      <c r="B986" s="2624"/>
      <c r="C986" s="4118"/>
      <c r="D986" s="1806"/>
      <c r="E986" s="666"/>
      <c r="F986" s="1592"/>
      <c r="G986" s="1399"/>
      <c r="H986" s="2386"/>
      <c r="I986" s="2266"/>
      <c r="J986" s="1716"/>
      <c r="K986" s="1716"/>
      <c r="L986" s="1716"/>
      <c r="M986" s="1716"/>
      <c r="N986" s="2634"/>
    </row>
    <row r="987" spans="2:14" ht="18" hidden="1" customHeight="1" x14ac:dyDescent="0.25">
      <c r="B987" s="2624"/>
      <c r="C987" s="3938" t="s">
        <v>5478</v>
      </c>
      <c r="D987" s="768">
        <f>SUM(D988:D989)</f>
        <v>500000000</v>
      </c>
      <c r="E987" s="673">
        <f t="shared" si="43"/>
        <v>0.39132880485553262</v>
      </c>
      <c r="F987" s="753"/>
      <c r="G987" s="610"/>
      <c r="H987" s="2858"/>
      <c r="I987" s="1659"/>
      <c r="J987" s="753"/>
      <c r="K987" s="753"/>
      <c r="L987" s="1650"/>
      <c r="M987" s="1650"/>
      <c r="N987" s="2634"/>
    </row>
    <row r="988" spans="2:14" ht="16.5" hidden="1" customHeight="1" x14ac:dyDescent="0.25">
      <c r="B988" s="2624"/>
      <c r="C988" s="4118" t="s">
        <v>5479</v>
      </c>
      <c r="D988" s="780">
        <v>250000000</v>
      </c>
      <c r="E988" s="666">
        <f t="shared" si="43"/>
        <v>0.19566440242776631</v>
      </c>
      <c r="F988" s="755"/>
      <c r="G988" s="2543"/>
      <c r="H988" s="2543"/>
      <c r="I988" s="2543"/>
      <c r="J988" s="2000"/>
      <c r="K988" s="2001"/>
      <c r="L988" s="1312"/>
      <c r="M988" s="1312"/>
      <c r="N988" s="2634"/>
    </row>
    <row r="989" spans="2:14" ht="21.75" hidden="1" customHeight="1" x14ac:dyDescent="0.25">
      <c r="B989" s="2624"/>
      <c r="C989" s="4118" t="s">
        <v>5480</v>
      </c>
      <c r="D989" s="780">
        <v>250000000</v>
      </c>
      <c r="E989" s="666">
        <f t="shared" si="43"/>
        <v>0.19566440242776631</v>
      </c>
      <c r="F989" s="755"/>
      <c r="G989" s="2543"/>
      <c r="H989" s="2543"/>
      <c r="I989" s="2543"/>
      <c r="J989" s="2000"/>
      <c r="K989" s="1005"/>
      <c r="L989" s="1716"/>
      <c r="M989" s="1716"/>
      <c r="N989" s="2634"/>
    </row>
    <row r="990" spans="2:14" ht="14.25" hidden="1" customHeight="1" x14ac:dyDescent="0.25">
      <c r="B990" s="2624"/>
      <c r="C990" s="4118"/>
      <c r="D990" s="780"/>
      <c r="E990" s="666"/>
      <c r="F990" s="755"/>
      <c r="G990" s="1402"/>
      <c r="H990" s="2858"/>
      <c r="I990" s="1705"/>
      <c r="J990" s="2000"/>
      <c r="K990" s="2001"/>
      <c r="L990" s="1312"/>
      <c r="M990" s="1312"/>
      <c r="N990" s="2634"/>
    </row>
    <row r="991" spans="2:14" ht="20.25" hidden="1" customHeight="1" x14ac:dyDescent="0.25">
      <c r="B991" s="2624"/>
      <c r="C991" s="3938" t="s">
        <v>5481</v>
      </c>
      <c r="D991" s="768">
        <f>SUM(D992:D993)</f>
        <v>645000000</v>
      </c>
      <c r="E991" s="673">
        <f t="shared" si="43"/>
        <v>0.50481415826363718</v>
      </c>
      <c r="F991" s="2860"/>
      <c r="G991" s="1399"/>
      <c r="H991" s="2861"/>
      <c r="I991" s="1705"/>
      <c r="J991" s="1716"/>
      <c r="K991" s="2202"/>
      <c r="L991" s="1312"/>
      <c r="M991" s="1717"/>
      <c r="N991" s="2634"/>
    </row>
    <row r="992" spans="2:14" ht="18" hidden="1" customHeight="1" x14ac:dyDescent="0.25">
      <c r="B992" s="2624"/>
      <c r="C992" s="4118" t="s">
        <v>5482</v>
      </c>
      <c r="D992" s="780">
        <v>495000000</v>
      </c>
      <c r="E992" s="666">
        <f t="shared" si="43"/>
        <v>0.38741551680697733</v>
      </c>
      <c r="F992" s="753"/>
      <c r="G992" s="610"/>
      <c r="H992" s="2858"/>
      <c r="I992" s="1729"/>
      <c r="J992" s="753"/>
      <c r="K992" s="753"/>
      <c r="L992" s="1650"/>
      <c r="M992" s="1650"/>
      <c r="N992" s="2634"/>
    </row>
    <row r="993" spans="2:14" ht="16.5" hidden="1" customHeight="1" x14ac:dyDescent="0.25">
      <c r="B993" s="2624"/>
      <c r="C993" s="4118" t="s">
        <v>5483</v>
      </c>
      <c r="D993" s="780">
        <v>150000000</v>
      </c>
      <c r="E993" s="666">
        <f t="shared" si="43"/>
        <v>0.11739864145665979</v>
      </c>
      <c r="F993" s="755"/>
      <c r="G993" s="1402"/>
      <c r="H993" s="2862"/>
      <c r="I993" s="1716"/>
      <c r="J993" s="2000"/>
      <c r="K993" s="2001"/>
      <c r="L993" s="1312"/>
      <c r="M993" s="1312"/>
      <c r="N993" s="2634"/>
    </row>
    <row r="994" spans="2:14" ht="12.75" hidden="1" customHeight="1" x14ac:dyDescent="0.25">
      <c r="B994" s="2624"/>
      <c r="C994" s="3852"/>
      <c r="D994" s="1858"/>
      <c r="E994" s="666"/>
      <c r="F994" s="755"/>
      <c r="G994" s="2543"/>
      <c r="H994" s="2543"/>
      <c r="I994" s="1705"/>
      <c r="J994" s="1716"/>
      <c r="K994" s="1716"/>
      <c r="L994" s="1716"/>
      <c r="M994" s="1716"/>
      <c r="N994" s="2634"/>
    </row>
    <row r="995" spans="2:14" ht="18.75" hidden="1" customHeight="1" x14ac:dyDescent="0.25">
      <c r="B995" s="2624"/>
      <c r="C995" s="3958" t="s">
        <v>5484</v>
      </c>
      <c r="D995" s="768">
        <f>SUM(D996:D997)</f>
        <v>699400000</v>
      </c>
      <c r="E995" s="673">
        <f t="shared" si="43"/>
        <v>0.54739073223191914</v>
      </c>
      <c r="F995" s="753"/>
      <c r="G995" s="610"/>
      <c r="H995" s="2858"/>
      <c r="I995" s="1729"/>
      <c r="J995" s="753"/>
      <c r="K995" s="753"/>
      <c r="L995" s="1650"/>
      <c r="M995" s="1650"/>
      <c r="N995" s="2634"/>
    </row>
    <row r="996" spans="2:14" ht="17.25" hidden="1" customHeight="1" x14ac:dyDescent="0.25">
      <c r="B996" s="2624"/>
      <c r="C996" s="3959" t="s">
        <v>5485</v>
      </c>
      <c r="D996" s="780">
        <v>350000000</v>
      </c>
      <c r="E996" s="666">
        <f t="shared" si="43"/>
        <v>0.27393016339887288</v>
      </c>
      <c r="F996" s="755"/>
      <c r="G996" s="1402"/>
      <c r="H996" s="2862"/>
      <c r="I996" s="1716"/>
      <c r="J996" s="2000"/>
      <c r="K996" s="2001"/>
      <c r="L996" s="1312"/>
      <c r="M996" s="1312"/>
      <c r="N996" s="2634"/>
    </row>
    <row r="997" spans="2:14" ht="18.75" hidden="1" customHeight="1" x14ac:dyDescent="0.25">
      <c r="B997" s="2624"/>
      <c r="C997" s="3959" t="s">
        <v>5486</v>
      </c>
      <c r="D997" s="780">
        <v>349400000</v>
      </c>
      <c r="E997" s="666">
        <f t="shared" si="43"/>
        <v>0.2734605688330462</v>
      </c>
      <c r="F997" s="755"/>
      <c r="G997" s="1402"/>
      <c r="H997" s="2862"/>
      <c r="I997" s="1716"/>
      <c r="J997" s="2000"/>
      <c r="K997" s="2001"/>
      <c r="L997" s="1716"/>
      <c r="M997" s="1716"/>
      <c r="N997" s="2634"/>
    </row>
    <row r="998" spans="2:14" ht="12" hidden="1" customHeight="1" x14ac:dyDescent="0.25">
      <c r="B998" s="2624"/>
      <c r="C998" s="3852"/>
      <c r="D998" s="1849"/>
      <c r="E998" s="666"/>
      <c r="F998" s="755"/>
      <c r="G998" s="2543"/>
      <c r="H998" s="2543"/>
      <c r="I998" s="2543"/>
      <c r="J998" s="2000"/>
      <c r="K998" s="2000"/>
      <c r="L998" s="1648"/>
      <c r="M998" s="1648"/>
      <c r="N998" s="2634"/>
    </row>
    <row r="999" spans="2:14" ht="23.25" hidden="1" customHeight="1" x14ac:dyDescent="0.25">
      <c r="B999" s="2624"/>
      <c r="C999" s="4116" t="s">
        <v>5487</v>
      </c>
      <c r="D999" s="768">
        <f>SUM(D1000:D1002)</f>
        <v>8767614000</v>
      </c>
      <c r="E999" s="673">
        <f t="shared" si="43"/>
        <v>6.8620398161092719</v>
      </c>
      <c r="F999" s="755"/>
      <c r="G999" s="2543"/>
      <c r="H999" s="2543"/>
      <c r="I999" s="2543"/>
      <c r="J999" s="2000"/>
      <c r="K999" s="2000"/>
      <c r="L999" s="1648"/>
      <c r="M999" s="1648"/>
      <c r="N999" s="2634"/>
    </row>
    <row r="1000" spans="2:14" ht="18" hidden="1" customHeight="1" x14ac:dyDescent="0.25">
      <c r="B1000" s="2624"/>
      <c r="C1000" s="4118" t="s">
        <v>5490</v>
      </c>
      <c r="D1000" s="780">
        <v>3076814000</v>
      </c>
      <c r="E1000" s="666">
        <f t="shared" si="43"/>
        <v>2.408091890765542</v>
      </c>
      <c r="F1000" s="755"/>
      <c r="G1000" s="2543"/>
      <c r="H1000" s="2543"/>
      <c r="I1000" s="2543"/>
      <c r="J1000" s="2000"/>
      <c r="K1000" s="2000"/>
      <c r="L1000" s="1648"/>
      <c r="M1000" s="1648"/>
      <c r="N1000" s="2634"/>
    </row>
    <row r="1001" spans="2:14" ht="18" hidden="1" customHeight="1" x14ac:dyDescent="0.25">
      <c r="B1001" s="2624"/>
      <c r="C1001" s="4118" t="s">
        <v>5488</v>
      </c>
      <c r="D1001" s="780">
        <v>1340800000</v>
      </c>
      <c r="E1001" s="666">
        <f t="shared" si="43"/>
        <v>1.0493873231005963</v>
      </c>
      <c r="F1001" s="1005"/>
      <c r="G1001" s="1005"/>
      <c r="H1001" s="1005"/>
      <c r="I1001" s="1005"/>
      <c r="J1001" s="2000"/>
      <c r="K1001" s="2001"/>
      <c r="L1001" s="1648"/>
      <c r="M1001" s="1648"/>
      <c r="N1001" s="2634"/>
    </row>
    <row r="1002" spans="2:14" ht="33" hidden="1" customHeight="1" x14ac:dyDescent="0.25">
      <c r="B1002" s="2624"/>
      <c r="C1002" s="4118" t="s">
        <v>5489</v>
      </c>
      <c r="D1002" s="780">
        <v>4350000000</v>
      </c>
      <c r="E1002" s="666">
        <f t="shared" si="43"/>
        <v>3.4045606022431341</v>
      </c>
      <c r="F1002" s="2860"/>
      <c r="G1002" s="1403"/>
      <c r="H1002" s="2386"/>
      <c r="I1002" s="1705"/>
      <c r="J1002" s="1729"/>
      <c r="K1002" s="1729"/>
      <c r="L1002" s="1650"/>
      <c r="M1002" s="2261"/>
      <c r="N1002" s="2634"/>
    </row>
    <row r="1003" spans="2:14" ht="11.25" hidden="1" customHeight="1" x14ac:dyDescent="0.25">
      <c r="B1003" s="2624"/>
      <c r="C1003" s="4118"/>
      <c r="D1003" s="780"/>
      <c r="E1003" s="666"/>
      <c r="F1003" s="753"/>
      <c r="G1003" s="610"/>
      <c r="H1003" s="2858"/>
      <c r="I1003" s="1659"/>
      <c r="J1003" s="753"/>
      <c r="K1003" s="753"/>
      <c r="L1003" s="1650"/>
      <c r="M1003" s="1650"/>
      <c r="N1003" s="2634"/>
    </row>
    <row r="1004" spans="2:14" ht="19.5" hidden="1" customHeight="1" x14ac:dyDescent="0.25">
      <c r="B1004" s="2624"/>
      <c r="C1004" s="3938" t="s">
        <v>5491</v>
      </c>
      <c r="D1004" s="768">
        <f>SUM(D1005:D1016)</f>
        <v>2547911000</v>
      </c>
      <c r="E1004" s="673">
        <f t="shared" si="43"/>
        <v>1.9941419330165304</v>
      </c>
      <c r="F1004" s="755"/>
      <c r="G1004" s="1402"/>
      <c r="H1004" s="2862"/>
      <c r="I1004" s="1705"/>
      <c r="J1004" s="2000"/>
      <c r="K1004" s="2001"/>
      <c r="L1004" s="1312"/>
      <c r="M1004" s="1312"/>
      <c r="N1004" s="2634"/>
    </row>
    <row r="1005" spans="2:14" ht="17.25" hidden="1" customHeight="1" x14ac:dyDescent="0.25">
      <c r="B1005" s="2624"/>
      <c r="C1005" s="4118" t="s">
        <v>5492</v>
      </c>
      <c r="D1005" s="780">
        <v>249090000</v>
      </c>
      <c r="E1005" s="666">
        <f t="shared" si="43"/>
        <v>0.19495218400292927</v>
      </c>
      <c r="F1005" s="755"/>
      <c r="G1005" s="1402"/>
      <c r="H1005" s="2862"/>
      <c r="I1005" s="1705"/>
      <c r="J1005" s="2000"/>
      <c r="K1005" s="2001"/>
      <c r="L1005" s="1312"/>
      <c r="M1005" s="1312"/>
      <c r="N1005" s="2634"/>
    </row>
    <row r="1006" spans="2:14" ht="19.5" hidden="1" customHeight="1" x14ac:dyDescent="0.25">
      <c r="B1006" s="2624"/>
      <c r="C1006" s="4118" t="s">
        <v>5493</v>
      </c>
      <c r="D1006" s="780">
        <v>350000000</v>
      </c>
      <c r="E1006" s="666">
        <f t="shared" si="43"/>
        <v>0.27393016339887288</v>
      </c>
      <c r="F1006" s="804"/>
      <c r="G1006" s="1404"/>
      <c r="H1006" s="2389"/>
      <c r="I1006" s="2182"/>
      <c r="J1006" s="2182"/>
      <c r="K1006" s="2518"/>
      <c r="L1006" s="2182"/>
      <c r="M1006" s="2279"/>
      <c r="N1006" s="2634"/>
    </row>
    <row r="1007" spans="2:14" ht="20.25" hidden="1" customHeight="1" x14ac:dyDescent="0.25">
      <c r="B1007" s="2624"/>
      <c r="C1007" s="4118" t="s">
        <v>5494</v>
      </c>
      <c r="D1007" s="780">
        <v>249550000</v>
      </c>
      <c r="E1007" s="666">
        <f t="shared" si="43"/>
        <v>0.19531220650339634</v>
      </c>
      <c r="F1007" s="753"/>
      <c r="G1007" s="610"/>
      <c r="H1007" s="2858"/>
      <c r="I1007" s="1650"/>
      <c r="J1007" s="753"/>
      <c r="K1007" s="753"/>
      <c r="L1007" s="2467"/>
      <c r="M1007" s="1311"/>
      <c r="N1007" s="2634"/>
    </row>
    <row r="1008" spans="2:14" ht="21.75" hidden="1" customHeight="1" x14ac:dyDescent="0.25">
      <c r="B1008" s="2624"/>
      <c r="C1008" s="4060" t="s">
        <v>5495</v>
      </c>
      <c r="D1008" s="660">
        <v>319490000</v>
      </c>
      <c r="E1008" s="666">
        <f t="shared" si="43"/>
        <v>0.25005127972658825</v>
      </c>
      <c r="F1008" s="755"/>
      <c r="G1008" s="1402"/>
      <c r="H1008" s="2862"/>
      <c r="I1008" s="1312"/>
      <c r="J1008" s="2000"/>
      <c r="K1008" s="2001"/>
      <c r="L1008" s="1312"/>
      <c r="M1008" s="1311"/>
      <c r="N1008" s="2634"/>
    </row>
    <row r="1009" spans="1:17" ht="20.25" hidden="1" customHeight="1" x14ac:dyDescent="0.25">
      <c r="B1009" s="2624"/>
      <c r="C1009" s="4118" t="s">
        <v>5496</v>
      </c>
      <c r="D1009" s="780">
        <v>150000000</v>
      </c>
      <c r="E1009" s="666">
        <f t="shared" si="43"/>
        <v>0.11739864145665979</v>
      </c>
      <c r="F1009" s="755"/>
      <c r="G1009" s="2543"/>
      <c r="H1009" s="2543"/>
      <c r="I1009" s="2543"/>
      <c r="J1009" s="2000"/>
      <c r="K1009" s="2001"/>
      <c r="L1009" s="1312"/>
      <c r="M1009" s="1311"/>
      <c r="N1009" s="2634"/>
    </row>
    <row r="1010" spans="1:17" ht="18" hidden="1" customHeight="1" x14ac:dyDescent="0.25">
      <c r="B1010" s="2624"/>
      <c r="C1010" s="4118" t="s">
        <v>5497</v>
      </c>
      <c r="D1010" s="780">
        <v>169870000</v>
      </c>
      <c r="E1010" s="666">
        <f t="shared" si="43"/>
        <v>0.13295004816161868</v>
      </c>
      <c r="F1010" s="755"/>
      <c r="G1010" s="2543"/>
      <c r="H1010" s="2543"/>
      <c r="I1010" s="2543"/>
      <c r="J1010" s="1005"/>
      <c r="K1010" s="1005"/>
      <c r="L1010" s="1005"/>
      <c r="M1010" s="1311"/>
      <c r="N1010" s="2634"/>
    </row>
    <row r="1011" spans="1:17" ht="16.5" hidden="1" customHeight="1" x14ac:dyDescent="0.25">
      <c r="B1011" s="2624"/>
      <c r="C1011" s="4118" t="s">
        <v>5498</v>
      </c>
      <c r="D1011" s="780">
        <v>169970000</v>
      </c>
      <c r="E1011" s="666">
        <f t="shared" si="43"/>
        <v>0.13302831392258976</v>
      </c>
      <c r="F1011" s="755"/>
      <c r="G1011" s="2543"/>
      <c r="H1011" s="2543"/>
      <c r="I1011" s="2543"/>
      <c r="J1011" s="2000"/>
      <c r="K1011" s="2001"/>
      <c r="L1011" s="1312"/>
      <c r="M1011" s="1311"/>
      <c r="N1011" s="2634"/>
    </row>
    <row r="1012" spans="1:17" ht="18" hidden="1" customHeight="1" x14ac:dyDescent="0.25">
      <c r="B1012" s="2624"/>
      <c r="C1012" s="4118" t="s">
        <v>5499</v>
      </c>
      <c r="D1012" s="780">
        <v>169941000</v>
      </c>
      <c r="E1012" s="666">
        <f t="shared" si="43"/>
        <v>0.13300561685190815</v>
      </c>
      <c r="F1012" s="755"/>
      <c r="G1012" s="1402"/>
      <c r="H1012" s="2862"/>
      <c r="I1012" s="1312"/>
      <c r="J1012" s="2000"/>
      <c r="K1012" s="2001"/>
      <c r="L1012" s="1312"/>
      <c r="M1012" s="1311"/>
      <c r="N1012" s="2634"/>
    </row>
    <row r="1013" spans="1:17" ht="18" hidden="1" customHeight="1" x14ac:dyDescent="0.25">
      <c r="B1013" s="2624"/>
      <c r="C1013" s="4118" t="s">
        <v>5500</v>
      </c>
      <c r="D1013" s="780">
        <v>400000000</v>
      </c>
      <c r="E1013" s="666">
        <f t="shared" si="43"/>
        <v>0.31306304388442613</v>
      </c>
      <c r="F1013" s="755"/>
      <c r="G1013" s="2543"/>
      <c r="H1013" s="2543"/>
      <c r="I1013" s="2543"/>
      <c r="J1013" s="2000"/>
      <c r="K1013" s="2001"/>
      <c r="L1013" s="1312"/>
      <c r="M1013" s="1311"/>
      <c r="N1013" s="2634"/>
    </row>
    <row r="1014" spans="1:17" ht="15" hidden="1" customHeight="1" x14ac:dyDescent="0.25">
      <c r="B1014" s="2624"/>
      <c r="C1014" s="4118" t="s">
        <v>5501</v>
      </c>
      <c r="D1014" s="780">
        <v>120000000</v>
      </c>
      <c r="E1014" s="666">
        <f t="shared" si="43"/>
        <v>9.3918913165327841E-2</v>
      </c>
      <c r="F1014" s="755"/>
      <c r="G1014" s="2543"/>
      <c r="H1014" s="2543"/>
      <c r="I1014" s="2543"/>
      <c r="J1014" s="2000"/>
      <c r="K1014" s="1005"/>
      <c r="L1014" s="1005"/>
      <c r="M1014" s="1005"/>
      <c r="N1014" s="2634"/>
    </row>
    <row r="1015" spans="1:17" ht="18.75" hidden="1" customHeight="1" x14ac:dyDescent="0.25">
      <c r="B1015" s="2624"/>
      <c r="C1015" s="4118" t="s">
        <v>5502</v>
      </c>
      <c r="D1015" s="780">
        <v>80000000</v>
      </c>
      <c r="E1015" s="666">
        <f t="shared" si="43"/>
        <v>6.2612608776885223E-2</v>
      </c>
      <c r="F1015" s="755"/>
      <c r="G1015" s="2543"/>
      <c r="H1015" s="2543"/>
      <c r="I1015" s="2543"/>
      <c r="J1015" s="2000"/>
      <c r="K1015" s="2001"/>
      <c r="L1015" s="1312"/>
      <c r="M1015" s="1311"/>
      <c r="N1015" s="2634"/>
    </row>
    <row r="1016" spans="1:17" ht="18" hidden="1" customHeight="1" x14ac:dyDescent="0.25">
      <c r="B1016" s="2624"/>
      <c r="C1016" s="4118" t="s">
        <v>5503</v>
      </c>
      <c r="D1016" s="780">
        <v>120000000</v>
      </c>
      <c r="E1016" s="666">
        <f t="shared" si="43"/>
        <v>9.3918913165327841E-2</v>
      </c>
      <c r="F1016" s="755"/>
      <c r="G1016" s="1402"/>
      <c r="H1016" s="2862"/>
      <c r="I1016" s="1312"/>
      <c r="J1016" s="2000"/>
      <c r="K1016" s="2001"/>
      <c r="L1016" s="1312"/>
      <c r="M1016" s="1311"/>
      <c r="N1016" s="2634"/>
    </row>
    <row r="1017" spans="1:17" ht="12.75" hidden="1" customHeight="1" x14ac:dyDescent="0.25">
      <c r="B1017" s="3652"/>
      <c r="C1017" s="2863"/>
      <c r="D1017" s="804"/>
      <c r="E1017" s="799"/>
      <c r="F1017" s="804"/>
      <c r="G1017" s="1649"/>
      <c r="H1017" s="2389"/>
      <c r="I1017" s="2182"/>
      <c r="J1017" s="2182"/>
      <c r="K1017" s="2518"/>
      <c r="L1017" s="2182"/>
      <c r="M1017" s="2279"/>
      <c r="N1017" s="2634"/>
    </row>
    <row r="1018" spans="1:17" ht="21" hidden="1" customHeight="1" x14ac:dyDescent="0.25">
      <c r="B1018" s="3654"/>
      <c r="C1018" s="1180" t="s">
        <v>2402</v>
      </c>
      <c r="D1018" s="765">
        <f>SUM(D1019)</f>
        <v>4510000000</v>
      </c>
      <c r="E1018" s="669">
        <f>D1018/127769792000*100</f>
        <v>3.5297858197969045</v>
      </c>
      <c r="F1018" s="765"/>
      <c r="G1018" s="765"/>
      <c r="H1018" s="2065"/>
      <c r="I1018" s="1307"/>
      <c r="J1018" s="765"/>
      <c r="K1018" s="765"/>
      <c r="L1018" s="2065"/>
      <c r="M1018" s="2356"/>
      <c r="N1018" s="2634"/>
    </row>
    <row r="1019" spans="1:17" ht="16.5" hidden="1" customHeight="1" x14ac:dyDescent="0.25">
      <c r="B1019" s="3655"/>
      <c r="C1019" s="1256" t="s">
        <v>5895</v>
      </c>
      <c r="D1019" s="1006">
        <f>SUM(D1020)</f>
        <v>4510000000</v>
      </c>
      <c r="E1019" s="673">
        <f>D1019/127769792000*100</f>
        <v>3.5297858197969045</v>
      </c>
      <c r="F1019" s="1006"/>
      <c r="G1019" s="1006"/>
      <c r="H1019" s="2577"/>
      <c r="I1019" s="2577"/>
      <c r="J1019" s="2772"/>
      <c r="K1019" s="2772"/>
      <c r="L1019" s="2585"/>
      <c r="M1019" s="2261"/>
      <c r="N1019" s="2634"/>
    </row>
    <row r="1020" spans="1:17" ht="20.25" hidden="1" customHeight="1" x14ac:dyDescent="0.25">
      <c r="B1020" s="2624"/>
      <c r="C1020" s="1271" t="s">
        <v>7330</v>
      </c>
      <c r="D1020" s="1005">
        <v>4510000000</v>
      </c>
      <c r="E1020" s="666">
        <f>D1020/127769792000*100</f>
        <v>3.5297858197969045</v>
      </c>
      <c r="F1020" s="1005"/>
      <c r="G1020" s="2551"/>
      <c r="H1020" s="2390"/>
      <c r="I1020" s="1705"/>
      <c r="J1020" s="2864"/>
      <c r="K1020" s="2865"/>
      <c r="L1020" s="1312"/>
      <c r="M1020" s="1717"/>
      <c r="N1020" s="2634"/>
    </row>
    <row r="1021" spans="1:17" ht="16.5" hidden="1" customHeight="1" thickBot="1" x14ac:dyDescent="0.3">
      <c r="B1021" s="2624"/>
      <c r="C1021" s="509"/>
      <c r="D1021" s="892"/>
      <c r="E1021" s="969"/>
      <c r="F1021" s="2866"/>
      <c r="G1021" s="2855"/>
      <c r="H1021" s="1703"/>
      <c r="I1021" s="1705"/>
      <c r="J1021" s="2175"/>
      <c r="K1021" s="1514"/>
      <c r="L1021" s="2175"/>
      <c r="M1021" s="2285"/>
      <c r="N1021" s="2837"/>
    </row>
    <row r="1022" spans="1:17" s="103" customFormat="1" ht="22.5" customHeight="1" thickTop="1" thickBot="1" x14ac:dyDescent="0.3">
      <c r="A1022" s="334"/>
      <c r="B1022" s="332"/>
      <c r="C1022" s="2867" t="s">
        <v>18</v>
      </c>
      <c r="D1022" s="2868">
        <f>D14+D83</f>
        <v>704743062599</v>
      </c>
      <c r="E1022" s="2869">
        <f>D1022/704743062599*100</f>
        <v>100</v>
      </c>
      <c r="F1022" s="2870"/>
      <c r="G1022" s="2870"/>
      <c r="H1022" s="2871"/>
      <c r="I1022" s="2871"/>
      <c r="J1022" s="2868"/>
      <c r="K1022" s="2872"/>
      <c r="L1022" s="2873"/>
      <c r="M1022" s="2871"/>
      <c r="N1022" s="2874"/>
      <c r="P1022" s="2149"/>
      <c r="Q1022" s="2149"/>
    </row>
    <row r="1023" spans="1:17" ht="14.1" customHeight="1" thickTop="1" x14ac:dyDescent="0.25">
      <c r="B1023" s="335"/>
      <c r="C1023" s="2875"/>
      <c r="D1023" s="2876"/>
      <c r="E1023" s="342"/>
      <c r="F1023" s="2877"/>
      <c r="G1023" s="2878"/>
      <c r="H1023" s="2879"/>
      <c r="I1023" s="2880"/>
      <c r="J1023" s="2592"/>
      <c r="K1023" s="2881"/>
      <c r="L1023" s="2592"/>
      <c r="M1023" s="2882"/>
      <c r="N1023" s="2883"/>
    </row>
    <row r="1024" spans="1:17" ht="20.100000000000001" customHeight="1" x14ac:dyDescent="0.25">
      <c r="B1024" s="2884"/>
      <c r="C1024" s="337"/>
      <c r="D1024" s="5362"/>
      <c r="E1024" s="342"/>
      <c r="F1024" s="2877"/>
      <c r="G1024" s="2878"/>
      <c r="H1024" s="2879"/>
      <c r="I1024" s="2880"/>
      <c r="J1024" s="2592"/>
      <c r="K1024" s="2881"/>
      <c r="L1024" s="3009" t="s">
        <v>7121</v>
      </c>
      <c r="M1024" s="2882"/>
      <c r="N1024" s="2883"/>
    </row>
    <row r="1025" spans="1:17" x14ac:dyDescent="0.25">
      <c r="B1025" s="5769"/>
      <c r="C1025" s="5769"/>
      <c r="D1025" s="5769"/>
      <c r="E1025" s="2885"/>
      <c r="F1025" s="2877"/>
      <c r="G1025" s="2878"/>
      <c r="H1025" s="2879"/>
      <c r="I1025" s="2880"/>
      <c r="L1025" s="2882" t="s">
        <v>2069</v>
      </c>
      <c r="M1025" s="2882"/>
    </row>
    <row r="1026" spans="1:17" x14ac:dyDescent="0.25">
      <c r="B1026" s="3012"/>
      <c r="C1026" s="344"/>
      <c r="D1026" s="3012"/>
      <c r="E1026" s="2885"/>
      <c r="F1026" s="2877"/>
      <c r="G1026" s="2878"/>
      <c r="H1026" s="2879"/>
      <c r="I1026" s="2880"/>
      <c r="L1026" s="2882" t="s">
        <v>2067</v>
      </c>
      <c r="M1026" s="2886"/>
    </row>
    <row r="1027" spans="1:17" s="270" customFormat="1" x14ac:dyDescent="0.25">
      <c r="A1027" s="303"/>
      <c r="B1027" s="5769"/>
      <c r="C1027" s="5769"/>
      <c r="D1027" s="5769"/>
      <c r="E1027" s="342"/>
      <c r="F1027" s="2887"/>
      <c r="G1027" s="2878"/>
      <c r="H1027" s="2879"/>
      <c r="I1027" s="2610"/>
      <c r="J1027" s="2190"/>
      <c r="K1027" s="2611"/>
      <c r="L1027" s="2888"/>
      <c r="M1027" s="3009"/>
      <c r="N1027" s="303"/>
      <c r="O1027" s="3024"/>
      <c r="P1027" s="522"/>
      <c r="Q1027" s="2150"/>
    </row>
    <row r="1028" spans="1:17" s="270" customFormat="1" x14ac:dyDescent="0.25">
      <c r="A1028" s="303"/>
      <c r="B1028" s="5769"/>
      <c r="C1028" s="5769"/>
      <c r="D1028" s="5769"/>
      <c r="E1028" s="1129"/>
      <c r="F1028" s="2608"/>
      <c r="G1028" s="2609"/>
      <c r="H1028" s="2190"/>
      <c r="I1028" s="2610"/>
      <c r="J1028" s="2190"/>
      <c r="K1028" s="2611"/>
      <c r="L1028" s="2594"/>
      <c r="M1028" s="2886"/>
      <c r="N1028" s="303"/>
      <c r="O1028" s="3024"/>
      <c r="P1028" s="522"/>
      <c r="Q1028" s="2150"/>
    </row>
    <row r="1029" spans="1:17" s="270" customFormat="1" x14ac:dyDescent="0.25">
      <c r="A1029" s="303"/>
      <c r="B1029" s="343"/>
      <c r="C1029" s="1348"/>
      <c r="D1029" s="343"/>
      <c r="E1029" s="1129"/>
      <c r="F1029" s="2608"/>
      <c r="G1029" s="2609"/>
      <c r="H1029" s="2190"/>
      <c r="I1029" s="2610"/>
      <c r="J1029" s="2190"/>
      <c r="K1029" s="2611"/>
      <c r="L1029" s="2888"/>
      <c r="M1029" s="3007"/>
      <c r="N1029" s="303"/>
      <c r="O1029" s="3024"/>
      <c r="P1029" s="522"/>
      <c r="Q1029" s="2150"/>
    </row>
    <row r="1030" spans="1:17" s="270" customFormat="1" x14ac:dyDescent="0.25">
      <c r="A1030" s="303"/>
      <c r="B1030" s="343"/>
      <c r="C1030" s="1348"/>
      <c r="D1030" s="3012"/>
      <c r="E1030" s="1129"/>
      <c r="F1030" s="2608"/>
      <c r="G1030" s="2609"/>
      <c r="H1030" s="2190"/>
      <c r="I1030" s="2610"/>
      <c r="J1030" s="2190"/>
      <c r="K1030" s="2611"/>
      <c r="L1030" s="1709"/>
      <c r="M1030" s="2889"/>
      <c r="N1030" s="303"/>
      <c r="O1030" s="3024"/>
      <c r="P1030" s="522"/>
      <c r="Q1030" s="2150"/>
    </row>
    <row r="1031" spans="1:17" s="270" customFormat="1" ht="15.75" x14ac:dyDescent="0.25">
      <c r="A1031" s="303"/>
      <c r="B1031" s="343"/>
      <c r="C1031" s="1348"/>
      <c r="D1031" s="3012"/>
      <c r="E1031" s="1129"/>
      <c r="F1031" s="2608"/>
      <c r="G1031" s="2609"/>
      <c r="H1031" s="2190"/>
      <c r="I1031" s="2610"/>
      <c r="J1031" s="2190"/>
      <c r="K1031" s="5727" t="s">
        <v>2070</v>
      </c>
      <c r="L1031" s="5727"/>
      <c r="M1031" s="5727"/>
      <c r="N1031" s="5727"/>
      <c r="O1031" s="3024"/>
      <c r="P1031" s="522"/>
      <c r="Q1031" s="2150"/>
    </row>
    <row r="1032" spans="1:17" s="270" customFormat="1" ht="15" customHeight="1" x14ac:dyDescent="0.25">
      <c r="A1032" s="303"/>
      <c r="B1032" s="343"/>
      <c r="C1032" s="1348"/>
      <c r="D1032" s="3012"/>
      <c r="E1032" s="1129"/>
      <c r="F1032" s="2608"/>
      <c r="G1032" s="2609"/>
      <c r="H1032" s="2190"/>
      <c r="I1032" s="2610"/>
      <c r="J1032" s="2190"/>
      <c r="K1032" s="5741" t="s">
        <v>2071</v>
      </c>
      <c r="L1032" s="5741"/>
      <c r="M1032" s="5741"/>
      <c r="N1032" s="5741"/>
      <c r="O1032" s="3024"/>
      <c r="P1032" s="522"/>
      <c r="Q1032" s="2150"/>
    </row>
    <row r="1033" spans="1:17" s="270" customFormat="1" x14ac:dyDescent="0.25">
      <c r="A1033" s="303"/>
      <c r="B1033" s="343"/>
      <c r="C1033" s="1348"/>
      <c r="D1033" s="3012"/>
      <c r="E1033" s="1129"/>
      <c r="F1033" s="2608"/>
      <c r="G1033" s="2609"/>
      <c r="H1033" s="2190"/>
      <c r="I1033" s="2610"/>
      <c r="J1033" s="2190"/>
      <c r="K1033" s="5742" t="s">
        <v>2072</v>
      </c>
      <c r="L1033" s="5742"/>
      <c r="M1033" s="5742"/>
      <c r="N1033" s="5742"/>
      <c r="O1033" s="3024"/>
      <c r="P1033" s="522"/>
      <c r="Q1033" s="2150"/>
    </row>
    <row r="1034" spans="1:17" s="270" customFormat="1" x14ac:dyDescent="0.25">
      <c r="A1034" s="303"/>
      <c r="B1034" s="343"/>
      <c r="C1034" s="1348"/>
      <c r="D1034" s="343"/>
      <c r="E1034" s="1129"/>
      <c r="F1034" s="2608"/>
      <c r="G1034" s="2609"/>
      <c r="H1034" s="2190"/>
      <c r="I1034" s="2610"/>
      <c r="J1034" s="2190"/>
      <c r="K1034" s="2611"/>
      <c r="L1034" s="2190"/>
      <c r="M1034" s="2190"/>
      <c r="N1034" s="303"/>
      <c r="O1034" s="3024"/>
      <c r="P1034" s="522"/>
      <c r="Q1034" s="2150"/>
    </row>
    <row r="1035" spans="1:17" s="270" customFormat="1" ht="15.75" x14ac:dyDescent="0.25">
      <c r="A1035" s="303"/>
      <c r="B1035" s="343"/>
      <c r="C1035" s="344"/>
      <c r="D1035" s="344"/>
      <c r="E1035" s="1129"/>
      <c r="F1035" s="2608"/>
      <c r="G1035" s="2609"/>
      <c r="H1035" s="2190"/>
      <c r="I1035" s="2610"/>
      <c r="J1035" s="2190"/>
      <c r="K1035" s="2611"/>
      <c r="L1035" s="2882"/>
      <c r="M1035" s="2882"/>
      <c r="N1035" s="3004"/>
      <c r="O1035" s="3024"/>
      <c r="P1035" s="522"/>
      <c r="Q1035" s="2150"/>
    </row>
    <row r="1036" spans="1:17" s="270" customFormat="1" ht="15.75" x14ac:dyDescent="0.25">
      <c r="A1036" s="303"/>
      <c r="B1036" s="343"/>
      <c r="C1036" s="344"/>
      <c r="D1036" s="344"/>
      <c r="E1036" s="1129"/>
      <c r="F1036" s="2608"/>
      <c r="G1036" s="2609"/>
      <c r="H1036" s="2190"/>
      <c r="I1036" s="2610"/>
      <c r="J1036" s="2190"/>
      <c r="K1036" s="2611"/>
      <c r="L1036" s="2882"/>
      <c r="M1036" s="2882"/>
      <c r="N1036" s="3004"/>
      <c r="O1036" s="3024"/>
      <c r="P1036" s="522"/>
      <c r="Q1036" s="2150"/>
    </row>
    <row r="1037" spans="1:17" s="270" customFormat="1" ht="15.75" x14ac:dyDescent="0.25">
      <c r="A1037" s="303"/>
      <c r="B1037" s="343"/>
      <c r="C1037" s="1348"/>
      <c r="D1037" s="343"/>
      <c r="E1037" s="1129"/>
      <c r="F1037" s="2608"/>
      <c r="G1037" s="2609"/>
      <c r="H1037" s="2190"/>
      <c r="I1037" s="2610"/>
      <c r="J1037" s="2190"/>
      <c r="K1037" s="2611"/>
      <c r="L1037" s="2882"/>
      <c r="M1037" s="2882"/>
      <c r="N1037" s="3004"/>
      <c r="O1037" s="3024"/>
      <c r="P1037" s="522"/>
      <c r="Q1037" s="2150"/>
    </row>
    <row r="1038" spans="1:17" s="270" customFormat="1" ht="15.75" x14ac:dyDescent="0.25">
      <c r="A1038" s="303"/>
      <c r="B1038" s="343"/>
      <c r="C1038" s="1348"/>
      <c r="D1038" s="343"/>
      <c r="E1038" s="1129"/>
      <c r="F1038" s="2608"/>
      <c r="G1038" s="2609"/>
      <c r="H1038" s="2190"/>
      <c r="I1038" s="2610"/>
      <c r="J1038" s="2190"/>
      <c r="K1038" s="2611"/>
      <c r="L1038" s="2882"/>
      <c r="M1038" s="2882"/>
      <c r="N1038" s="3004"/>
      <c r="O1038" s="3024"/>
      <c r="P1038" s="522"/>
      <c r="Q1038" s="2150"/>
    </row>
    <row r="1039" spans="1:17" s="270" customFormat="1" ht="15.75" x14ac:dyDescent="0.25">
      <c r="A1039" s="303"/>
      <c r="B1039" s="343"/>
      <c r="C1039" s="1348"/>
      <c r="D1039" s="343"/>
      <c r="E1039" s="1129"/>
      <c r="F1039" s="2608"/>
      <c r="G1039" s="2609"/>
      <c r="H1039" s="2190"/>
      <c r="I1039" s="2610"/>
      <c r="J1039" s="2190"/>
      <c r="K1039" s="2611"/>
      <c r="L1039" s="2886"/>
      <c r="M1039" s="2886"/>
      <c r="N1039" s="2890"/>
      <c r="O1039" s="3024"/>
      <c r="P1039" s="522"/>
      <c r="Q1039" s="2150"/>
    </row>
    <row r="1040" spans="1:17" s="270" customFormat="1" ht="15.75" x14ac:dyDescent="0.25">
      <c r="A1040" s="303"/>
      <c r="B1040" s="343"/>
      <c r="C1040" s="2891"/>
      <c r="D1040" s="2892"/>
      <c r="E1040" s="1129"/>
      <c r="F1040" s="2608"/>
      <c r="G1040" s="2609"/>
      <c r="H1040" s="2190"/>
      <c r="I1040" s="2610"/>
      <c r="J1040" s="2190"/>
      <c r="K1040" s="2611"/>
      <c r="L1040" s="3009"/>
      <c r="M1040" s="3009"/>
      <c r="N1040" s="2890"/>
      <c r="O1040" s="3024"/>
      <c r="P1040" s="522"/>
      <c r="Q1040" s="2150"/>
    </row>
    <row r="1041" spans="1:17" s="270" customFormat="1" ht="15.75" x14ac:dyDescent="0.25">
      <c r="A1041" s="303"/>
      <c r="B1041" s="343"/>
      <c r="C1041" s="1348"/>
      <c r="D1041" s="2892"/>
      <c r="E1041" s="1129"/>
      <c r="F1041" s="2608"/>
      <c r="G1041" s="2609"/>
      <c r="H1041" s="2190"/>
      <c r="I1041" s="2610"/>
      <c r="J1041" s="2190"/>
      <c r="K1041" s="2611"/>
      <c r="L1041" s="2886"/>
      <c r="M1041" s="2886"/>
      <c r="N1041" s="2890"/>
      <c r="O1041" s="3024"/>
      <c r="P1041" s="522"/>
      <c r="Q1041" s="2150"/>
    </row>
    <row r="1042" spans="1:17" s="270" customFormat="1" ht="15.75" x14ac:dyDescent="0.25">
      <c r="A1042" s="303"/>
      <c r="B1042" s="343"/>
      <c r="C1042" s="1348"/>
      <c r="D1042" s="343"/>
      <c r="E1042" s="1129"/>
      <c r="F1042" s="2608"/>
      <c r="G1042" s="2609"/>
      <c r="H1042" s="2190"/>
      <c r="I1042" s="2610"/>
      <c r="J1042" s="2190"/>
      <c r="K1042" s="2611"/>
      <c r="L1042" s="3007"/>
      <c r="M1042" s="3007"/>
      <c r="N1042" s="2893"/>
      <c r="O1042" s="3024"/>
      <c r="P1042" s="522"/>
      <c r="Q1042" s="2150"/>
    </row>
    <row r="1043" spans="1:17" ht="15.75" x14ac:dyDescent="0.25">
      <c r="L1043" s="2889"/>
      <c r="M1043" s="2889"/>
      <c r="N1043" s="3006"/>
    </row>
  </sheetData>
  <mergeCells count="18">
    <mergeCell ref="K1033:N1033"/>
    <mergeCell ref="B11:B12"/>
    <mergeCell ref="C11:C12"/>
    <mergeCell ref="D11:E11"/>
    <mergeCell ref="F11:I11"/>
    <mergeCell ref="J11:M11"/>
    <mergeCell ref="N11:N12"/>
    <mergeCell ref="B1025:D1025"/>
    <mergeCell ref="B1027:D1027"/>
    <mergeCell ref="B1028:D1028"/>
    <mergeCell ref="K1031:N1031"/>
    <mergeCell ref="K1032:N1032"/>
    <mergeCell ref="B8:J8"/>
    <mergeCell ref="B1:N1"/>
    <mergeCell ref="B2:N2"/>
    <mergeCell ref="B3:N3"/>
    <mergeCell ref="A4:N4"/>
    <mergeCell ref="B7:N7"/>
  </mergeCells>
  <printOptions horizontalCentered="1"/>
  <pageMargins left="0.7" right="0.45" top="0.75" bottom="0.75" header="0.3" footer="0.3"/>
  <pageSetup paperSize="258" scale="27" orientation="landscape" r:id="rId1"/>
  <colBreaks count="1" manualBreakCount="1">
    <brk id="11" max="889"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N806"/>
  <sheetViews>
    <sheetView view="pageBreakPreview" topLeftCell="A12" zoomScale="73" zoomScaleNormal="90" zoomScaleSheetLayoutView="73" workbookViewId="0">
      <pane xSplit="19875" topLeftCell="E1"/>
      <selection activeCell="G16" sqref="G16"/>
      <selection pane="topRight" activeCell="E3" sqref="E3"/>
    </sheetView>
  </sheetViews>
  <sheetFormatPr defaultColWidth="8.85546875" defaultRowHeight="15" x14ac:dyDescent="0.25"/>
  <cols>
    <col min="1" max="1" width="3.28515625" style="3024" customWidth="1"/>
    <col min="2" max="2" width="3.7109375" style="334" customWidth="1"/>
    <col min="3" max="3" width="68.140625" style="330" customWidth="1"/>
    <col min="4" max="4" width="24.28515625" style="500" customWidth="1"/>
    <col min="5" max="5" width="24.7109375" style="500" customWidth="1"/>
    <col min="6" max="7" width="17.7109375" style="2190" customWidth="1"/>
    <col min="8" max="8" width="16.28515625" style="3024" customWidth="1"/>
    <col min="9" max="9" width="13" style="3024" hidden="1" customWidth="1"/>
    <col min="10" max="10" width="25.85546875" style="522" customWidth="1"/>
    <col min="11" max="11" width="25.7109375" style="522" customWidth="1"/>
    <col min="12" max="12" width="8.85546875" style="3024"/>
    <col min="13" max="14" width="17.42578125" style="3024" bestFit="1" customWidth="1"/>
    <col min="15" max="16384" width="8.85546875" style="3024"/>
  </cols>
  <sheetData>
    <row r="1" spans="1:11" ht="20.100000000000001" customHeight="1" x14ac:dyDescent="0.35">
      <c r="B1" s="5783"/>
      <c r="C1" s="5783"/>
      <c r="D1" s="5783"/>
      <c r="E1" s="5783"/>
      <c r="F1" s="5783"/>
      <c r="G1" s="5783"/>
      <c r="H1" s="5783"/>
    </row>
    <row r="2" spans="1:11" s="221" customFormat="1" ht="18.75" customHeight="1" x14ac:dyDescent="0.3">
      <c r="A2" s="280"/>
      <c r="B2" s="5784" t="s">
        <v>388</v>
      </c>
      <c r="C2" s="5784"/>
      <c r="D2" s="5784"/>
      <c r="E2" s="5784"/>
      <c r="F2" s="5784"/>
      <c r="G2" s="5784"/>
      <c r="H2" s="5784"/>
      <c r="J2" s="2067"/>
      <c r="K2" s="2067"/>
    </row>
    <row r="3" spans="1:11" ht="15.75" customHeight="1" x14ac:dyDescent="0.3">
      <c r="A3" s="280"/>
      <c r="B3" s="5773" t="s">
        <v>389</v>
      </c>
      <c r="C3" s="5773"/>
      <c r="D3" s="5773"/>
      <c r="E3" s="5773"/>
      <c r="F3" s="5773"/>
      <c r="G3" s="5773"/>
      <c r="H3" s="5773"/>
    </row>
    <row r="4" spans="1:11" ht="18.75" customHeight="1" x14ac:dyDescent="0.3">
      <c r="A4" s="5773" t="s">
        <v>435</v>
      </c>
      <c r="B4" s="5773"/>
      <c r="C4" s="5773"/>
      <c r="D4" s="5773"/>
      <c r="E4" s="5773"/>
      <c r="F4" s="5773"/>
      <c r="G4" s="5773"/>
      <c r="H4" s="5773"/>
    </row>
    <row r="5" spans="1:11" ht="14.1" customHeight="1" x14ac:dyDescent="0.25">
      <c r="B5" s="323"/>
      <c r="C5" s="322"/>
      <c r="D5" s="323"/>
      <c r="E5" s="323"/>
      <c r="F5" s="393"/>
      <c r="G5" s="393"/>
      <c r="H5" s="3023"/>
    </row>
    <row r="6" spans="1:11" ht="14.1" customHeight="1" x14ac:dyDescent="0.25">
      <c r="B6" s="323"/>
      <c r="C6" s="322"/>
      <c r="D6" s="323"/>
      <c r="E6" s="323"/>
      <c r="F6" s="393"/>
      <c r="G6" s="393"/>
      <c r="H6" s="3023"/>
    </row>
    <row r="7" spans="1:11" ht="14.1" customHeight="1" x14ac:dyDescent="0.25">
      <c r="B7" s="5785" t="s">
        <v>220</v>
      </c>
      <c r="C7" s="5785"/>
      <c r="D7" s="5785"/>
      <c r="E7" s="5785"/>
      <c r="F7" s="5785"/>
      <c r="G7" s="5785"/>
      <c r="H7" s="5785"/>
    </row>
    <row r="8" spans="1:11" ht="14.1" customHeight="1" x14ac:dyDescent="0.25">
      <c r="B8" s="5694" t="s">
        <v>436</v>
      </c>
      <c r="C8" s="5694"/>
      <c r="D8" s="5694"/>
      <c r="E8" s="210"/>
      <c r="F8" s="2185"/>
      <c r="G8" s="2185"/>
      <c r="H8" s="3014"/>
    </row>
    <row r="9" spans="1:11" ht="14.1" customHeight="1" x14ac:dyDescent="0.25">
      <c r="B9" s="341"/>
      <c r="C9" s="338"/>
      <c r="D9" s="341"/>
      <c r="E9" s="210"/>
      <c r="F9" s="2185"/>
      <c r="G9" s="2185"/>
      <c r="H9" s="278" t="s">
        <v>135</v>
      </c>
    </row>
    <row r="10" spans="1:11" ht="14.1" customHeight="1" thickBot="1" x14ac:dyDescent="0.3">
      <c r="B10" s="170"/>
      <c r="C10" s="327"/>
      <c r="H10" s="160"/>
    </row>
    <row r="11" spans="1:11" ht="18.75" customHeight="1" x14ac:dyDescent="0.25">
      <c r="B11" s="5788" t="s">
        <v>1</v>
      </c>
      <c r="C11" s="5766" t="s">
        <v>2</v>
      </c>
      <c r="D11" s="5791" t="s">
        <v>3</v>
      </c>
      <c r="E11" s="5792"/>
      <c r="F11" s="5792"/>
      <c r="G11" s="5793"/>
      <c r="H11" s="5794" t="s">
        <v>4</v>
      </c>
    </row>
    <row r="12" spans="1:11" ht="7.5" customHeight="1" thickBot="1" x14ac:dyDescent="0.3">
      <c r="B12" s="5789"/>
      <c r="C12" s="5767"/>
      <c r="D12" s="5797"/>
      <c r="E12" s="5798"/>
      <c r="F12" s="5798"/>
      <c r="G12" s="5799"/>
      <c r="H12" s="5795"/>
    </row>
    <row r="13" spans="1:11" s="3022" customFormat="1" ht="82.5" customHeight="1" thickBot="1" x14ac:dyDescent="0.25">
      <c r="B13" s="5790"/>
      <c r="C13" s="5768"/>
      <c r="D13" s="2191" t="s">
        <v>33</v>
      </c>
      <c r="E13" s="2191" t="s">
        <v>105</v>
      </c>
      <c r="F13" s="2613" t="s">
        <v>103</v>
      </c>
      <c r="G13" s="2613" t="s">
        <v>106</v>
      </c>
      <c r="H13" s="5796"/>
      <c r="J13" s="2146"/>
      <c r="K13" s="2146"/>
    </row>
    <row r="14" spans="1:11" ht="20.100000000000001" customHeight="1" thickTop="1" thickBot="1" x14ac:dyDescent="0.3">
      <c r="B14" s="331" t="s">
        <v>8</v>
      </c>
      <c r="C14" s="328" t="s">
        <v>9</v>
      </c>
      <c r="D14" s="3027" t="s">
        <v>37</v>
      </c>
      <c r="E14" s="340" t="s">
        <v>38</v>
      </c>
      <c r="F14" s="2195" t="s">
        <v>39</v>
      </c>
      <c r="G14" s="340" t="s">
        <v>107</v>
      </c>
      <c r="H14" s="254" t="s">
        <v>108</v>
      </c>
    </row>
    <row r="15" spans="1:11" s="269" customFormat="1" ht="18.75" customHeight="1" thickTop="1" x14ac:dyDescent="0.25">
      <c r="B15" s="318" t="s">
        <v>59</v>
      </c>
      <c r="C15" s="1135" t="s">
        <v>109</v>
      </c>
      <c r="D15" s="3029">
        <f>D17</f>
        <v>44610000000</v>
      </c>
      <c r="E15" s="3029">
        <f>E17</f>
        <v>42487703000</v>
      </c>
      <c r="F15" s="3029">
        <f>F17</f>
        <v>95.242553239184033</v>
      </c>
      <c r="G15" s="3029">
        <f>(G17+G22)/2</f>
        <v>75</v>
      </c>
      <c r="H15" s="268"/>
      <c r="J15" s="2069"/>
      <c r="K15" s="2069"/>
    </row>
    <row r="16" spans="1:11" s="3158" customFormat="1" ht="11.25" customHeight="1" x14ac:dyDescent="0.25">
      <c r="B16" s="3159"/>
      <c r="C16" s="1194"/>
      <c r="D16" s="3160"/>
      <c r="E16" s="3160"/>
      <c r="F16" s="3160"/>
      <c r="G16" s="3160"/>
      <c r="H16" s="2647"/>
      <c r="J16" s="3161"/>
      <c r="K16" s="3161"/>
    </row>
    <row r="17" spans="1:11" s="2070" customFormat="1" ht="18.75" customHeight="1" x14ac:dyDescent="0.25">
      <c r="B17" s="2904" t="s">
        <v>111</v>
      </c>
      <c r="C17" s="1132" t="s">
        <v>86</v>
      </c>
      <c r="D17" s="1740">
        <f>D18+D22</f>
        <v>44610000000</v>
      </c>
      <c r="E17" s="1740">
        <f>E18+E22</f>
        <v>42487703000</v>
      </c>
      <c r="F17" s="753">
        <f>SUM(E17/D17)*100</f>
        <v>95.242553239184033</v>
      </c>
      <c r="G17" s="753">
        <f>G18+G21/2</f>
        <v>50</v>
      </c>
      <c r="H17" s="2077"/>
      <c r="J17" s="2085"/>
      <c r="K17" s="2085"/>
    </row>
    <row r="18" spans="1:11" s="2070" customFormat="1" ht="32.25" customHeight="1" x14ac:dyDescent="0.25">
      <c r="B18" s="1242"/>
      <c r="C18" s="647" t="s">
        <v>1810</v>
      </c>
      <c r="D18" s="1497">
        <f>SUM(D19+D20)</f>
        <v>42610000000</v>
      </c>
      <c r="E18" s="1497">
        <f>SUM(E19+E20)</f>
        <v>40487703000</v>
      </c>
      <c r="F18" s="2205">
        <f>E18/D18*100</f>
        <v>95.019251349448481</v>
      </c>
      <c r="G18" s="766">
        <f>SUM(G19:G20)/2</f>
        <v>50</v>
      </c>
      <c r="H18" s="2073"/>
    </row>
    <row r="19" spans="1:11" s="1639" customFormat="1" ht="18.75" customHeight="1" x14ac:dyDescent="0.25">
      <c r="A19" s="1637"/>
      <c r="B19" s="1242"/>
      <c r="C19" s="509" t="s">
        <v>1339</v>
      </c>
      <c r="D19" s="1504">
        <v>1538000000</v>
      </c>
      <c r="E19" s="2164">
        <v>0</v>
      </c>
      <c r="F19" s="2207">
        <f>E19/D19*100</f>
        <v>0</v>
      </c>
      <c r="G19" s="755">
        <v>0</v>
      </c>
      <c r="H19" s="1638"/>
    </row>
    <row r="20" spans="1:11" s="1639" customFormat="1" ht="21" customHeight="1" x14ac:dyDescent="0.25">
      <c r="A20" s="1637"/>
      <c r="B20" s="1242"/>
      <c r="C20" s="509" t="s">
        <v>1340</v>
      </c>
      <c r="D20" s="1505">
        <v>41072000000</v>
      </c>
      <c r="E20" s="2164">
        <v>40487703000</v>
      </c>
      <c r="F20" s="2207">
        <f>E20/D20*100</f>
        <v>98.577383619010519</v>
      </c>
      <c r="G20" s="782">
        <v>100</v>
      </c>
      <c r="H20" s="1638"/>
    </row>
    <row r="21" spans="1:11" s="1639" customFormat="1" ht="11.25" customHeight="1" x14ac:dyDescent="0.25">
      <c r="A21" s="1637"/>
      <c r="B21" s="1242"/>
      <c r="C21" s="509"/>
      <c r="D21" s="1501"/>
      <c r="E21" s="2210"/>
      <c r="F21" s="2204"/>
      <c r="G21" s="2164"/>
      <c r="H21" s="1638"/>
    </row>
    <row r="22" spans="1:11" s="2070" customFormat="1" ht="20.25" customHeight="1" x14ac:dyDescent="0.25">
      <c r="B22" s="1242"/>
      <c r="C22" s="508" t="s">
        <v>1341</v>
      </c>
      <c r="D22" s="1506">
        <f>D23</f>
        <v>2000000000</v>
      </c>
      <c r="E22" s="1506">
        <f>E23</f>
        <v>2000000000</v>
      </c>
      <c r="F22" s="2894">
        <f>E22/D22*100</f>
        <v>100</v>
      </c>
      <c r="G22" s="766">
        <v>100</v>
      </c>
      <c r="H22" s="2077"/>
    </row>
    <row r="23" spans="1:11" s="2070" customFormat="1" ht="18" customHeight="1" x14ac:dyDescent="0.25">
      <c r="B23" s="1242"/>
      <c r="C23" s="509" t="s">
        <v>1342</v>
      </c>
      <c r="D23" s="1507">
        <v>2000000000</v>
      </c>
      <c r="E23" s="1507">
        <v>2000000000</v>
      </c>
      <c r="F23" s="2207">
        <f>E23/D23*100</f>
        <v>100</v>
      </c>
      <c r="G23" s="755">
        <v>100</v>
      </c>
      <c r="H23" s="2077"/>
    </row>
    <row r="24" spans="1:11" s="2070" customFormat="1" ht="14.25" customHeight="1" x14ac:dyDescent="0.25">
      <c r="B24" s="1242"/>
      <c r="C24" s="509"/>
      <c r="D24" s="1507"/>
      <c r="E24" s="1507"/>
      <c r="F24" s="2207"/>
      <c r="G24" s="755"/>
      <c r="H24" s="2077"/>
    </row>
    <row r="25" spans="1:11" s="276" customFormat="1" ht="18.75" customHeight="1" x14ac:dyDescent="0.25">
      <c r="A25" s="274"/>
      <c r="B25" s="318" t="s">
        <v>79</v>
      </c>
      <c r="C25" s="1135" t="s">
        <v>17</v>
      </c>
      <c r="D25" s="787">
        <f>SUM(D27+D79+D126+D211+D287+D331+D413+D451+D502+D694+D671+D609+D567)</f>
        <v>280330323392</v>
      </c>
      <c r="E25" s="787">
        <f>SUM(E27+E79+E126+E211+E287+E331+E413+E451+E502+E694+E671+E609+E567)</f>
        <v>262716696636</v>
      </c>
      <c r="F25" s="3031">
        <f>SUM(E25/D25)*100</f>
        <v>93.716831435545416</v>
      </c>
      <c r="G25" s="787">
        <f>SUM(G27+G79+G126+G211+G287+G331+G413+G451+G502+G567+G609+G671+G694)/13</f>
        <v>93.666087830850728</v>
      </c>
      <c r="H25" s="275"/>
      <c r="J25" s="2148"/>
      <c r="K25" s="2148"/>
    </row>
    <row r="26" spans="1:11" ht="12" hidden="1" customHeight="1" x14ac:dyDescent="0.25">
      <c r="B26" s="314"/>
      <c r="C26" s="648"/>
      <c r="D26" s="1314"/>
      <c r="E26" s="1314"/>
      <c r="F26" s="775"/>
      <c r="G26" s="1311"/>
      <c r="H26" s="232"/>
    </row>
    <row r="27" spans="1:11" s="2058" customFormat="1" ht="15.75" customHeight="1" x14ac:dyDescent="0.25">
      <c r="B27" s="616"/>
      <c r="C27" s="1297" t="s">
        <v>557</v>
      </c>
      <c r="D27" s="2699">
        <f>SUM(D29+D70+D75)</f>
        <v>21232940000</v>
      </c>
      <c r="E27" s="2699">
        <f>SUM(E29+E70+E75)</f>
        <v>18908148873</v>
      </c>
      <c r="F27" s="2506">
        <f>E27/D27*100</f>
        <v>89.051016359486724</v>
      </c>
      <c r="G27" s="3154">
        <f>SUM(G29+G70+G75)/3</f>
        <v>95.256410256410263</v>
      </c>
      <c r="H27" s="2059"/>
      <c r="J27" s="2151"/>
      <c r="K27" s="2151"/>
    </row>
    <row r="28" spans="1:11" ht="6.75" hidden="1" customHeight="1" x14ac:dyDescent="0.25">
      <c r="B28" s="319"/>
      <c r="C28" s="1254"/>
      <c r="D28" s="1314"/>
      <c r="E28" s="1314"/>
      <c r="F28" s="1659"/>
      <c r="G28" s="1311"/>
      <c r="H28" s="232"/>
    </row>
    <row r="29" spans="1:11" s="1639" customFormat="1" ht="21" hidden="1" customHeight="1" x14ac:dyDescent="0.25">
      <c r="B29" s="1715"/>
      <c r="C29" s="3973" t="s">
        <v>241</v>
      </c>
      <c r="D29" s="3631">
        <f>SUM(D30+D33+D39+D42)</f>
        <v>14232940000</v>
      </c>
      <c r="E29" s="3631">
        <f>SUM(E30+E33+E39+E42)</f>
        <v>11970126000</v>
      </c>
      <c r="F29" s="1462">
        <f>E29/D29*100</f>
        <v>84.101570019967767</v>
      </c>
      <c r="G29" s="2240">
        <f>SUM(G30+G33+G39+G42)/4</f>
        <v>85.769230769230774</v>
      </c>
      <c r="H29" s="2084"/>
      <c r="J29" s="2093"/>
      <c r="K29" s="2093"/>
    </row>
    <row r="30" spans="1:11" s="1639" customFormat="1" ht="23.25" hidden="1" customHeight="1" x14ac:dyDescent="0.25">
      <c r="B30" s="1640"/>
      <c r="C30" s="3974" t="s">
        <v>242</v>
      </c>
      <c r="D30" s="1521">
        <f>D31</f>
        <v>1531340000</v>
      </c>
      <c r="E30" s="1521">
        <f>E31</f>
        <v>1516040000</v>
      </c>
      <c r="F30" s="1671">
        <f>E30/D30*100</f>
        <v>99.000875050609267</v>
      </c>
      <c r="G30" s="3633">
        <v>100</v>
      </c>
      <c r="H30" s="2084"/>
      <c r="J30" s="2093"/>
      <c r="K30" s="2093"/>
    </row>
    <row r="31" spans="1:11" s="1639" customFormat="1" ht="18.75" hidden="1" customHeight="1" x14ac:dyDescent="0.25">
      <c r="B31" s="1640"/>
      <c r="C31" s="3864" t="s">
        <v>2160</v>
      </c>
      <c r="D31" s="1407">
        <v>1531340000</v>
      </c>
      <c r="E31" s="3879">
        <v>1516040000</v>
      </c>
      <c r="F31" s="1434">
        <f>E31/D31*100</f>
        <v>99.000875050609267</v>
      </c>
      <c r="G31" s="3630">
        <v>100</v>
      </c>
      <c r="H31" s="2084"/>
      <c r="J31" s="2093"/>
      <c r="K31" s="2093"/>
    </row>
    <row r="32" spans="1:11" s="1639" customFormat="1" ht="12" hidden="1" customHeight="1" x14ac:dyDescent="0.25">
      <c r="B32" s="1640"/>
      <c r="C32" s="4118"/>
      <c r="D32" s="3630"/>
      <c r="E32" s="3879"/>
      <c r="F32" s="1434"/>
      <c r="G32" s="1650"/>
      <c r="H32" s="2084"/>
      <c r="J32" s="2093"/>
      <c r="K32" s="2093"/>
    </row>
    <row r="33" spans="2:11" s="1639" customFormat="1" ht="20.25" hidden="1" customHeight="1" x14ac:dyDescent="0.25">
      <c r="B33" s="1640"/>
      <c r="C33" s="3975" t="s">
        <v>2161</v>
      </c>
      <c r="D33" s="1522">
        <f>SUM(D34:D37)</f>
        <v>1958880000</v>
      </c>
      <c r="E33" s="1522">
        <f>SUM(E34:E37)</f>
        <v>1776937000</v>
      </c>
      <c r="F33" s="1435">
        <f t="shared" ref="F33:F36" si="0">E33/D33*100</f>
        <v>90.7118863840562</v>
      </c>
      <c r="G33" s="1650">
        <f>SUM(G34:G37)/4</f>
        <v>95</v>
      </c>
      <c r="H33" s="2084"/>
      <c r="J33" s="2093"/>
      <c r="K33" s="2093"/>
    </row>
    <row r="34" spans="2:11" s="1639" customFormat="1" ht="17.25" hidden="1" customHeight="1" x14ac:dyDescent="0.25">
      <c r="B34" s="1640"/>
      <c r="C34" s="3866" t="s">
        <v>2581</v>
      </c>
      <c r="D34" s="1406">
        <v>407200000</v>
      </c>
      <c r="E34" s="3879">
        <v>407200000</v>
      </c>
      <c r="F34" s="1434">
        <f t="shared" si="0"/>
        <v>100</v>
      </c>
      <c r="G34" s="1312">
        <v>100</v>
      </c>
      <c r="H34" s="2084"/>
      <c r="J34" s="2093"/>
      <c r="K34" s="2093"/>
    </row>
    <row r="35" spans="2:11" s="1639" customFormat="1" ht="17.25" hidden="1" customHeight="1" x14ac:dyDescent="0.25">
      <c r="B35" s="1640"/>
      <c r="C35" s="3865" t="s">
        <v>2164</v>
      </c>
      <c r="D35" s="1523">
        <v>207700000</v>
      </c>
      <c r="E35" s="3879">
        <v>207700000</v>
      </c>
      <c r="F35" s="1434">
        <f t="shared" si="0"/>
        <v>100</v>
      </c>
      <c r="G35" s="1312">
        <v>100</v>
      </c>
      <c r="H35" s="2084"/>
      <c r="J35" s="2093"/>
      <c r="K35" s="2093"/>
    </row>
    <row r="36" spans="2:11" s="1639" customFormat="1" ht="21" hidden="1" customHeight="1" x14ac:dyDescent="0.25">
      <c r="B36" s="1640"/>
      <c r="C36" s="3865" t="s">
        <v>2163</v>
      </c>
      <c r="D36" s="1523">
        <v>478230000</v>
      </c>
      <c r="E36" s="3879">
        <v>478230000</v>
      </c>
      <c r="F36" s="1434">
        <f t="shared" si="0"/>
        <v>100</v>
      </c>
      <c r="G36" s="3630">
        <v>100</v>
      </c>
      <c r="H36" s="2084"/>
      <c r="J36" s="2093"/>
      <c r="K36" s="2093"/>
    </row>
    <row r="37" spans="2:11" s="1639" customFormat="1" ht="17.25" hidden="1" customHeight="1" x14ac:dyDescent="0.25">
      <c r="B37" s="1640"/>
      <c r="C37" s="3865" t="s">
        <v>2162</v>
      </c>
      <c r="D37" s="1523">
        <v>865750000</v>
      </c>
      <c r="E37" s="3879">
        <v>683807000</v>
      </c>
      <c r="F37" s="1434">
        <f>E37/D37*100</f>
        <v>78.984348830493786</v>
      </c>
      <c r="G37" s="1312">
        <v>80</v>
      </c>
      <c r="H37" s="2084"/>
      <c r="J37" s="2093"/>
      <c r="K37" s="2093"/>
    </row>
    <row r="38" spans="2:11" s="1639" customFormat="1" ht="15" hidden="1" customHeight="1" x14ac:dyDescent="0.25">
      <c r="B38" s="1640"/>
      <c r="C38" s="3959"/>
      <c r="D38" s="3630"/>
      <c r="E38" s="3879"/>
      <c r="F38" s="1650"/>
      <c r="G38" s="1650"/>
      <c r="H38" s="2084"/>
      <c r="J38" s="2093"/>
      <c r="K38" s="2093"/>
    </row>
    <row r="39" spans="2:11" s="1639" customFormat="1" ht="30.75" hidden="1" customHeight="1" x14ac:dyDescent="0.25">
      <c r="B39" s="1640"/>
      <c r="C39" s="3872" t="s">
        <v>2165</v>
      </c>
      <c r="D39" s="1524">
        <f>SUM(D40:D40)</f>
        <v>3472100000</v>
      </c>
      <c r="E39" s="1524">
        <f>SUM(E40:E40)</f>
        <v>1680200000</v>
      </c>
      <c r="F39" s="1435">
        <f t="shared" ref="F39:F40" si="1">E39/D39*100</f>
        <v>48.391463379510959</v>
      </c>
      <c r="G39" s="3600">
        <v>50</v>
      </c>
      <c r="H39" s="2084"/>
      <c r="J39" s="2093"/>
      <c r="K39" s="2093"/>
    </row>
    <row r="40" spans="2:11" s="1639" customFormat="1" ht="22.5" hidden="1" customHeight="1" x14ac:dyDescent="0.25">
      <c r="B40" s="1640"/>
      <c r="C40" s="3865" t="s">
        <v>2166</v>
      </c>
      <c r="D40" s="1523">
        <v>3472100000</v>
      </c>
      <c r="E40" s="3879">
        <v>1680200000</v>
      </c>
      <c r="F40" s="1434">
        <f t="shared" si="1"/>
        <v>48.391463379510959</v>
      </c>
      <c r="G40" s="1312">
        <v>50</v>
      </c>
      <c r="H40" s="2084"/>
      <c r="J40" s="2093"/>
      <c r="K40" s="2093"/>
    </row>
    <row r="41" spans="2:11" s="1639" customFormat="1" ht="14.25" hidden="1" customHeight="1" x14ac:dyDescent="0.25">
      <c r="B41" s="1640"/>
      <c r="C41" s="3956"/>
      <c r="D41" s="797"/>
      <c r="E41" s="3879"/>
      <c r="F41" s="1648"/>
      <c r="G41" s="1648"/>
      <c r="H41" s="2084"/>
      <c r="J41" s="2093"/>
      <c r="K41" s="2093"/>
    </row>
    <row r="42" spans="2:11" s="1639" customFormat="1" ht="21" hidden="1" customHeight="1" x14ac:dyDescent="0.25">
      <c r="B42" s="1640"/>
      <c r="C42" s="3975" t="s">
        <v>2167</v>
      </c>
      <c r="D42" s="1522">
        <f>SUM(D43:D68)</f>
        <v>7270620000</v>
      </c>
      <c r="E42" s="1522">
        <f>SUM(E43:E68)</f>
        <v>6996949000</v>
      </c>
      <c r="F42" s="1435">
        <f t="shared" ref="F42:F68" si="2">E42/D42*100</f>
        <v>96.23593311161909</v>
      </c>
      <c r="G42" s="2261">
        <f>SUM(G43:G68)/26</f>
        <v>98.07692307692308</v>
      </c>
      <c r="H42" s="2084"/>
      <c r="J42" s="2093"/>
      <c r="K42" s="2093"/>
    </row>
    <row r="43" spans="2:11" s="1639" customFormat="1" ht="17.25" hidden="1" customHeight="1" x14ac:dyDescent="0.25">
      <c r="B43" s="1640"/>
      <c r="C43" s="622" t="s">
        <v>2168</v>
      </c>
      <c r="D43" s="1407">
        <v>463120000</v>
      </c>
      <c r="E43" s="3879">
        <v>463120000</v>
      </c>
      <c r="F43" s="1434">
        <f t="shared" si="2"/>
        <v>100</v>
      </c>
      <c r="G43" s="1312">
        <v>100</v>
      </c>
      <c r="H43" s="2084"/>
      <c r="J43" s="2093"/>
      <c r="K43" s="2093"/>
    </row>
    <row r="44" spans="2:11" s="1639" customFormat="1" ht="22.5" hidden="1" customHeight="1" x14ac:dyDescent="0.25">
      <c r="B44" s="1640"/>
      <c r="C44" s="622" t="s">
        <v>2169</v>
      </c>
      <c r="D44" s="1407">
        <v>476600000</v>
      </c>
      <c r="E44" s="3879">
        <v>415000000</v>
      </c>
      <c r="F44" s="1434">
        <f t="shared" si="2"/>
        <v>87.075115400755351</v>
      </c>
      <c r="G44" s="1312">
        <v>90</v>
      </c>
      <c r="H44" s="2084"/>
      <c r="J44" s="2093"/>
      <c r="K44" s="2093"/>
    </row>
    <row r="45" spans="2:11" s="1639" customFormat="1" ht="15.75" hidden="1" customHeight="1" x14ac:dyDescent="0.25">
      <c r="B45" s="1640"/>
      <c r="C45" s="622" t="s">
        <v>2171</v>
      </c>
      <c r="D45" s="1407">
        <v>630000000</v>
      </c>
      <c r="E45" s="3879">
        <v>630000000</v>
      </c>
      <c r="F45" s="1434">
        <f t="shared" si="2"/>
        <v>100</v>
      </c>
      <c r="G45" s="1312">
        <v>100</v>
      </c>
      <c r="H45" s="2084"/>
      <c r="J45" s="2093"/>
      <c r="K45" s="2093"/>
    </row>
    <row r="46" spans="2:11" s="1639" customFormat="1" ht="15" hidden="1" customHeight="1" x14ac:dyDescent="0.25">
      <c r="B46" s="1640"/>
      <c r="C46" s="622" t="s">
        <v>2170</v>
      </c>
      <c r="D46" s="1407">
        <v>156800000</v>
      </c>
      <c r="E46" s="3879">
        <v>156800000</v>
      </c>
      <c r="F46" s="1434">
        <f t="shared" si="2"/>
        <v>100</v>
      </c>
      <c r="G46" s="1312">
        <v>100</v>
      </c>
      <c r="H46" s="2084"/>
      <c r="J46" s="2093"/>
      <c r="K46" s="2093"/>
    </row>
    <row r="47" spans="2:11" s="1639" customFormat="1" ht="25.5" hidden="1" customHeight="1" x14ac:dyDescent="0.25">
      <c r="B47" s="1640"/>
      <c r="C47" s="622" t="s">
        <v>2172</v>
      </c>
      <c r="D47" s="1407">
        <v>318560000</v>
      </c>
      <c r="E47" s="3879">
        <v>306560000</v>
      </c>
      <c r="F47" s="1434">
        <f t="shared" si="2"/>
        <v>96.233048719236564</v>
      </c>
      <c r="G47" s="1312">
        <v>100</v>
      </c>
      <c r="H47" s="2084"/>
      <c r="J47" s="2093"/>
      <c r="K47" s="2093"/>
    </row>
    <row r="48" spans="2:11" s="1639" customFormat="1" ht="31.5" hidden="1" customHeight="1" x14ac:dyDescent="0.25">
      <c r="B48" s="1640"/>
      <c r="C48" s="622" t="s">
        <v>2173</v>
      </c>
      <c r="D48" s="1407">
        <v>423000000</v>
      </c>
      <c r="E48" s="3879">
        <v>423000000</v>
      </c>
      <c r="F48" s="1434">
        <f t="shared" si="2"/>
        <v>100</v>
      </c>
      <c r="G48" s="1312">
        <v>100</v>
      </c>
      <c r="H48" s="2084"/>
      <c r="J48" s="2093"/>
      <c r="K48" s="2093"/>
    </row>
    <row r="49" spans="2:11" s="1639" customFormat="1" ht="32.25" hidden="1" customHeight="1" x14ac:dyDescent="0.25">
      <c r="B49" s="1640"/>
      <c r="C49" s="623" t="s">
        <v>2174</v>
      </c>
      <c r="D49" s="1523">
        <v>191920000</v>
      </c>
      <c r="E49" s="3879">
        <v>191920000</v>
      </c>
      <c r="F49" s="1434">
        <f t="shared" si="2"/>
        <v>100</v>
      </c>
      <c r="G49" s="1312">
        <v>100</v>
      </c>
      <c r="H49" s="2084"/>
      <c r="J49" s="2093"/>
      <c r="K49" s="2093"/>
    </row>
    <row r="50" spans="2:11" s="1639" customFormat="1" ht="26.25" hidden="1" customHeight="1" x14ac:dyDescent="0.25">
      <c r="B50" s="1640"/>
      <c r="C50" s="622" t="s">
        <v>2176</v>
      </c>
      <c r="D50" s="1407">
        <v>261920000</v>
      </c>
      <c r="E50" s="3879">
        <v>261920000</v>
      </c>
      <c r="F50" s="1434">
        <f t="shared" si="2"/>
        <v>100</v>
      </c>
      <c r="G50" s="1312">
        <v>100</v>
      </c>
      <c r="H50" s="2084"/>
      <c r="J50" s="2093"/>
      <c r="K50" s="2093"/>
    </row>
    <row r="51" spans="2:11" s="1639" customFormat="1" ht="22.5" hidden="1" customHeight="1" x14ac:dyDescent="0.25">
      <c r="B51" s="1640"/>
      <c r="C51" s="622" t="s">
        <v>2175</v>
      </c>
      <c r="D51" s="1407">
        <v>276920000</v>
      </c>
      <c r="E51" s="3879">
        <v>276920000</v>
      </c>
      <c r="F51" s="1434">
        <f t="shared" si="2"/>
        <v>100</v>
      </c>
      <c r="G51" s="1312">
        <v>100</v>
      </c>
      <c r="H51" s="2084"/>
      <c r="J51" s="2093"/>
      <c r="K51" s="2093"/>
    </row>
    <row r="52" spans="2:11" s="1639" customFormat="1" ht="23.25" hidden="1" customHeight="1" x14ac:dyDescent="0.25">
      <c r="B52" s="1640"/>
      <c r="C52" s="622" t="s">
        <v>2177</v>
      </c>
      <c r="D52" s="1407">
        <v>434120000</v>
      </c>
      <c r="E52" s="3879">
        <v>434120000</v>
      </c>
      <c r="F52" s="1434">
        <f t="shared" si="2"/>
        <v>100</v>
      </c>
      <c r="G52" s="1312">
        <v>100</v>
      </c>
      <c r="H52" s="2084"/>
      <c r="J52" s="2093"/>
      <c r="K52" s="2093"/>
    </row>
    <row r="53" spans="2:11" s="1639" customFormat="1" ht="18" hidden="1" customHeight="1" x14ac:dyDescent="0.25">
      <c r="B53" s="1640"/>
      <c r="C53" s="622" t="s">
        <v>2178</v>
      </c>
      <c r="D53" s="1407">
        <v>233100000</v>
      </c>
      <c r="E53" s="3879">
        <v>225600000</v>
      </c>
      <c r="F53" s="1434">
        <f t="shared" si="2"/>
        <v>96.782496782496779</v>
      </c>
      <c r="G53" s="1312">
        <v>100</v>
      </c>
      <c r="H53" s="2084"/>
      <c r="J53" s="2093"/>
      <c r="K53" s="2093"/>
    </row>
    <row r="54" spans="2:11" s="1639" customFormat="1" ht="18" hidden="1" customHeight="1" x14ac:dyDescent="0.25">
      <c r="B54" s="1640"/>
      <c r="C54" s="622" t="s">
        <v>2179</v>
      </c>
      <c r="D54" s="1407">
        <v>252800000</v>
      </c>
      <c r="E54" s="3649">
        <v>228800000</v>
      </c>
      <c r="F54" s="1434">
        <f t="shared" si="2"/>
        <v>90.506329113924053</v>
      </c>
      <c r="G54" s="1312">
        <v>100</v>
      </c>
      <c r="H54" s="2084"/>
      <c r="J54" s="2093"/>
      <c r="K54" s="2093"/>
    </row>
    <row r="55" spans="2:11" s="1639" customFormat="1" ht="20.25" hidden="1" customHeight="1" x14ac:dyDescent="0.25">
      <c r="B55" s="1640"/>
      <c r="C55" s="622" t="s">
        <v>2180</v>
      </c>
      <c r="D55" s="1407">
        <v>239600000</v>
      </c>
      <c r="E55" s="3649">
        <v>196050000</v>
      </c>
      <c r="F55" s="1434">
        <f t="shared" si="2"/>
        <v>81.823873121869781</v>
      </c>
      <c r="G55" s="1312">
        <v>100</v>
      </c>
      <c r="H55" s="2084"/>
      <c r="J55" s="2093"/>
      <c r="K55" s="2093"/>
    </row>
    <row r="56" spans="2:11" s="1639" customFormat="1" ht="30.75" hidden="1" customHeight="1" x14ac:dyDescent="0.25">
      <c r="B56" s="1640"/>
      <c r="C56" s="622" t="s">
        <v>2181</v>
      </c>
      <c r="D56" s="1407">
        <v>440120000</v>
      </c>
      <c r="E56" s="3649">
        <v>406120000</v>
      </c>
      <c r="F56" s="1434">
        <f t="shared" si="2"/>
        <v>92.27483413614469</v>
      </c>
      <c r="G56" s="1312">
        <v>100</v>
      </c>
      <c r="H56" s="2084"/>
      <c r="J56" s="2093"/>
      <c r="K56" s="2093"/>
    </row>
    <row r="57" spans="2:11" s="1639" customFormat="1" ht="26.25" hidden="1" customHeight="1" x14ac:dyDescent="0.25">
      <c r="B57" s="1640"/>
      <c r="C57" s="622" t="s">
        <v>2182</v>
      </c>
      <c r="D57" s="1407">
        <v>167920000</v>
      </c>
      <c r="E57" s="3649">
        <v>167920000</v>
      </c>
      <c r="F57" s="1434">
        <f t="shared" si="2"/>
        <v>100</v>
      </c>
      <c r="G57" s="1312">
        <v>100</v>
      </c>
      <c r="H57" s="2084"/>
      <c r="J57" s="2093"/>
      <c r="K57" s="2093"/>
    </row>
    <row r="58" spans="2:11" s="1639" customFormat="1" ht="20.25" hidden="1" customHeight="1" x14ac:dyDescent="0.25">
      <c r="B58" s="1640"/>
      <c r="C58" s="622" t="s">
        <v>2183</v>
      </c>
      <c r="D58" s="1407">
        <v>205400000</v>
      </c>
      <c r="E58" s="3649">
        <v>192400000</v>
      </c>
      <c r="F58" s="1434">
        <f t="shared" si="2"/>
        <v>93.670886075949369</v>
      </c>
      <c r="G58" s="1312">
        <v>90</v>
      </c>
      <c r="H58" s="2084"/>
      <c r="J58" s="2093"/>
      <c r="K58" s="2093"/>
    </row>
    <row r="59" spans="2:11" s="1639" customFormat="1" ht="21" hidden="1" customHeight="1" x14ac:dyDescent="0.25">
      <c r="B59" s="1640"/>
      <c r="C59" s="622" t="s">
        <v>2184</v>
      </c>
      <c r="D59" s="1407">
        <v>299920000</v>
      </c>
      <c r="E59" s="3649">
        <v>269920000</v>
      </c>
      <c r="F59" s="1434">
        <f t="shared" si="2"/>
        <v>89.997332622032545</v>
      </c>
      <c r="G59" s="1312">
        <v>90</v>
      </c>
      <c r="H59" s="2084"/>
      <c r="J59" s="2093"/>
      <c r="K59" s="2093"/>
    </row>
    <row r="60" spans="2:11" s="1639" customFormat="1" ht="15" hidden="1" customHeight="1" x14ac:dyDescent="0.25">
      <c r="B60" s="1640"/>
      <c r="C60" s="622" t="s">
        <v>2185</v>
      </c>
      <c r="D60" s="1407">
        <v>197000000</v>
      </c>
      <c r="E60" s="3649">
        <v>197000000</v>
      </c>
      <c r="F60" s="1434">
        <f t="shared" si="2"/>
        <v>100</v>
      </c>
      <c r="G60" s="1312">
        <v>100</v>
      </c>
      <c r="H60" s="2084"/>
      <c r="J60" s="2093"/>
      <c r="K60" s="2093"/>
    </row>
    <row r="61" spans="2:11" s="1639" customFormat="1" ht="30.75" hidden="1" customHeight="1" x14ac:dyDescent="0.25">
      <c r="B61" s="1640"/>
      <c r="C61" s="622" t="s">
        <v>2186</v>
      </c>
      <c r="D61" s="1407">
        <v>199800000</v>
      </c>
      <c r="E61" s="3649">
        <v>199800000</v>
      </c>
      <c r="F61" s="1434">
        <f t="shared" si="2"/>
        <v>100</v>
      </c>
      <c r="G61" s="1312">
        <v>100</v>
      </c>
      <c r="H61" s="2084"/>
      <c r="J61" s="2093"/>
      <c r="K61" s="2093"/>
    </row>
    <row r="62" spans="2:11" s="1639" customFormat="1" ht="25.5" hidden="1" customHeight="1" x14ac:dyDescent="0.25">
      <c r="B62" s="1640"/>
      <c r="C62" s="622" t="s">
        <v>2187</v>
      </c>
      <c r="D62" s="1407">
        <v>162800000</v>
      </c>
      <c r="E62" s="3649">
        <v>162800000</v>
      </c>
      <c r="F62" s="1434">
        <f t="shared" si="2"/>
        <v>100</v>
      </c>
      <c r="G62" s="1312">
        <v>100</v>
      </c>
      <c r="H62" s="2084"/>
      <c r="J62" s="2093"/>
      <c r="K62" s="2093"/>
    </row>
    <row r="63" spans="2:11" s="1639" customFormat="1" ht="20.25" hidden="1" customHeight="1" x14ac:dyDescent="0.25">
      <c r="B63" s="1640"/>
      <c r="C63" s="622" t="s">
        <v>2188</v>
      </c>
      <c r="D63" s="1407">
        <v>330000000</v>
      </c>
      <c r="E63" s="3649">
        <v>330000000</v>
      </c>
      <c r="F63" s="1434">
        <f t="shared" si="2"/>
        <v>100</v>
      </c>
      <c r="G63" s="1312">
        <v>100</v>
      </c>
      <c r="H63" s="2084"/>
      <c r="J63" s="2093"/>
      <c r="K63" s="2093"/>
    </row>
    <row r="64" spans="2:11" s="1639" customFormat="1" ht="30.75" hidden="1" customHeight="1" x14ac:dyDescent="0.25">
      <c r="B64" s="1640"/>
      <c r="C64" s="622" t="s">
        <v>2189</v>
      </c>
      <c r="D64" s="1407">
        <v>220800000</v>
      </c>
      <c r="E64" s="3649">
        <v>172800000</v>
      </c>
      <c r="F64" s="1434">
        <f t="shared" si="2"/>
        <v>78.260869565217391</v>
      </c>
      <c r="G64" s="1312">
        <v>80</v>
      </c>
      <c r="H64" s="2084"/>
      <c r="J64" s="2093"/>
      <c r="K64" s="2093"/>
    </row>
    <row r="65" spans="2:11" s="1639" customFormat="1" ht="26.25" hidden="1" customHeight="1" x14ac:dyDescent="0.25">
      <c r="B65" s="1640"/>
      <c r="C65" s="622" t="s">
        <v>2190</v>
      </c>
      <c r="D65" s="1407">
        <v>270800000</v>
      </c>
      <c r="E65" s="3649">
        <v>270800000</v>
      </c>
      <c r="F65" s="1434">
        <f t="shared" si="2"/>
        <v>100</v>
      </c>
      <c r="G65" s="1312">
        <v>100</v>
      </c>
      <c r="H65" s="2084"/>
      <c r="J65" s="2093"/>
      <c r="K65" s="2093"/>
    </row>
    <row r="66" spans="2:11" s="1639" customFormat="1" ht="23.25" hidden="1" customHeight="1" x14ac:dyDescent="0.25">
      <c r="B66" s="1640"/>
      <c r="C66" s="622" t="s">
        <v>2191</v>
      </c>
      <c r="D66" s="1407">
        <v>100000000</v>
      </c>
      <c r="E66" s="3649">
        <v>100000000</v>
      </c>
      <c r="F66" s="1434">
        <f t="shared" si="2"/>
        <v>100</v>
      </c>
      <c r="G66" s="1312">
        <v>100</v>
      </c>
      <c r="H66" s="2084"/>
      <c r="J66" s="2093"/>
      <c r="K66" s="2093"/>
    </row>
    <row r="67" spans="2:11" s="1639" customFormat="1" ht="18.75" hidden="1" customHeight="1" x14ac:dyDescent="0.25">
      <c r="B67" s="1640"/>
      <c r="C67" s="622" t="s">
        <v>2192</v>
      </c>
      <c r="D67" s="1407">
        <v>100000000</v>
      </c>
      <c r="E67" s="3649">
        <v>100000000</v>
      </c>
      <c r="F67" s="1434">
        <f t="shared" si="2"/>
        <v>100</v>
      </c>
      <c r="G67" s="1312">
        <v>100</v>
      </c>
      <c r="H67" s="2084"/>
      <c r="J67" s="2093"/>
      <c r="K67" s="2093"/>
    </row>
    <row r="68" spans="2:11" s="1639" customFormat="1" ht="18.75" hidden="1" customHeight="1" x14ac:dyDescent="0.25">
      <c r="B68" s="1640"/>
      <c r="C68" s="622" t="s">
        <v>2193</v>
      </c>
      <c r="D68" s="1407">
        <v>217600000</v>
      </c>
      <c r="E68" s="3649">
        <v>217579000</v>
      </c>
      <c r="F68" s="1434">
        <f t="shared" si="2"/>
        <v>99.990349264705884</v>
      </c>
      <c r="G68" s="1312">
        <v>100</v>
      </c>
      <c r="H68" s="2084"/>
      <c r="J68" s="2093"/>
      <c r="K68" s="2093"/>
    </row>
    <row r="69" spans="2:11" ht="12" hidden="1" customHeight="1" x14ac:dyDescent="0.25">
      <c r="B69" s="319"/>
      <c r="C69" s="637"/>
      <c r="D69" s="853"/>
      <c r="E69" s="805"/>
      <c r="F69" s="1323"/>
      <c r="G69" s="783"/>
      <c r="H69" s="281"/>
    </row>
    <row r="70" spans="2:11" s="1639" customFormat="1" ht="18" hidden="1" customHeight="1" x14ac:dyDescent="0.25">
      <c r="B70" s="1715"/>
      <c r="C70" s="3913" t="s">
        <v>358</v>
      </c>
      <c r="D70" s="1518">
        <f>D71</f>
        <v>5500000000</v>
      </c>
      <c r="E70" s="1518">
        <f>E71</f>
        <v>5438022873</v>
      </c>
      <c r="F70" s="1462">
        <f>E70/D70*100</f>
        <v>98.873143145454549</v>
      </c>
      <c r="G70" s="1307">
        <v>100</v>
      </c>
      <c r="H70" s="2103"/>
      <c r="J70" s="2093"/>
      <c r="K70" s="2093"/>
    </row>
    <row r="71" spans="2:11" s="1639" customFormat="1" ht="17.25" hidden="1" customHeight="1" x14ac:dyDescent="0.25">
      <c r="B71" s="1640"/>
      <c r="C71" s="3976" t="s">
        <v>2237</v>
      </c>
      <c r="D71" s="1525">
        <f>D72+D73</f>
        <v>5500000000</v>
      </c>
      <c r="E71" s="1525">
        <f>E72+E73</f>
        <v>5438022873</v>
      </c>
      <c r="F71" s="1671">
        <f>E71/D71*100</f>
        <v>98.873143145454549</v>
      </c>
      <c r="G71" s="2254">
        <v>100</v>
      </c>
      <c r="H71" s="2104"/>
      <c r="J71" s="2093"/>
      <c r="K71" s="2093"/>
    </row>
    <row r="72" spans="2:11" s="1639" customFormat="1" ht="19.5" hidden="1" customHeight="1" x14ac:dyDescent="0.25">
      <c r="B72" s="1640"/>
      <c r="C72" s="3864" t="s">
        <v>2065</v>
      </c>
      <c r="D72" s="880">
        <v>3369396848</v>
      </c>
      <c r="E72" s="865">
        <v>3308636000</v>
      </c>
      <c r="F72" s="1434">
        <f>E72/D72*100</f>
        <v>98.196684726049227</v>
      </c>
      <c r="G72" s="798">
        <v>100</v>
      </c>
      <c r="H72" s="2084"/>
      <c r="J72" s="2093"/>
      <c r="K72" s="2093"/>
    </row>
    <row r="73" spans="2:11" s="1639" customFormat="1" ht="19.5" hidden="1" customHeight="1" x14ac:dyDescent="0.25">
      <c r="B73" s="1640"/>
      <c r="C73" s="4067" t="s">
        <v>2238</v>
      </c>
      <c r="D73" s="880">
        <v>2130603152</v>
      </c>
      <c r="E73" s="666">
        <v>2129386873</v>
      </c>
      <c r="F73" s="1434">
        <f>E73/D73*100</f>
        <v>99.942913864608798</v>
      </c>
      <c r="G73" s="1312">
        <v>100</v>
      </c>
      <c r="H73" s="2105"/>
      <c r="J73" s="2093"/>
      <c r="K73" s="2093"/>
    </row>
    <row r="74" spans="2:11" s="1639" customFormat="1" ht="12" hidden="1" customHeight="1" x14ac:dyDescent="0.25">
      <c r="B74" s="1640"/>
      <c r="C74" s="637"/>
      <c r="D74" s="638"/>
      <c r="E74" s="805"/>
      <c r="F74" s="1323"/>
      <c r="G74" s="783"/>
      <c r="H74" s="2105"/>
      <c r="J74" s="2093"/>
      <c r="K74" s="2093"/>
    </row>
    <row r="75" spans="2:11" ht="20.25" hidden="1" customHeight="1" x14ac:dyDescent="0.25">
      <c r="B75" s="312"/>
      <c r="C75" s="1180" t="s">
        <v>2213</v>
      </c>
      <c r="D75" s="641">
        <f>D76</f>
        <v>1500000000</v>
      </c>
      <c r="E75" s="641">
        <f>E76</f>
        <v>1500000000</v>
      </c>
      <c r="F75" s="1462">
        <f>E75/D75*100</f>
        <v>100</v>
      </c>
      <c r="G75" s="1462">
        <v>100</v>
      </c>
      <c r="H75" s="640"/>
    </row>
    <row r="76" spans="2:11" ht="15" hidden="1" customHeight="1" x14ac:dyDescent="0.25">
      <c r="B76" s="319"/>
      <c r="C76" s="1258" t="s">
        <v>2214</v>
      </c>
      <c r="D76" s="642">
        <f>D77</f>
        <v>1500000000</v>
      </c>
      <c r="E76" s="642">
        <f>E77</f>
        <v>1500000000</v>
      </c>
      <c r="F76" s="1671">
        <f>SUM(E76/D76)*100</f>
        <v>100</v>
      </c>
      <c r="G76" s="1671">
        <v>100</v>
      </c>
      <c r="H76" s="639"/>
    </row>
    <row r="77" spans="2:11" s="1639" customFormat="1" ht="18" hidden="1" customHeight="1" x14ac:dyDescent="0.25">
      <c r="B77" s="1640"/>
      <c r="C77" s="622" t="s">
        <v>2217</v>
      </c>
      <c r="D77" s="1406">
        <v>1500000000</v>
      </c>
      <c r="E77" s="1111">
        <v>1500000000</v>
      </c>
      <c r="F77" s="1312">
        <f>SUM(E77/D77)*100</f>
        <v>100</v>
      </c>
      <c r="G77" s="1312">
        <v>100</v>
      </c>
      <c r="H77" s="2084"/>
      <c r="J77" s="2093"/>
      <c r="K77" s="2093"/>
    </row>
    <row r="78" spans="2:11" ht="12" hidden="1" customHeight="1" x14ac:dyDescent="0.25">
      <c r="B78" s="319"/>
      <c r="C78" s="1254"/>
      <c r="D78" s="791"/>
      <c r="E78" s="791"/>
      <c r="F78" s="1312"/>
      <c r="G78" s="2182"/>
      <c r="H78" s="232"/>
    </row>
    <row r="79" spans="2:11" s="2058" customFormat="1" ht="18" customHeight="1" x14ac:dyDescent="0.25">
      <c r="B79" s="616"/>
      <c r="C79" s="1297" t="s">
        <v>244</v>
      </c>
      <c r="D79" s="2699">
        <f>SUM(D81+D119)</f>
        <v>26682970484</v>
      </c>
      <c r="E79" s="2699">
        <f>SUM(E81+E119)</f>
        <v>24002049292</v>
      </c>
      <c r="F79" s="2530">
        <f>E79/D79*100</f>
        <v>89.952688387495812</v>
      </c>
      <c r="G79" s="2507">
        <f>SUM(G81+G119)/2</f>
        <v>96.875</v>
      </c>
      <c r="H79" s="2059"/>
      <c r="J79" s="2151"/>
      <c r="K79" s="2151"/>
    </row>
    <row r="80" spans="2:11" ht="8.25" hidden="1" customHeight="1" x14ac:dyDescent="0.25">
      <c r="B80" s="319"/>
      <c r="C80" s="1254"/>
      <c r="D80" s="1314"/>
      <c r="E80" s="1314"/>
      <c r="F80" s="775"/>
      <c r="G80" s="2175"/>
      <c r="H80" s="232"/>
    </row>
    <row r="81" spans="1:11" s="1639" customFormat="1" ht="16.5" hidden="1" customHeight="1" x14ac:dyDescent="0.25">
      <c r="B81" s="1715"/>
      <c r="C81" s="507" t="s">
        <v>248</v>
      </c>
      <c r="D81" s="1518">
        <f>SUM(D82+D85+D88+D97+D101+D106+D111+D114)</f>
        <v>18876076584</v>
      </c>
      <c r="E81" s="1518">
        <f>SUM(E82+E85+E88+E97+E101+E106+E111+E114)</f>
        <v>17223439928</v>
      </c>
      <c r="F81" s="1462">
        <f>E81/D81*100</f>
        <v>91.24480848207179</v>
      </c>
      <c r="G81" s="1656">
        <f>SUM(G82+G85+G88+G97+G101+G106+G111+G114)/8</f>
        <v>93.75</v>
      </c>
      <c r="H81" s="2084"/>
      <c r="J81" s="2093"/>
      <c r="K81" s="2093"/>
    </row>
    <row r="82" spans="1:11" s="1639" customFormat="1" ht="16.5" hidden="1" customHeight="1" x14ac:dyDescent="0.25">
      <c r="B82" s="1640"/>
      <c r="C82" s="3893" t="s">
        <v>561</v>
      </c>
      <c r="D82" s="1519">
        <f>D83</f>
        <v>145475000</v>
      </c>
      <c r="E82" s="1519">
        <f>E83</f>
        <v>126575000</v>
      </c>
      <c r="F82" s="3633">
        <f>E82/D82*100</f>
        <v>87.008076989173404</v>
      </c>
      <c r="G82" s="3633">
        <v>100</v>
      </c>
      <c r="H82" s="2084"/>
      <c r="J82" s="2093"/>
      <c r="K82" s="2093"/>
    </row>
    <row r="83" spans="1:11" s="1639" customFormat="1" ht="14.25" hidden="1" customHeight="1" x14ac:dyDescent="0.25">
      <c r="A83" s="2110"/>
      <c r="B83" s="1640"/>
      <c r="C83" s="4104" t="s">
        <v>1552</v>
      </c>
      <c r="D83" s="812">
        <v>145475000</v>
      </c>
      <c r="E83" s="1238">
        <v>126575000</v>
      </c>
      <c r="F83" s="1717">
        <f t="shared" ref="F83" si="3">E83/D83*100</f>
        <v>87.008076989173404</v>
      </c>
      <c r="G83" s="971">
        <v>100</v>
      </c>
      <c r="H83" s="2084"/>
      <c r="J83" s="2093"/>
      <c r="K83" s="2093"/>
    </row>
    <row r="84" spans="1:11" s="1639" customFormat="1" ht="12" hidden="1" customHeight="1" x14ac:dyDescent="0.25">
      <c r="A84" s="2110"/>
      <c r="B84" s="1640"/>
      <c r="C84" s="4116"/>
      <c r="D84" s="1494"/>
      <c r="E84" s="3879"/>
      <c r="F84" s="1648"/>
      <c r="G84" s="1648"/>
      <c r="H84" s="2084"/>
      <c r="J84" s="2093"/>
      <c r="K84" s="2093"/>
    </row>
    <row r="85" spans="1:11" s="1639" customFormat="1" ht="18" hidden="1" customHeight="1" x14ac:dyDescent="0.25">
      <c r="A85" s="2110"/>
      <c r="B85" s="1640"/>
      <c r="C85" s="4116" t="s">
        <v>290</v>
      </c>
      <c r="D85" s="1541">
        <f>D86</f>
        <v>124780000</v>
      </c>
      <c r="E85" s="1541">
        <f>E86</f>
        <v>124780000</v>
      </c>
      <c r="F85" s="3633">
        <f>E85/D85*100</f>
        <v>100</v>
      </c>
      <c r="G85" s="2261">
        <v>100</v>
      </c>
      <c r="H85" s="2084"/>
      <c r="J85" s="2093"/>
      <c r="K85" s="2093"/>
    </row>
    <row r="86" spans="1:11" s="1639" customFormat="1" ht="21" hidden="1" customHeight="1" x14ac:dyDescent="0.25">
      <c r="A86" s="2110"/>
      <c r="B86" s="1640"/>
      <c r="C86" s="4104" t="s">
        <v>1553</v>
      </c>
      <c r="D86" s="4506">
        <v>124780000</v>
      </c>
      <c r="E86" s="4507">
        <v>124780000</v>
      </c>
      <c r="F86" s="1717">
        <f t="shared" ref="F86" si="4">E86/D86*100</f>
        <v>100</v>
      </c>
      <c r="G86" s="1717">
        <v>100</v>
      </c>
      <c r="H86" s="2084"/>
      <c r="J86" s="2093"/>
      <c r="K86" s="2093"/>
    </row>
    <row r="87" spans="1:11" s="1639" customFormat="1" ht="14.25" hidden="1" customHeight="1" x14ac:dyDescent="0.25">
      <c r="A87" s="2110"/>
      <c r="B87" s="1640"/>
      <c r="C87" s="4116"/>
      <c r="D87" s="1520"/>
      <c r="E87" s="1975"/>
      <c r="F87" s="1648"/>
      <c r="G87" s="1648"/>
      <c r="H87" s="2084"/>
      <c r="J87" s="2093"/>
      <c r="K87" s="2093"/>
    </row>
    <row r="88" spans="1:11" s="1639" customFormat="1" ht="19.5" hidden="1" customHeight="1" x14ac:dyDescent="0.25">
      <c r="A88" s="2110"/>
      <c r="B88" s="1640"/>
      <c r="C88" s="4116" t="s">
        <v>291</v>
      </c>
      <c r="D88" s="1541">
        <f>SUM(D89:D95)</f>
        <v>5524469308</v>
      </c>
      <c r="E88" s="1541">
        <f>SUM(E89:E95)</f>
        <v>5259084288</v>
      </c>
      <c r="F88" s="3633">
        <f>E88/D88*100</f>
        <v>95.196189802055812</v>
      </c>
      <c r="G88" s="1706">
        <v>100</v>
      </c>
      <c r="H88" s="2084"/>
      <c r="J88" s="2093"/>
      <c r="K88" s="2093"/>
    </row>
    <row r="89" spans="1:11" s="1639" customFormat="1" ht="18.75" hidden="1" customHeight="1" x14ac:dyDescent="0.25">
      <c r="A89" s="2110"/>
      <c r="B89" s="1640"/>
      <c r="C89" s="4104" t="s">
        <v>1554</v>
      </c>
      <c r="D89" s="1540">
        <v>121594000</v>
      </c>
      <c r="E89" s="1238">
        <v>51594000</v>
      </c>
      <c r="F89" s="1717">
        <f t="shared" ref="F89:F95" si="5">E89/D89*100</f>
        <v>42.431369968912939</v>
      </c>
      <c r="G89" s="971">
        <v>100</v>
      </c>
      <c r="H89" s="2084"/>
      <c r="J89" s="2093"/>
      <c r="K89" s="2093"/>
    </row>
    <row r="90" spans="1:11" s="1639" customFormat="1" ht="18.75" hidden="1" customHeight="1" x14ac:dyDescent="0.25">
      <c r="A90" s="2110"/>
      <c r="B90" s="1640"/>
      <c r="C90" s="4104" t="s">
        <v>1555</v>
      </c>
      <c r="D90" s="1540">
        <v>851750000</v>
      </c>
      <c r="E90" s="1238">
        <v>812950000</v>
      </c>
      <c r="F90" s="1717">
        <f t="shared" si="5"/>
        <v>95.444672732609334</v>
      </c>
      <c r="G90" s="971">
        <v>100</v>
      </c>
      <c r="H90" s="2084"/>
      <c r="J90" s="2093"/>
      <c r="K90" s="2093"/>
    </row>
    <row r="91" spans="1:11" s="1639" customFormat="1" ht="18.75" hidden="1" customHeight="1" x14ac:dyDescent="0.25">
      <c r="A91" s="2110"/>
      <c r="B91" s="1640"/>
      <c r="C91" s="4104" t="s">
        <v>1556</v>
      </c>
      <c r="D91" s="1542">
        <v>192800000</v>
      </c>
      <c r="E91" s="1238">
        <v>192579988</v>
      </c>
      <c r="F91" s="1717">
        <f t="shared" si="5"/>
        <v>99.885885892116178</v>
      </c>
      <c r="G91" s="971">
        <v>100</v>
      </c>
      <c r="H91" s="2084"/>
      <c r="J91" s="2093"/>
      <c r="K91" s="2093"/>
    </row>
    <row r="92" spans="1:11" s="1639" customFormat="1" ht="21.75" hidden="1" customHeight="1" x14ac:dyDescent="0.25">
      <c r="A92" s="2110"/>
      <c r="B92" s="1640"/>
      <c r="C92" s="4104" t="s">
        <v>2235</v>
      </c>
      <c r="D92" s="1542">
        <v>2912700000</v>
      </c>
      <c r="E92" s="1238">
        <v>2789880000</v>
      </c>
      <c r="F92" s="1717">
        <f t="shared" si="5"/>
        <v>95.78329385106602</v>
      </c>
      <c r="G92" s="971">
        <v>100</v>
      </c>
      <c r="H92" s="2084"/>
      <c r="J92" s="2093"/>
      <c r="K92" s="2093"/>
    </row>
    <row r="93" spans="1:11" s="1639" customFormat="1" ht="14.25" hidden="1" customHeight="1" x14ac:dyDescent="0.25">
      <c r="A93" s="2110"/>
      <c r="B93" s="1640"/>
      <c r="C93" s="4104" t="s">
        <v>1557</v>
      </c>
      <c r="D93" s="1542">
        <v>1100611308</v>
      </c>
      <c r="E93" s="1238">
        <v>1070406300</v>
      </c>
      <c r="F93" s="1717">
        <f t="shared" si="5"/>
        <v>97.255615331184657</v>
      </c>
      <c r="G93" s="971">
        <v>100</v>
      </c>
      <c r="H93" s="2084"/>
      <c r="J93" s="2093"/>
      <c r="K93" s="2093"/>
    </row>
    <row r="94" spans="1:11" s="1639" customFormat="1" ht="21" hidden="1" customHeight="1" x14ac:dyDescent="0.25">
      <c r="A94" s="2110"/>
      <c r="B94" s="1640"/>
      <c r="C94" s="4104" t="s">
        <v>2236</v>
      </c>
      <c r="D94" s="1542">
        <v>270774000</v>
      </c>
      <c r="E94" s="1238">
        <v>269974000</v>
      </c>
      <c r="F94" s="1717">
        <f t="shared" si="5"/>
        <v>99.704550658482717</v>
      </c>
      <c r="G94" s="971">
        <v>100</v>
      </c>
      <c r="H94" s="2084"/>
      <c r="J94" s="2093"/>
      <c r="K94" s="2093"/>
    </row>
    <row r="95" spans="1:11" s="1639" customFormat="1" ht="17.25" hidden="1" customHeight="1" x14ac:dyDescent="0.25">
      <c r="A95" s="2110"/>
      <c r="B95" s="1640"/>
      <c r="C95" s="4104" t="s">
        <v>1558</v>
      </c>
      <c r="D95" s="1542">
        <v>74240000</v>
      </c>
      <c r="E95" s="1238">
        <v>71700000</v>
      </c>
      <c r="F95" s="1717">
        <f t="shared" si="5"/>
        <v>96.578663793103445</v>
      </c>
      <c r="G95" s="971">
        <v>100</v>
      </c>
      <c r="H95" s="2084"/>
      <c r="J95" s="2093"/>
      <c r="K95" s="2093"/>
    </row>
    <row r="96" spans="1:11" s="1639" customFormat="1" ht="12" hidden="1" customHeight="1" x14ac:dyDescent="0.25">
      <c r="A96" s="2110"/>
      <c r="B96" s="1640"/>
      <c r="C96" s="4104"/>
      <c r="D96" s="1542"/>
      <c r="E96" s="3879"/>
      <c r="F96" s="1648"/>
      <c r="G96" s="1648"/>
      <c r="H96" s="2084"/>
      <c r="J96" s="2093"/>
      <c r="K96" s="2093"/>
    </row>
    <row r="97" spans="1:11" s="1639" customFormat="1" ht="18" hidden="1" customHeight="1" x14ac:dyDescent="0.25">
      <c r="A97" s="2110"/>
      <c r="B97" s="1640"/>
      <c r="C97" s="4116" t="s">
        <v>1013</v>
      </c>
      <c r="D97" s="1543">
        <f>SUM(D98:D99)</f>
        <v>240921600</v>
      </c>
      <c r="E97" s="1557">
        <f>SUM(E98:E99)</f>
        <v>53021600</v>
      </c>
      <c r="F97" s="3633">
        <f>E97/D97*100</f>
        <v>22.007823291892468</v>
      </c>
      <c r="G97" s="3629">
        <f>SUM(G98:G99)/2</f>
        <v>50</v>
      </c>
      <c r="H97" s="2084"/>
      <c r="J97" s="2093"/>
      <c r="K97" s="2093"/>
    </row>
    <row r="98" spans="1:11" s="1639" customFormat="1" ht="15" hidden="1" customHeight="1" x14ac:dyDescent="0.25">
      <c r="A98" s="2110"/>
      <c r="B98" s="1640"/>
      <c r="C98" s="4104" t="s">
        <v>1559</v>
      </c>
      <c r="D98" s="1520">
        <v>47250000</v>
      </c>
      <c r="E98" s="1238">
        <v>47250000</v>
      </c>
      <c r="F98" s="1717">
        <f t="shared" ref="F98:F99" si="6">E98/D98*100</f>
        <v>100</v>
      </c>
      <c r="G98" s="971">
        <v>100</v>
      </c>
      <c r="H98" s="2084"/>
      <c r="J98" s="2093"/>
      <c r="K98" s="2093"/>
    </row>
    <row r="99" spans="1:11" s="1639" customFormat="1" ht="15.75" hidden="1" customHeight="1" x14ac:dyDescent="0.25">
      <c r="A99" s="2110"/>
      <c r="B99" s="1640"/>
      <c r="C99" s="4104" t="s">
        <v>1560</v>
      </c>
      <c r="D99" s="1544">
        <v>193671600</v>
      </c>
      <c r="E99" s="1238">
        <v>5771600</v>
      </c>
      <c r="F99" s="1717">
        <f t="shared" si="6"/>
        <v>2.9800962040898096</v>
      </c>
      <c r="G99" s="971">
        <v>0</v>
      </c>
      <c r="H99" s="2084"/>
      <c r="J99" s="2093"/>
      <c r="K99" s="2093"/>
    </row>
    <row r="100" spans="1:11" s="1639" customFormat="1" ht="12" hidden="1" customHeight="1" x14ac:dyDescent="0.25">
      <c r="A100" s="2110"/>
      <c r="B100" s="1640"/>
      <c r="C100" s="3890"/>
      <c r="D100" s="1544"/>
      <c r="E100" s="1891"/>
      <c r="F100" s="1648"/>
      <c r="G100" s="1648"/>
      <c r="H100" s="2084"/>
      <c r="J100" s="2093"/>
      <c r="K100" s="2093"/>
    </row>
    <row r="101" spans="1:11" s="1639" customFormat="1" ht="18.75" hidden="1" customHeight="1" x14ac:dyDescent="0.25">
      <c r="A101" s="2110"/>
      <c r="B101" s="1640"/>
      <c r="C101" s="4116" t="s">
        <v>285</v>
      </c>
      <c r="D101" s="3704">
        <f>SUM(D102:D104)</f>
        <v>598605000</v>
      </c>
      <c r="E101" s="1557">
        <f>SUM(E102:E104)</f>
        <v>426985000</v>
      </c>
      <c r="F101" s="3633">
        <f>E101/D101*100</f>
        <v>71.330008937446237</v>
      </c>
      <c r="G101" s="541">
        <v>100</v>
      </c>
      <c r="H101" s="2084"/>
      <c r="J101" s="2093"/>
      <c r="K101" s="2093"/>
    </row>
    <row r="102" spans="1:11" s="1639" customFormat="1" ht="16.5" hidden="1" customHeight="1" x14ac:dyDescent="0.25">
      <c r="A102" s="2110"/>
      <c r="B102" s="1640"/>
      <c r="C102" s="4104" t="s">
        <v>1561</v>
      </c>
      <c r="D102" s="1540">
        <v>281400000</v>
      </c>
      <c r="E102" s="1238">
        <v>109780000</v>
      </c>
      <c r="F102" s="1717">
        <f t="shared" ref="F102:F104" si="7">E102/D102*100</f>
        <v>39.012082444918263</v>
      </c>
      <c r="G102" s="971">
        <v>100</v>
      </c>
      <c r="H102" s="2084"/>
      <c r="J102" s="2093"/>
      <c r="K102" s="2093"/>
    </row>
    <row r="103" spans="1:11" s="1639" customFormat="1" ht="48.75" hidden="1" customHeight="1" x14ac:dyDescent="0.25">
      <c r="A103" s="2110"/>
      <c r="B103" s="1640"/>
      <c r="C103" s="4104" t="s">
        <v>1562</v>
      </c>
      <c r="D103" s="1520">
        <v>252515000</v>
      </c>
      <c r="E103" s="1238">
        <v>252515000</v>
      </c>
      <c r="F103" s="1717">
        <f t="shared" si="7"/>
        <v>100</v>
      </c>
      <c r="G103" s="1648">
        <v>100</v>
      </c>
      <c r="H103" s="2084"/>
      <c r="J103" s="2093"/>
      <c r="K103" s="2093"/>
    </row>
    <row r="104" spans="1:11" s="1639" customFormat="1" ht="20.25" hidden="1" customHeight="1" x14ac:dyDescent="0.25">
      <c r="A104" s="2110"/>
      <c r="B104" s="1640"/>
      <c r="C104" s="4104" t="s">
        <v>1563</v>
      </c>
      <c r="D104" s="1520">
        <v>64690000</v>
      </c>
      <c r="E104" s="1238">
        <v>64690000</v>
      </c>
      <c r="F104" s="1717">
        <f t="shared" si="7"/>
        <v>100</v>
      </c>
      <c r="G104" s="1648">
        <v>100</v>
      </c>
      <c r="H104" s="2084"/>
      <c r="J104" s="2093"/>
      <c r="K104" s="2093"/>
    </row>
    <row r="105" spans="1:11" s="1639" customFormat="1" ht="13.5" hidden="1" customHeight="1" x14ac:dyDescent="0.25">
      <c r="A105" s="2110"/>
      <c r="B105" s="1640"/>
      <c r="C105" s="4104"/>
      <c r="D105" s="1540"/>
      <c r="E105" s="1891"/>
      <c r="F105" s="1648"/>
      <c r="G105" s="1648"/>
      <c r="H105" s="2084"/>
      <c r="J105" s="2093"/>
      <c r="K105" s="2093"/>
    </row>
    <row r="106" spans="1:11" s="1639" customFormat="1" ht="25.5" hidden="1" customHeight="1" x14ac:dyDescent="0.25">
      <c r="A106" s="2110"/>
      <c r="B106" s="1640"/>
      <c r="C106" s="4116" t="s">
        <v>1564</v>
      </c>
      <c r="D106" s="3704">
        <f>SUM(D107:D109)</f>
        <v>498450000</v>
      </c>
      <c r="E106" s="1557">
        <f>SUM(E107:E109)</f>
        <v>472650000</v>
      </c>
      <c r="F106" s="3633">
        <f>E106/D106*100</f>
        <v>94.823954258200416</v>
      </c>
      <c r="G106" s="1706">
        <v>100</v>
      </c>
      <c r="H106" s="2084"/>
      <c r="J106" s="2093"/>
      <c r="K106" s="2093"/>
    </row>
    <row r="107" spans="1:11" s="1639" customFormat="1" ht="16.5" hidden="1" customHeight="1" x14ac:dyDescent="0.25">
      <c r="A107" s="2110"/>
      <c r="B107" s="1640"/>
      <c r="C107" s="4104" t="s">
        <v>1565</v>
      </c>
      <c r="D107" s="1540">
        <v>191100000</v>
      </c>
      <c r="E107" s="1238">
        <v>181350000</v>
      </c>
      <c r="F107" s="1717">
        <f t="shared" ref="F107:F109" si="8">E107/D107*100</f>
        <v>94.897959183673478</v>
      </c>
      <c r="G107" s="1648">
        <v>100</v>
      </c>
      <c r="H107" s="2084"/>
      <c r="J107" s="2093"/>
      <c r="K107" s="2093"/>
    </row>
    <row r="108" spans="1:11" s="1639" customFormat="1" ht="18.75" hidden="1" customHeight="1" x14ac:dyDescent="0.25">
      <c r="A108" s="2110"/>
      <c r="B108" s="1640"/>
      <c r="C108" s="4104" t="s">
        <v>1566</v>
      </c>
      <c r="D108" s="1540">
        <v>160725000</v>
      </c>
      <c r="E108" s="1238">
        <v>160725000</v>
      </c>
      <c r="F108" s="1717">
        <f t="shared" si="8"/>
        <v>100</v>
      </c>
      <c r="G108" s="1648">
        <v>100</v>
      </c>
      <c r="H108" s="2084"/>
      <c r="J108" s="2093"/>
      <c r="K108" s="2093"/>
    </row>
    <row r="109" spans="1:11" s="1639" customFormat="1" ht="18" hidden="1" customHeight="1" x14ac:dyDescent="0.25">
      <c r="A109" s="2110"/>
      <c r="B109" s="1640"/>
      <c r="C109" s="4104" t="s">
        <v>1890</v>
      </c>
      <c r="D109" s="1520">
        <v>146625000</v>
      </c>
      <c r="E109" s="1238">
        <v>130575000</v>
      </c>
      <c r="F109" s="1717">
        <f t="shared" si="8"/>
        <v>89.05370843989769</v>
      </c>
      <c r="G109" s="1648">
        <v>100</v>
      </c>
      <c r="H109" s="2084"/>
      <c r="J109" s="2093"/>
      <c r="K109" s="2093"/>
    </row>
    <row r="110" spans="1:11" s="1639" customFormat="1" ht="12" hidden="1" customHeight="1" x14ac:dyDescent="0.25">
      <c r="A110" s="2110"/>
      <c r="B110" s="1640"/>
      <c r="C110" s="4116"/>
      <c r="D110" s="1545"/>
      <c r="E110" s="1891"/>
      <c r="F110" s="1648"/>
      <c r="G110" s="1648"/>
      <c r="H110" s="2084"/>
      <c r="J110" s="2093"/>
      <c r="K110" s="2093"/>
    </row>
    <row r="111" spans="1:11" s="1639" customFormat="1" ht="21" hidden="1" customHeight="1" x14ac:dyDescent="0.25">
      <c r="A111" s="2110"/>
      <c r="B111" s="1640"/>
      <c r="C111" s="4116" t="s">
        <v>1567</v>
      </c>
      <c r="D111" s="3704">
        <f>D112</f>
        <v>129750000</v>
      </c>
      <c r="E111" s="3707">
        <f>E112</f>
        <v>129750000</v>
      </c>
      <c r="F111" s="3633">
        <f>E111/D111*100</f>
        <v>100</v>
      </c>
      <c r="G111" s="3629">
        <v>100</v>
      </c>
      <c r="H111" s="2084"/>
      <c r="J111" s="2093"/>
      <c r="K111" s="2093"/>
    </row>
    <row r="112" spans="1:11" s="1639" customFormat="1" ht="17.25" hidden="1" customHeight="1" x14ac:dyDescent="0.25">
      <c r="A112" s="2110"/>
      <c r="B112" s="1640"/>
      <c r="C112" s="4104" t="s">
        <v>1568</v>
      </c>
      <c r="D112" s="3705">
        <v>129750000</v>
      </c>
      <c r="E112" s="1238">
        <v>129750000</v>
      </c>
      <c r="F112" s="1717">
        <f t="shared" ref="F112" si="9">E112/D112*100</f>
        <v>100</v>
      </c>
      <c r="G112" s="971">
        <v>100</v>
      </c>
      <c r="H112" s="2084"/>
      <c r="J112" s="2093"/>
      <c r="K112" s="2093"/>
    </row>
    <row r="113" spans="1:11" s="1639" customFormat="1" ht="12" hidden="1" customHeight="1" x14ac:dyDescent="0.25">
      <c r="A113" s="2110"/>
      <c r="B113" s="1640"/>
      <c r="C113" s="4116"/>
      <c r="D113" s="3704"/>
      <c r="E113" s="1891"/>
      <c r="F113" s="1648"/>
      <c r="G113" s="1648"/>
      <c r="H113" s="2084"/>
      <c r="J113" s="2093"/>
      <c r="K113" s="2093"/>
    </row>
    <row r="114" spans="1:11" s="1639" customFormat="1" ht="33.75" hidden="1" customHeight="1" x14ac:dyDescent="0.25">
      <c r="A114" s="2110"/>
      <c r="B114" s="1640"/>
      <c r="C114" s="4116" t="s">
        <v>1569</v>
      </c>
      <c r="D114" s="3706">
        <f>SUM(D115:D117)</f>
        <v>11613625676</v>
      </c>
      <c r="E114" s="3708">
        <f>SUM(E115:E117)</f>
        <v>10630594040</v>
      </c>
      <c r="F114" s="3633">
        <f>E114/D114*100</f>
        <v>91.535531939595131</v>
      </c>
      <c r="G114" s="1706">
        <v>100</v>
      </c>
      <c r="H114" s="2084"/>
      <c r="J114" s="2093"/>
      <c r="K114" s="2093"/>
    </row>
    <row r="115" spans="1:11" s="1639" customFormat="1" ht="18.75" hidden="1" customHeight="1" x14ac:dyDescent="0.25">
      <c r="A115" s="2110"/>
      <c r="B115" s="1640"/>
      <c r="C115" s="4104" t="s">
        <v>1570</v>
      </c>
      <c r="D115" s="3705">
        <v>786750530</v>
      </c>
      <c r="E115" s="1238">
        <v>740415680</v>
      </c>
      <c r="F115" s="1717">
        <f t="shared" ref="F115:F117" si="10">E115/D115*100</f>
        <v>94.110604539408456</v>
      </c>
      <c r="G115" s="1648">
        <v>100</v>
      </c>
      <c r="H115" s="2084"/>
      <c r="J115" s="2093"/>
      <c r="K115" s="2093"/>
    </row>
    <row r="116" spans="1:11" s="1639" customFormat="1" ht="18" hidden="1" customHeight="1" x14ac:dyDescent="0.25">
      <c r="A116" s="2110"/>
      <c r="B116" s="1640"/>
      <c r="C116" s="4104" t="s">
        <v>1571</v>
      </c>
      <c r="D116" s="1540">
        <v>1498891696</v>
      </c>
      <c r="E116" s="1238">
        <v>823196000</v>
      </c>
      <c r="F116" s="1717">
        <f t="shared" si="10"/>
        <v>54.920312267845141</v>
      </c>
      <c r="G116" s="1648">
        <v>100</v>
      </c>
      <c r="H116" s="2084"/>
      <c r="J116" s="2093"/>
      <c r="K116" s="2093"/>
    </row>
    <row r="117" spans="1:11" s="1639" customFormat="1" ht="23.25" hidden="1" customHeight="1" x14ac:dyDescent="0.25">
      <c r="A117" s="2110"/>
      <c r="B117" s="1640"/>
      <c r="C117" s="4104" t="s">
        <v>1572</v>
      </c>
      <c r="D117" s="812">
        <v>9327983450</v>
      </c>
      <c r="E117" s="1238">
        <v>9066982360</v>
      </c>
      <c r="F117" s="1717">
        <f t="shared" si="10"/>
        <v>97.201955906128887</v>
      </c>
      <c r="G117" s="1648">
        <v>100</v>
      </c>
      <c r="H117" s="2084"/>
      <c r="J117" s="2093"/>
      <c r="K117" s="2093"/>
    </row>
    <row r="118" spans="1:11" ht="12" hidden="1" customHeight="1" x14ac:dyDescent="0.25">
      <c r="B118" s="319"/>
      <c r="C118" s="1147"/>
      <c r="D118" s="824"/>
      <c r="E118" s="1649"/>
      <c r="F118" s="2271"/>
      <c r="G118" s="2271"/>
      <c r="H118" s="232"/>
    </row>
    <row r="119" spans="1:11" s="1639" customFormat="1" ht="16.5" hidden="1" customHeight="1" x14ac:dyDescent="0.25">
      <c r="B119" s="1715"/>
      <c r="C119" s="507" t="s">
        <v>249</v>
      </c>
      <c r="D119" s="1546">
        <f>SUM(D120+D123)</f>
        <v>7806893900</v>
      </c>
      <c r="E119" s="1546">
        <f>SUM(E120+E123)</f>
        <v>6778609364</v>
      </c>
      <c r="F119" s="1462">
        <f>E119/D119*100</f>
        <v>86.828506328233829</v>
      </c>
      <c r="G119" s="1656">
        <f>SUM(G120+G123)/2</f>
        <v>100</v>
      </c>
      <c r="H119" s="2084"/>
      <c r="J119" s="2093"/>
      <c r="K119" s="2093"/>
    </row>
    <row r="120" spans="1:11" s="1639" customFormat="1" ht="17.25" hidden="1" customHeight="1" x14ac:dyDescent="0.25">
      <c r="B120" s="2088"/>
      <c r="C120" s="3893" t="s">
        <v>1573</v>
      </c>
      <c r="D120" s="3709">
        <f>D121</f>
        <v>776000000</v>
      </c>
      <c r="E120" s="3712">
        <f>E121</f>
        <v>635460438</v>
      </c>
      <c r="F120" s="3633">
        <f>E120/D120*100</f>
        <v>81.889231701030923</v>
      </c>
      <c r="G120" s="2264">
        <v>100</v>
      </c>
      <c r="H120" s="2084"/>
      <c r="J120" s="2093"/>
      <c r="K120" s="2093"/>
    </row>
    <row r="121" spans="1:11" s="1639" customFormat="1" ht="18" hidden="1" customHeight="1" x14ac:dyDescent="0.25">
      <c r="B121" s="2114"/>
      <c r="C121" s="4104" t="s">
        <v>1574</v>
      </c>
      <c r="D121" s="3710">
        <v>776000000</v>
      </c>
      <c r="E121" s="1238">
        <v>635460438</v>
      </c>
      <c r="F121" s="1717">
        <f t="shared" ref="F121" si="11">E121/D121*100</f>
        <v>81.889231701030923</v>
      </c>
      <c r="G121" s="1648">
        <v>100</v>
      </c>
      <c r="H121" s="2084"/>
      <c r="J121" s="2093"/>
      <c r="K121" s="2093"/>
    </row>
    <row r="122" spans="1:11" s="1639" customFormat="1" ht="9" hidden="1" customHeight="1" x14ac:dyDescent="0.25">
      <c r="B122" s="2114"/>
      <c r="C122" s="3890"/>
      <c r="D122" s="3711"/>
      <c r="E122" s="1891"/>
      <c r="F122" s="1648"/>
      <c r="G122" s="1648"/>
      <c r="H122" s="2084"/>
      <c r="J122" s="2093"/>
      <c r="K122" s="2093"/>
    </row>
    <row r="123" spans="1:11" s="1639" customFormat="1" ht="18" hidden="1" customHeight="1" x14ac:dyDescent="0.25">
      <c r="B123" s="2114"/>
      <c r="C123" s="4116" t="s">
        <v>1575</v>
      </c>
      <c r="D123" s="3704">
        <f>D124</f>
        <v>7030893900</v>
      </c>
      <c r="E123" s="1557">
        <f>E124</f>
        <v>6143148926</v>
      </c>
      <c r="F123" s="3633">
        <f>E123/D123*100</f>
        <v>87.373654237621196</v>
      </c>
      <c r="G123" s="1706">
        <v>100</v>
      </c>
      <c r="H123" s="2084"/>
      <c r="J123" s="2093"/>
      <c r="K123" s="2093"/>
    </row>
    <row r="124" spans="1:11" s="1639" customFormat="1" ht="26.25" hidden="1" customHeight="1" x14ac:dyDescent="0.25">
      <c r="B124" s="2114"/>
      <c r="C124" s="4104" t="s">
        <v>1576</v>
      </c>
      <c r="D124" s="812">
        <v>7030893900</v>
      </c>
      <c r="E124" s="1238">
        <v>6143148926</v>
      </c>
      <c r="F124" s="1717">
        <f t="shared" ref="F124" si="12">E124/D124*100</f>
        <v>87.373654237621196</v>
      </c>
      <c r="G124" s="1648">
        <v>100</v>
      </c>
      <c r="H124" s="2084"/>
      <c r="J124" s="2093"/>
      <c r="K124" s="2093"/>
    </row>
    <row r="125" spans="1:11" ht="12" hidden="1" customHeight="1" x14ac:dyDescent="0.25">
      <c r="B125" s="314"/>
      <c r="C125" s="648"/>
      <c r="D125" s="824"/>
      <c r="E125" s="1649"/>
      <c r="F125" s="1649"/>
      <c r="G125" s="1649"/>
      <c r="H125" s="232"/>
    </row>
    <row r="126" spans="1:11" s="2060" customFormat="1" ht="17.25" customHeight="1" x14ac:dyDescent="0.25">
      <c r="B126" s="2061"/>
      <c r="C126" s="1297" t="s">
        <v>601</v>
      </c>
      <c r="D126" s="2699">
        <f>SUM(D128+D196+D200+D204)</f>
        <v>25433373250</v>
      </c>
      <c r="E126" s="2699">
        <f>SUM(E128+E196+E200+E204)</f>
        <v>23946281263</v>
      </c>
      <c r="F126" s="2507">
        <f>SUM(E126/D126*100)</f>
        <v>94.152989568538644</v>
      </c>
      <c r="G126" s="2701">
        <f>SUM(G128+G196+G200+G204)/4</f>
        <v>94.147619047619045</v>
      </c>
      <c r="H126" s="2062"/>
      <c r="J126" s="2152"/>
      <c r="K126" s="2152"/>
    </row>
    <row r="127" spans="1:11" s="2017" customFormat="1" ht="6.75" hidden="1" customHeight="1" x14ac:dyDescent="0.25">
      <c r="B127" s="2031"/>
      <c r="C127" s="1271"/>
      <c r="D127" s="660"/>
      <c r="E127" s="882"/>
      <c r="F127" s="783"/>
      <c r="G127" s="2170"/>
      <c r="H127" s="2019"/>
      <c r="J127" s="2130"/>
      <c r="K127" s="2130"/>
    </row>
    <row r="128" spans="1:11" s="2131" customFormat="1" ht="15.75" hidden="1" customHeight="1" x14ac:dyDescent="0.25">
      <c r="B128" s="2132"/>
      <c r="C128" s="1257" t="s">
        <v>248</v>
      </c>
      <c r="D128" s="1571">
        <f>D129+D132+D136+D150+D153+D156+D161+D164+D168+D174+D181+D185+D190+D193</f>
        <v>10965047510</v>
      </c>
      <c r="E128" s="1571">
        <f>E129+E132+E136+E150+E153+E156+E161+E164+E168+E174+E181+E185+E190+E193</f>
        <v>9985666925</v>
      </c>
      <c r="F128" s="2064">
        <f>SUM(E128/D128)*100</f>
        <v>91.068159220406329</v>
      </c>
      <c r="G128" s="2325">
        <f>SUM(G129+G132+G136+G150+G153+G156+G161+G164+G168+G174+G181+G185+G190+G193)/14</f>
        <v>98.790476190476184</v>
      </c>
      <c r="H128" s="2134"/>
      <c r="J128" s="2135"/>
      <c r="K128" s="2135"/>
    </row>
    <row r="129" spans="2:11" s="2131" customFormat="1" ht="18.75" hidden="1" customHeight="1" x14ac:dyDescent="0.25">
      <c r="B129" s="2136"/>
      <c r="C129" s="4102" t="s">
        <v>262</v>
      </c>
      <c r="D129" s="1417">
        <f>D130</f>
        <v>26680000</v>
      </c>
      <c r="E129" s="1417">
        <f>E130</f>
        <v>26440000</v>
      </c>
      <c r="F129" s="2299">
        <f>E129/D129*100</f>
        <v>99.100449775112438</v>
      </c>
      <c r="G129" s="884">
        <v>100</v>
      </c>
      <c r="H129" s="2134"/>
      <c r="J129" s="2135"/>
      <c r="K129" s="2135"/>
    </row>
    <row r="130" spans="2:11" s="2131" customFormat="1" ht="15.75" hidden="1" customHeight="1" x14ac:dyDescent="0.25">
      <c r="B130" s="2136"/>
      <c r="C130" s="3856" t="s">
        <v>1080</v>
      </c>
      <c r="D130" s="1492">
        <v>26680000</v>
      </c>
      <c r="E130" s="878">
        <v>26440000</v>
      </c>
      <c r="F130" s="878">
        <f t="shared" ref="F130" si="13">E130/D130*100</f>
        <v>99.100449775112438</v>
      </c>
      <c r="G130" s="878">
        <v>100</v>
      </c>
      <c r="H130" s="2134"/>
      <c r="J130" s="2135"/>
      <c r="K130" s="2135"/>
    </row>
    <row r="131" spans="2:11" s="2131" customFormat="1" ht="11.25" hidden="1" customHeight="1" x14ac:dyDescent="0.25">
      <c r="B131" s="2136"/>
      <c r="C131" s="3986"/>
      <c r="D131" s="730"/>
      <c r="E131" s="878"/>
      <c r="F131" s="1323"/>
      <c r="G131" s="2230"/>
      <c r="H131" s="2134"/>
      <c r="J131" s="2135"/>
      <c r="K131" s="2135"/>
    </row>
    <row r="132" spans="2:11" s="2131" customFormat="1" ht="17.25" hidden="1" customHeight="1" x14ac:dyDescent="0.25">
      <c r="B132" s="2136"/>
      <c r="C132" s="4102" t="s">
        <v>290</v>
      </c>
      <c r="D132" s="1416">
        <f>D133+D134</f>
        <v>379125000</v>
      </c>
      <c r="E132" s="1416">
        <f>E133+E134</f>
        <v>99075000</v>
      </c>
      <c r="F132" s="1166">
        <f>E132/D132*100</f>
        <v>26.132542037586546</v>
      </c>
      <c r="G132" s="2006">
        <v>100</v>
      </c>
      <c r="H132" s="2134"/>
      <c r="J132" s="2135"/>
      <c r="K132" s="2135"/>
    </row>
    <row r="133" spans="2:11" s="2131" customFormat="1" ht="14.25" hidden="1" customHeight="1" x14ac:dyDescent="0.25">
      <c r="B133" s="2136"/>
      <c r="C133" s="3856" t="s">
        <v>1081</v>
      </c>
      <c r="D133" s="1492">
        <v>26575000</v>
      </c>
      <c r="E133" s="1846">
        <v>26575000</v>
      </c>
      <c r="F133" s="878">
        <f t="shared" ref="F133:F134" si="14">E133/D133*100</f>
        <v>100</v>
      </c>
      <c r="G133" s="2230">
        <v>100</v>
      </c>
      <c r="H133" s="2134"/>
      <c r="J133" s="2135"/>
      <c r="K133" s="2135"/>
    </row>
    <row r="134" spans="2:11" s="2131" customFormat="1" ht="15.75" hidden="1" customHeight="1" x14ac:dyDescent="0.25">
      <c r="B134" s="2136"/>
      <c r="C134" s="3856" t="s">
        <v>284</v>
      </c>
      <c r="D134" s="1492">
        <v>352550000</v>
      </c>
      <c r="E134" s="878">
        <v>72500000</v>
      </c>
      <c r="F134" s="878">
        <f t="shared" si="14"/>
        <v>20.564458941994044</v>
      </c>
      <c r="G134" s="2230">
        <v>100</v>
      </c>
      <c r="H134" s="2134"/>
      <c r="J134" s="2135"/>
      <c r="K134" s="2135"/>
    </row>
    <row r="135" spans="2:11" s="2131" customFormat="1" ht="11.25" hidden="1" customHeight="1" x14ac:dyDescent="0.25">
      <c r="B135" s="2136"/>
      <c r="C135" s="3856"/>
      <c r="D135" s="1492"/>
      <c r="E135" s="878"/>
      <c r="F135" s="1717"/>
      <c r="G135" s="2230"/>
      <c r="H135" s="2134"/>
      <c r="J135" s="2135"/>
      <c r="K135" s="2135"/>
    </row>
    <row r="136" spans="2:11" s="2131" customFormat="1" ht="19.5" hidden="1" customHeight="1" x14ac:dyDescent="0.25">
      <c r="B136" s="2136"/>
      <c r="C136" s="4103" t="s">
        <v>291</v>
      </c>
      <c r="D136" s="1416">
        <f>SUM(D137:D148)</f>
        <v>2770723934</v>
      </c>
      <c r="E136" s="1416">
        <f>SUM(E137:E148)</f>
        <v>2578108034</v>
      </c>
      <c r="F136" s="1173">
        <f>E136/D136*100</f>
        <v>93.048174246579421</v>
      </c>
      <c r="G136" s="2006">
        <f>SUM(G137:G148)/12</f>
        <v>94.916666666666671</v>
      </c>
      <c r="H136" s="2134"/>
      <c r="J136" s="2135"/>
      <c r="K136" s="2135"/>
    </row>
    <row r="137" spans="2:11" s="2131" customFormat="1" ht="17.25" hidden="1" customHeight="1" x14ac:dyDescent="0.25">
      <c r="B137" s="2136"/>
      <c r="C137" s="3856" t="s">
        <v>1082</v>
      </c>
      <c r="D137" s="1492">
        <v>99039000</v>
      </c>
      <c r="E137" s="878">
        <v>79739000</v>
      </c>
      <c r="F137" s="878">
        <f t="shared" ref="F137:F148" si="15">E137/D137*100</f>
        <v>80.512727309443761</v>
      </c>
      <c r="G137" s="878">
        <v>100</v>
      </c>
      <c r="H137" s="2134"/>
      <c r="J137" s="2135"/>
      <c r="K137" s="2135"/>
    </row>
    <row r="138" spans="2:11" s="2131" customFormat="1" ht="15.75" hidden="1" customHeight="1" x14ac:dyDescent="0.25">
      <c r="B138" s="2136"/>
      <c r="C138" s="4111" t="s">
        <v>1083</v>
      </c>
      <c r="D138" s="1418">
        <v>63622120</v>
      </c>
      <c r="E138" s="878">
        <v>60622120</v>
      </c>
      <c r="F138" s="878">
        <f t="shared" si="15"/>
        <v>95.284658857642597</v>
      </c>
      <c r="G138" s="878">
        <v>100</v>
      </c>
      <c r="H138" s="2134"/>
      <c r="J138" s="2135"/>
      <c r="K138" s="2135"/>
    </row>
    <row r="139" spans="2:11" s="2131" customFormat="1" ht="15" hidden="1" customHeight="1" x14ac:dyDescent="0.25">
      <c r="B139" s="2136"/>
      <c r="C139" s="4106" t="s">
        <v>1084</v>
      </c>
      <c r="D139" s="880">
        <v>465388000</v>
      </c>
      <c r="E139" s="878">
        <v>447920000</v>
      </c>
      <c r="F139" s="878">
        <f t="shared" si="15"/>
        <v>96.246572752198162</v>
      </c>
      <c r="G139" s="2230">
        <v>97</v>
      </c>
      <c r="H139" s="2134"/>
      <c r="J139" s="2135"/>
      <c r="K139" s="2135"/>
    </row>
    <row r="140" spans="2:11" s="2131" customFormat="1" ht="15" hidden="1" customHeight="1" x14ac:dyDescent="0.25">
      <c r="B140" s="2136"/>
      <c r="C140" s="4106" t="s">
        <v>1085</v>
      </c>
      <c r="D140" s="880">
        <v>247084000</v>
      </c>
      <c r="E140" s="878">
        <v>247084000</v>
      </c>
      <c r="F140" s="878">
        <f t="shared" si="15"/>
        <v>100</v>
      </c>
      <c r="G140" s="2230">
        <v>100</v>
      </c>
      <c r="H140" s="2134"/>
      <c r="J140" s="2135"/>
      <c r="K140" s="2135"/>
    </row>
    <row r="141" spans="2:11" s="2131" customFormat="1" ht="15" hidden="1" customHeight="1" x14ac:dyDescent="0.25">
      <c r="B141" s="2136"/>
      <c r="C141" s="4106" t="s">
        <v>1086</v>
      </c>
      <c r="D141" s="880">
        <v>177785314</v>
      </c>
      <c r="E141" s="878">
        <v>170305314</v>
      </c>
      <c r="F141" s="878">
        <f t="shared" si="15"/>
        <v>95.792678353623742</v>
      </c>
      <c r="G141" s="2230">
        <v>100</v>
      </c>
      <c r="H141" s="2134"/>
      <c r="J141" s="2135"/>
      <c r="K141" s="2135"/>
    </row>
    <row r="142" spans="2:11" s="2131" customFormat="1" ht="15" hidden="1" customHeight="1" x14ac:dyDescent="0.25">
      <c r="B142" s="2136"/>
      <c r="C142" s="4106" t="s">
        <v>1087</v>
      </c>
      <c r="D142" s="880">
        <v>230155000</v>
      </c>
      <c r="E142" s="878">
        <v>182250000</v>
      </c>
      <c r="F142" s="878">
        <f t="shared" si="15"/>
        <v>79.185766114140463</v>
      </c>
      <c r="G142" s="2230">
        <v>80</v>
      </c>
      <c r="H142" s="2134"/>
      <c r="J142" s="2135"/>
      <c r="K142" s="2135"/>
    </row>
    <row r="143" spans="2:11" s="2131" customFormat="1" ht="14.25" hidden="1" customHeight="1" x14ac:dyDescent="0.25">
      <c r="B143" s="2136"/>
      <c r="C143" s="4106" t="s">
        <v>1088</v>
      </c>
      <c r="D143" s="880">
        <v>250990000</v>
      </c>
      <c r="E143" s="878">
        <v>250990000</v>
      </c>
      <c r="F143" s="878">
        <f t="shared" si="15"/>
        <v>100</v>
      </c>
      <c r="G143" s="2230">
        <v>100</v>
      </c>
      <c r="H143" s="2134"/>
      <c r="J143" s="2135"/>
      <c r="K143" s="2135"/>
    </row>
    <row r="144" spans="2:11" s="2131" customFormat="1" ht="12" hidden="1" customHeight="1" x14ac:dyDescent="0.25">
      <c r="B144" s="2136"/>
      <c r="C144" s="4106" t="s">
        <v>1089</v>
      </c>
      <c r="D144" s="880">
        <v>220700000</v>
      </c>
      <c r="E144" s="878">
        <v>220700000</v>
      </c>
      <c r="F144" s="878">
        <f t="shared" si="15"/>
        <v>100</v>
      </c>
      <c r="G144" s="2230">
        <v>100</v>
      </c>
      <c r="H144" s="2134"/>
      <c r="J144" s="2135"/>
      <c r="K144" s="2135"/>
    </row>
    <row r="145" spans="2:11" s="2131" customFormat="1" ht="14.25" hidden="1" customHeight="1" x14ac:dyDescent="0.25">
      <c r="B145" s="2136"/>
      <c r="C145" s="4106" t="s">
        <v>1090</v>
      </c>
      <c r="D145" s="880">
        <v>183397000</v>
      </c>
      <c r="E145" s="878">
        <v>162075000</v>
      </c>
      <c r="F145" s="878">
        <f t="shared" si="15"/>
        <v>88.37385562468306</v>
      </c>
      <c r="G145" s="2230">
        <v>89</v>
      </c>
      <c r="H145" s="2134"/>
      <c r="J145" s="2135"/>
      <c r="K145" s="2135"/>
    </row>
    <row r="146" spans="2:11" s="2131" customFormat="1" ht="14.25" hidden="1" customHeight="1" x14ac:dyDescent="0.25">
      <c r="B146" s="2136"/>
      <c r="C146" s="4106" t="s">
        <v>1091</v>
      </c>
      <c r="D146" s="880">
        <v>251278000</v>
      </c>
      <c r="E146" s="878">
        <v>199113000</v>
      </c>
      <c r="F146" s="878">
        <f t="shared" si="15"/>
        <v>79.240124483639633</v>
      </c>
      <c r="G146" s="2230">
        <v>80</v>
      </c>
      <c r="H146" s="2134"/>
      <c r="J146" s="2135"/>
      <c r="K146" s="2135"/>
    </row>
    <row r="147" spans="2:11" s="2131" customFormat="1" ht="14.25" hidden="1" customHeight="1" x14ac:dyDescent="0.25">
      <c r="B147" s="2136"/>
      <c r="C147" s="4106" t="s">
        <v>1092</v>
      </c>
      <c r="D147" s="880">
        <v>280372500</v>
      </c>
      <c r="E147" s="878">
        <v>261216600</v>
      </c>
      <c r="F147" s="878">
        <f t="shared" si="15"/>
        <v>93.167696546558602</v>
      </c>
      <c r="G147" s="2230">
        <v>94</v>
      </c>
      <c r="H147" s="2134"/>
      <c r="J147" s="2135"/>
      <c r="K147" s="2135"/>
    </row>
    <row r="148" spans="2:11" s="2131" customFormat="1" ht="12" hidden="1" customHeight="1" x14ac:dyDescent="0.25">
      <c r="B148" s="2136"/>
      <c r="C148" s="4106" t="s">
        <v>1093</v>
      </c>
      <c r="D148" s="880">
        <v>300913000</v>
      </c>
      <c r="E148" s="878">
        <v>296093000</v>
      </c>
      <c r="F148" s="878">
        <f t="shared" si="15"/>
        <v>98.39820811995493</v>
      </c>
      <c r="G148" s="2230">
        <v>99</v>
      </c>
      <c r="H148" s="2134"/>
      <c r="J148" s="2135"/>
      <c r="K148" s="2135"/>
    </row>
    <row r="149" spans="2:11" s="2131" customFormat="1" ht="9" hidden="1" customHeight="1" x14ac:dyDescent="0.25">
      <c r="B149" s="2136"/>
      <c r="C149" s="3905"/>
      <c r="D149" s="731"/>
      <c r="E149" s="878"/>
      <c r="F149" s="1323"/>
      <c r="G149" s="2230"/>
      <c r="H149" s="2134"/>
      <c r="J149" s="2135"/>
      <c r="K149" s="2135"/>
    </row>
    <row r="150" spans="2:11" s="2131" customFormat="1" ht="18" hidden="1" customHeight="1" x14ac:dyDescent="0.25">
      <c r="B150" s="2136"/>
      <c r="C150" s="3878" t="s">
        <v>1013</v>
      </c>
      <c r="D150" s="1416">
        <f>D151</f>
        <v>139050000</v>
      </c>
      <c r="E150" s="1416">
        <f>E151</f>
        <v>137672500</v>
      </c>
      <c r="F150" s="1166">
        <f>E150/D150*100</f>
        <v>99.009349154980214</v>
      </c>
      <c r="G150" s="2006">
        <v>100</v>
      </c>
      <c r="H150" s="2134"/>
      <c r="J150" s="2135"/>
      <c r="K150" s="2135"/>
    </row>
    <row r="151" spans="2:11" s="2131" customFormat="1" ht="28.5" hidden="1" customHeight="1" x14ac:dyDescent="0.25">
      <c r="B151" s="2136"/>
      <c r="C151" s="4111" t="s">
        <v>1094</v>
      </c>
      <c r="D151" s="885">
        <v>139050000</v>
      </c>
      <c r="E151" s="878">
        <v>137672500</v>
      </c>
      <c r="F151" s="878">
        <f t="shared" ref="F151" si="16">E151/D151*100</f>
        <v>99.009349154980214</v>
      </c>
      <c r="G151" s="2230">
        <v>100</v>
      </c>
      <c r="H151" s="2134"/>
      <c r="J151" s="2135"/>
      <c r="K151" s="2135"/>
    </row>
    <row r="152" spans="2:11" s="2131" customFormat="1" ht="12.75" hidden="1" customHeight="1" x14ac:dyDescent="0.25">
      <c r="B152" s="2136"/>
      <c r="C152" s="3986"/>
      <c r="D152" s="730"/>
      <c r="E152" s="878"/>
      <c r="F152" s="1717"/>
      <c r="G152" s="2230"/>
      <c r="H152" s="2134"/>
      <c r="J152" s="2135"/>
      <c r="K152" s="2135"/>
    </row>
    <row r="153" spans="2:11" s="2131" customFormat="1" ht="19.5" hidden="1" customHeight="1" x14ac:dyDescent="0.25">
      <c r="B153" s="2136"/>
      <c r="C153" s="4102" t="s">
        <v>1095</v>
      </c>
      <c r="D153" s="1417">
        <f>D154</f>
        <v>78000000</v>
      </c>
      <c r="E153" s="1417">
        <f>E154</f>
        <v>78000000</v>
      </c>
      <c r="F153" s="1166">
        <f>E153/D153*100</f>
        <v>100</v>
      </c>
      <c r="G153" s="1308">
        <v>100</v>
      </c>
      <c r="H153" s="2134"/>
      <c r="J153" s="2135"/>
      <c r="K153" s="2135"/>
    </row>
    <row r="154" spans="2:11" s="2131" customFormat="1" ht="18" hidden="1" customHeight="1" x14ac:dyDescent="0.25">
      <c r="B154" s="2136"/>
      <c r="C154" s="3876" t="s">
        <v>1096</v>
      </c>
      <c r="D154" s="1492">
        <v>78000000</v>
      </c>
      <c r="E154" s="878">
        <v>78000000</v>
      </c>
      <c r="F154" s="878">
        <f t="shared" ref="F154" si="17">E154/D154*100</f>
        <v>100</v>
      </c>
      <c r="G154" s="1310">
        <v>100</v>
      </c>
      <c r="H154" s="2134"/>
      <c r="J154" s="2135"/>
      <c r="K154" s="2135"/>
    </row>
    <row r="155" spans="2:11" s="2131" customFormat="1" ht="9.75" hidden="1" customHeight="1" x14ac:dyDescent="0.25">
      <c r="B155" s="2136"/>
      <c r="C155" s="3986"/>
      <c r="D155" s="730"/>
      <c r="E155" s="878"/>
      <c r="F155" s="1717"/>
      <c r="G155" s="2230"/>
      <c r="H155" s="2134"/>
      <c r="J155" s="2135"/>
      <c r="K155" s="2135"/>
    </row>
    <row r="156" spans="2:11" s="2131" customFormat="1" ht="18" hidden="1" customHeight="1" x14ac:dyDescent="0.25">
      <c r="B156" s="2136"/>
      <c r="C156" s="4102" t="s">
        <v>1097</v>
      </c>
      <c r="D156" s="1417">
        <f>D157+D158+D159</f>
        <v>275975000</v>
      </c>
      <c r="E156" s="1417">
        <f>E157+E158+E159</f>
        <v>275457300</v>
      </c>
      <c r="F156" s="1166">
        <f>E156/D156*100</f>
        <v>99.812410544433376</v>
      </c>
      <c r="G156" s="2006">
        <v>100</v>
      </c>
      <c r="H156" s="2134"/>
      <c r="J156" s="2135"/>
      <c r="K156" s="2135"/>
    </row>
    <row r="157" spans="2:11" s="2131" customFormat="1" ht="16.5" hidden="1" customHeight="1" x14ac:dyDescent="0.25">
      <c r="B157" s="2136"/>
      <c r="C157" s="3876" t="s">
        <v>1098</v>
      </c>
      <c r="D157" s="880">
        <v>84825000</v>
      </c>
      <c r="E157" s="878">
        <v>84692500</v>
      </c>
      <c r="F157" s="878">
        <f t="shared" ref="F157:F159" si="18">E157/D157*100</f>
        <v>99.843796050692603</v>
      </c>
      <c r="G157" s="2230">
        <v>100</v>
      </c>
      <c r="H157" s="2134"/>
      <c r="J157" s="2135"/>
      <c r="K157" s="2135"/>
    </row>
    <row r="158" spans="2:11" s="2131" customFormat="1" ht="15" hidden="1" customHeight="1" x14ac:dyDescent="0.25">
      <c r="B158" s="2136"/>
      <c r="C158" s="3876" t="s">
        <v>1099</v>
      </c>
      <c r="D158" s="1492">
        <v>106950000</v>
      </c>
      <c r="E158" s="878">
        <v>106664800</v>
      </c>
      <c r="F158" s="878">
        <f t="shared" si="18"/>
        <v>99.733333333333334</v>
      </c>
      <c r="G158" s="2230">
        <v>100</v>
      </c>
      <c r="H158" s="2134"/>
      <c r="J158" s="2135"/>
      <c r="K158" s="2135"/>
    </row>
    <row r="159" spans="2:11" s="2131" customFormat="1" ht="15.75" hidden="1" customHeight="1" x14ac:dyDescent="0.25">
      <c r="B159" s="2136"/>
      <c r="C159" s="3876" t="s">
        <v>1100</v>
      </c>
      <c r="D159" s="1492">
        <v>84200000</v>
      </c>
      <c r="E159" s="878">
        <v>84100000</v>
      </c>
      <c r="F159" s="878">
        <f t="shared" si="18"/>
        <v>99.881235154394304</v>
      </c>
      <c r="G159" s="2230">
        <v>100</v>
      </c>
      <c r="H159" s="2134"/>
      <c r="J159" s="2135"/>
      <c r="K159" s="2135"/>
    </row>
    <row r="160" spans="2:11" s="2131" customFormat="1" ht="9.75" hidden="1" customHeight="1" x14ac:dyDescent="0.25">
      <c r="B160" s="2136"/>
      <c r="C160" s="3986"/>
      <c r="D160" s="730"/>
      <c r="E160" s="878"/>
      <c r="F160" s="1717"/>
      <c r="G160" s="2230"/>
      <c r="H160" s="2134"/>
      <c r="J160" s="2135"/>
      <c r="K160" s="2135"/>
    </row>
    <row r="161" spans="2:11" s="2131" customFormat="1" ht="16.5" hidden="1" customHeight="1" x14ac:dyDescent="0.25">
      <c r="B161" s="2136"/>
      <c r="C161" s="3878" t="s">
        <v>1101</v>
      </c>
      <c r="D161" s="1416">
        <f>D162</f>
        <v>150669810</v>
      </c>
      <c r="E161" s="1416">
        <f>E162</f>
        <v>138624800</v>
      </c>
      <c r="F161" s="1166">
        <f>E161/D161*100</f>
        <v>92.005691120205171</v>
      </c>
      <c r="G161" s="2006">
        <v>95</v>
      </c>
      <c r="H161" s="2134"/>
      <c r="J161" s="2135"/>
      <c r="K161" s="2135"/>
    </row>
    <row r="162" spans="2:11" s="2131" customFormat="1" ht="30" hidden="1" customHeight="1" x14ac:dyDescent="0.25">
      <c r="B162" s="2136"/>
      <c r="C162" s="4111" t="s">
        <v>1102</v>
      </c>
      <c r="D162" s="886">
        <v>150669810</v>
      </c>
      <c r="E162" s="878">
        <v>138624800</v>
      </c>
      <c r="F162" s="878">
        <f t="shared" ref="F162" si="19">E162/D162*100</f>
        <v>92.005691120205171</v>
      </c>
      <c r="G162" s="2230">
        <v>95</v>
      </c>
      <c r="H162" s="2134"/>
      <c r="J162" s="2135"/>
      <c r="K162" s="2135"/>
    </row>
    <row r="163" spans="2:11" s="2131" customFormat="1" ht="9.75" hidden="1" customHeight="1" x14ac:dyDescent="0.25">
      <c r="B163" s="2136"/>
      <c r="C163" s="3986"/>
      <c r="D163" s="730"/>
      <c r="E163" s="878"/>
      <c r="F163" s="1717"/>
      <c r="G163" s="2230"/>
      <c r="H163" s="2134"/>
      <c r="J163" s="2135"/>
      <c r="K163" s="2135"/>
    </row>
    <row r="164" spans="2:11" s="2131" customFormat="1" ht="15" hidden="1" customHeight="1" x14ac:dyDescent="0.25">
      <c r="B164" s="2136"/>
      <c r="C164" s="3878" t="s">
        <v>1103</v>
      </c>
      <c r="D164" s="1416">
        <f>D165+D166</f>
        <v>190200000</v>
      </c>
      <c r="E164" s="1416">
        <f>E165+E166</f>
        <v>189871500</v>
      </c>
      <c r="F164" s="1166">
        <f>E164/D164*100</f>
        <v>99.827287066246058</v>
      </c>
      <c r="G164" s="2006">
        <v>100</v>
      </c>
      <c r="H164" s="2134"/>
      <c r="J164" s="2135"/>
      <c r="K164" s="2135"/>
    </row>
    <row r="165" spans="2:11" s="2131" customFormat="1" ht="15.75" hidden="1" customHeight="1" x14ac:dyDescent="0.25">
      <c r="B165" s="2136"/>
      <c r="C165" s="3876" t="s">
        <v>1104</v>
      </c>
      <c r="D165" s="880">
        <v>135700000</v>
      </c>
      <c r="E165" s="878">
        <v>135700000</v>
      </c>
      <c r="F165" s="878">
        <f t="shared" ref="F165:F166" si="20">E165/D165*100</f>
        <v>100</v>
      </c>
      <c r="G165" s="2230">
        <v>100</v>
      </c>
      <c r="H165" s="2134"/>
      <c r="J165" s="2135"/>
      <c r="K165" s="2135"/>
    </row>
    <row r="166" spans="2:11" s="2131" customFormat="1" ht="15" hidden="1" customHeight="1" x14ac:dyDescent="0.25">
      <c r="B166" s="2136"/>
      <c r="C166" s="4111" t="s">
        <v>1105</v>
      </c>
      <c r="D166" s="1412">
        <v>54500000</v>
      </c>
      <c r="E166" s="878">
        <v>54171500</v>
      </c>
      <c r="F166" s="878">
        <f t="shared" si="20"/>
        <v>99.397247706422021</v>
      </c>
      <c r="G166" s="2230">
        <v>100</v>
      </c>
      <c r="H166" s="2134"/>
      <c r="J166" s="2135"/>
      <c r="K166" s="2135"/>
    </row>
    <row r="167" spans="2:11" s="2131" customFormat="1" ht="8.25" hidden="1" customHeight="1" x14ac:dyDescent="0.25">
      <c r="B167" s="2136"/>
      <c r="C167" s="3986"/>
      <c r="D167" s="730"/>
      <c r="E167" s="878"/>
      <c r="F167" s="1717"/>
      <c r="G167" s="2230"/>
      <c r="H167" s="2134"/>
      <c r="J167" s="2135"/>
      <c r="K167" s="2135"/>
    </row>
    <row r="168" spans="2:11" s="2131" customFormat="1" ht="18" hidden="1" customHeight="1" x14ac:dyDescent="0.25">
      <c r="B168" s="2136"/>
      <c r="C168" s="4102" t="s">
        <v>1106</v>
      </c>
      <c r="D168" s="1417">
        <f>SUM(D169:D172)</f>
        <v>431465000</v>
      </c>
      <c r="E168" s="1417">
        <f>SUM(E169:E172)</f>
        <v>418190000</v>
      </c>
      <c r="F168" s="1173">
        <f>E168/D168*100</f>
        <v>96.923273034892759</v>
      </c>
      <c r="G168" s="2006">
        <f>SUM(G169:G172)/4</f>
        <v>98.75</v>
      </c>
      <c r="H168" s="2134"/>
      <c r="J168" s="2135"/>
      <c r="K168" s="2135"/>
    </row>
    <row r="169" spans="2:11" s="2131" customFormat="1" ht="16.5" hidden="1" customHeight="1" x14ac:dyDescent="0.25">
      <c r="B169" s="2136"/>
      <c r="C169" s="3876" t="s">
        <v>1107</v>
      </c>
      <c r="D169" s="1492">
        <v>226725000</v>
      </c>
      <c r="E169" s="878">
        <v>213450000</v>
      </c>
      <c r="F169" s="878">
        <f t="shared" ref="F169:F172" si="21">E169/D169*100</f>
        <v>94.144889182930868</v>
      </c>
      <c r="G169" s="2230">
        <v>95</v>
      </c>
      <c r="H169" s="2134"/>
      <c r="J169" s="2135"/>
      <c r="K169" s="2135"/>
    </row>
    <row r="170" spans="2:11" s="2131" customFormat="1" ht="15" hidden="1" customHeight="1" x14ac:dyDescent="0.25">
      <c r="B170" s="2136"/>
      <c r="C170" s="3876" t="s">
        <v>1108</v>
      </c>
      <c r="D170" s="1492">
        <v>65840000</v>
      </c>
      <c r="E170" s="878">
        <v>65840000</v>
      </c>
      <c r="F170" s="878">
        <f t="shared" si="21"/>
        <v>100</v>
      </c>
      <c r="G170" s="2230">
        <v>100</v>
      </c>
      <c r="H170" s="2134"/>
      <c r="J170" s="2135"/>
      <c r="K170" s="2135"/>
    </row>
    <row r="171" spans="2:11" s="2131" customFormat="1" ht="16.5" hidden="1" customHeight="1" x14ac:dyDescent="0.25">
      <c r="B171" s="2136"/>
      <c r="C171" s="3988" t="s">
        <v>1109</v>
      </c>
      <c r="D171" s="1418">
        <v>68600000</v>
      </c>
      <c r="E171" s="878">
        <v>68600000</v>
      </c>
      <c r="F171" s="878">
        <f t="shared" si="21"/>
        <v>100</v>
      </c>
      <c r="G171" s="2230">
        <v>100</v>
      </c>
      <c r="H171" s="2134"/>
      <c r="J171" s="2135"/>
      <c r="K171" s="2135"/>
    </row>
    <row r="172" spans="2:11" s="2131" customFormat="1" ht="14.25" hidden="1" customHeight="1" x14ac:dyDescent="0.25">
      <c r="B172" s="2136"/>
      <c r="C172" s="4111" t="s">
        <v>1110</v>
      </c>
      <c r="D172" s="1412">
        <v>70300000</v>
      </c>
      <c r="E172" s="1852">
        <v>70300000</v>
      </c>
      <c r="F172" s="878">
        <f t="shared" si="21"/>
        <v>100</v>
      </c>
      <c r="G172" s="2230">
        <v>100</v>
      </c>
      <c r="H172" s="2134"/>
      <c r="J172" s="2135"/>
      <c r="K172" s="2135"/>
    </row>
    <row r="173" spans="2:11" s="2131" customFormat="1" ht="11.25" hidden="1" customHeight="1" x14ac:dyDescent="0.25">
      <c r="B173" s="2136"/>
      <c r="C173" s="3986"/>
      <c r="D173" s="730"/>
      <c r="E173" s="878"/>
      <c r="F173" s="1323"/>
      <c r="G173" s="2230"/>
      <c r="H173" s="2134"/>
      <c r="J173" s="2135"/>
      <c r="K173" s="2135"/>
    </row>
    <row r="174" spans="2:11" s="2131" customFormat="1" ht="22.5" hidden="1" customHeight="1" x14ac:dyDescent="0.25">
      <c r="B174" s="2136"/>
      <c r="C174" s="3878" t="s">
        <v>1111</v>
      </c>
      <c r="D174" s="1416">
        <f>SUM(D175:D179)</f>
        <v>712720600</v>
      </c>
      <c r="E174" s="1416">
        <f>SUM(E175:E179)</f>
        <v>635346791</v>
      </c>
      <c r="F174" s="1166">
        <f>E174/D174*100</f>
        <v>89.143879242440875</v>
      </c>
      <c r="G174" s="877">
        <f>SUM(G175:G179)/5</f>
        <v>94.4</v>
      </c>
      <c r="H174" s="2134"/>
      <c r="J174" s="2135"/>
      <c r="K174" s="2135"/>
    </row>
    <row r="175" spans="2:11" s="2131" customFormat="1" ht="15.75" hidden="1" customHeight="1" x14ac:dyDescent="0.25">
      <c r="B175" s="2136"/>
      <c r="C175" s="3876" t="s">
        <v>1112</v>
      </c>
      <c r="D175" s="1492">
        <v>134700000</v>
      </c>
      <c r="E175" s="878">
        <v>130952200</v>
      </c>
      <c r="F175" s="878">
        <f t="shared" ref="F175:F179" si="22">E175/D175*100</f>
        <v>97.217668893838166</v>
      </c>
      <c r="G175" s="878">
        <v>100</v>
      </c>
      <c r="H175" s="2134"/>
      <c r="J175" s="2135"/>
      <c r="K175" s="2135"/>
    </row>
    <row r="176" spans="2:11" s="2131" customFormat="1" ht="15" hidden="1" customHeight="1" x14ac:dyDescent="0.25">
      <c r="B176" s="2136"/>
      <c r="C176" s="3876" t="s">
        <v>1113</v>
      </c>
      <c r="D176" s="1492">
        <v>187175600</v>
      </c>
      <c r="E176" s="878">
        <v>159074900</v>
      </c>
      <c r="F176" s="878">
        <f t="shared" si="22"/>
        <v>84.986985483150576</v>
      </c>
      <c r="G176" s="878">
        <v>100</v>
      </c>
      <c r="H176" s="2134"/>
      <c r="J176" s="2135"/>
      <c r="K176" s="2135"/>
    </row>
    <row r="177" spans="2:11" s="2131" customFormat="1" ht="32.25" hidden="1" customHeight="1" x14ac:dyDescent="0.25">
      <c r="B177" s="2136"/>
      <c r="C177" s="3876" t="s">
        <v>1114</v>
      </c>
      <c r="D177" s="880">
        <v>104145000</v>
      </c>
      <c r="E177" s="878">
        <v>104145000</v>
      </c>
      <c r="F177" s="878">
        <f t="shared" si="22"/>
        <v>100</v>
      </c>
      <c r="G177" s="878">
        <v>100</v>
      </c>
      <c r="H177" s="2134"/>
      <c r="J177" s="2135"/>
      <c r="K177" s="2135"/>
    </row>
    <row r="178" spans="2:11" s="2131" customFormat="1" ht="15" hidden="1" customHeight="1" x14ac:dyDescent="0.25">
      <c r="B178" s="2136"/>
      <c r="C178" s="3876" t="s">
        <v>1115</v>
      </c>
      <c r="D178" s="1492">
        <v>162200000</v>
      </c>
      <c r="E178" s="878">
        <v>116674691</v>
      </c>
      <c r="F178" s="878">
        <f t="shared" si="22"/>
        <v>71.932608508014795</v>
      </c>
      <c r="G178" s="878">
        <v>72</v>
      </c>
      <c r="H178" s="2134"/>
      <c r="J178" s="2135"/>
      <c r="K178" s="2135"/>
    </row>
    <row r="179" spans="2:11" s="2131" customFormat="1" ht="18" hidden="1" customHeight="1" x14ac:dyDescent="0.25">
      <c r="B179" s="2136"/>
      <c r="C179" s="3876" t="s">
        <v>1127</v>
      </c>
      <c r="D179" s="1492">
        <v>124500000</v>
      </c>
      <c r="E179" s="878">
        <v>124500000</v>
      </c>
      <c r="F179" s="878">
        <f t="shared" si="22"/>
        <v>100</v>
      </c>
      <c r="G179" s="878">
        <v>100</v>
      </c>
      <c r="H179" s="2134"/>
      <c r="J179" s="2135"/>
      <c r="K179" s="2135"/>
    </row>
    <row r="180" spans="2:11" s="2131" customFormat="1" ht="9" hidden="1" customHeight="1" x14ac:dyDescent="0.25">
      <c r="B180" s="2136"/>
      <c r="C180" s="4106"/>
      <c r="D180" s="730"/>
      <c r="E180" s="878"/>
      <c r="F180" s="1323"/>
      <c r="G180" s="2230"/>
      <c r="H180" s="2134"/>
      <c r="J180" s="2135"/>
      <c r="K180" s="2135"/>
    </row>
    <row r="181" spans="2:11" s="2131" customFormat="1" ht="15.75" hidden="1" customHeight="1" x14ac:dyDescent="0.25">
      <c r="B181" s="2136"/>
      <c r="C181" s="3878" t="s">
        <v>1116</v>
      </c>
      <c r="D181" s="1416">
        <f>D182+D183</f>
        <v>415300000</v>
      </c>
      <c r="E181" s="1416">
        <f>E182+E183</f>
        <v>382700000</v>
      </c>
      <c r="F181" s="1166">
        <f>E181/D181*100</f>
        <v>92.150252829280049</v>
      </c>
      <c r="G181" s="2006">
        <v>100</v>
      </c>
      <c r="H181" s="2134"/>
      <c r="J181" s="2135"/>
      <c r="K181" s="2135"/>
    </row>
    <row r="182" spans="2:11" s="2131" customFormat="1" ht="13.5" hidden="1" customHeight="1" x14ac:dyDescent="0.25">
      <c r="B182" s="2136"/>
      <c r="C182" s="3876" t="s">
        <v>1117</v>
      </c>
      <c r="D182" s="1492">
        <v>75100000</v>
      </c>
      <c r="E182" s="1846">
        <v>75100000</v>
      </c>
      <c r="F182" s="878">
        <f t="shared" ref="F182:F183" si="23">E182/D182*100</f>
        <v>100</v>
      </c>
      <c r="G182" s="2230">
        <v>100</v>
      </c>
      <c r="H182" s="2134"/>
      <c r="J182" s="2135"/>
      <c r="K182" s="2135"/>
    </row>
    <row r="183" spans="2:11" s="2131" customFormat="1" ht="15" hidden="1" customHeight="1" x14ac:dyDescent="0.25">
      <c r="B183" s="2136"/>
      <c r="C183" s="4111" t="s">
        <v>1118</v>
      </c>
      <c r="D183" s="1412">
        <v>340200000</v>
      </c>
      <c r="E183" s="878">
        <v>307600000</v>
      </c>
      <c r="F183" s="878">
        <f t="shared" si="23"/>
        <v>90.417401528512642</v>
      </c>
      <c r="G183" s="2230">
        <v>100</v>
      </c>
      <c r="H183" s="2134"/>
      <c r="J183" s="2135"/>
      <c r="K183" s="2135"/>
    </row>
    <row r="184" spans="2:11" s="2131" customFormat="1" ht="7.5" hidden="1" customHeight="1" x14ac:dyDescent="0.25">
      <c r="B184" s="2136"/>
      <c r="C184" s="3986"/>
      <c r="D184" s="730"/>
      <c r="E184" s="878"/>
      <c r="F184" s="1717"/>
      <c r="G184" s="2230"/>
      <c r="H184" s="2134"/>
      <c r="J184" s="2135"/>
      <c r="K184" s="2135"/>
    </row>
    <row r="185" spans="2:11" s="2131" customFormat="1" ht="28.5" hidden="1" customHeight="1" x14ac:dyDescent="0.25">
      <c r="B185" s="2136"/>
      <c r="C185" s="4102" t="s">
        <v>1119</v>
      </c>
      <c r="D185" s="811">
        <f>SUM(D186:D188)</f>
        <v>5197518166</v>
      </c>
      <c r="E185" s="811">
        <f>SUM(E186:E188)</f>
        <v>4832711000</v>
      </c>
      <c r="F185" s="1166">
        <f>E185/D185*100</f>
        <v>92.981127639217959</v>
      </c>
      <c r="G185" s="2006">
        <v>100</v>
      </c>
      <c r="H185" s="2134"/>
      <c r="J185" s="2135"/>
      <c r="K185" s="2135"/>
    </row>
    <row r="186" spans="2:11" s="2131" customFormat="1" ht="15" hidden="1" customHeight="1" x14ac:dyDescent="0.25">
      <c r="B186" s="2136"/>
      <c r="C186" s="3876" t="s">
        <v>1120</v>
      </c>
      <c r="D186" s="1492">
        <v>4016518166</v>
      </c>
      <c r="E186" s="878">
        <v>3769516000</v>
      </c>
      <c r="F186" s="878">
        <f t="shared" ref="F186:F188" si="24">E186/D186*100</f>
        <v>93.850341121549405</v>
      </c>
      <c r="G186" s="2230">
        <v>100</v>
      </c>
      <c r="H186" s="2134"/>
      <c r="J186" s="2135"/>
      <c r="K186" s="2135"/>
    </row>
    <row r="187" spans="2:11" s="2131" customFormat="1" ht="17.25" hidden="1" customHeight="1" x14ac:dyDescent="0.25">
      <c r="B187" s="2136"/>
      <c r="C187" s="3876" t="s">
        <v>1121</v>
      </c>
      <c r="D187" s="1492">
        <v>126000000</v>
      </c>
      <c r="E187" s="878">
        <v>126000000</v>
      </c>
      <c r="F187" s="878">
        <f t="shared" si="24"/>
        <v>100</v>
      </c>
      <c r="G187" s="2230">
        <v>100</v>
      </c>
      <c r="H187" s="2134"/>
      <c r="J187" s="2135"/>
      <c r="K187" s="2135"/>
    </row>
    <row r="188" spans="2:11" s="2131" customFormat="1" ht="14.25" hidden="1" customHeight="1" x14ac:dyDescent="0.25">
      <c r="B188" s="2136"/>
      <c r="C188" s="3876" t="s">
        <v>1332</v>
      </c>
      <c r="D188" s="1492">
        <v>1055000000</v>
      </c>
      <c r="E188" s="878">
        <v>937195000</v>
      </c>
      <c r="F188" s="878">
        <f t="shared" si="24"/>
        <v>88.833649289099526</v>
      </c>
      <c r="G188" s="2230">
        <v>100</v>
      </c>
      <c r="H188" s="2134"/>
      <c r="J188" s="2135"/>
      <c r="K188" s="2135"/>
    </row>
    <row r="189" spans="2:11" s="2131" customFormat="1" ht="12" hidden="1" customHeight="1" x14ac:dyDescent="0.25">
      <c r="B189" s="2136"/>
      <c r="C189" s="3986"/>
      <c r="D189" s="730"/>
      <c r="E189" s="878"/>
      <c r="F189" s="1717"/>
      <c r="G189" s="2230"/>
      <c r="H189" s="2134"/>
      <c r="J189" s="2135"/>
      <c r="K189" s="2135"/>
    </row>
    <row r="190" spans="2:11" s="2131" customFormat="1" ht="17.25" hidden="1" customHeight="1" x14ac:dyDescent="0.25">
      <c r="B190" s="2136"/>
      <c r="C190" s="3878" t="s">
        <v>1122</v>
      </c>
      <c r="D190" s="1416">
        <f>D191</f>
        <v>40500000</v>
      </c>
      <c r="E190" s="1416">
        <f>E191</f>
        <v>38000000</v>
      </c>
      <c r="F190" s="1166">
        <f>E190/D190*100</f>
        <v>93.827160493827151</v>
      </c>
      <c r="G190" s="877">
        <v>100</v>
      </c>
      <c r="H190" s="2134"/>
      <c r="J190" s="2135"/>
      <c r="K190" s="2135"/>
    </row>
    <row r="191" spans="2:11" s="2131" customFormat="1" ht="17.25" hidden="1" customHeight="1" x14ac:dyDescent="0.25">
      <c r="B191" s="2136"/>
      <c r="C191" s="3876" t="s">
        <v>1123</v>
      </c>
      <c r="D191" s="1492">
        <v>40500000</v>
      </c>
      <c r="E191" s="878">
        <v>38000000</v>
      </c>
      <c r="F191" s="878">
        <f t="shared" ref="F191" si="25">E191/D191*100</f>
        <v>93.827160493827151</v>
      </c>
      <c r="G191" s="878">
        <v>100</v>
      </c>
      <c r="H191" s="2134"/>
      <c r="J191" s="2135"/>
      <c r="K191" s="2135"/>
    </row>
    <row r="192" spans="2:11" s="2131" customFormat="1" ht="12" hidden="1" customHeight="1" x14ac:dyDescent="0.25">
      <c r="B192" s="2136"/>
      <c r="C192" s="3986"/>
      <c r="D192" s="730"/>
      <c r="E192" s="878"/>
      <c r="F192" s="1167"/>
      <c r="G192" s="878"/>
      <c r="H192" s="2134"/>
      <c r="J192" s="2135"/>
      <c r="K192" s="2135"/>
    </row>
    <row r="193" spans="2:11" s="2131" customFormat="1" ht="12" hidden="1" customHeight="1" x14ac:dyDescent="0.25">
      <c r="B193" s="2136"/>
      <c r="C193" s="4102" t="s">
        <v>1124</v>
      </c>
      <c r="D193" s="1417">
        <f>SUM(D194:D194)</f>
        <v>157120000</v>
      </c>
      <c r="E193" s="1417">
        <f>SUM(E194:E194)</f>
        <v>155470000</v>
      </c>
      <c r="F193" s="1166">
        <f>E193/D193*100</f>
        <v>98.949847250509166</v>
      </c>
      <c r="G193" s="877">
        <v>100</v>
      </c>
      <c r="H193" s="2134"/>
      <c r="J193" s="2135"/>
      <c r="K193" s="2135"/>
    </row>
    <row r="194" spans="2:11" s="2131" customFormat="1" ht="12" hidden="1" customHeight="1" x14ac:dyDescent="0.25">
      <c r="B194" s="2136"/>
      <c r="C194" s="3902" t="s">
        <v>1125</v>
      </c>
      <c r="D194" s="880">
        <v>157120000</v>
      </c>
      <c r="E194" s="878">
        <v>155470000</v>
      </c>
      <c r="F194" s="878">
        <f t="shared" ref="F194" si="26">E194/D194*100</f>
        <v>98.949847250509166</v>
      </c>
      <c r="G194" s="878">
        <v>100</v>
      </c>
      <c r="H194" s="2134"/>
      <c r="J194" s="2135"/>
      <c r="K194" s="2135"/>
    </row>
    <row r="195" spans="2:11" s="2017" customFormat="1" ht="12" hidden="1" customHeight="1" x14ac:dyDescent="0.25">
      <c r="B195" s="2020"/>
      <c r="C195" s="1150"/>
      <c r="D195" s="799"/>
      <c r="E195" s="887"/>
      <c r="F195" s="2359"/>
      <c r="G195" s="3156"/>
      <c r="H195" s="2019"/>
      <c r="J195" s="2130"/>
      <c r="K195" s="2130"/>
    </row>
    <row r="196" spans="2:11" s="2131" customFormat="1" ht="16.5" hidden="1" customHeight="1" x14ac:dyDescent="0.25">
      <c r="B196" s="2132"/>
      <c r="C196" s="1180" t="s">
        <v>315</v>
      </c>
      <c r="D196" s="2018">
        <f>D197</f>
        <v>6140993880</v>
      </c>
      <c r="E196" s="2018">
        <f>E197</f>
        <v>6115372738</v>
      </c>
      <c r="F196" s="1445">
        <f>SUM(E196/D196)*100</f>
        <v>99.582785091458192</v>
      </c>
      <c r="G196" s="2325">
        <f>G197</f>
        <v>100</v>
      </c>
      <c r="H196" s="2134"/>
      <c r="J196" s="2135"/>
      <c r="K196" s="2135"/>
    </row>
    <row r="197" spans="2:11" s="2131" customFormat="1" ht="19.5" hidden="1" customHeight="1" x14ac:dyDescent="0.25">
      <c r="B197" s="2141"/>
      <c r="C197" s="1302" t="s">
        <v>316</v>
      </c>
      <c r="D197" s="2026">
        <f>D198</f>
        <v>6140993880</v>
      </c>
      <c r="E197" s="2026">
        <f>E198</f>
        <v>6115372738</v>
      </c>
      <c r="F197" s="1472">
        <f>SUM(E197/D197)*100</f>
        <v>99.582785091458192</v>
      </c>
      <c r="G197" s="2245">
        <f>G198</f>
        <v>100</v>
      </c>
      <c r="H197" s="2134"/>
      <c r="J197" s="2135"/>
      <c r="K197" s="2135"/>
    </row>
    <row r="198" spans="2:11" s="2131" customFormat="1" ht="15" hidden="1" customHeight="1" x14ac:dyDescent="0.25">
      <c r="B198" s="2136"/>
      <c r="C198" s="3052" t="s">
        <v>1126</v>
      </c>
      <c r="D198" s="1572">
        <v>6140993880</v>
      </c>
      <c r="E198" s="878">
        <v>6115372738</v>
      </c>
      <c r="F198" s="2303">
        <f>E198/D198*100</f>
        <v>99.582785091458192</v>
      </c>
      <c r="G198" s="2230">
        <v>100</v>
      </c>
      <c r="H198" s="2134"/>
      <c r="J198" s="2135"/>
      <c r="K198" s="2135"/>
    </row>
    <row r="199" spans="2:11" s="2029" customFormat="1" ht="12" hidden="1" customHeight="1" x14ac:dyDescent="0.25">
      <c r="B199" s="2027"/>
      <c r="C199" s="1271"/>
      <c r="D199" s="796"/>
      <c r="E199" s="882"/>
      <c r="F199" s="783"/>
      <c r="G199" s="783"/>
      <c r="H199" s="2028"/>
      <c r="J199" s="2142"/>
      <c r="K199" s="2142"/>
    </row>
    <row r="200" spans="2:11" s="2123" customFormat="1" ht="22.5" hidden="1" customHeight="1" x14ac:dyDescent="0.25">
      <c r="B200" s="2121"/>
      <c r="C200" s="3063" t="s">
        <v>1331</v>
      </c>
      <c r="D200" s="743">
        <f>D201</f>
        <v>625300000</v>
      </c>
      <c r="E200" s="743">
        <f>E201</f>
        <v>600154600</v>
      </c>
      <c r="F200" s="2240">
        <f>SUM(E200/D200)*100</f>
        <v>95.978666240204703</v>
      </c>
      <c r="G200" s="2652">
        <f>G201</f>
        <v>100</v>
      </c>
      <c r="H200" s="2144"/>
      <c r="J200" s="2145"/>
      <c r="K200" s="2145"/>
    </row>
    <row r="201" spans="2:11" s="2123" customFormat="1" ht="21" hidden="1" customHeight="1" x14ac:dyDescent="0.25">
      <c r="B201" s="2124"/>
      <c r="C201" s="2854" t="s">
        <v>1149</v>
      </c>
      <c r="D201" s="3042">
        <f>D202</f>
        <v>625300000</v>
      </c>
      <c r="E201" s="3042">
        <f>E202</f>
        <v>600154600</v>
      </c>
      <c r="F201" s="1473">
        <f>SUM(E201/D201)*100</f>
        <v>95.978666240204703</v>
      </c>
      <c r="G201" s="3155">
        <f>G202</f>
        <v>100</v>
      </c>
      <c r="H201" s="2144"/>
      <c r="J201" s="2145"/>
      <c r="K201" s="2145"/>
    </row>
    <row r="202" spans="2:11" s="2123" customFormat="1" ht="15.75" hidden="1" customHeight="1" x14ac:dyDescent="0.25">
      <c r="B202" s="2124"/>
      <c r="C202" s="3064" t="s">
        <v>1150</v>
      </c>
      <c r="D202" s="3039">
        <v>625300000</v>
      </c>
      <c r="E202" s="2309">
        <v>600154600</v>
      </c>
      <c r="F202" s="1126">
        <f>SUM(E202/D202)*100</f>
        <v>95.978666240204703</v>
      </c>
      <c r="G202" s="2327">
        <v>100</v>
      </c>
      <c r="H202" s="2144"/>
      <c r="J202" s="2145"/>
      <c r="K202" s="2145"/>
    </row>
    <row r="203" spans="2:11" s="2029" customFormat="1" ht="12" hidden="1" customHeight="1" x14ac:dyDescent="0.25">
      <c r="B203" s="2027"/>
      <c r="C203" s="1259"/>
      <c r="D203" s="808"/>
      <c r="E203" s="887"/>
      <c r="F203" s="2359"/>
      <c r="G203" s="2359"/>
      <c r="H203" s="2028"/>
      <c r="J203" s="2142"/>
      <c r="K203" s="2142"/>
    </row>
    <row r="204" spans="2:11" s="2029" customFormat="1" ht="17.25" hidden="1" customHeight="1" x14ac:dyDescent="0.25">
      <c r="B204" s="2030"/>
      <c r="C204" s="1180" t="s">
        <v>1315</v>
      </c>
      <c r="D204" s="3066">
        <f>D205+D208</f>
        <v>7702031860</v>
      </c>
      <c r="E204" s="3066">
        <f>E205+E208</f>
        <v>7245087000</v>
      </c>
      <c r="F204" s="2240">
        <f>SUM(E204/D204)*100</f>
        <v>94.067216699360685</v>
      </c>
      <c r="G204" s="2240">
        <f>SUM(G205+G208)/2</f>
        <v>77.8</v>
      </c>
      <c r="H204" s="2028"/>
      <c r="J204" s="2142"/>
      <c r="K204" s="2142"/>
    </row>
    <row r="205" spans="2:11" s="2123" customFormat="1" ht="20.25" hidden="1" customHeight="1" x14ac:dyDescent="0.25">
      <c r="B205" s="2124"/>
      <c r="C205" s="1302" t="s">
        <v>1316</v>
      </c>
      <c r="D205" s="761">
        <f>D206</f>
        <v>4592088000</v>
      </c>
      <c r="E205" s="761">
        <f>E206</f>
        <v>4474387000</v>
      </c>
      <c r="F205" s="2245">
        <v>72.94</v>
      </c>
      <c r="G205" s="2245">
        <v>75</v>
      </c>
      <c r="H205" s="2144"/>
      <c r="J205" s="2145"/>
      <c r="K205" s="2145"/>
    </row>
    <row r="206" spans="2:11" s="2123" customFormat="1" ht="21.75" hidden="1" customHeight="1" x14ac:dyDescent="0.25">
      <c r="B206" s="2124"/>
      <c r="C206" s="3052" t="s">
        <v>1317</v>
      </c>
      <c r="D206" s="3039">
        <v>4592088000</v>
      </c>
      <c r="E206" s="2250">
        <v>4474387000</v>
      </c>
      <c r="F206" s="1474">
        <f>SUM(E206/D206)*100</f>
        <v>97.436874032030744</v>
      </c>
      <c r="G206" s="2250">
        <v>75</v>
      </c>
      <c r="H206" s="2144"/>
      <c r="J206" s="2145"/>
      <c r="K206" s="2145"/>
    </row>
    <row r="207" spans="2:11" s="2029" customFormat="1" ht="12" hidden="1" customHeight="1" x14ac:dyDescent="0.25">
      <c r="B207" s="2027"/>
      <c r="C207" s="3069"/>
      <c r="D207" s="760"/>
      <c r="E207" s="3047"/>
      <c r="F207" s="2250"/>
      <c r="G207" s="2250"/>
      <c r="H207" s="2028"/>
      <c r="J207" s="2142"/>
      <c r="K207" s="2142"/>
    </row>
    <row r="208" spans="2:11" s="2123" customFormat="1" ht="17.25" hidden="1" customHeight="1" x14ac:dyDescent="0.25">
      <c r="B208" s="2124"/>
      <c r="C208" s="3050" t="s">
        <v>1318</v>
      </c>
      <c r="D208" s="3073">
        <f>D209</f>
        <v>3109943860</v>
      </c>
      <c r="E208" s="3045">
        <f>E209</f>
        <v>2770700000</v>
      </c>
      <c r="F208" s="2245">
        <v>80.599999999999994</v>
      </c>
      <c r="G208" s="2245">
        <v>80.599999999999994</v>
      </c>
      <c r="H208" s="2144"/>
      <c r="J208" s="2145"/>
      <c r="K208" s="2145"/>
    </row>
    <row r="209" spans="2:11" s="2123" customFormat="1" ht="15" hidden="1" customHeight="1" x14ac:dyDescent="0.25">
      <c r="B209" s="2124"/>
      <c r="C209" s="3052" t="s">
        <v>1319</v>
      </c>
      <c r="D209" s="780">
        <v>3109943860</v>
      </c>
      <c r="E209" s="2250">
        <v>2770700000</v>
      </c>
      <c r="F209" s="1474">
        <f>SUM(E209/D209)*100</f>
        <v>89.091640387360556</v>
      </c>
      <c r="G209" s="2250">
        <v>80.599999999999994</v>
      </c>
      <c r="H209" s="2144"/>
      <c r="J209" s="2145"/>
      <c r="K209" s="2145"/>
    </row>
    <row r="210" spans="2:11" s="2029" customFormat="1" ht="12" hidden="1" customHeight="1" x14ac:dyDescent="0.25">
      <c r="B210" s="2027"/>
      <c r="C210" s="1150"/>
      <c r="D210" s="2248"/>
      <c r="E210" s="2248"/>
      <c r="F210" s="785"/>
      <c r="G210" s="2655"/>
      <c r="H210" s="2028"/>
      <c r="J210" s="2142"/>
      <c r="K210" s="2142"/>
    </row>
    <row r="211" spans="2:11" s="2058" customFormat="1" ht="16.5" customHeight="1" x14ac:dyDescent="0.25">
      <c r="B211" s="616"/>
      <c r="C211" s="1297" t="s">
        <v>602</v>
      </c>
      <c r="D211" s="1980">
        <f>SUM(+D213+D277)</f>
        <v>23654259864</v>
      </c>
      <c r="E211" s="1980">
        <f>SUM(+E213+E277)</f>
        <v>21928215522</v>
      </c>
      <c r="F211" s="1067">
        <f>SUM(E211/D211)*100</f>
        <v>92.703029594145491</v>
      </c>
      <c r="G211" s="2531">
        <f>SUM(G213+G277)/2</f>
        <v>99.715909090909093</v>
      </c>
      <c r="H211" s="3444"/>
      <c r="J211" s="2151"/>
      <c r="K211" s="2151"/>
    </row>
    <row r="212" spans="2:11" s="2029" customFormat="1" ht="9.75" hidden="1" customHeight="1" x14ac:dyDescent="0.25">
      <c r="B212" s="2032"/>
      <c r="C212" s="1150"/>
      <c r="D212" s="3074"/>
      <c r="E212" s="3074"/>
      <c r="F212" s="2657"/>
      <c r="G212" s="3093"/>
      <c r="H212" s="2028"/>
      <c r="J212" s="2142"/>
      <c r="K212" s="2142"/>
    </row>
    <row r="213" spans="2:11" s="2123" customFormat="1" ht="17.25" hidden="1" customHeight="1" x14ac:dyDescent="0.25">
      <c r="B213" s="2121"/>
      <c r="C213" s="1257" t="s">
        <v>241</v>
      </c>
      <c r="D213" s="765">
        <f>SUM(D214+D217+D227+D232+D237+D241+D251+D254+D259+D264+D267)</f>
        <v>19449661364</v>
      </c>
      <c r="E213" s="3631">
        <f>SUM(E214+E217+E227+E232+E237+E241+E251+E254+E259+E264+E267)</f>
        <v>17790729939</v>
      </c>
      <c r="F213" s="1726">
        <f>E213/D213*100</f>
        <v>91.470641087507204</v>
      </c>
      <c r="G213" s="2356">
        <f>SUM(G214+G217+G227+G232+G237+G241+G251+G254+G259+G264+G267)/11</f>
        <v>99.431818181818187</v>
      </c>
      <c r="H213" s="2144"/>
      <c r="J213" s="2145"/>
      <c r="K213" s="2145"/>
    </row>
    <row r="214" spans="2:11" s="2123" customFormat="1" ht="17.25" hidden="1" customHeight="1" x14ac:dyDescent="0.25">
      <c r="B214" s="2124"/>
      <c r="C214" s="1268" t="s">
        <v>638</v>
      </c>
      <c r="D214" s="920">
        <v>320000000</v>
      </c>
      <c r="E214" s="3431">
        <f>E215</f>
        <v>35000000</v>
      </c>
      <c r="F214" s="1415">
        <f>E214/D214*100</f>
        <v>10.9375</v>
      </c>
      <c r="G214" s="2562">
        <v>100</v>
      </c>
      <c r="H214" s="2144"/>
      <c r="J214" s="2145"/>
      <c r="K214" s="2145"/>
    </row>
    <row r="215" spans="2:11" s="2123" customFormat="1" ht="17.25" hidden="1" customHeight="1" x14ac:dyDescent="0.25">
      <c r="B215" s="2124"/>
      <c r="C215" s="1169" t="s">
        <v>639</v>
      </c>
      <c r="D215" s="921">
        <v>320000000</v>
      </c>
      <c r="E215" s="1867">
        <v>35000000</v>
      </c>
      <c r="F215" s="880">
        <f>E215/D215*100</f>
        <v>10.9375</v>
      </c>
      <c r="G215" s="1717">
        <v>100</v>
      </c>
      <c r="H215" s="2144"/>
      <c r="J215" s="2145"/>
      <c r="K215" s="2145"/>
    </row>
    <row r="216" spans="2:11" s="2123" customFormat="1" ht="9.75" hidden="1" customHeight="1" x14ac:dyDescent="0.25">
      <c r="B216" s="2124"/>
      <c r="C216" s="1183"/>
      <c r="D216" s="798"/>
      <c r="E216" s="666"/>
      <c r="F216" s="1315"/>
      <c r="G216" s="1315"/>
      <c r="H216" s="2144"/>
      <c r="J216" s="2145"/>
      <c r="K216" s="2145"/>
    </row>
    <row r="217" spans="2:11" s="2123" customFormat="1" ht="19.5" hidden="1" customHeight="1" x14ac:dyDescent="0.25">
      <c r="B217" s="2124"/>
      <c r="C217" s="1194" t="s">
        <v>640</v>
      </c>
      <c r="D217" s="803">
        <f>SUM(D218:D225)</f>
        <v>6576198000</v>
      </c>
      <c r="E217" s="3629">
        <f>SUM(E218:E225)</f>
        <v>6204413166</v>
      </c>
      <c r="F217" s="1415">
        <f t="shared" ref="F217:F225" si="27">E217/D217*100</f>
        <v>94.346507906240049</v>
      </c>
      <c r="G217" s="2261">
        <v>100</v>
      </c>
      <c r="H217" s="2144"/>
      <c r="J217" s="2145"/>
      <c r="K217" s="2145"/>
    </row>
    <row r="218" spans="2:11" s="2123" customFormat="1" ht="15" hidden="1" customHeight="1" x14ac:dyDescent="0.25">
      <c r="B218" s="2124"/>
      <c r="C218" s="509" t="s">
        <v>641</v>
      </c>
      <c r="D218" s="921">
        <v>2163028000</v>
      </c>
      <c r="E218" s="1867">
        <v>2141685000</v>
      </c>
      <c r="F218" s="880">
        <f t="shared" si="27"/>
        <v>99.01328138147079</v>
      </c>
      <c r="G218" s="1717">
        <v>100</v>
      </c>
      <c r="H218" s="2144"/>
      <c r="J218" s="2145"/>
      <c r="K218" s="2145"/>
    </row>
    <row r="219" spans="2:11" s="2123" customFormat="1" ht="17.25" hidden="1" customHeight="1" x14ac:dyDescent="0.25">
      <c r="B219" s="2124"/>
      <c r="C219" s="509" t="s">
        <v>642</v>
      </c>
      <c r="D219" s="921">
        <v>390350000</v>
      </c>
      <c r="E219" s="3879">
        <v>381600000</v>
      </c>
      <c r="F219" s="880">
        <f t="shared" si="27"/>
        <v>97.758421929038036</v>
      </c>
      <c r="G219" s="3630">
        <v>100</v>
      </c>
      <c r="H219" s="2144"/>
      <c r="J219" s="2145"/>
      <c r="K219" s="2145"/>
    </row>
    <row r="220" spans="2:11" s="2123" customFormat="1" ht="14.25" hidden="1" customHeight="1" x14ac:dyDescent="0.25">
      <c r="B220" s="2124"/>
      <c r="C220" s="509" t="s">
        <v>643</v>
      </c>
      <c r="D220" s="921">
        <v>193445000</v>
      </c>
      <c r="E220" s="3879">
        <v>168217000</v>
      </c>
      <c r="F220" s="880">
        <f t="shared" si="27"/>
        <v>86.958567034557618</v>
      </c>
      <c r="G220" s="3630">
        <v>100</v>
      </c>
      <c r="H220" s="2144"/>
      <c r="J220" s="2145"/>
      <c r="K220" s="2145"/>
    </row>
    <row r="221" spans="2:11" s="2123" customFormat="1" ht="14.25" hidden="1" customHeight="1" x14ac:dyDescent="0.25">
      <c r="B221" s="2124"/>
      <c r="C221" s="509" t="s">
        <v>644</v>
      </c>
      <c r="D221" s="921">
        <v>582000000</v>
      </c>
      <c r="E221" s="3879">
        <v>573741000</v>
      </c>
      <c r="F221" s="880">
        <f t="shared" si="27"/>
        <v>98.58092783505154</v>
      </c>
      <c r="G221" s="3630">
        <v>100</v>
      </c>
      <c r="H221" s="2144"/>
      <c r="J221" s="2145"/>
      <c r="K221" s="2145"/>
    </row>
    <row r="222" spans="2:11" s="2123" customFormat="1" ht="14.25" hidden="1" customHeight="1" x14ac:dyDescent="0.25">
      <c r="B222" s="2124"/>
      <c r="C222" s="509" t="s">
        <v>2321</v>
      </c>
      <c r="D222" s="921">
        <v>676240000</v>
      </c>
      <c r="E222" s="1867">
        <v>646700000</v>
      </c>
      <c r="F222" s="880">
        <f t="shared" si="27"/>
        <v>95.631728380456636</v>
      </c>
      <c r="G222" s="3648">
        <v>100</v>
      </c>
      <c r="H222" s="2144"/>
      <c r="J222" s="2145"/>
      <c r="K222" s="2145"/>
    </row>
    <row r="223" spans="2:11" s="2123" customFormat="1" ht="15" hidden="1" customHeight="1" x14ac:dyDescent="0.25">
      <c r="B223" s="2124"/>
      <c r="C223" s="509" t="s">
        <v>645</v>
      </c>
      <c r="D223" s="921">
        <v>280800000</v>
      </c>
      <c r="E223" s="3879">
        <v>272000000</v>
      </c>
      <c r="F223" s="880">
        <f t="shared" si="27"/>
        <v>96.866096866096868</v>
      </c>
      <c r="G223" s="3630">
        <v>100</v>
      </c>
      <c r="H223" s="2144"/>
      <c r="J223" s="2145"/>
      <c r="K223" s="2145"/>
    </row>
    <row r="224" spans="2:11" s="2123" customFormat="1" ht="15" hidden="1" customHeight="1" x14ac:dyDescent="0.25">
      <c r="B224" s="2124"/>
      <c r="C224" s="1169" t="s">
        <v>646</v>
      </c>
      <c r="D224" s="921">
        <v>462240000</v>
      </c>
      <c r="E224" s="1867">
        <v>460270000</v>
      </c>
      <c r="F224" s="880">
        <f t="shared" si="27"/>
        <v>99.573814468674286</v>
      </c>
      <c r="G224" s="3648">
        <v>100</v>
      </c>
      <c r="H224" s="2144"/>
      <c r="J224" s="2145"/>
      <c r="K224" s="2145"/>
    </row>
    <row r="225" spans="2:11" s="2123" customFormat="1" ht="19.5" hidden="1" customHeight="1" x14ac:dyDescent="0.25">
      <c r="B225" s="2124"/>
      <c r="C225" s="1169" t="s">
        <v>647</v>
      </c>
      <c r="D225" s="921">
        <v>1828095000</v>
      </c>
      <c r="E225" s="1867">
        <v>1560200166</v>
      </c>
      <c r="F225" s="880">
        <f t="shared" si="27"/>
        <v>85.345683129159042</v>
      </c>
      <c r="G225" s="3648">
        <v>100</v>
      </c>
      <c r="H225" s="2144"/>
      <c r="J225" s="2145"/>
      <c r="K225" s="2145"/>
    </row>
    <row r="226" spans="2:11" s="2123" customFormat="1" ht="9.75" hidden="1" customHeight="1" x14ac:dyDescent="0.25">
      <c r="B226" s="2124"/>
      <c r="C226" s="1183"/>
      <c r="D226" s="924"/>
      <c r="E226" s="666"/>
      <c r="F226" s="1315"/>
      <c r="G226" s="1315"/>
      <c r="H226" s="2144"/>
      <c r="J226" s="2145"/>
      <c r="K226" s="2145"/>
    </row>
    <row r="227" spans="2:11" s="2123" customFormat="1" ht="19.5" hidden="1" customHeight="1" x14ac:dyDescent="0.25">
      <c r="B227" s="2124"/>
      <c r="C227" s="1194" t="s">
        <v>344</v>
      </c>
      <c r="D227" s="925">
        <f>SUM(D228:D230)</f>
        <v>2086150000</v>
      </c>
      <c r="E227" s="925">
        <f>SUM(E228:E230)</f>
        <v>2040949071</v>
      </c>
      <c r="F227" s="1415">
        <f>E227/D227*100</f>
        <v>97.833284806941009</v>
      </c>
      <c r="G227" s="2261">
        <f>SUM(G228:G230)/3</f>
        <v>100</v>
      </c>
      <c r="H227" s="2144"/>
      <c r="J227" s="2145"/>
      <c r="K227" s="2145"/>
    </row>
    <row r="228" spans="2:11" s="2123" customFormat="1" ht="14.25" hidden="1" customHeight="1" x14ac:dyDescent="0.25">
      <c r="B228" s="2124"/>
      <c r="C228" s="1154" t="s">
        <v>648</v>
      </c>
      <c r="D228" s="879">
        <v>1575000000</v>
      </c>
      <c r="E228" s="3879">
        <v>1567985071</v>
      </c>
      <c r="F228" s="880">
        <f>E228/D228*100</f>
        <v>99.554607682539682</v>
      </c>
      <c r="G228" s="3630">
        <v>100</v>
      </c>
      <c r="H228" s="2144"/>
      <c r="J228" s="2145"/>
      <c r="K228" s="2145"/>
    </row>
    <row r="229" spans="2:11" s="2123" customFormat="1" ht="18" hidden="1" customHeight="1" x14ac:dyDescent="0.25">
      <c r="B229" s="2124"/>
      <c r="C229" s="1154" t="s">
        <v>649</v>
      </c>
      <c r="D229" s="879">
        <v>400000000</v>
      </c>
      <c r="E229" s="3879">
        <v>394314000</v>
      </c>
      <c r="F229" s="880">
        <f>E229/D229*100</f>
        <v>98.578500000000005</v>
      </c>
      <c r="G229" s="3630">
        <v>100</v>
      </c>
      <c r="H229" s="2144"/>
      <c r="J229" s="2145"/>
      <c r="K229" s="2145"/>
    </row>
    <row r="230" spans="2:11" s="2123" customFormat="1" ht="17.25" hidden="1" customHeight="1" x14ac:dyDescent="0.25">
      <c r="B230" s="2124"/>
      <c r="C230" s="1154" t="s">
        <v>650</v>
      </c>
      <c r="D230" s="879">
        <v>111150000</v>
      </c>
      <c r="E230" s="1871">
        <v>78650000</v>
      </c>
      <c r="F230" s="880">
        <f>E230/D230*100</f>
        <v>70.760233918128662</v>
      </c>
      <c r="G230" s="3648">
        <v>100</v>
      </c>
      <c r="H230" s="2144"/>
      <c r="J230" s="2145"/>
      <c r="K230" s="2145"/>
    </row>
    <row r="231" spans="2:11" s="2123" customFormat="1" ht="12" hidden="1" customHeight="1" x14ac:dyDescent="0.25">
      <c r="B231" s="2124"/>
      <c r="C231" s="1213"/>
      <c r="D231" s="926"/>
      <c r="E231" s="3879"/>
      <c r="F231" s="3648"/>
      <c r="G231" s="3648"/>
      <c r="H231" s="2144"/>
      <c r="J231" s="2145"/>
      <c r="K231" s="2145"/>
    </row>
    <row r="232" spans="2:11" s="2123" customFormat="1" ht="18" hidden="1" customHeight="1" x14ac:dyDescent="0.25">
      <c r="B232" s="2124"/>
      <c r="C232" s="1174" t="s">
        <v>273</v>
      </c>
      <c r="D232" s="927">
        <f>SUM(D233:D235)</f>
        <v>1594043540</v>
      </c>
      <c r="E232" s="927">
        <f>SUM(E233:E235)</f>
        <v>1360614000</v>
      </c>
      <c r="F232" s="1415">
        <f>E232/D232*100</f>
        <v>85.356137762711299</v>
      </c>
      <c r="G232" s="3600">
        <f>SUM(G233:G235)/3</f>
        <v>100</v>
      </c>
      <c r="H232" s="2144"/>
      <c r="J232" s="2145"/>
      <c r="K232" s="2145"/>
    </row>
    <row r="233" spans="2:11" s="2123" customFormat="1" ht="12.75" hidden="1" customHeight="1" x14ac:dyDescent="0.25">
      <c r="B233" s="2124"/>
      <c r="C233" s="509" t="s">
        <v>345</v>
      </c>
      <c r="D233" s="879">
        <v>1032450000</v>
      </c>
      <c r="E233" s="3879">
        <v>983914000</v>
      </c>
      <c r="F233" s="880">
        <f>E233/D233*100</f>
        <v>95.298949101651402</v>
      </c>
      <c r="G233" s="3630">
        <v>100</v>
      </c>
      <c r="H233" s="2144"/>
      <c r="J233" s="2145"/>
      <c r="K233" s="2145"/>
    </row>
    <row r="234" spans="2:11" s="2123" customFormat="1" ht="17.25" hidden="1" customHeight="1" x14ac:dyDescent="0.25">
      <c r="B234" s="2124"/>
      <c r="C234" s="1169" t="s">
        <v>651</v>
      </c>
      <c r="D234" s="879">
        <v>276600000</v>
      </c>
      <c r="E234" s="3879">
        <v>271500000</v>
      </c>
      <c r="F234" s="880">
        <f>E234/D234*100</f>
        <v>98.156182212581342</v>
      </c>
      <c r="G234" s="3630">
        <v>100</v>
      </c>
      <c r="H234" s="2144"/>
      <c r="J234" s="2145"/>
      <c r="K234" s="2145"/>
    </row>
    <row r="235" spans="2:11" s="2123" customFormat="1" ht="17.25" hidden="1" customHeight="1" x14ac:dyDescent="0.25">
      <c r="B235" s="2124"/>
      <c r="C235" s="1169" t="s">
        <v>652</v>
      </c>
      <c r="D235" s="921">
        <v>284993540</v>
      </c>
      <c r="E235" s="1867">
        <v>105200000</v>
      </c>
      <c r="F235" s="880">
        <f>E235/D235*100</f>
        <v>36.913117399082097</v>
      </c>
      <c r="G235" s="3648">
        <v>100</v>
      </c>
      <c r="H235" s="2144"/>
      <c r="J235" s="2145"/>
      <c r="K235" s="2145"/>
    </row>
    <row r="236" spans="2:11" s="2123" customFormat="1" ht="9" hidden="1" customHeight="1" x14ac:dyDescent="0.25">
      <c r="B236" s="2124"/>
      <c r="C236" s="1183"/>
      <c r="D236" s="924"/>
      <c r="E236" s="3879"/>
      <c r="F236" s="3648"/>
      <c r="G236" s="3648"/>
      <c r="H236" s="2144"/>
      <c r="J236" s="2145"/>
      <c r="K236" s="2145"/>
    </row>
    <row r="237" spans="2:11" s="2123" customFormat="1" ht="15.75" hidden="1" customHeight="1" x14ac:dyDescent="0.25">
      <c r="B237" s="2124"/>
      <c r="C237" s="1132" t="s">
        <v>653</v>
      </c>
      <c r="D237" s="927">
        <f>SUM(D238:D239)</f>
        <v>173980000</v>
      </c>
      <c r="E237" s="927">
        <f>SUM(E238:E239)</f>
        <v>169185900</v>
      </c>
      <c r="F237" s="1415">
        <f>E237/D237*100</f>
        <v>97.244453385446604</v>
      </c>
      <c r="G237" s="2261">
        <v>100</v>
      </c>
      <c r="H237" s="2144"/>
      <c r="J237" s="2145"/>
      <c r="K237" s="2145"/>
    </row>
    <row r="238" spans="2:11" s="2123" customFormat="1" ht="28.5" hidden="1" customHeight="1" x14ac:dyDescent="0.25">
      <c r="B238" s="2124"/>
      <c r="C238" s="1169" t="s">
        <v>654</v>
      </c>
      <c r="D238" s="879">
        <v>28250000</v>
      </c>
      <c r="E238" s="3879">
        <v>27750000</v>
      </c>
      <c r="F238" s="880">
        <f>E238/D238*100</f>
        <v>98.230088495575217</v>
      </c>
      <c r="G238" s="3630">
        <v>100</v>
      </c>
      <c r="H238" s="2144"/>
      <c r="J238" s="2145"/>
      <c r="K238" s="2145"/>
    </row>
    <row r="239" spans="2:11" s="2123" customFormat="1" ht="17.25" hidden="1" customHeight="1" x14ac:dyDescent="0.25">
      <c r="B239" s="2124"/>
      <c r="C239" s="1169" t="s">
        <v>655</v>
      </c>
      <c r="D239" s="879">
        <v>145730000</v>
      </c>
      <c r="E239" s="1871">
        <v>141435900</v>
      </c>
      <c r="F239" s="880">
        <f>E239/D239*100</f>
        <v>97.053386399505939</v>
      </c>
      <c r="G239" s="3648">
        <v>100</v>
      </c>
      <c r="H239" s="2144"/>
      <c r="J239" s="2145"/>
      <c r="K239" s="2145"/>
    </row>
    <row r="240" spans="2:11" s="2123" customFormat="1" ht="12" hidden="1" customHeight="1" x14ac:dyDescent="0.25">
      <c r="B240" s="2124"/>
      <c r="C240" s="1183"/>
      <c r="D240" s="755"/>
      <c r="E240" s="666"/>
      <c r="F240" s="1315"/>
      <c r="G240" s="1315"/>
      <c r="H240" s="2144"/>
      <c r="J240" s="2145"/>
      <c r="K240" s="2145"/>
    </row>
    <row r="241" spans="2:11" s="2123" customFormat="1" ht="18" hidden="1" customHeight="1" x14ac:dyDescent="0.25">
      <c r="B241" s="2124"/>
      <c r="C241" s="1269" t="s">
        <v>656</v>
      </c>
      <c r="D241" s="753">
        <f>SUM(D242:D249)</f>
        <v>1643981000</v>
      </c>
      <c r="E241" s="3629">
        <f>SUM(E242:E249)</f>
        <v>1555351400</v>
      </c>
      <c r="F241" s="1415">
        <f t="shared" ref="F241:F249" si="28">E241/D241*100</f>
        <v>94.608842802927768</v>
      </c>
      <c r="G241" s="2261">
        <f>SUM(G242:G249)/8</f>
        <v>100</v>
      </c>
      <c r="H241" s="2144"/>
      <c r="J241" s="2145"/>
      <c r="K241" s="2145"/>
    </row>
    <row r="242" spans="2:11" s="2123" customFormat="1" ht="17.25" hidden="1" customHeight="1" x14ac:dyDescent="0.25">
      <c r="B242" s="2124"/>
      <c r="C242" s="1169" t="s">
        <v>657</v>
      </c>
      <c r="D242" s="879">
        <v>314160000</v>
      </c>
      <c r="E242" s="3434">
        <v>298760000</v>
      </c>
      <c r="F242" s="880">
        <f t="shared" si="28"/>
        <v>95.098039215686271</v>
      </c>
      <c r="G242" s="1717">
        <v>100</v>
      </c>
      <c r="H242" s="2144"/>
      <c r="J242" s="2145"/>
      <c r="K242" s="2145"/>
    </row>
    <row r="243" spans="2:11" s="2123" customFormat="1" ht="17.25" hidden="1" customHeight="1" x14ac:dyDescent="0.25">
      <c r="B243" s="2124"/>
      <c r="C243" s="1169" t="s">
        <v>658</v>
      </c>
      <c r="D243" s="879">
        <v>133055000</v>
      </c>
      <c r="E243" s="3879">
        <v>132531400</v>
      </c>
      <c r="F243" s="880">
        <f t="shared" si="28"/>
        <v>99.606478523918682</v>
      </c>
      <c r="G243" s="3630">
        <v>100</v>
      </c>
      <c r="H243" s="2144"/>
      <c r="J243" s="2145"/>
      <c r="K243" s="2145"/>
    </row>
    <row r="244" spans="2:11" s="2123" customFormat="1" ht="17.25" hidden="1" customHeight="1" x14ac:dyDescent="0.25">
      <c r="B244" s="2124"/>
      <c r="C244" s="1169" t="s">
        <v>659</v>
      </c>
      <c r="D244" s="879">
        <v>256250000</v>
      </c>
      <c r="E244" s="3879">
        <v>253750000</v>
      </c>
      <c r="F244" s="880">
        <f t="shared" si="28"/>
        <v>99.024390243902445</v>
      </c>
      <c r="G244" s="3630">
        <v>100</v>
      </c>
      <c r="H244" s="2144"/>
      <c r="J244" s="2145"/>
      <c r="K244" s="2145"/>
    </row>
    <row r="245" spans="2:11" s="2123" customFormat="1" ht="18" hidden="1" customHeight="1" x14ac:dyDescent="0.25">
      <c r="B245" s="2124"/>
      <c r="C245" s="1169" t="s">
        <v>660</v>
      </c>
      <c r="D245" s="879">
        <v>158156000</v>
      </c>
      <c r="E245" s="3434">
        <v>158156000</v>
      </c>
      <c r="F245" s="880">
        <f t="shared" si="28"/>
        <v>100</v>
      </c>
      <c r="G245" s="1717">
        <v>100</v>
      </c>
      <c r="H245" s="2144"/>
      <c r="J245" s="2145"/>
      <c r="K245" s="2145"/>
    </row>
    <row r="246" spans="2:11" s="2123" customFormat="1" ht="17.25" hidden="1" customHeight="1" x14ac:dyDescent="0.25">
      <c r="B246" s="2124"/>
      <c r="C246" s="1169" t="s">
        <v>661</v>
      </c>
      <c r="D246" s="879">
        <v>250000000</v>
      </c>
      <c r="E246" s="3434">
        <v>185500000</v>
      </c>
      <c r="F246" s="880">
        <f t="shared" si="28"/>
        <v>74.2</v>
      </c>
      <c r="G246" s="3648">
        <v>100</v>
      </c>
      <c r="H246" s="2144"/>
      <c r="J246" s="2145"/>
      <c r="K246" s="2145"/>
    </row>
    <row r="247" spans="2:11" s="2123" customFormat="1" ht="15.75" hidden="1" customHeight="1" x14ac:dyDescent="0.25">
      <c r="B247" s="2124"/>
      <c r="C247" s="1169" t="s">
        <v>662</v>
      </c>
      <c r="D247" s="879">
        <v>167455000</v>
      </c>
      <c r="E247" s="3434">
        <v>164499000</v>
      </c>
      <c r="F247" s="880">
        <f t="shared" si="28"/>
        <v>98.234749634230084</v>
      </c>
      <c r="G247" s="1717">
        <v>100</v>
      </c>
      <c r="H247" s="2144"/>
      <c r="J247" s="2145"/>
      <c r="K247" s="2145"/>
    </row>
    <row r="248" spans="2:11" s="2123" customFormat="1" ht="18.75" hidden="1" customHeight="1" x14ac:dyDescent="0.25">
      <c r="B248" s="2124"/>
      <c r="C248" s="1169" t="s">
        <v>663</v>
      </c>
      <c r="D248" s="879">
        <v>48855000</v>
      </c>
      <c r="E248" s="3434">
        <v>47355000</v>
      </c>
      <c r="F248" s="880">
        <f t="shared" si="28"/>
        <v>96.929689898679769</v>
      </c>
      <c r="G248" s="1717">
        <v>100</v>
      </c>
      <c r="H248" s="2144"/>
      <c r="J248" s="2145"/>
      <c r="K248" s="2145"/>
    </row>
    <row r="249" spans="2:11" s="2123" customFormat="1" ht="17.25" hidden="1" customHeight="1" x14ac:dyDescent="0.25">
      <c r="B249" s="2124"/>
      <c r="C249" s="1337" t="s">
        <v>2358</v>
      </c>
      <c r="D249" s="755">
        <v>316050000</v>
      </c>
      <c r="E249" s="3630">
        <v>314800000</v>
      </c>
      <c r="F249" s="880">
        <f t="shared" si="28"/>
        <v>99.604492959974692</v>
      </c>
      <c r="G249" s="3630">
        <v>100</v>
      </c>
      <c r="H249" s="2144"/>
      <c r="J249" s="2145"/>
      <c r="K249" s="2145"/>
    </row>
    <row r="250" spans="2:11" s="2123" customFormat="1" ht="12" hidden="1" customHeight="1" x14ac:dyDescent="0.25">
      <c r="B250" s="2124"/>
      <c r="C250" s="2179"/>
      <c r="D250" s="755"/>
      <c r="E250" s="666"/>
      <c r="F250" s="1717"/>
      <c r="G250" s="1717"/>
      <c r="H250" s="2144"/>
      <c r="J250" s="2145"/>
      <c r="K250" s="2145"/>
    </row>
    <row r="251" spans="2:11" s="2123" customFormat="1" ht="18" hidden="1" customHeight="1" x14ac:dyDescent="0.25">
      <c r="B251" s="2124"/>
      <c r="C251" s="1174" t="s">
        <v>664</v>
      </c>
      <c r="D251" s="955">
        <f>D252</f>
        <v>244600000</v>
      </c>
      <c r="E251" s="955">
        <f>E252</f>
        <v>240600000</v>
      </c>
      <c r="F251" s="1415">
        <f>E251/D251*100</f>
        <v>98.36467702371219</v>
      </c>
      <c r="G251" s="3600">
        <v>100</v>
      </c>
      <c r="H251" s="2144"/>
      <c r="J251" s="2145"/>
      <c r="K251" s="2145"/>
    </row>
    <row r="252" spans="2:11" s="2123" customFormat="1" ht="19.5" hidden="1" customHeight="1" x14ac:dyDescent="0.25">
      <c r="B252" s="2124"/>
      <c r="C252" s="1169" t="s">
        <v>665</v>
      </c>
      <c r="D252" s="879">
        <v>244600000</v>
      </c>
      <c r="E252" s="3433">
        <v>240600000</v>
      </c>
      <c r="F252" s="880">
        <f>E252/D252*100</f>
        <v>98.36467702371219</v>
      </c>
      <c r="G252" s="1717">
        <v>100</v>
      </c>
      <c r="H252" s="2144"/>
      <c r="J252" s="2145"/>
      <c r="K252" s="2145"/>
    </row>
    <row r="253" spans="2:11" s="2123" customFormat="1" ht="11.25" hidden="1" customHeight="1" x14ac:dyDescent="0.25">
      <c r="B253" s="2124"/>
      <c r="C253" s="509"/>
      <c r="D253" s="755"/>
      <c r="E253" s="3879"/>
      <c r="F253" s="3648"/>
      <c r="G253" s="3648"/>
      <c r="H253" s="2144"/>
      <c r="J253" s="2145"/>
      <c r="K253" s="2145"/>
    </row>
    <row r="254" spans="2:11" s="2123" customFormat="1" ht="17.25" hidden="1" customHeight="1" x14ac:dyDescent="0.25">
      <c r="B254" s="2124"/>
      <c r="C254" s="1174" t="s">
        <v>666</v>
      </c>
      <c r="D254" s="3432">
        <f>SUM(D255:D257)</f>
        <v>600655000</v>
      </c>
      <c r="E254" s="955">
        <f>SUM(E255:E257)</f>
        <v>542268250</v>
      </c>
      <c r="F254" s="1415">
        <f>E254/D254*100</f>
        <v>90.279486560504779</v>
      </c>
      <c r="G254" s="3600">
        <v>100</v>
      </c>
      <c r="H254" s="2144"/>
      <c r="J254" s="2145"/>
      <c r="K254" s="2145"/>
    </row>
    <row r="255" spans="2:11" s="2123" customFormat="1" ht="15" hidden="1" customHeight="1" x14ac:dyDescent="0.25">
      <c r="B255" s="2124"/>
      <c r="C255" s="1169" t="s">
        <v>667</v>
      </c>
      <c r="D255" s="921">
        <v>183130000</v>
      </c>
      <c r="E255" s="3434">
        <v>171722000</v>
      </c>
      <c r="F255" s="880">
        <f>E255/D255*100</f>
        <v>93.770545514115653</v>
      </c>
      <c r="G255" s="1717">
        <v>100</v>
      </c>
      <c r="H255" s="2144"/>
      <c r="J255" s="2145"/>
      <c r="K255" s="2145"/>
    </row>
    <row r="256" spans="2:11" s="2123" customFormat="1" ht="18.75" hidden="1" customHeight="1" x14ac:dyDescent="0.25">
      <c r="B256" s="2124"/>
      <c r="C256" s="1169" t="s">
        <v>668</v>
      </c>
      <c r="D256" s="921">
        <v>188565000</v>
      </c>
      <c r="E256" s="3434">
        <v>172336250</v>
      </c>
      <c r="F256" s="880">
        <f>E256/D256*100</f>
        <v>91.393551295309308</v>
      </c>
      <c r="G256" s="3648">
        <v>100</v>
      </c>
      <c r="H256" s="2144"/>
      <c r="J256" s="2145"/>
      <c r="K256" s="2145"/>
    </row>
    <row r="257" spans="2:11" s="2123" customFormat="1" ht="20.25" hidden="1" customHeight="1" x14ac:dyDescent="0.25">
      <c r="B257" s="2124"/>
      <c r="C257" s="1169" t="s">
        <v>669</v>
      </c>
      <c r="D257" s="921">
        <v>228960000</v>
      </c>
      <c r="E257" s="3879">
        <v>198210000</v>
      </c>
      <c r="F257" s="880">
        <f>E257/D257*100</f>
        <v>86.569706498951788</v>
      </c>
      <c r="G257" s="3630">
        <v>100</v>
      </c>
      <c r="H257" s="2144"/>
      <c r="J257" s="2145"/>
      <c r="K257" s="2145"/>
    </row>
    <row r="258" spans="2:11" s="2123" customFormat="1" ht="12" hidden="1" customHeight="1" x14ac:dyDescent="0.25">
      <c r="B258" s="2124"/>
      <c r="C258" s="1182"/>
      <c r="D258" s="930"/>
      <c r="E258" s="666"/>
      <c r="F258" s="1717"/>
      <c r="G258" s="1717"/>
      <c r="H258" s="2144"/>
      <c r="J258" s="2145"/>
      <c r="K258" s="2145"/>
    </row>
    <row r="259" spans="2:11" s="2123" customFormat="1" ht="27" hidden="1" customHeight="1" x14ac:dyDescent="0.25">
      <c r="B259" s="2124"/>
      <c r="C259" s="1132" t="s">
        <v>670</v>
      </c>
      <c r="D259" s="927">
        <f>SUM(D260:D262)</f>
        <v>943575000</v>
      </c>
      <c r="E259" s="927">
        <f>SUM(E260:E262)</f>
        <v>826778850</v>
      </c>
      <c r="F259" s="1415">
        <f>E259/D259*100</f>
        <v>87.621953739766312</v>
      </c>
      <c r="G259" s="2261">
        <v>100</v>
      </c>
      <c r="H259" s="2144"/>
      <c r="J259" s="2145"/>
      <c r="K259" s="2145"/>
    </row>
    <row r="260" spans="2:11" s="2123" customFormat="1" ht="30.75" hidden="1" customHeight="1" x14ac:dyDescent="0.25">
      <c r="B260" s="2124"/>
      <c r="C260" s="1169" t="s">
        <v>671</v>
      </c>
      <c r="D260" s="931">
        <v>319300000</v>
      </c>
      <c r="E260" s="3879">
        <v>304603700</v>
      </c>
      <c r="F260" s="880">
        <f>E260/D260*100</f>
        <v>95.397337926714684</v>
      </c>
      <c r="G260" s="3630">
        <v>100</v>
      </c>
      <c r="H260" s="2144"/>
      <c r="J260" s="2145"/>
      <c r="K260" s="2145"/>
    </row>
    <row r="261" spans="2:11" s="2123" customFormat="1" ht="33.75" hidden="1" customHeight="1" x14ac:dyDescent="0.25">
      <c r="B261" s="2124"/>
      <c r="C261" s="1169" t="s">
        <v>6950</v>
      </c>
      <c r="D261" s="879">
        <v>365525000</v>
      </c>
      <c r="E261" s="1867">
        <v>337587900</v>
      </c>
      <c r="F261" s="880">
        <f>E261/D261*100</f>
        <v>92.35699336570687</v>
      </c>
      <c r="G261" s="1717">
        <v>100</v>
      </c>
      <c r="H261" s="2144"/>
      <c r="J261" s="2145"/>
      <c r="K261" s="2145"/>
    </row>
    <row r="262" spans="2:11" s="2123" customFormat="1" ht="35.25" hidden="1" customHeight="1" x14ac:dyDescent="0.25">
      <c r="B262" s="2124"/>
      <c r="C262" s="1169" t="s">
        <v>673</v>
      </c>
      <c r="D262" s="879">
        <v>258750000</v>
      </c>
      <c r="E262" s="1867">
        <v>184587250</v>
      </c>
      <c r="F262" s="880">
        <f>E262/D262*100</f>
        <v>71.33806763285024</v>
      </c>
      <c r="G262" s="1717">
        <v>100</v>
      </c>
      <c r="H262" s="2144"/>
      <c r="J262" s="2145"/>
      <c r="K262" s="2145"/>
    </row>
    <row r="263" spans="2:11" s="2123" customFormat="1" ht="15.75" hidden="1" customHeight="1" x14ac:dyDescent="0.25">
      <c r="B263" s="2124"/>
      <c r="C263" s="1169"/>
      <c r="D263" s="879"/>
      <c r="E263" s="666"/>
      <c r="F263" s="1717"/>
      <c r="G263" s="1717"/>
      <c r="H263" s="2144"/>
      <c r="J263" s="2145"/>
      <c r="K263" s="2145"/>
    </row>
    <row r="264" spans="2:11" s="2123" customFormat="1" ht="31.5" hidden="1" customHeight="1" x14ac:dyDescent="0.25">
      <c r="B264" s="2157"/>
      <c r="C264" s="1174" t="s">
        <v>2137</v>
      </c>
      <c r="D264" s="927">
        <f>D265</f>
        <v>500000000</v>
      </c>
      <c r="E264" s="927">
        <f>E265</f>
        <v>498671000</v>
      </c>
      <c r="F264" s="1415">
        <f>E264/D264*100</f>
        <v>99.734200000000001</v>
      </c>
      <c r="G264" s="3629">
        <v>100</v>
      </c>
      <c r="H264" s="2144"/>
      <c r="J264" s="2145"/>
      <c r="K264" s="2145"/>
    </row>
    <row r="265" spans="2:11" s="2123" customFormat="1" ht="19.5" hidden="1" customHeight="1" x14ac:dyDescent="0.25">
      <c r="B265" s="2157"/>
      <c r="C265" s="1270" t="s">
        <v>2138</v>
      </c>
      <c r="D265" s="932">
        <v>500000000</v>
      </c>
      <c r="E265" s="3879">
        <v>498671000</v>
      </c>
      <c r="F265" s="880">
        <f>E265/D265*100</f>
        <v>99.734200000000001</v>
      </c>
      <c r="G265" s="3630">
        <v>100</v>
      </c>
      <c r="H265" s="2144"/>
      <c r="J265" s="2145"/>
      <c r="K265" s="2145"/>
    </row>
    <row r="266" spans="2:11" s="2123" customFormat="1" ht="12" hidden="1" customHeight="1" x14ac:dyDescent="0.25">
      <c r="B266" s="2157"/>
      <c r="C266" s="1270"/>
      <c r="D266" s="932"/>
      <c r="E266" s="666"/>
      <c r="F266" s="880"/>
      <c r="G266" s="1717"/>
      <c r="H266" s="2144"/>
      <c r="J266" s="2145"/>
      <c r="K266" s="2145"/>
    </row>
    <row r="267" spans="2:11" s="2123" customFormat="1" ht="18" hidden="1" customHeight="1" x14ac:dyDescent="0.25">
      <c r="B267" s="2157"/>
      <c r="C267" s="1132" t="s">
        <v>371</v>
      </c>
      <c r="D267" s="927">
        <f>SUM(D268:D275)</f>
        <v>4766478824</v>
      </c>
      <c r="E267" s="927">
        <f>SUM(E268:E275)</f>
        <v>4316898302</v>
      </c>
      <c r="F267" s="1415">
        <f t="shared" ref="F267:F275" si="29">E267/D267*100</f>
        <v>90.567869100009673</v>
      </c>
      <c r="G267" s="2261">
        <f>SUM(G268:G275)/8</f>
        <v>93.75</v>
      </c>
      <c r="H267" s="2144"/>
      <c r="J267" s="2145"/>
      <c r="K267" s="2145"/>
    </row>
    <row r="268" spans="2:11" s="2123" customFormat="1" ht="18" hidden="1" customHeight="1" x14ac:dyDescent="0.25">
      <c r="B268" s="2157"/>
      <c r="C268" s="1169" t="s">
        <v>2139</v>
      </c>
      <c r="D268" s="879">
        <v>2532024000</v>
      </c>
      <c r="E268" s="3433">
        <v>2419830000</v>
      </c>
      <c r="F268" s="880">
        <f t="shared" si="29"/>
        <v>95.568999345977772</v>
      </c>
      <c r="G268" s="1717">
        <v>100</v>
      </c>
      <c r="H268" s="2144"/>
      <c r="J268" s="2145"/>
      <c r="K268" s="2145"/>
    </row>
    <row r="269" spans="2:11" s="2123" customFormat="1" ht="27.75" hidden="1" customHeight="1" x14ac:dyDescent="0.25">
      <c r="B269" s="2157"/>
      <c r="C269" s="1169" t="s">
        <v>2140</v>
      </c>
      <c r="D269" s="879">
        <v>245705000</v>
      </c>
      <c r="E269" s="3433">
        <v>143596000</v>
      </c>
      <c r="F269" s="880">
        <f t="shared" si="29"/>
        <v>58.442441138763968</v>
      </c>
      <c r="G269" s="1717">
        <v>100</v>
      </c>
      <c r="H269" s="2144"/>
      <c r="J269" s="2145"/>
      <c r="K269" s="2145"/>
    </row>
    <row r="270" spans="2:11" s="2123" customFormat="1" ht="17.25" hidden="1" customHeight="1" x14ac:dyDescent="0.25">
      <c r="B270" s="2157"/>
      <c r="C270" s="1169" t="s">
        <v>2141</v>
      </c>
      <c r="D270" s="879">
        <v>363600000</v>
      </c>
      <c r="E270" s="3433">
        <v>362100000</v>
      </c>
      <c r="F270" s="880">
        <f t="shared" si="29"/>
        <v>99.587458745874585</v>
      </c>
      <c r="G270" s="1717">
        <v>100</v>
      </c>
      <c r="H270" s="2144"/>
      <c r="J270" s="2145"/>
      <c r="K270" s="2145"/>
    </row>
    <row r="271" spans="2:11" s="2123" customFormat="1" ht="21" hidden="1" customHeight="1" x14ac:dyDescent="0.25">
      <c r="B271" s="2158"/>
      <c r="C271" s="1169" t="s">
        <v>2142</v>
      </c>
      <c r="D271" s="879">
        <v>898800000</v>
      </c>
      <c r="E271" s="3433">
        <v>780850497</v>
      </c>
      <c r="F271" s="880">
        <f t="shared" si="29"/>
        <v>86.877002336448598</v>
      </c>
      <c r="G271" s="1717">
        <v>100</v>
      </c>
      <c r="H271" s="2144"/>
      <c r="J271" s="2145"/>
      <c r="K271" s="2145"/>
    </row>
    <row r="272" spans="2:11" s="2123" customFormat="1" ht="25.5" hidden="1" customHeight="1" x14ac:dyDescent="0.25">
      <c r="B272" s="2124"/>
      <c r="C272" s="1169" t="s">
        <v>2156</v>
      </c>
      <c r="D272" s="879">
        <v>118135000</v>
      </c>
      <c r="E272" s="3435">
        <v>115151358</v>
      </c>
      <c r="F272" s="880">
        <f t="shared" si="29"/>
        <v>97.474379311804299</v>
      </c>
      <c r="G272" s="1717">
        <v>100</v>
      </c>
      <c r="H272" s="2144"/>
      <c r="J272" s="2145"/>
      <c r="K272" s="2145"/>
    </row>
    <row r="273" spans="2:11" s="2123" customFormat="1" ht="18.75" hidden="1" customHeight="1" x14ac:dyDescent="0.25">
      <c r="B273" s="2124"/>
      <c r="C273" s="1169" t="s">
        <v>2143</v>
      </c>
      <c r="D273" s="879">
        <v>234614824</v>
      </c>
      <c r="E273" s="3433">
        <v>234614824</v>
      </c>
      <c r="F273" s="880">
        <f t="shared" si="29"/>
        <v>100</v>
      </c>
      <c r="G273" s="3630">
        <v>100</v>
      </c>
      <c r="H273" s="2144"/>
      <c r="J273" s="2145"/>
      <c r="K273" s="2145"/>
    </row>
    <row r="274" spans="2:11" s="2123" customFormat="1" ht="18" hidden="1" customHeight="1" x14ac:dyDescent="0.25">
      <c r="B274" s="2124"/>
      <c r="C274" s="1169" t="s">
        <v>2144</v>
      </c>
      <c r="D274" s="879">
        <v>173600000</v>
      </c>
      <c r="E274" s="3436">
        <v>60755623</v>
      </c>
      <c r="F274" s="880">
        <f t="shared" si="29"/>
        <v>34.997478686635944</v>
      </c>
      <c r="G274" s="3630">
        <v>50</v>
      </c>
      <c r="H274" s="2144"/>
      <c r="J274" s="2145"/>
      <c r="K274" s="2145"/>
    </row>
    <row r="275" spans="2:11" s="2123" customFormat="1" ht="16.5" hidden="1" customHeight="1" x14ac:dyDescent="0.25">
      <c r="B275" s="2124"/>
      <c r="C275" s="1169" t="s">
        <v>2145</v>
      </c>
      <c r="D275" s="879">
        <v>200000000</v>
      </c>
      <c r="E275" s="3437">
        <v>200000000</v>
      </c>
      <c r="F275" s="880">
        <f t="shared" si="29"/>
        <v>100</v>
      </c>
      <c r="G275" s="1717">
        <v>100</v>
      </c>
      <c r="H275" s="2144"/>
      <c r="J275" s="2145"/>
      <c r="K275" s="2145"/>
    </row>
    <row r="276" spans="2:11" s="2029" customFormat="1" ht="12.75" hidden="1" customHeight="1" x14ac:dyDescent="0.25">
      <c r="B276" s="2027"/>
      <c r="C276" s="2863"/>
      <c r="D276" s="804"/>
      <c r="E276" s="804"/>
      <c r="F276" s="1649"/>
      <c r="G276" s="1649"/>
      <c r="H276" s="2028"/>
      <c r="J276" s="2142"/>
      <c r="K276" s="2142"/>
    </row>
    <row r="277" spans="2:11" s="2123" customFormat="1" ht="18" hidden="1" customHeight="1" x14ac:dyDescent="0.25">
      <c r="B277" s="2121"/>
      <c r="C277" s="1180" t="s">
        <v>346</v>
      </c>
      <c r="D277" s="765">
        <f>SUM(D278+D283)</f>
        <v>4204598500</v>
      </c>
      <c r="E277" s="765">
        <f>SUM(E278+E283)</f>
        <v>4137485583</v>
      </c>
      <c r="F277" s="1726">
        <f>SUM(E277/D277)*100</f>
        <v>98.403821030711967</v>
      </c>
      <c r="G277" s="2240">
        <f>SUM(G278+G284)/2</f>
        <v>100</v>
      </c>
      <c r="H277" s="2144"/>
      <c r="J277" s="2145"/>
      <c r="K277" s="2145"/>
    </row>
    <row r="278" spans="2:11" s="2123" customFormat="1" ht="21.75" hidden="1" customHeight="1" x14ac:dyDescent="0.25">
      <c r="B278" s="2124"/>
      <c r="C278" s="1254" t="s">
        <v>347</v>
      </c>
      <c r="D278" s="793">
        <f>SUM(D279:D281)</f>
        <v>1471714000</v>
      </c>
      <c r="E278" s="793">
        <f>SUM(E279:E281)</f>
        <v>1425144000</v>
      </c>
      <c r="F278" s="1308">
        <f t="shared" ref="F278:F285" si="30">E278/D278*100</f>
        <v>96.835662363747304</v>
      </c>
      <c r="G278" s="1659">
        <v>100</v>
      </c>
      <c r="H278" s="2144"/>
      <c r="J278" s="2145"/>
      <c r="K278" s="2145"/>
    </row>
    <row r="279" spans="2:11" s="2123" customFormat="1" ht="15" hidden="1" customHeight="1" x14ac:dyDescent="0.25">
      <c r="B279" s="2124"/>
      <c r="C279" s="509" t="s">
        <v>674</v>
      </c>
      <c r="D279" s="921">
        <v>192600000</v>
      </c>
      <c r="E279" s="1871">
        <v>189384000</v>
      </c>
      <c r="F279" s="1310">
        <f t="shared" si="30"/>
        <v>98.330218068535828</v>
      </c>
      <c r="G279" s="1716">
        <v>100</v>
      </c>
      <c r="H279" s="2144"/>
      <c r="J279" s="2145"/>
      <c r="K279" s="2145"/>
    </row>
    <row r="280" spans="2:11" s="2123" customFormat="1" ht="13.5" hidden="1" customHeight="1" x14ac:dyDescent="0.25">
      <c r="B280" s="2124"/>
      <c r="C280" s="509" t="s">
        <v>348</v>
      </c>
      <c r="D280" s="921">
        <v>262614000</v>
      </c>
      <c r="E280" s="1014">
        <v>238460000</v>
      </c>
      <c r="F280" s="1310">
        <f t="shared" si="30"/>
        <v>90.802470546124738</v>
      </c>
      <c r="G280" s="755">
        <v>100</v>
      </c>
      <c r="H280" s="2144"/>
      <c r="J280" s="2145"/>
      <c r="K280" s="2145"/>
    </row>
    <row r="281" spans="2:11" s="2123" customFormat="1" ht="15.75" hidden="1" customHeight="1" x14ac:dyDescent="0.25">
      <c r="B281" s="2124"/>
      <c r="C281" s="509" t="s">
        <v>3435</v>
      </c>
      <c r="D281" s="921">
        <v>1016500000</v>
      </c>
      <c r="E281" s="1871">
        <v>997300000</v>
      </c>
      <c r="F281" s="1310">
        <f t="shared" si="30"/>
        <v>98.111165764879487</v>
      </c>
      <c r="G281" s="1312">
        <v>100</v>
      </c>
      <c r="H281" s="2144"/>
      <c r="J281" s="2145"/>
      <c r="K281" s="2145"/>
    </row>
    <row r="282" spans="2:11" s="2123" customFormat="1" ht="12.75" hidden="1" customHeight="1" x14ac:dyDescent="0.25">
      <c r="B282" s="2124"/>
      <c r="C282" s="1183"/>
      <c r="D282" s="802"/>
      <c r="E282" s="2180"/>
      <c r="F282" s="1312"/>
      <c r="G282" s="1311"/>
      <c r="H282" s="2144"/>
      <c r="J282" s="2145"/>
      <c r="K282" s="2145"/>
    </row>
    <row r="283" spans="2:11" s="2123" customFormat="1" ht="16.5" hidden="1" customHeight="1" x14ac:dyDescent="0.25">
      <c r="B283" s="2124"/>
      <c r="C283" s="1194" t="s">
        <v>675</v>
      </c>
      <c r="D283" s="803">
        <f>SUM(D284:D285)</f>
        <v>2732884500</v>
      </c>
      <c r="E283" s="803">
        <f>SUM(E284:E285)</f>
        <v>2712341583</v>
      </c>
      <c r="F283" s="1308">
        <f t="shared" si="30"/>
        <v>99.248306432269644</v>
      </c>
      <c r="G283" s="1650">
        <v>100</v>
      </c>
      <c r="H283" s="2144"/>
      <c r="J283" s="2145"/>
      <c r="K283" s="2145"/>
    </row>
    <row r="284" spans="2:11" s="2123" customFormat="1" ht="17.25" hidden="1" customHeight="1" x14ac:dyDescent="0.25">
      <c r="B284" s="2124"/>
      <c r="C284" s="509" t="s">
        <v>676</v>
      </c>
      <c r="D284" s="933">
        <v>2059134500</v>
      </c>
      <c r="E284" s="1871">
        <v>2056563969</v>
      </c>
      <c r="F284" s="1310">
        <f t="shared" si="30"/>
        <v>99.875164492654562</v>
      </c>
      <c r="G284" s="1716">
        <v>100</v>
      </c>
      <c r="H284" s="2144"/>
      <c r="J284" s="2145"/>
      <c r="K284" s="2145"/>
    </row>
    <row r="285" spans="2:11" s="2123" customFormat="1" ht="15.75" hidden="1" customHeight="1" x14ac:dyDescent="0.25">
      <c r="B285" s="2124"/>
      <c r="C285" s="509" t="s">
        <v>677</v>
      </c>
      <c r="D285" s="933">
        <v>673750000</v>
      </c>
      <c r="E285" s="1871">
        <v>655777614</v>
      </c>
      <c r="F285" s="1310">
        <f t="shared" si="30"/>
        <v>97.332484452690167</v>
      </c>
      <c r="G285" s="1312">
        <v>100</v>
      </c>
      <c r="H285" s="2144"/>
      <c r="J285" s="2145"/>
      <c r="K285" s="2145"/>
    </row>
    <row r="286" spans="2:11" s="2029" customFormat="1" ht="12.75" hidden="1" customHeight="1" x14ac:dyDescent="0.25">
      <c r="B286" s="2027"/>
      <c r="C286" s="3060"/>
      <c r="D286" s="2247"/>
      <c r="E286" s="2250"/>
      <c r="F286" s="783"/>
      <c r="G286" s="2655"/>
      <c r="H286" s="2028"/>
      <c r="J286" s="2142"/>
      <c r="K286" s="2142"/>
    </row>
    <row r="287" spans="2:11" s="3429" customFormat="1" ht="17.25" customHeight="1" x14ac:dyDescent="0.25">
      <c r="B287" s="3426"/>
      <c r="C287" s="2747" t="s">
        <v>616</v>
      </c>
      <c r="D287" s="2748">
        <f>D289+D316+D328</f>
        <v>32500000000</v>
      </c>
      <c r="E287" s="2748">
        <f>E289+E316+E328</f>
        <v>29989573586</v>
      </c>
      <c r="F287" s="3427">
        <f>E287/D287*100</f>
        <v>92.275611033846147</v>
      </c>
      <c r="G287" s="2851">
        <f>SUM(G289+G316+G328)/3</f>
        <v>84.592592592592595</v>
      </c>
      <c r="H287" s="3428" t="s">
        <v>3224</v>
      </c>
      <c r="J287" s="3430"/>
      <c r="K287" s="3430"/>
    </row>
    <row r="288" spans="2:11" s="2029" customFormat="1" ht="9.75" hidden="1" customHeight="1" x14ac:dyDescent="0.25">
      <c r="B288" s="2027"/>
      <c r="C288" s="1254"/>
      <c r="D288" s="2246"/>
      <c r="E288" s="2246"/>
      <c r="F288" s="2245"/>
      <c r="G288" s="3093"/>
      <c r="H288" s="2028"/>
      <c r="J288" s="2142"/>
      <c r="K288" s="2142"/>
    </row>
    <row r="289" spans="2:11" s="276" customFormat="1" ht="16.5" hidden="1" customHeight="1" x14ac:dyDescent="0.25">
      <c r="B289" s="2030"/>
      <c r="C289" s="1180" t="s">
        <v>248</v>
      </c>
      <c r="D289" s="743">
        <f>D290+D293+D298+D301+D306+D313</f>
        <v>22000000000</v>
      </c>
      <c r="E289" s="743">
        <f>E290+E293+E298+E301+E306+E313</f>
        <v>20183885632</v>
      </c>
      <c r="F289" s="1726">
        <f>SUM(E289/D289)*100</f>
        <v>91.744934690909091</v>
      </c>
      <c r="G289" s="2317">
        <f>SUM(G293+G298+G301+G306+G313)/6</f>
        <v>81.555555555555557</v>
      </c>
      <c r="H289" s="275"/>
      <c r="J289" s="2148"/>
      <c r="K289" s="2148"/>
    </row>
    <row r="290" spans="2:11" s="276" customFormat="1" ht="18" hidden="1" customHeight="1" x14ac:dyDescent="0.25">
      <c r="B290" s="2037"/>
      <c r="C290" s="1131" t="s">
        <v>1692</v>
      </c>
      <c r="D290" s="1554">
        <f>D291</f>
        <v>6390000000</v>
      </c>
      <c r="E290" s="1554">
        <f>E291</f>
        <v>6390000000</v>
      </c>
      <c r="F290" s="877">
        <f>E290/D290*100</f>
        <v>100</v>
      </c>
      <c r="G290" s="877">
        <v>100</v>
      </c>
      <c r="H290" s="275"/>
      <c r="J290" s="2148"/>
      <c r="K290" s="2148"/>
    </row>
    <row r="291" spans="2:11" s="2017" customFormat="1" ht="12" hidden="1" customHeight="1" x14ac:dyDescent="0.25">
      <c r="B291" s="2031"/>
      <c r="C291" s="509" t="s">
        <v>1693</v>
      </c>
      <c r="D291" s="1548">
        <v>6390000000</v>
      </c>
      <c r="E291" s="878">
        <v>6390000000</v>
      </c>
      <c r="F291" s="878">
        <f>E291/D291*100</f>
        <v>100</v>
      </c>
      <c r="G291" s="878">
        <v>100</v>
      </c>
      <c r="H291" s="2019"/>
      <c r="J291" s="2130"/>
      <c r="K291" s="2130"/>
    </row>
    <row r="292" spans="2:11" s="2017" customFormat="1" ht="9.75" hidden="1" customHeight="1" x14ac:dyDescent="0.25">
      <c r="B292" s="2020"/>
      <c r="C292" s="509"/>
      <c r="D292" s="1548"/>
      <c r="E292" s="1312"/>
      <c r="F292" s="1312"/>
      <c r="G292" s="1312"/>
      <c r="H292" s="2019"/>
      <c r="J292" s="2130"/>
      <c r="K292" s="2130"/>
    </row>
    <row r="293" spans="2:11" s="276" customFormat="1" ht="17.25" hidden="1" customHeight="1" x14ac:dyDescent="0.25">
      <c r="B293" s="2027"/>
      <c r="C293" s="1132" t="s">
        <v>290</v>
      </c>
      <c r="D293" s="1549">
        <f>SUM(D294:D296)</f>
        <v>2950550000</v>
      </c>
      <c r="E293" s="1549">
        <f>SUM(E294:E296)</f>
        <v>2708898632</v>
      </c>
      <c r="F293" s="753">
        <f>E293/D293*100</f>
        <v>91.809955160902206</v>
      </c>
      <c r="G293" s="2006">
        <f>SUM(G294:G296)/3</f>
        <v>93.333333333333329</v>
      </c>
      <c r="H293" s="275"/>
      <c r="J293" s="2148"/>
      <c r="K293" s="2148"/>
    </row>
    <row r="294" spans="2:11" s="2017" customFormat="1" ht="17.25" hidden="1" customHeight="1" x14ac:dyDescent="0.25">
      <c r="B294" s="2020"/>
      <c r="C294" s="509" t="s">
        <v>1694</v>
      </c>
      <c r="D294" s="1548">
        <v>2000000000</v>
      </c>
      <c r="E294" s="2293">
        <v>1947331632</v>
      </c>
      <c r="F294" s="878">
        <f>E294/D294*100</f>
        <v>97.366581600000004</v>
      </c>
      <c r="G294" s="2230">
        <v>100</v>
      </c>
      <c r="H294" s="2019"/>
      <c r="J294" s="2130"/>
      <c r="K294" s="2130"/>
    </row>
    <row r="295" spans="2:11" s="2017" customFormat="1" ht="15.75" hidden="1" customHeight="1" x14ac:dyDescent="0.25">
      <c r="B295" s="2020"/>
      <c r="C295" s="509" t="s">
        <v>1695</v>
      </c>
      <c r="D295" s="1548">
        <v>750000000</v>
      </c>
      <c r="E295" s="1312">
        <v>561576000</v>
      </c>
      <c r="F295" s="878">
        <f>E295/D295*100</f>
        <v>74.876800000000003</v>
      </c>
      <c r="G295" s="1312">
        <v>80</v>
      </c>
      <c r="H295" s="2019"/>
      <c r="J295" s="2130"/>
      <c r="K295" s="2130"/>
    </row>
    <row r="296" spans="2:11" s="276" customFormat="1" ht="15.75" hidden="1" customHeight="1" x14ac:dyDescent="0.25">
      <c r="B296" s="2027"/>
      <c r="C296" s="509" t="s">
        <v>1696</v>
      </c>
      <c r="D296" s="1548">
        <v>200550000</v>
      </c>
      <c r="E296" s="878">
        <v>199991000</v>
      </c>
      <c r="F296" s="878">
        <f>E296/D296*100</f>
        <v>99.721266517078035</v>
      </c>
      <c r="G296" s="878">
        <v>100</v>
      </c>
      <c r="H296" s="275"/>
      <c r="J296" s="2148"/>
      <c r="K296" s="2148"/>
    </row>
    <row r="297" spans="2:11" s="2017" customFormat="1" ht="12" hidden="1" customHeight="1" x14ac:dyDescent="0.25">
      <c r="B297" s="2020"/>
      <c r="C297" s="509"/>
      <c r="D297" s="1549"/>
      <c r="E297" s="1988"/>
      <c r="F297" s="1650"/>
      <c r="G297" s="2006"/>
      <c r="H297" s="2019"/>
      <c r="J297" s="2130"/>
      <c r="K297" s="2130"/>
    </row>
    <row r="298" spans="2:11" s="2017" customFormat="1" ht="18" hidden="1" customHeight="1" x14ac:dyDescent="0.25">
      <c r="B298" s="2020"/>
      <c r="C298" s="1132" t="s">
        <v>291</v>
      </c>
      <c r="D298" s="1582">
        <f>D299</f>
        <v>425435000</v>
      </c>
      <c r="E298" s="1582">
        <f>E299</f>
        <v>425435000</v>
      </c>
      <c r="F298" s="753">
        <f>E298/D298*100</f>
        <v>100</v>
      </c>
      <c r="G298" s="2362">
        <v>100</v>
      </c>
      <c r="H298" s="2019"/>
      <c r="J298" s="2130"/>
      <c r="K298" s="2130"/>
    </row>
    <row r="299" spans="2:11" s="2017" customFormat="1" ht="18" hidden="1" customHeight="1" x14ac:dyDescent="0.25">
      <c r="B299" s="2020"/>
      <c r="C299" s="509" t="s">
        <v>1697</v>
      </c>
      <c r="D299" s="1548">
        <v>425435000</v>
      </c>
      <c r="E299" s="1818">
        <v>425435000</v>
      </c>
      <c r="F299" s="878">
        <f>E299/D299*100</f>
        <v>100</v>
      </c>
      <c r="G299" s="2230">
        <v>100</v>
      </c>
      <c r="H299" s="2019"/>
      <c r="J299" s="2130"/>
      <c r="K299" s="2130"/>
    </row>
    <row r="300" spans="2:11" s="276" customFormat="1" ht="12" hidden="1" customHeight="1" x14ac:dyDescent="0.25">
      <c r="B300" s="2027"/>
      <c r="C300" s="509"/>
      <c r="D300" s="1548"/>
      <c r="E300" s="2293"/>
      <c r="F300" s="1312"/>
      <c r="G300" s="2230"/>
      <c r="H300" s="275"/>
      <c r="J300" s="2148"/>
      <c r="K300" s="2148"/>
    </row>
    <row r="301" spans="2:11" s="2017" customFormat="1" ht="17.25" hidden="1" customHeight="1" x14ac:dyDescent="0.25">
      <c r="B301" s="2020"/>
      <c r="C301" s="1132" t="s">
        <v>1698</v>
      </c>
      <c r="D301" s="1549">
        <f>SUM(D302:D304)</f>
        <v>1080000000</v>
      </c>
      <c r="E301" s="1549">
        <f>SUM(E302:E304)</f>
        <v>1080000000</v>
      </c>
      <c r="F301" s="753">
        <f>E301/D301*100</f>
        <v>100</v>
      </c>
      <c r="G301" s="2006">
        <v>100</v>
      </c>
      <c r="H301" s="2019"/>
      <c r="J301" s="2130"/>
      <c r="K301" s="2130"/>
    </row>
    <row r="302" spans="2:11" s="2017" customFormat="1" ht="17.25" hidden="1" customHeight="1" x14ac:dyDescent="0.25">
      <c r="B302" s="2020"/>
      <c r="C302" s="509" t="s">
        <v>1699</v>
      </c>
      <c r="D302" s="1548">
        <v>380000000</v>
      </c>
      <c r="E302" s="1818">
        <v>380000000</v>
      </c>
      <c r="F302" s="878">
        <f>E302/D302*100</f>
        <v>100</v>
      </c>
      <c r="G302" s="1312">
        <v>100</v>
      </c>
      <c r="H302" s="2019"/>
      <c r="J302" s="2130"/>
      <c r="K302" s="2130"/>
    </row>
    <row r="303" spans="2:11" s="2029" customFormat="1" ht="14.25" hidden="1" customHeight="1" x14ac:dyDescent="0.25">
      <c r="B303" s="2027"/>
      <c r="C303" s="509" t="s">
        <v>1700</v>
      </c>
      <c r="D303" s="1548">
        <v>200000000</v>
      </c>
      <c r="E303" s="1818">
        <v>200000000</v>
      </c>
      <c r="F303" s="878">
        <f>E303/D303*100</f>
        <v>100</v>
      </c>
      <c r="G303" s="2230">
        <v>100</v>
      </c>
      <c r="H303" s="2028"/>
      <c r="J303" s="2142"/>
      <c r="K303" s="2142"/>
    </row>
    <row r="304" spans="2:11" s="2029" customFormat="1" ht="17.25" hidden="1" customHeight="1" x14ac:dyDescent="0.25">
      <c r="B304" s="2027"/>
      <c r="C304" s="509" t="s">
        <v>1701</v>
      </c>
      <c r="D304" s="1548">
        <v>500000000</v>
      </c>
      <c r="E304" s="1818">
        <v>500000000</v>
      </c>
      <c r="F304" s="878">
        <f>E304/D304*100</f>
        <v>100</v>
      </c>
      <c r="G304" s="2230">
        <v>100</v>
      </c>
      <c r="H304" s="2028"/>
      <c r="J304" s="2142"/>
      <c r="K304" s="2142"/>
    </row>
    <row r="305" spans="2:11" s="2029" customFormat="1" ht="12" hidden="1" customHeight="1" x14ac:dyDescent="0.25">
      <c r="B305" s="2027"/>
      <c r="C305" s="509"/>
      <c r="D305" s="1548"/>
      <c r="E305" s="2293"/>
      <c r="F305" s="2230"/>
      <c r="G305" s="2230"/>
      <c r="H305" s="2028"/>
      <c r="J305" s="2142"/>
      <c r="K305" s="2142"/>
    </row>
    <row r="306" spans="2:11" s="2029" customFormat="1" ht="32.25" hidden="1" customHeight="1" x14ac:dyDescent="0.25">
      <c r="B306" s="2027"/>
      <c r="C306" s="1132" t="s">
        <v>2248</v>
      </c>
      <c r="D306" s="1549">
        <f>SUM(D307:D311)</f>
        <v>10272315000</v>
      </c>
      <c r="E306" s="1549">
        <f>SUM(E307:E311)</f>
        <v>8697852000</v>
      </c>
      <c r="F306" s="753">
        <f t="shared" ref="F306:F311" si="31">E306/D306*100</f>
        <v>84.672753902114579</v>
      </c>
      <c r="G306" s="2006">
        <f>SUM(G307:G311)/5</f>
        <v>96</v>
      </c>
      <c r="H306" s="2028"/>
      <c r="J306" s="2142"/>
      <c r="K306" s="2142"/>
    </row>
    <row r="307" spans="2:11" s="2029" customFormat="1" ht="14.25" hidden="1" customHeight="1" x14ac:dyDescent="0.25">
      <c r="B307" s="2027"/>
      <c r="C307" s="509" t="s">
        <v>1704</v>
      </c>
      <c r="D307" s="1548">
        <v>774330000</v>
      </c>
      <c r="E307" s="1312">
        <v>747595000</v>
      </c>
      <c r="F307" s="878">
        <f t="shared" si="31"/>
        <v>96.547337698397328</v>
      </c>
      <c r="G307" s="1312">
        <v>100</v>
      </c>
      <c r="H307" s="2028"/>
      <c r="J307" s="2142"/>
      <c r="K307" s="2142"/>
    </row>
    <row r="308" spans="2:11" s="2029" customFormat="1" ht="16.5" hidden="1" customHeight="1" x14ac:dyDescent="0.25">
      <c r="B308" s="2027"/>
      <c r="C308" s="509" t="s">
        <v>1705</v>
      </c>
      <c r="D308" s="1548">
        <v>238020000</v>
      </c>
      <c r="E308" s="1818">
        <v>238020000</v>
      </c>
      <c r="F308" s="878">
        <f t="shared" si="31"/>
        <v>100</v>
      </c>
      <c r="G308" s="1312">
        <v>100</v>
      </c>
      <c r="H308" s="2028"/>
      <c r="J308" s="2142"/>
      <c r="K308" s="2142"/>
    </row>
    <row r="309" spans="2:11" s="2029" customFormat="1" ht="15" hidden="1" customHeight="1" x14ac:dyDescent="0.25">
      <c r="B309" s="2027"/>
      <c r="C309" s="509" t="s">
        <v>1706</v>
      </c>
      <c r="D309" s="1548">
        <v>1500000000</v>
      </c>
      <c r="E309" s="1312">
        <v>1465000000</v>
      </c>
      <c r="F309" s="878">
        <f t="shared" si="31"/>
        <v>97.666666666666671</v>
      </c>
      <c r="G309" s="1312">
        <v>100</v>
      </c>
      <c r="H309" s="2028"/>
      <c r="J309" s="2142"/>
      <c r="K309" s="2142"/>
    </row>
    <row r="310" spans="2:11" s="2029" customFormat="1" ht="16.5" hidden="1" customHeight="1" x14ac:dyDescent="0.25">
      <c r="B310" s="2027"/>
      <c r="C310" s="509" t="s">
        <v>1707</v>
      </c>
      <c r="D310" s="1548">
        <v>2039500000</v>
      </c>
      <c r="E310" s="1312">
        <v>2006800000</v>
      </c>
      <c r="F310" s="878">
        <f t="shared" si="31"/>
        <v>98.39666584947291</v>
      </c>
      <c r="G310" s="1312">
        <v>100</v>
      </c>
      <c r="H310" s="2028"/>
      <c r="J310" s="2142"/>
      <c r="K310" s="2142"/>
    </row>
    <row r="311" spans="2:11" s="2029" customFormat="1" ht="15.75" hidden="1" customHeight="1" x14ac:dyDescent="0.25">
      <c r="B311" s="2027"/>
      <c r="C311" s="509" t="s">
        <v>1708</v>
      </c>
      <c r="D311" s="1548">
        <v>5720465000</v>
      </c>
      <c r="E311" s="1312">
        <v>4240437000</v>
      </c>
      <c r="F311" s="878">
        <f t="shared" si="31"/>
        <v>74.12748788778535</v>
      </c>
      <c r="G311" s="1312">
        <v>80</v>
      </c>
      <c r="H311" s="2028"/>
      <c r="J311" s="2142"/>
      <c r="K311" s="2142"/>
    </row>
    <row r="312" spans="2:11" s="2029" customFormat="1" ht="7.5" hidden="1" customHeight="1" x14ac:dyDescent="0.25">
      <c r="B312" s="2027"/>
      <c r="C312" s="1144"/>
      <c r="D312" s="1548"/>
      <c r="E312" s="1311"/>
      <c r="F312" s="1311"/>
      <c r="G312" s="1311"/>
      <c r="H312" s="2028"/>
      <c r="J312" s="2142"/>
      <c r="K312" s="2142"/>
    </row>
    <row r="313" spans="2:11" s="2029" customFormat="1" ht="18" hidden="1" customHeight="1" x14ac:dyDescent="0.25">
      <c r="B313" s="2027"/>
      <c r="C313" s="1132" t="s">
        <v>1702</v>
      </c>
      <c r="D313" s="1549">
        <v>881700000</v>
      </c>
      <c r="E313" s="1549">
        <v>881700000</v>
      </c>
      <c r="F313" s="753">
        <f>E313/D313*100</f>
        <v>100</v>
      </c>
      <c r="G313" s="1650">
        <v>100</v>
      </c>
      <c r="H313" s="2028"/>
      <c r="J313" s="2142"/>
      <c r="K313" s="2142"/>
    </row>
    <row r="314" spans="2:11" s="2029" customFormat="1" ht="15" hidden="1" customHeight="1" x14ac:dyDescent="0.25">
      <c r="B314" s="2027"/>
      <c r="C314" s="509" t="s">
        <v>1703</v>
      </c>
      <c r="D314" s="1548">
        <v>881700000</v>
      </c>
      <c r="E314" s="1818">
        <v>881700000</v>
      </c>
      <c r="F314" s="878">
        <f>E314/D314*100</f>
        <v>100</v>
      </c>
      <c r="G314" s="1312">
        <v>100</v>
      </c>
      <c r="H314" s="2028"/>
      <c r="J314" s="2142"/>
      <c r="K314" s="2142"/>
    </row>
    <row r="315" spans="2:11" s="2029" customFormat="1" ht="12" hidden="1" customHeight="1" x14ac:dyDescent="0.25">
      <c r="B315" s="2027"/>
      <c r="C315" s="1272"/>
      <c r="D315" s="2257"/>
      <c r="E315" s="2257"/>
      <c r="F315" s="2691"/>
      <c r="G315" s="2658"/>
      <c r="H315" s="2028"/>
      <c r="J315" s="2142"/>
      <c r="K315" s="2142"/>
    </row>
    <row r="316" spans="2:11" s="276" customFormat="1" ht="17.25" hidden="1" customHeight="1" x14ac:dyDescent="0.25">
      <c r="B316" s="2030"/>
      <c r="C316" s="1180" t="s">
        <v>300</v>
      </c>
      <c r="D316" s="743">
        <f>D317</f>
        <v>10000000000</v>
      </c>
      <c r="E316" s="743">
        <f>E317</f>
        <v>9480687954</v>
      </c>
      <c r="F316" s="1726">
        <f>SUM(E316/D316)*100</f>
        <v>94.806879539999997</v>
      </c>
      <c r="G316" s="2325">
        <f>SUM(G317)/1</f>
        <v>97.222222222222229</v>
      </c>
      <c r="H316" s="275"/>
      <c r="J316" s="2148"/>
      <c r="K316" s="2148"/>
    </row>
    <row r="317" spans="2:11" s="276" customFormat="1" ht="32.25" hidden="1" customHeight="1" x14ac:dyDescent="0.25">
      <c r="B317" s="2027"/>
      <c r="C317" s="1131" t="s">
        <v>1799</v>
      </c>
      <c r="D317" s="1549">
        <f>SUM(D318:D326)</f>
        <v>10000000000</v>
      </c>
      <c r="E317" s="1549">
        <f>SUM(E318:E326)</f>
        <v>9480687954</v>
      </c>
      <c r="F317" s="2176">
        <f>E317/D317*100</f>
        <v>94.806879539999997</v>
      </c>
      <c r="G317" s="2308">
        <f>SUM(G318:G326)/9</f>
        <v>97.222222222222229</v>
      </c>
      <c r="H317" s="275"/>
      <c r="J317" s="2148"/>
      <c r="K317" s="2148"/>
    </row>
    <row r="318" spans="2:11" s="2017" customFormat="1" ht="30" hidden="1" customHeight="1" x14ac:dyDescent="0.25">
      <c r="B318" s="2020"/>
      <c r="C318" s="509" t="s">
        <v>1800</v>
      </c>
      <c r="D318" s="1548">
        <v>3749820000</v>
      </c>
      <c r="E318" s="2293">
        <v>3635500095</v>
      </c>
      <c r="F318" s="878">
        <f>E318/D318*100</f>
        <v>96.951322863497452</v>
      </c>
      <c r="G318" s="2230">
        <v>100</v>
      </c>
      <c r="H318" s="2019"/>
      <c r="J318" s="2130"/>
      <c r="K318" s="2130"/>
    </row>
    <row r="319" spans="2:11" s="2017" customFormat="1" ht="12" hidden="1" customHeight="1" x14ac:dyDescent="0.25">
      <c r="B319" s="2020"/>
      <c r="C319" s="509" t="s">
        <v>1801</v>
      </c>
      <c r="D319" s="1548">
        <v>200000000</v>
      </c>
      <c r="E319" s="878">
        <v>115590000</v>
      </c>
      <c r="F319" s="878">
        <f t="shared" ref="F319:F326" si="32">E319/D319*100</f>
        <v>57.794999999999995</v>
      </c>
      <c r="G319" s="878">
        <v>75</v>
      </c>
      <c r="H319" s="2019"/>
      <c r="J319" s="2130"/>
      <c r="K319" s="2130"/>
    </row>
    <row r="320" spans="2:11" s="2017" customFormat="1" ht="15" hidden="1" customHeight="1" x14ac:dyDescent="0.25">
      <c r="B320" s="2020"/>
      <c r="C320" s="509" t="s">
        <v>1802</v>
      </c>
      <c r="D320" s="1548">
        <v>1000000000</v>
      </c>
      <c r="E320" s="878">
        <v>976109561</v>
      </c>
      <c r="F320" s="878">
        <f t="shared" si="32"/>
        <v>97.610956099999996</v>
      </c>
      <c r="G320" s="878">
        <v>100</v>
      </c>
      <c r="H320" s="2019"/>
      <c r="J320" s="2130"/>
      <c r="K320" s="2130"/>
    </row>
    <row r="321" spans="1:11" s="2017" customFormat="1" ht="14.25" hidden="1" customHeight="1" x14ac:dyDescent="0.25">
      <c r="B321" s="2020"/>
      <c r="C321" s="509" t="s">
        <v>1803</v>
      </c>
      <c r="D321" s="1548">
        <v>596000000</v>
      </c>
      <c r="E321" s="2293">
        <v>546587500</v>
      </c>
      <c r="F321" s="878">
        <f t="shared" si="32"/>
        <v>91.709312080536904</v>
      </c>
      <c r="G321" s="2230">
        <v>100</v>
      </c>
      <c r="H321" s="2019"/>
      <c r="J321" s="2130"/>
      <c r="K321" s="2130"/>
    </row>
    <row r="322" spans="1:11" s="2017" customFormat="1" ht="15.75" hidden="1" customHeight="1" x14ac:dyDescent="0.25">
      <c r="B322" s="2020"/>
      <c r="C322" s="519" t="s">
        <v>1804</v>
      </c>
      <c r="D322" s="1516">
        <v>2754180000</v>
      </c>
      <c r="E322" s="1323">
        <v>2636090000</v>
      </c>
      <c r="F322" s="878">
        <f t="shared" si="32"/>
        <v>95.712335431961606</v>
      </c>
      <c r="G322" s="1323">
        <v>100</v>
      </c>
      <c r="H322" s="2019"/>
      <c r="J322" s="2130"/>
      <c r="K322" s="2130"/>
    </row>
    <row r="323" spans="1:11" s="2017" customFormat="1" ht="15.75" hidden="1" customHeight="1" x14ac:dyDescent="0.25">
      <c r="B323" s="2020"/>
      <c r="C323" s="509" t="s">
        <v>1805</v>
      </c>
      <c r="D323" s="1548">
        <v>100000000</v>
      </c>
      <c r="E323" s="1312">
        <v>98952000</v>
      </c>
      <c r="F323" s="878">
        <f t="shared" si="32"/>
        <v>98.951999999999998</v>
      </c>
      <c r="G323" s="1312">
        <v>100</v>
      </c>
      <c r="H323" s="2019"/>
      <c r="J323" s="2130"/>
      <c r="K323" s="2130"/>
    </row>
    <row r="324" spans="1:11" s="2017" customFormat="1" ht="14.25" hidden="1" customHeight="1" x14ac:dyDescent="0.25">
      <c r="B324" s="2020"/>
      <c r="C324" s="509" t="s">
        <v>1806</v>
      </c>
      <c r="D324" s="1548">
        <v>100000000</v>
      </c>
      <c r="E324" s="1312">
        <v>98426400</v>
      </c>
      <c r="F324" s="878">
        <f t="shared" si="32"/>
        <v>98.426400000000001</v>
      </c>
      <c r="G324" s="1312">
        <v>100</v>
      </c>
      <c r="H324" s="2019"/>
      <c r="J324" s="2130"/>
      <c r="K324" s="2130"/>
    </row>
    <row r="325" spans="1:11" s="2017" customFormat="1" ht="15.75" hidden="1" customHeight="1" x14ac:dyDescent="0.25">
      <c r="B325" s="2020"/>
      <c r="C325" s="509" t="s">
        <v>1807</v>
      </c>
      <c r="D325" s="1548">
        <v>500000000</v>
      </c>
      <c r="E325" s="878">
        <v>479378200</v>
      </c>
      <c r="F325" s="878">
        <f t="shared" si="32"/>
        <v>95.87563999999999</v>
      </c>
      <c r="G325" s="878">
        <v>100</v>
      </c>
      <c r="H325" s="2019"/>
      <c r="J325" s="2130"/>
      <c r="K325" s="2130"/>
    </row>
    <row r="326" spans="1:11" s="2017" customFormat="1" ht="15" hidden="1" customHeight="1" x14ac:dyDescent="0.25">
      <c r="B326" s="2020"/>
      <c r="C326" s="509" t="s">
        <v>1808</v>
      </c>
      <c r="D326" s="1548">
        <v>1000000000</v>
      </c>
      <c r="E326" s="1312">
        <v>894054198</v>
      </c>
      <c r="F326" s="878">
        <f t="shared" si="32"/>
        <v>89.40541979999999</v>
      </c>
      <c r="G326" s="878">
        <v>100</v>
      </c>
      <c r="H326" s="2019"/>
      <c r="J326" s="2130"/>
      <c r="K326" s="2130"/>
    </row>
    <row r="327" spans="1:11" s="2029" customFormat="1" ht="12" hidden="1" customHeight="1" x14ac:dyDescent="0.25">
      <c r="B327" s="2027"/>
      <c r="C327" s="2039"/>
      <c r="D327" s="2248"/>
      <c r="E327" s="2248"/>
      <c r="F327" s="2655"/>
      <c r="G327" s="2655"/>
      <c r="H327" s="2028"/>
      <c r="J327" s="2142"/>
      <c r="K327" s="2142"/>
    </row>
    <row r="328" spans="1:11" s="276" customFormat="1" ht="18" hidden="1" customHeight="1" x14ac:dyDescent="0.25">
      <c r="B328" s="2030"/>
      <c r="C328" s="1180" t="s">
        <v>619</v>
      </c>
      <c r="D328" s="743">
        <f>D329</f>
        <v>500000000</v>
      </c>
      <c r="E328" s="743">
        <f>E329</f>
        <v>325000000</v>
      </c>
      <c r="F328" s="2240">
        <f>F329</f>
        <v>65</v>
      </c>
      <c r="G328" s="2325">
        <f>G329</f>
        <v>75</v>
      </c>
      <c r="H328" s="275"/>
      <c r="J328" s="2148"/>
      <c r="K328" s="2148"/>
    </row>
    <row r="329" spans="1:11" s="2017" customFormat="1" ht="17.25" hidden="1" customHeight="1" x14ac:dyDescent="0.25">
      <c r="B329" s="2020"/>
      <c r="C329" s="1183" t="s">
        <v>312</v>
      </c>
      <c r="D329" s="1548">
        <v>500000000</v>
      </c>
      <c r="E329" s="1818">
        <v>325000000</v>
      </c>
      <c r="F329" s="1310">
        <f>E329/D329*100</f>
        <v>65</v>
      </c>
      <c r="G329" s="2230">
        <v>75</v>
      </c>
      <c r="H329" s="2019"/>
      <c r="J329" s="2130"/>
      <c r="K329" s="2130"/>
    </row>
    <row r="330" spans="1:11" s="2029" customFormat="1" ht="12" hidden="1" customHeight="1" x14ac:dyDescent="0.25">
      <c r="B330" s="2040"/>
      <c r="C330" s="1256"/>
      <c r="D330" s="2246"/>
      <c r="E330" s="2249"/>
      <c r="F330" s="783"/>
      <c r="G330" s="2655"/>
      <c r="H330" s="2028"/>
      <c r="J330" s="2142"/>
      <c r="K330" s="2142"/>
    </row>
    <row r="331" spans="1:11" s="2058" customFormat="1" ht="18.75" customHeight="1" x14ac:dyDescent="0.25">
      <c r="B331" s="616"/>
      <c r="C331" s="1297" t="s">
        <v>258</v>
      </c>
      <c r="D331" s="2699">
        <f>SUM(+D333+D385+D409)</f>
        <v>26403778000</v>
      </c>
      <c r="E331" s="2699">
        <f>SUM(+E333+E385+E409)</f>
        <v>26037878000</v>
      </c>
      <c r="F331" s="2506">
        <f>E331/D331*100</f>
        <v>98.614213465966884</v>
      </c>
      <c r="G331" s="2507">
        <f>SUM(G333+G385+G409)/3</f>
        <v>95.769841269841265</v>
      </c>
      <c r="H331" s="3444" t="s">
        <v>3437</v>
      </c>
      <c r="J331" s="2151"/>
      <c r="K331" s="2151"/>
    </row>
    <row r="332" spans="1:11" s="2029" customFormat="1" ht="10.5" hidden="1" customHeight="1" x14ac:dyDescent="0.25">
      <c r="B332" s="2036"/>
      <c r="C332" s="1256"/>
      <c r="D332" s="2246"/>
      <c r="E332" s="2246"/>
      <c r="F332" s="3093"/>
      <c r="G332" s="3093"/>
      <c r="H332" s="2028"/>
      <c r="J332" s="2142"/>
      <c r="K332" s="2142"/>
    </row>
    <row r="333" spans="1:11" s="2029" customFormat="1" ht="18.75" hidden="1" customHeight="1" x14ac:dyDescent="0.25">
      <c r="B333" s="2030"/>
      <c r="C333" s="1303" t="s">
        <v>248</v>
      </c>
      <c r="D333" s="743">
        <f>SUM(D334+D340+D343+D346+D353+D358+D370+D375+D380)</f>
        <v>11585750000</v>
      </c>
      <c r="E333" s="743">
        <f>SUM(E334+E340+E343+E346+E353+E358+E370+E375+E380)</f>
        <v>11435850000</v>
      </c>
      <c r="F333" s="2659">
        <f t="shared" ref="F333:F338" si="33">E333/D333*100</f>
        <v>98.706169216494402</v>
      </c>
      <c r="G333" s="2240">
        <f>SUM(G334+G340+G346+G353+G358+G370+G375)/7</f>
        <v>87.30952380952381</v>
      </c>
      <c r="H333" s="2028"/>
      <c r="J333" s="2142">
        <v>11585750000</v>
      </c>
      <c r="K333" s="2142">
        <v>11435850000</v>
      </c>
    </row>
    <row r="334" spans="1:11" s="2029" customFormat="1" ht="17.25" hidden="1" customHeight="1" x14ac:dyDescent="0.25">
      <c r="A334" s="2041"/>
      <c r="B334" s="383"/>
      <c r="C334" s="2042" t="s">
        <v>708</v>
      </c>
      <c r="D334" s="2043">
        <f>SUM(D335:D338)</f>
        <v>7061750000</v>
      </c>
      <c r="E334" s="2044">
        <f>SUM(E335:E338)</f>
        <v>7047350000</v>
      </c>
      <c r="F334" s="2286">
        <f t="shared" si="33"/>
        <v>99.796084539951153</v>
      </c>
      <c r="G334" s="2657">
        <f>SUM(G335:G338)/4</f>
        <v>62.5</v>
      </c>
      <c r="H334" s="2045"/>
      <c r="J334" s="2142"/>
      <c r="K334" s="2142"/>
    </row>
    <row r="335" spans="1:11" s="2029" customFormat="1" ht="15.75" hidden="1" customHeight="1" x14ac:dyDescent="0.25">
      <c r="A335" s="2041"/>
      <c r="B335" s="383"/>
      <c r="C335" s="2046" t="s">
        <v>714</v>
      </c>
      <c r="D335" s="2047">
        <v>4065750000</v>
      </c>
      <c r="E335" s="2250">
        <v>4051350000</v>
      </c>
      <c r="F335" s="782">
        <f t="shared" si="33"/>
        <v>99.645821804095178</v>
      </c>
      <c r="G335" s="2250">
        <v>55</v>
      </c>
      <c r="H335" s="2045"/>
      <c r="J335" s="2142"/>
      <c r="K335" s="2142"/>
    </row>
    <row r="336" spans="1:11" s="2029" customFormat="1" ht="15.75" hidden="1" customHeight="1" x14ac:dyDescent="0.25">
      <c r="A336" s="2041"/>
      <c r="B336" s="383"/>
      <c r="C336" s="2046" t="s">
        <v>713</v>
      </c>
      <c r="D336" s="2047">
        <v>510000000</v>
      </c>
      <c r="E336" s="2250">
        <v>510000000</v>
      </c>
      <c r="F336" s="782">
        <f t="shared" si="33"/>
        <v>100</v>
      </c>
      <c r="G336" s="2250">
        <v>80</v>
      </c>
      <c r="H336" s="2045"/>
      <c r="J336" s="2142"/>
      <c r="K336" s="2142"/>
    </row>
    <row r="337" spans="1:11" s="2029" customFormat="1" ht="16.5" hidden="1" customHeight="1" x14ac:dyDescent="0.25">
      <c r="A337" s="2041"/>
      <c r="B337" s="383"/>
      <c r="C337" s="2046" t="s">
        <v>712</v>
      </c>
      <c r="D337" s="2047">
        <v>376000000</v>
      </c>
      <c r="E337" s="2250">
        <v>376000000</v>
      </c>
      <c r="F337" s="782">
        <f t="shared" si="33"/>
        <v>100</v>
      </c>
      <c r="G337" s="2250">
        <v>70</v>
      </c>
      <c r="H337" s="2045"/>
      <c r="J337" s="2142"/>
      <c r="K337" s="2142"/>
    </row>
    <row r="338" spans="1:11" s="2029" customFormat="1" ht="18" hidden="1" customHeight="1" x14ac:dyDescent="0.25">
      <c r="A338" s="2041"/>
      <c r="B338" s="383"/>
      <c r="C338" s="2046" t="s">
        <v>711</v>
      </c>
      <c r="D338" s="2047">
        <v>2110000000</v>
      </c>
      <c r="E338" s="2250">
        <v>2110000000</v>
      </c>
      <c r="F338" s="782">
        <f t="shared" si="33"/>
        <v>100</v>
      </c>
      <c r="G338" s="2250">
        <v>45</v>
      </c>
      <c r="H338" s="2045"/>
      <c r="J338" s="2142"/>
      <c r="K338" s="2142"/>
    </row>
    <row r="339" spans="1:11" s="2029" customFormat="1" ht="8.25" hidden="1" customHeight="1" x14ac:dyDescent="0.25">
      <c r="A339" s="2041"/>
      <c r="B339" s="383"/>
      <c r="C339" s="1211"/>
      <c r="D339" s="2692"/>
      <c r="E339" s="2247"/>
      <c r="F339" s="2250"/>
      <c r="G339" s="2247"/>
      <c r="H339" s="2045"/>
      <c r="J339" s="2142"/>
      <c r="K339" s="2142"/>
    </row>
    <row r="340" spans="1:11" s="2029" customFormat="1" ht="15.75" hidden="1" customHeight="1" x14ac:dyDescent="0.25">
      <c r="A340" s="2041"/>
      <c r="B340" s="383"/>
      <c r="C340" s="2048" t="s">
        <v>707</v>
      </c>
      <c r="D340" s="2049">
        <f>D341</f>
        <v>500000000</v>
      </c>
      <c r="E340" s="2049">
        <f>E341</f>
        <v>500000000</v>
      </c>
      <c r="F340" s="1012">
        <f>SUM(E340/D340)*100</f>
        <v>100</v>
      </c>
      <c r="G340" s="2245">
        <v>60</v>
      </c>
      <c r="H340" s="2045"/>
      <c r="J340" s="2142"/>
      <c r="K340" s="2142"/>
    </row>
    <row r="341" spans="1:11" s="2029" customFormat="1" ht="13.5" hidden="1" customHeight="1" x14ac:dyDescent="0.25">
      <c r="A341" s="2041"/>
      <c r="B341" s="383"/>
      <c r="C341" s="2046" t="s">
        <v>705</v>
      </c>
      <c r="D341" s="2047">
        <v>500000000</v>
      </c>
      <c r="E341" s="1668">
        <v>500000000</v>
      </c>
      <c r="F341" s="782">
        <f>E341/D341*100</f>
        <v>100</v>
      </c>
      <c r="G341" s="1668">
        <v>60</v>
      </c>
      <c r="H341" s="2045"/>
      <c r="J341" s="2142"/>
      <c r="K341" s="2142"/>
    </row>
    <row r="342" spans="1:11" s="2029" customFormat="1" ht="9.75" hidden="1" customHeight="1" x14ac:dyDescent="0.25">
      <c r="A342" s="2041"/>
      <c r="B342" s="383"/>
      <c r="C342" s="1211"/>
      <c r="D342" s="760"/>
      <c r="E342" s="2247"/>
      <c r="F342" s="2250"/>
      <c r="G342" s="2247"/>
      <c r="H342" s="2045"/>
      <c r="J342" s="2142"/>
      <c r="K342" s="2142"/>
    </row>
    <row r="343" spans="1:11" s="2029" customFormat="1" ht="16.5" hidden="1" customHeight="1" x14ac:dyDescent="0.25">
      <c r="A343" s="2041"/>
      <c r="B343" s="383"/>
      <c r="C343" s="2048" t="s">
        <v>706</v>
      </c>
      <c r="D343" s="2049">
        <f>D344</f>
        <v>100000000</v>
      </c>
      <c r="E343" s="3632">
        <f>E344</f>
        <v>100000000</v>
      </c>
      <c r="F343" s="3632">
        <v>100</v>
      </c>
      <c r="G343" s="3632">
        <v>100</v>
      </c>
      <c r="H343" s="2045"/>
      <c r="J343" s="2142"/>
      <c r="K343" s="2142"/>
    </row>
    <row r="344" spans="1:11" s="2029" customFormat="1" ht="18" hidden="1" customHeight="1" x14ac:dyDescent="0.25">
      <c r="A344" s="2041"/>
      <c r="B344" s="383"/>
      <c r="C344" s="2046" t="s">
        <v>710</v>
      </c>
      <c r="D344" s="2047">
        <v>100000000</v>
      </c>
      <c r="E344" s="782">
        <v>100000000</v>
      </c>
      <c r="F344" s="782">
        <v>100</v>
      </c>
      <c r="G344" s="782">
        <v>100</v>
      </c>
      <c r="H344" s="2045"/>
      <c r="J344" s="2142"/>
      <c r="K344" s="2142"/>
    </row>
    <row r="345" spans="1:11" s="2029" customFormat="1" ht="9" hidden="1" customHeight="1" x14ac:dyDescent="0.25">
      <c r="A345" s="2041"/>
      <c r="B345" s="383"/>
      <c r="C345" s="1211"/>
      <c r="D345" s="2692"/>
      <c r="E345" s="2247"/>
      <c r="F345" s="2250"/>
      <c r="G345" s="2247"/>
      <c r="H345" s="2045"/>
      <c r="J345" s="2142"/>
      <c r="K345" s="2142"/>
    </row>
    <row r="346" spans="1:11" s="2029" customFormat="1" ht="14.25" hidden="1" customHeight="1" x14ac:dyDescent="0.25">
      <c r="A346" s="2041"/>
      <c r="B346" s="383"/>
      <c r="C346" s="2048" t="s">
        <v>709</v>
      </c>
      <c r="D346" s="2049">
        <f>SUM(D347:D352)</f>
        <v>500000000</v>
      </c>
      <c r="E346" s="2049">
        <f>SUM(E347:E352)</f>
        <v>500000000</v>
      </c>
      <c r="F346" s="1012">
        <f>SUM(E346/D346)*100</f>
        <v>100</v>
      </c>
      <c r="G346" s="2245">
        <v>100</v>
      </c>
      <c r="H346" s="2045"/>
      <c r="J346" s="2142"/>
      <c r="K346" s="2142"/>
    </row>
    <row r="347" spans="1:11" s="2029" customFormat="1" ht="14.25" hidden="1" customHeight="1" x14ac:dyDescent="0.25">
      <c r="A347" s="2041"/>
      <c r="B347" s="383"/>
      <c r="C347" s="2046" t="s">
        <v>782</v>
      </c>
      <c r="D347" s="2047">
        <v>100000000</v>
      </c>
      <c r="E347" s="2047">
        <v>100000000</v>
      </c>
      <c r="F347" s="782">
        <f>E347/D347*100</f>
        <v>100</v>
      </c>
      <c r="G347" s="782">
        <v>100</v>
      </c>
      <c r="H347" s="2045"/>
      <c r="J347" s="2142"/>
      <c r="K347" s="2142"/>
    </row>
    <row r="348" spans="1:11" s="2029" customFormat="1" ht="15.75" hidden="1" customHeight="1" x14ac:dyDescent="0.25">
      <c r="A348" s="2041"/>
      <c r="B348" s="383"/>
      <c r="C348" s="2046" t="s">
        <v>737</v>
      </c>
      <c r="D348" s="2047">
        <v>100000000</v>
      </c>
      <c r="E348" s="2047">
        <v>100000000</v>
      </c>
      <c r="F348" s="782">
        <f>E348/D348*100</f>
        <v>100</v>
      </c>
      <c r="G348" s="782">
        <v>100</v>
      </c>
      <c r="H348" s="2045"/>
      <c r="J348" s="2142"/>
      <c r="K348" s="2142"/>
    </row>
    <row r="349" spans="1:11" s="2029" customFormat="1" ht="14.25" hidden="1" customHeight="1" x14ac:dyDescent="0.25">
      <c r="A349" s="2041"/>
      <c r="B349" s="383"/>
      <c r="C349" s="2046" t="s">
        <v>738</v>
      </c>
      <c r="D349" s="2047">
        <v>100000000</v>
      </c>
      <c r="E349" s="2047">
        <v>100000000</v>
      </c>
      <c r="F349" s="782">
        <f>E349/D349*100</f>
        <v>100</v>
      </c>
      <c r="G349" s="782">
        <v>100</v>
      </c>
      <c r="H349" s="2045"/>
      <c r="J349" s="2142"/>
      <c r="K349" s="2142"/>
    </row>
    <row r="350" spans="1:11" s="2029" customFormat="1" ht="15.75" hidden="1" customHeight="1" x14ac:dyDescent="0.25">
      <c r="A350" s="2041"/>
      <c r="B350" s="383"/>
      <c r="C350" s="2046" t="s">
        <v>739</v>
      </c>
      <c r="D350" s="2047">
        <v>100000000</v>
      </c>
      <c r="E350" s="782">
        <v>100000000</v>
      </c>
      <c r="F350" s="3557">
        <f t="shared" ref="F350:F351" si="34">E350/D350*100</f>
        <v>100</v>
      </c>
      <c r="G350" s="782">
        <v>100</v>
      </c>
      <c r="H350" s="2045"/>
      <c r="J350" s="2142"/>
      <c r="K350" s="2142"/>
    </row>
    <row r="351" spans="1:11" s="2029" customFormat="1" ht="32.25" hidden="1" customHeight="1" x14ac:dyDescent="0.25">
      <c r="A351" s="2041"/>
      <c r="B351" s="383"/>
      <c r="C351" s="2046" t="s">
        <v>740</v>
      </c>
      <c r="D351" s="1005">
        <v>100000000</v>
      </c>
      <c r="E351" s="782">
        <v>100000000</v>
      </c>
      <c r="F351" s="3557">
        <f t="shared" si="34"/>
        <v>100</v>
      </c>
      <c r="G351" s="782">
        <v>100</v>
      </c>
      <c r="H351" s="2045"/>
      <c r="J351" s="2142"/>
      <c r="K351" s="2142"/>
    </row>
    <row r="352" spans="1:11" s="2029" customFormat="1" ht="8.25" hidden="1" customHeight="1" x14ac:dyDescent="0.25">
      <c r="A352" s="2041"/>
      <c r="B352" s="383"/>
      <c r="C352" s="1260"/>
      <c r="D352" s="2692"/>
      <c r="E352" s="2247"/>
      <c r="F352" s="2247"/>
      <c r="G352" s="2247"/>
      <c r="H352" s="2045"/>
      <c r="J352" s="2142"/>
      <c r="K352" s="2142"/>
    </row>
    <row r="353" spans="1:11" s="2029" customFormat="1" ht="17.25" hidden="1" customHeight="1" x14ac:dyDescent="0.25">
      <c r="A353" s="2041"/>
      <c r="B353" s="383"/>
      <c r="C353" s="2048" t="s">
        <v>715</v>
      </c>
      <c r="D353" s="2049">
        <f>SUM(D354:D356)</f>
        <v>450000000</v>
      </c>
      <c r="E353" s="2049">
        <f>SUM(E354:E356)</f>
        <v>399000000</v>
      </c>
      <c r="F353" s="1012">
        <f>SUM(E353/D353)*100</f>
        <v>88.666666666666671</v>
      </c>
      <c r="G353" s="2245">
        <f>SUM(G354:G356)/3</f>
        <v>100</v>
      </c>
      <c r="H353" s="2045"/>
      <c r="J353" s="2142"/>
      <c r="K353" s="2142"/>
    </row>
    <row r="354" spans="1:11" s="2029" customFormat="1" ht="16.5" hidden="1" customHeight="1" x14ac:dyDescent="0.25">
      <c r="A354" s="2041"/>
      <c r="B354" s="383"/>
      <c r="C354" s="2046" t="s">
        <v>716</v>
      </c>
      <c r="D354" s="2047">
        <v>100000000</v>
      </c>
      <c r="E354" s="782">
        <v>99000000</v>
      </c>
      <c r="F354" s="3557">
        <f t="shared" ref="F354:F355" si="35">E354/D354*100</f>
        <v>99</v>
      </c>
      <c r="G354" s="782">
        <v>100</v>
      </c>
      <c r="H354" s="2045"/>
      <c r="J354" s="2142"/>
      <c r="K354" s="2142"/>
    </row>
    <row r="355" spans="1:11" s="2029" customFormat="1" ht="14.25" hidden="1" customHeight="1" x14ac:dyDescent="0.25">
      <c r="A355" s="2041"/>
      <c r="B355" s="383"/>
      <c r="C355" s="2046" t="s">
        <v>783</v>
      </c>
      <c r="D355" s="2047">
        <v>250000000</v>
      </c>
      <c r="E355" s="782">
        <v>200000000</v>
      </c>
      <c r="F355" s="3557">
        <f t="shared" si="35"/>
        <v>80</v>
      </c>
      <c r="G355" s="782">
        <v>100</v>
      </c>
      <c r="H355" s="2045"/>
      <c r="J355" s="2142"/>
      <c r="K355" s="2142"/>
    </row>
    <row r="356" spans="1:11" s="2029" customFormat="1" ht="18" hidden="1" customHeight="1" x14ac:dyDescent="0.25">
      <c r="A356" s="2041"/>
      <c r="B356" s="383"/>
      <c r="C356" s="2046" t="s">
        <v>717</v>
      </c>
      <c r="D356" s="2047">
        <v>100000000</v>
      </c>
      <c r="E356" s="2250">
        <v>100000000</v>
      </c>
      <c r="F356" s="782">
        <f>E356/D356*100</f>
        <v>100</v>
      </c>
      <c r="G356" s="2250">
        <v>100</v>
      </c>
      <c r="H356" s="2045"/>
      <c r="J356" s="2142"/>
      <c r="K356" s="2142"/>
    </row>
    <row r="357" spans="1:11" s="2029" customFormat="1" ht="7.5" hidden="1" customHeight="1" x14ac:dyDescent="0.25">
      <c r="A357" s="2041"/>
      <c r="B357" s="383"/>
      <c r="C357" s="1260"/>
      <c r="D357" s="2692"/>
      <c r="E357" s="2247"/>
      <c r="F357" s="2247"/>
      <c r="G357" s="2247"/>
      <c r="H357" s="2045"/>
      <c r="J357" s="2142"/>
      <c r="K357" s="2142"/>
    </row>
    <row r="358" spans="1:11" s="2029" customFormat="1" ht="15.75" hidden="1" customHeight="1" x14ac:dyDescent="0.25">
      <c r="A358" s="2041"/>
      <c r="B358" s="383"/>
      <c r="C358" s="2048" t="s">
        <v>718</v>
      </c>
      <c r="D358" s="2049">
        <f>SUM(D359:D368)</f>
        <v>1000000000</v>
      </c>
      <c r="E358" s="2049">
        <f>SUM(E359:E368)</f>
        <v>948000000</v>
      </c>
      <c r="F358" s="1012">
        <f>SUM(E358/D358)*100</f>
        <v>94.8</v>
      </c>
      <c r="G358" s="2245">
        <f>SUM(G359:G368)/10</f>
        <v>97</v>
      </c>
      <c r="H358" s="2045"/>
      <c r="J358" s="2142"/>
      <c r="K358" s="2142"/>
    </row>
    <row r="359" spans="1:11" s="2029" customFormat="1" ht="15.75" hidden="1" customHeight="1" x14ac:dyDescent="0.25">
      <c r="A359" s="2041"/>
      <c r="B359" s="383"/>
      <c r="C359" s="2046" t="s">
        <v>732</v>
      </c>
      <c r="D359" s="2047">
        <v>50000000</v>
      </c>
      <c r="E359" s="782">
        <v>50000000</v>
      </c>
      <c r="F359" s="3557">
        <f>E359/D359*100</f>
        <v>100</v>
      </c>
      <c r="G359" s="782">
        <v>100</v>
      </c>
      <c r="H359" s="2045"/>
      <c r="J359" s="2142"/>
      <c r="K359" s="2142"/>
    </row>
    <row r="360" spans="1:11" s="2029" customFormat="1" ht="15.75" hidden="1" customHeight="1" x14ac:dyDescent="0.25">
      <c r="A360" s="2041"/>
      <c r="B360" s="383"/>
      <c r="C360" s="2046" t="s">
        <v>731</v>
      </c>
      <c r="D360" s="2047">
        <v>50000000</v>
      </c>
      <c r="E360" s="782">
        <v>50000000</v>
      </c>
      <c r="F360" s="3557">
        <f>E360/D360*100</f>
        <v>100</v>
      </c>
      <c r="G360" s="782">
        <v>100</v>
      </c>
      <c r="H360" s="2045"/>
      <c r="J360" s="2142"/>
      <c r="K360" s="2142"/>
    </row>
    <row r="361" spans="1:11" s="2029" customFormat="1" ht="14.25" hidden="1" customHeight="1" x14ac:dyDescent="0.25">
      <c r="A361" s="2041"/>
      <c r="B361" s="383"/>
      <c r="C361" s="2046" t="s">
        <v>730</v>
      </c>
      <c r="D361" s="2047">
        <v>100000000</v>
      </c>
      <c r="E361" s="2047">
        <v>100000000</v>
      </c>
      <c r="F361" s="782">
        <f t="shared" ref="F361:F368" si="36">E361/D361*100</f>
        <v>100</v>
      </c>
      <c r="G361" s="2250">
        <v>100</v>
      </c>
      <c r="H361" s="2045"/>
      <c r="J361" s="2142"/>
      <c r="K361" s="2142"/>
    </row>
    <row r="362" spans="1:11" s="2029" customFormat="1" ht="16.5" hidden="1" customHeight="1" x14ac:dyDescent="0.25">
      <c r="A362" s="2041"/>
      <c r="B362" s="383"/>
      <c r="C362" s="2046" t="s">
        <v>729</v>
      </c>
      <c r="D362" s="2047">
        <v>100000000</v>
      </c>
      <c r="E362" s="2250">
        <v>100000000</v>
      </c>
      <c r="F362" s="782">
        <f t="shared" si="36"/>
        <v>100</v>
      </c>
      <c r="G362" s="2250">
        <v>100</v>
      </c>
      <c r="H362" s="2045"/>
      <c r="J362" s="2142"/>
      <c r="K362" s="2142"/>
    </row>
    <row r="363" spans="1:11" s="2029" customFormat="1" ht="14.25" hidden="1" customHeight="1" x14ac:dyDescent="0.25">
      <c r="A363" s="2041"/>
      <c r="B363" s="383"/>
      <c r="C363" s="2046" t="s">
        <v>728</v>
      </c>
      <c r="D363" s="2047">
        <v>100000000</v>
      </c>
      <c r="E363" s="782">
        <v>100000000</v>
      </c>
      <c r="F363" s="3557">
        <f t="shared" si="36"/>
        <v>100</v>
      </c>
      <c r="G363" s="2250">
        <v>100</v>
      </c>
      <c r="H363" s="2045"/>
      <c r="J363" s="2142"/>
      <c r="K363" s="2142"/>
    </row>
    <row r="364" spans="1:11" s="2029" customFormat="1" ht="15.75" hidden="1" customHeight="1" x14ac:dyDescent="0.25">
      <c r="A364" s="2041"/>
      <c r="B364" s="383"/>
      <c r="C364" s="2046" t="s">
        <v>727</v>
      </c>
      <c r="D364" s="2047">
        <v>150000000</v>
      </c>
      <c r="E364" s="2250">
        <v>100000000</v>
      </c>
      <c r="F364" s="3557">
        <f t="shared" si="36"/>
        <v>66.666666666666657</v>
      </c>
      <c r="G364" s="2250">
        <v>70</v>
      </c>
      <c r="H364" s="2045"/>
      <c r="J364" s="2142"/>
      <c r="K364" s="2142"/>
    </row>
    <row r="365" spans="1:11" s="2029" customFormat="1" ht="15.75" hidden="1" customHeight="1" x14ac:dyDescent="0.25">
      <c r="A365" s="2041"/>
      <c r="B365" s="383"/>
      <c r="C365" s="2046" t="s">
        <v>726</v>
      </c>
      <c r="D365" s="2047">
        <v>100000000</v>
      </c>
      <c r="E365" s="782">
        <v>100000000</v>
      </c>
      <c r="F365" s="3557">
        <f t="shared" si="36"/>
        <v>100</v>
      </c>
      <c r="G365" s="782">
        <v>100</v>
      </c>
      <c r="H365" s="2045"/>
      <c r="J365" s="2142"/>
      <c r="K365" s="2142"/>
    </row>
    <row r="366" spans="1:11" s="2029" customFormat="1" ht="14.25" hidden="1" customHeight="1" x14ac:dyDescent="0.25">
      <c r="A366" s="2041"/>
      <c r="B366" s="383"/>
      <c r="C366" s="2046" t="s">
        <v>725</v>
      </c>
      <c r="D366" s="2047">
        <v>100000000</v>
      </c>
      <c r="E366" s="2250">
        <v>98000000</v>
      </c>
      <c r="F366" s="3557">
        <f t="shared" si="36"/>
        <v>98</v>
      </c>
      <c r="G366" s="3557">
        <v>100</v>
      </c>
      <c r="H366" s="2045"/>
      <c r="J366" s="2142"/>
      <c r="K366" s="2142"/>
    </row>
    <row r="367" spans="1:11" s="2029" customFormat="1" ht="15.75" hidden="1" customHeight="1" x14ac:dyDescent="0.25">
      <c r="A367" s="2041"/>
      <c r="B367" s="383"/>
      <c r="C367" s="2046" t="s">
        <v>724</v>
      </c>
      <c r="D367" s="2047">
        <v>150000000</v>
      </c>
      <c r="E367" s="782">
        <v>150000000</v>
      </c>
      <c r="F367" s="3557">
        <f t="shared" si="36"/>
        <v>100</v>
      </c>
      <c r="G367" s="3557">
        <v>100</v>
      </c>
      <c r="H367" s="2045"/>
      <c r="J367" s="2142"/>
      <c r="K367" s="2142"/>
    </row>
    <row r="368" spans="1:11" s="2029" customFormat="1" ht="14.25" hidden="1" customHeight="1" x14ac:dyDescent="0.25">
      <c r="A368" s="2041"/>
      <c r="B368" s="383"/>
      <c r="C368" s="2046" t="s">
        <v>723</v>
      </c>
      <c r="D368" s="2047">
        <v>100000000</v>
      </c>
      <c r="E368" s="2250">
        <v>100000000</v>
      </c>
      <c r="F368" s="782">
        <f t="shared" si="36"/>
        <v>100</v>
      </c>
      <c r="G368" s="3557">
        <v>100</v>
      </c>
      <c r="H368" s="2045"/>
      <c r="J368" s="2142"/>
      <c r="K368" s="2142"/>
    </row>
    <row r="369" spans="1:11" s="2029" customFormat="1" ht="14.25" hidden="1" customHeight="1" x14ac:dyDescent="0.25">
      <c r="A369" s="2041"/>
      <c r="B369" s="383"/>
      <c r="C369" s="1254"/>
      <c r="D369" s="2247"/>
      <c r="E369" s="2247"/>
      <c r="F369" s="2247"/>
      <c r="G369" s="2247"/>
      <c r="H369" s="2045"/>
      <c r="J369" s="2142"/>
      <c r="K369" s="2142"/>
    </row>
    <row r="370" spans="1:11" s="2029" customFormat="1" ht="15.75" hidden="1" customHeight="1" x14ac:dyDescent="0.25">
      <c r="A370" s="2041"/>
      <c r="B370" s="383"/>
      <c r="C370" s="2048" t="s">
        <v>719</v>
      </c>
      <c r="D370" s="2049">
        <f>SUM(D371:D373)</f>
        <v>260000000</v>
      </c>
      <c r="E370" s="2049">
        <f>SUM(E371:E373)</f>
        <v>248000000</v>
      </c>
      <c r="F370" s="1012">
        <f>SUM(E370/D370)*100</f>
        <v>95.384615384615387</v>
      </c>
      <c r="G370" s="2245">
        <f>SUM(G371:G373)/3</f>
        <v>100</v>
      </c>
      <c r="H370" s="2045"/>
      <c r="J370" s="2142"/>
      <c r="K370" s="2142"/>
    </row>
    <row r="371" spans="1:11" s="2029" customFormat="1" ht="16.5" hidden="1" customHeight="1" x14ac:dyDescent="0.25">
      <c r="A371" s="2041"/>
      <c r="B371" s="383"/>
      <c r="C371" s="2046" t="s">
        <v>722</v>
      </c>
      <c r="D371" s="2047">
        <v>100000000</v>
      </c>
      <c r="E371" s="2250">
        <v>99000000</v>
      </c>
      <c r="F371" s="782">
        <f>E371/D371*100</f>
        <v>99</v>
      </c>
      <c r="G371" s="2250">
        <v>100</v>
      </c>
      <c r="H371" s="2045"/>
      <c r="J371" s="2142"/>
      <c r="K371" s="2142"/>
    </row>
    <row r="372" spans="1:11" s="2029" customFormat="1" ht="16.5" hidden="1" customHeight="1" x14ac:dyDescent="0.25">
      <c r="A372" s="2041"/>
      <c r="B372" s="383"/>
      <c r="C372" s="2046" t="s">
        <v>721</v>
      </c>
      <c r="D372" s="2047">
        <v>100000000</v>
      </c>
      <c r="E372" s="782">
        <v>89000000</v>
      </c>
      <c r="F372" s="3557">
        <f t="shared" ref="F372:F373" si="37">E372/D372*100</f>
        <v>89</v>
      </c>
      <c r="G372" s="782">
        <v>100</v>
      </c>
      <c r="H372" s="2045"/>
      <c r="J372" s="2142"/>
      <c r="K372" s="2142"/>
    </row>
    <row r="373" spans="1:11" s="2029" customFormat="1" ht="30" hidden="1" customHeight="1" x14ac:dyDescent="0.25">
      <c r="A373" s="2041"/>
      <c r="B373" s="383"/>
      <c r="C373" s="2046" t="s">
        <v>720</v>
      </c>
      <c r="D373" s="3638">
        <v>60000000</v>
      </c>
      <c r="E373" s="782">
        <v>60000000</v>
      </c>
      <c r="F373" s="3557">
        <f t="shared" si="37"/>
        <v>100</v>
      </c>
      <c r="G373" s="782">
        <v>100</v>
      </c>
      <c r="H373" s="2045"/>
      <c r="J373" s="2142"/>
      <c r="K373" s="2142"/>
    </row>
    <row r="374" spans="1:11" s="2029" customFormat="1" ht="10.5" hidden="1" customHeight="1" x14ac:dyDescent="0.25">
      <c r="A374" s="2041"/>
      <c r="B374" s="383"/>
      <c r="C374" s="1254"/>
      <c r="D374" s="2658"/>
      <c r="E374" s="2658"/>
      <c r="F374" s="2658"/>
      <c r="G374" s="2658"/>
      <c r="H374" s="2045"/>
      <c r="J374" s="2142"/>
      <c r="K374" s="2142"/>
    </row>
    <row r="375" spans="1:11" s="2029" customFormat="1" ht="15.75" hidden="1" customHeight="1" x14ac:dyDescent="0.25">
      <c r="A375" s="2041"/>
      <c r="B375" s="383"/>
      <c r="C375" s="2048" t="s">
        <v>733</v>
      </c>
      <c r="D375" s="2049">
        <f>SUM(D376:D378)</f>
        <v>1014000000</v>
      </c>
      <c r="E375" s="2049">
        <f>SUM(E376:E378)</f>
        <v>996000000</v>
      </c>
      <c r="F375" s="1012">
        <f>SUM(E375/D375)*100</f>
        <v>98.224852071005913</v>
      </c>
      <c r="G375" s="2245">
        <f>SUM(G376:G378)/3</f>
        <v>91.666666666666671</v>
      </c>
      <c r="H375" s="2045"/>
      <c r="J375" s="2142"/>
      <c r="K375" s="2142"/>
    </row>
    <row r="376" spans="1:11" s="2029" customFormat="1" ht="33.75" hidden="1" customHeight="1" x14ac:dyDescent="0.25">
      <c r="A376" s="2041"/>
      <c r="B376" s="383"/>
      <c r="C376" s="2046" t="s">
        <v>2063</v>
      </c>
      <c r="D376" s="1005">
        <v>75000000</v>
      </c>
      <c r="E376" s="782">
        <v>57000000</v>
      </c>
      <c r="F376" s="3557">
        <f t="shared" ref="F376:F377" si="38">E376/D376*100</f>
        <v>76</v>
      </c>
      <c r="G376" s="782">
        <v>75</v>
      </c>
      <c r="H376" s="2045"/>
      <c r="J376" s="2142"/>
      <c r="K376" s="2142"/>
    </row>
    <row r="377" spans="1:11" s="2029" customFormat="1" ht="15.75" hidden="1" customHeight="1" x14ac:dyDescent="0.25">
      <c r="A377" s="2041"/>
      <c r="B377" s="383"/>
      <c r="C377" s="2046" t="s">
        <v>757</v>
      </c>
      <c r="D377" s="2047">
        <v>75000000</v>
      </c>
      <c r="E377" s="782">
        <v>75000000</v>
      </c>
      <c r="F377" s="3557">
        <f t="shared" si="38"/>
        <v>100</v>
      </c>
      <c r="G377" s="782">
        <v>100</v>
      </c>
      <c r="H377" s="2045"/>
      <c r="J377" s="2142"/>
      <c r="K377" s="2142"/>
    </row>
    <row r="378" spans="1:11" s="2029" customFormat="1" ht="15.75" hidden="1" customHeight="1" x14ac:dyDescent="0.25">
      <c r="A378" s="2041"/>
      <c r="B378" s="383"/>
      <c r="C378" s="2046" t="s">
        <v>756</v>
      </c>
      <c r="D378" s="2047">
        <v>864000000</v>
      </c>
      <c r="E378" s="2250">
        <v>864000000</v>
      </c>
      <c r="F378" s="782">
        <f>E378/D378*100</f>
        <v>100</v>
      </c>
      <c r="G378" s="2247">
        <v>100</v>
      </c>
      <c r="H378" s="2045"/>
      <c r="J378" s="2142"/>
      <c r="K378" s="2142"/>
    </row>
    <row r="379" spans="1:11" s="2029" customFormat="1" ht="10.5" hidden="1" customHeight="1" x14ac:dyDescent="0.25">
      <c r="A379" s="2041"/>
      <c r="B379" s="383"/>
      <c r="C379" s="1260"/>
      <c r="D379" s="2692"/>
      <c r="E379" s="2247"/>
      <c r="F379" s="2247"/>
      <c r="G379" s="2247"/>
      <c r="H379" s="2045"/>
      <c r="J379" s="2142"/>
      <c r="K379" s="2142"/>
    </row>
    <row r="380" spans="1:11" s="2029" customFormat="1" ht="17.25" hidden="1" customHeight="1" x14ac:dyDescent="0.25">
      <c r="A380" s="2041"/>
      <c r="B380" s="383"/>
      <c r="C380" s="2048" t="s">
        <v>734</v>
      </c>
      <c r="D380" s="2049">
        <f>SUM(D381:D383)</f>
        <v>700000000</v>
      </c>
      <c r="E380" s="2049">
        <f>SUM(E381:E383)</f>
        <v>697500000</v>
      </c>
      <c r="F380" s="1012">
        <f>SUM(E380/D380)*100</f>
        <v>99.642857142857139</v>
      </c>
      <c r="G380" s="2245">
        <f>SUM(G381:G383)/3</f>
        <v>100</v>
      </c>
      <c r="H380" s="2045"/>
      <c r="J380" s="2142"/>
      <c r="K380" s="2142"/>
    </row>
    <row r="381" spans="1:11" s="2029" customFormat="1" ht="15.75" hidden="1" customHeight="1" x14ac:dyDescent="0.25">
      <c r="A381" s="2041"/>
      <c r="B381" s="383"/>
      <c r="C381" s="2046" t="s">
        <v>735</v>
      </c>
      <c r="D381" s="2047">
        <v>200000000</v>
      </c>
      <c r="E381" s="2250">
        <v>200000000</v>
      </c>
      <c r="F381" s="782">
        <f>E381/D381*100</f>
        <v>100</v>
      </c>
      <c r="G381" s="2250">
        <v>100</v>
      </c>
      <c r="H381" s="2045"/>
      <c r="J381" s="2142"/>
      <c r="K381" s="2142"/>
    </row>
    <row r="382" spans="1:11" s="2029" customFormat="1" ht="14.25" hidden="1" customHeight="1" x14ac:dyDescent="0.25">
      <c r="A382" s="2041"/>
      <c r="B382" s="383"/>
      <c r="C382" s="2046" t="s">
        <v>736</v>
      </c>
      <c r="D382" s="2047">
        <v>200000000</v>
      </c>
      <c r="E382" s="782">
        <v>198000000</v>
      </c>
      <c r="F382" s="3557">
        <f t="shared" ref="F382:F383" si="39">E382/D382*100</f>
        <v>99</v>
      </c>
      <c r="G382" s="782">
        <v>100</v>
      </c>
      <c r="H382" s="2045"/>
      <c r="J382" s="2142"/>
      <c r="K382" s="2142"/>
    </row>
    <row r="383" spans="1:11" s="2029" customFormat="1" ht="14.25" hidden="1" customHeight="1" x14ac:dyDescent="0.25">
      <c r="A383" s="2041"/>
      <c r="B383" s="383"/>
      <c r="C383" s="2050" t="s">
        <v>2157</v>
      </c>
      <c r="D383" s="2051">
        <v>300000000</v>
      </c>
      <c r="E383" s="783">
        <v>299500000</v>
      </c>
      <c r="F383" s="3557">
        <f t="shared" si="39"/>
        <v>99.833333333333329</v>
      </c>
      <c r="G383" s="783">
        <v>100</v>
      </c>
      <c r="H383" s="2045"/>
      <c r="J383" s="2142"/>
      <c r="K383" s="2142"/>
    </row>
    <row r="384" spans="1:11" s="2029" customFormat="1" ht="12" hidden="1" customHeight="1" x14ac:dyDescent="0.25">
      <c r="B384" s="2040"/>
      <c r="C384" s="1254"/>
      <c r="D384" s="2257"/>
      <c r="E384" s="2257"/>
      <c r="F384" s="2658"/>
      <c r="G384" s="2658"/>
      <c r="H384" s="2028"/>
      <c r="J384" s="2142"/>
      <c r="K384" s="2142"/>
    </row>
    <row r="385" spans="1:14" s="2029" customFormat="1" ht="17.25" hidden="1" customHeight="1" x14ac:dyDescent="0.25">
      <c r="B385" s="2030"/>
      <c r="C385" s="3099" t="s">
        <v>741</v>
      </c>
      <c r="D385" s="3100">
        <f>SUM(D386+D403+D406+D400)</f>
        <v>10461000000</v>
      </c>
      <c r="E385" s="3100">
        <f>SUM(E386+E403+E406+E400)</f>
        <v>10245000000</v>
      </c>
      <c r="F385" s="2239">
        <f>E385/D385*100</f>
        <v>97.935187840550626</v>
      </c>
      <c r="G385" s="2240">
        <f>SUM(G386+G403+G406+G410)/4</f>
        <v>100</v>
      </c>
      <c r="H385" s="2028"/>
      <c r="J385" s="2142">
        <v>10461000000</v>
      </c>
      <c r="K385" s="2142">
        <v>10245000000</v>
      </c>
      <c r="M385" s="2142">
        <v>10461000000</v>
      </c>
      <c r="N385" s="2142">
        <v>10245000000</v>
      </c>
    </row>
    <row r="386" spans="1:14" s="2029" customFormat="1" ht="31.5" hidden="1" customHeight="1" x14ac:dyDescent="0.25">
      <c r="B386" s="2027"/>
      <c r="C386" s="2048" t="s">
        <v>742</v>
      </c>
      <c r="D386" s="2052">
        <f>SUM(D387:D398)</f>
        <v>8461000000</v>
      </c>
      <c r="E386" s="2052">
        <f>SUM(E387:E398)</f>
        <v>8245000000</v>
      </c>
      <c r="F386" s="1012">
        <f>SUM(E386/D386)*100</f>
        <v>97.447110270653596</v>
      </c>
      <c r="G386" s="2657">
        <f>SUM(G387:G397)/11</f>
        <v>100</v>
      </c>
      <c r="H386" s="2028"/>
      <c r="J386" s="2142"/>
      <c r="K386" s="2142"/>
    </row>
    <row r="387" spans="1:14" s="2029" customFormat="1" ht="14.25" hidden="1" customHeight="1" x14ac:dyDescent="0.25">
      <c r="B387" s="2027"/>
      <c r="C387" s="3877" t="s">
        <v>743</v>
      </c>
      <c r="D387" s="3770">
        <v>2000000000</v>
      </c>
      <c r="E387" s="982">
        <v>2000000000</v>
      </c>
      <c r="F387" s="3557">
        <f>E387/D387*100</f>
        <v>100</v>
      </c>
      <c r="G387" s="1323">
        <v>100</v>
      </c>
      <c r="H387" s="2028"/>
      <c r="J387" s="2142"/>
      <c r="K387" s="2142"/>
    </row>
    <row r="388" spans="1:14" s="2029" customFormat="1" ht="14.25" hidden="1" customHeight="1" x14ac:dyDescent="0.25">
      <c r="B388" s="2027"/>
      <c r="C388" s="3877" t="s">
        <v>744</v>
      </c>
      <c r="D388" s="3770">
        <v>1914000000</v>
      </c>
      <c r="E388" s="1891">
        <v>1850000000</v>
      </c>
      <c r="F388" s="3557">
        <f t="shared" ref="F388:F398" si="40">E388/D388*100</f>
        <v>96.65621734587252</v>
      </c>
      <c r="G388" s="1323">
        <v>100</v>
      </c>
      <c r="H388" s="2028"/>
      <c r="J388" s="2142"/>
      <c r="K388" s="2142"/>
    </row>
    <row r="389" spans="1:14" s="2029" customFormat="1" ht="15.75" hidden="1" customHeight="1" x14ac:dyDescent="0.25">
      <c r="B389" s="2027"/>
      <c r="C389" s="3877" t="s">
        <v>745</v>
      </c>
      <c r="D389" s="3770">
        <v>1850000000</v>
      </c>
      <c r="E389" s="894">
        <v>1850000000</v>
      </c>
      <c r="F389" s="3557">
        <f t="shared" si="40"/>
        <v>100</v>
      </c>
      <c r="G389" s="1323">
        <v>100</v>
      </c>
      <c r="H389" s="2028"/>
      <c r="J389" s="2142"/>
      <c r="K389" s="2142"/>
    </row>
    <row r="390" spans="1:14" s="2029" customFormat="1" ht="15.75" hidden="1" customHeight="1" x14ac:dyDescent="0.25">
      <c r="B390" s="2027"/>
      <c r="C390" s="3877" t="s">
        <v>746</v>
      </c>
      <c r="D390" s="3770">
        <v>200000000</v>
      </c>
      <c r="E390" s="3768">
        <v>200000000</v>
      </c>
      <c r="F390" s="3557">
        <f t="shared" si="40"/>
        <v>100</v>
      </c>
      <c r="G390" s="1323">
        <v>100</v>
      </c>
      <c r="H390" s="2028"/>
      <c r="J390" s="2142"/>
      <c r="K390" s="2142"/>
    </row>
    <row r="391" spans="1:14" s="2029" customFormat="1" ht="17.25" hidden="1" customHeight="1" x14ac:dyDescent="0.25">
      <c r="B391" s="2027"/>
      <c r="C391" s="3877" t="s">
        <v>747</v>
      </c>
      <c r="D391" s="3770">
        <v>200000000</v>
      </c>
      <c r="E391" s="3768">
        <v>200000000</v>
      </c>
      <c r="F391" s="3557">
        <f t="shared" si="40"/>
        <v>100</v>
      </c>
      <c r="G391" s="1323">
        <v>100</v>
      </c>
      <c r="H391" s="2028"/>
      <c r="J391" s="2142"/>
      <c r="K391" s="2142"/>
    </row>
    <row r="392" spans="1:14" s="2029" customFormat="1" ht="14.25" hidden="1" customHeight="1" x14ac:dyDescent="0.25">
      <c r="B392" s="2027"/>
      <c r="C392" s="3877" t="s">
        <v>748</v>
      </c>
      <c r="D392" s="3770">
        <v>450000000</v>
      </c>
      <c r="E392" s="666">
        <v>450000000</v>
      </c>
      <c r="F392" s="3557">
        <f t="shared" si="40"/>
        <v>100</v>
      </c>
      <c r="G392" s="1323">
        <v>100</v>
      </c>
      <c r="H392" s="2028"/>
      <c r="J392" s="2142"/>
      <c r="K392" s="2142"/>
    </row>
    <row r="393" spans="1:14" s="2029" customFormat="1" ht="15.75" hidden="1" customHeight="1" x14ac:dyDescent="0.25">
      <c r="B393" s="2027"/>
      <c r="C393" s="3877" t="s">
        <v>749</v>
      </c>
      <c r="D393" s="3770">
        <v>500000000</v>
      </c>
      <c r="E393" s="666">
        <v>499000000</v>
      </c>
      <c r="F393" s="3557">
        <f t="shared" si="40"/>
        <v>99.8</v>
      </c>
      <c r="G393" s="1323">
        <v>100</v>
      </c>
      <c r="H393" s="2028"/>
      <c r="J393" s="2142"/>
      <c r="K393" s="2142"/>
    </row>
    <row r="394" spans="1:14" s="2029" customFormat="1" ht="16.5" hidden="1" customHeight="1" x14ac:dyDescent="0.25">
      <c r="B394" s="2027"/>
      <c r="C394" s="3877" t="s">
        <v>750</v>
      </c>
      <c r="D394" s="3770">
        <v>47000000</v>
      </c>
      <c r="E394" s="666">
        <v>47000000</v>
      </c>
      <c r="F394" s="3557">
        <f t="shared" si="40"/>
        <v>100</v>
      </c>
      <c r="G394" s="1323">
        <v>100</v>
      </c>
      <c r="H394" s="2028"/>
      <c r="J394" s="2142"/>
      <c r="K394" s="2142"/>
    </row>
    <row r="395" spans="1:14" s="2029" customFormat="1" ht="14.25" hidden="1" customHeight="1" x14ac:dyDescent="0.25">
      <c r="B395" s="2027"/>
      <c r="C395" s="3877" t="s">
        <v>751</v>
      </c>
      <c r="D395" s="3770">
        <v>200000000</v>
      </c>
      <c r="E395" s="666">
        <v>200000000</v>
      </c>
      <c r="F395" s="3557">
        <f t="shared" si="40"/>
        <v>100</v>
      </c>
      <c r="G395" s="1323">
        <v>100</v>
      </c>
      <c r="H395" s="2028"/>
      <c r="J395" s="2142"/>
      <c r="K395" s="2142"/>
    </row>
    <row r="396" spans="1:14" s="2029" customFormat="1" ht="14.25" hidden="1" customHeight="1" x14ac:dyDescent="0.25">
      <c r="B396" s="2027"/>
      <c r="C396" s="3877" t="s">
        <v>752</v>
      </c>
      <c r="D396" s="3770">
        <v>300000000</v>
      </c>
      <c r="E396" s="1891">
        <v>150000000</v>
      </c>
      <c r="F396" s="3557">
        <f t="shared" si="40"/>
        <v>50</v>
      </c>
      <c r="G396" s="1323">
        <v>100</v>
      </c>
      <c r="H396" s="2028"/>
      <c r="J396" s="2142"/>
      <c r="K396" s="2142"/>
    </row>
    <row r="397" spans="1:14" s="2029" customFormat="1" ht="14.25" hidden="1" customHeight="1" x14ac:dyDescent="0.25">
      <c r="B397" s="2027"/>
      <c r="C397" s="3877" t="s">
        <v>2949</v>
      </c>
      <c r="D397" s="3557">
        <v>300000000</v>
      </c>
      <c r="E397" s="1891">
        <v>300000000</v>
      </c>
      <c r="F397" s="3557">
        <f t="shared" si="40"/>
        <v>100</v>
      </c>
      <c r="G397" s="1323">
        <v>100</v>
      </c>
      <c r="H397" s="2028"/>
      <c r="J397" s="2142"/>
      <c r="K397" s="2142"/>
    </row>
    <row r="398" spans="1:14" s="2029" customFormat="1" ht="14.25" hidden="1" customHeight="1" x14ac:dyDescent="0.25">
      <c r="B398" s="2027"/>
      <c r="C398" s="4106" t="s">
        <v>2950</v>
      </c>
      <c r="D398" s="3770">
        <v>500000000</v>
      </c>
      <c r="E398" s="666">
        <v>499000000</v>
      </c>
      <c r="F398" s="3557">
        <f t="shared" si="40"/>
        <v>99.8</v>
      </c>
      <c r="G398" s="1323">
        <v>100</v>
      </c>
      <c r="H398" s="2028"/>
      <c r="J398" s="2142"/>
      <c r="K398" s="2142"/>
    </row>
    <row r="399" spans="1:14" s="2029" customFormat="1" ht="14.25" hidden="1" customHeight="1" x14ac:dyDescent="0.25">
      <c r="B399" s="2027"/>
      <c r="C399" s="4013"/>
      <c r="D399" s="972"/>
      <c r="E399" s="1855"/>
      <c r="F399" s="3557"/>
      <c r="G399" s="1703"/>
      <c r="H399" s="2028"/>
      <c r="J399" s="2142"/>
      <c r="K399" s="2142"/>
    </row>
    <row r="400" spans="1:14" s="2029" customFormat="1" ht="15" hidden="1" customHeight="1" x14ac:dyDescent="0.25">
      <c r="A400" s="2041"/>
      <c r="B400" s="383"/>
      <c r="C400" s="2053" t="s">
        <v>2307</v>
      </c>
      <c r="D400" s="2049">
        <f>D401</f>
        <v>500000000</v>
      </c>
      <c r="E400" s="766">
        <f>E401</f>
        <v>500000000</v>
      </c>
      <c r="F400" s="3632">
        <f t="shared" ref="F400" si="41">E400/D400*100</f>
        <v>100</v>
      </c>
      <c r="G400" s="766">
        <v>100</v>
      </c>
      <c r="H400" s="2045"/>
      <c r="J400" s="2142"/>
      <c r="K400" s="2142"/>
    </row>
    <row r="401" spans="1:11" s="2029" customFormat="1" ht="15" hidden="1" customHeight="1" x14ac:dyDescent="0.25">
      <c r="A401" s="2041"/>
      <c r="B401" s="383"/>
      <c r="C401" s="1212" t="s">
        <v>2308</v>
      </c>
      <c r="D401" s="2054">
        <v>500000000</v>
      </c>
      <c r="E401" s="1891">
        <v>500000000</v>
      </c>
      <c r="F401" s="3557">
        <f>E401/D401*100</f>
        <v>100</v>
      </c>
      <c r="G401" s="3557">
        <v>100</v>
      </c>
      <c r="H401" s="2045"/>
      <c r="J401" s="2142"/>
      <c r="K401" s="2142"/>
    </row>
    <row r="402" spans="1:11" s="2029" customFormat="1" ht="16.5" hidden="1" customHeight="1" x14ac:dyDescent="0.25">
      <c r="B402" s="2027"/>
      <c r="C402" s="3106"/>
      <c r="D402" s="809"/>
      <c r="E402" s="3360"/>
      <c r="F402" s="2266"/>
      <c r="G402" s="2266"/>
      <c r="H402" s="2028"/>
      <c r="J402" s="2142"/>
      <c r="K402" s="2142"/>
    </row>
    <row r="403" spans="1:11" s="2029" customFormat="1" ht="16.5" hidden="1" customHeight="1" x14ac:dyDescent="0.25">
      <c r="B403" s="2027"/>
      <c r="C403" s="2048" t="s">
        <v>753</v>
      </c>
      <c r="D403" s="2049">
        <f>D404</f>
        <v>500000000</v>
      </c>
      <c r="E403" s="2049">
        <f>E404</f>
        <v>500000000</v>
      </c>
      <c r="F403" s="1012">
        <f>SUM(E403/D403)*100</f>
        <v>100</v>
      </c>
      <c r="G403" s="2245">
        <v>100</v>
      </c>
      <c r="H403" s="2028"/>
      <c r="J403" s="2142"/>
      <c r="K403" s="2142"/>
    </row>
    <row r="404" spans="1:11" s="2029" customFormat="1" ht="15.75" hidden="1" customHeight="1" x14ac:dyDescent="0.25">
      <c r="B404" s="2027"/>
      <c r="C404" s="2046" t="s">
        <v>755</v>
      </c>
      <c r="D404" s="2047">
        <v>500000000</v>
      </c>
      <c r="E404" s="2047">
        <v>500000000</v>
      </c>
      <c r="F404" s="782">
        <f>E404/D404*100</f>
        <v>100</v>
      </c>
      <c r="G404" s="2250">
        <v>100</v>
      </c>
      <c r="H404" s="2028"/>
      <c r="J404" s="2142"/>
      <c r="K404" s="2142"/>
    </row>
    <row r="405" spans="1:11" s="2029" customFormat="1" ht="10.5" hidden="1" customHeight="1" x14ac:dyDescent="0.25">
      <c r="B405" s="2027"/>
      <c r="C405" s="1211"/>
      <c r="D405" s="809"/>
      <c r="E405" s="809"/>
      <c r="F405" s="2247"/>
      <c r="G405" s="2247"/>
      <c r="H405" s="2028"/>
      <c r="J405" s="2142"/>
      <c r="K405" s="2142"/>
    </row>
    <row r="406" spans="1:11" s="2029" customFormat="1" ht="17.25" hidden="1" customHeight="1" x14ac:dyDescent="0.25">
      <c r="B406" s="2027"/>
      <c r="C406" s="2048" t="s">
        <v>754</v>
      </c>
      <c r="D406" s="966">
        <f>D407</f>
        <v>1000000000</v>
      </c>
      <c r="E406" s="966">
        <f>E407</f>
        <v>1000000000</v>
      </c>
      <c r="F406" s="1394">
        <f>E406/D406*100</f>
        <v>100</v>
      </c>
      <c r="G406" s="3600">
        <v>100</v>
      </c>
      <c r="H406" s="2028"/>
      <c r="J406" s="2142"/>
      <c r="K406" s="2142"/>
    </row>
    <row r="407" spans="1:11" s="2029" customFormat="1" ht="19.5" hidden="1" customHeight="1" x14ac:dyDescent="0.25">
      <c r="B407" s="2027"/>
      <c r="C407" s="4446" t="s">
        <v>1798</v>
      </c>
      <c r="D407" s="978">
        <v>1000000000</v>
      </c>
      <c r="E407" s="666">
        <v>1000000000</v>
      </c>
      <c r="F407" s="3557">
        <f>E407/D407*100</f>
        <v>100</v>
      </c>
      <c r="G407" s="1717">
        <v>100</v>
      </c>
      <c r="H407" s="2028"/>
      <c r="J407" s="2142"/>
      <c r="K407" s="2142"/>
    </row>
    <row r="408" spans="1:11" s="2029" customFormat="1" ht="10.5" hidden="1" customHeight="1" x14ac:dyDescent="0.25">
      <c r="B408" s="2027"/>
      <c r="C408" s="3109"/>
      <c r="D408" s="2051"/>
      <c r="E408" s="2359"/>
      <c r="F408" s="804"/>
      <c r="G408" s="2359"/>
      <c r="H408" s="2028"/>
      <c r="J408" s="2142"/>
      <c r="K408" s="2142"/>
    </row>
    <row r="409" spans="1:11" s="2029" customFormat="1" ht="19.5" hidden="1" customHeight="1" x14ac:dyDescent="0.25">
      <c r="B409" s="2027"/>
      <c r="C409" s="1257" t="s">
        <v>780</v>
      </c>
      <c r="D409" s="2055">
        <f>D410</f>
        <v>4357028000</v>
      </c>
      <c r="E409" s="2240">
        <f>E410</f>
        <v>4357028000</v>
      </c>
      <c r="F409" s="807">
        <f>E409/D409*100</f>
        <v>100</v>
      </c>
      <c r="G409" s="2240">
        <v>100</v>
      </c>
      <c r="H409" s="2028"/>
      <c r="J409" s="2142"/>
      <c r="K409" s="2142"/>
    </row>
    <row r="410" spans="1:11" s="2029" customFormat="1" ht="15.75" hidden="1" customHeight="1" x14ac:dyDescent="0.25">
      <c r="A410" s="2041"/>
      <c r="B410" s="383"/>
      <c r="C410" s="2048" t="s">
        <v>781</v>
      </c>
      <c r="D410" s="2056">
        <f>SUM(D411)</f>
        <v>4357028000</v>
      </c>
      <c r="E410" s="2056">
        <f>SUM(E411)</f>
        <v>4357028000</v>
      </c>
      <c r="F410" s="2387">
        <f>E410/D410*100</f>
        <v>100</v>
      </c>
      <c r="G410" s="795">
        <v>100</v>
      </c>
      <c r="H410" s="2045"/>
      <c r="J410" s="2142"/>
      <c r="K410" s="2142"/>
    </row>
    <row r="411" spans="1:11" s="2029" customFormat="1" ht="14.25" hidden="1" customHeight="1" x14ac:dyDescent="0.25">
      <c r="A411" s="2041"/>
      <c r="B411" s="383"/>
      <c r="C411" s="4379" t="s">
        <v>2323</v>
      </c>
      <c r="D411" s="3650">
        <v>4357028000</v>
      </c>
      <c r="E411" s="3879">
        <v>4357028000</v>
      </c>
      <c r="F411" s="1126">
        <f>E411/D411*100</f>
        <v>100</v>
      </c>
      <c r="G411" s="3630">
        <v>100</v>
      </c>
      <c r="H411" s="3417"/>
      <c r="J411" s="2142">
        <v>4357028000</v>
      </c>
      <c r="K411" s="2142">
        <v>4357028000</v>
      </c>
    </row>
    <row r="412" spans="1:11" s="2029" customFormat="1" ht="12" hidden="1" customHeight="1" x14ac:dyDescent="0.25">
      <c r="B412" s="2027"/>
      <c r="C412" s="1150"/>
      <c r="D412" s="3096"/>
      <c r="E412" s="2257"/>
      <c r="F412" s="3111"/>
      <c r="G412" s="3093"/>
      <c r="H412" s="4378"/>
      <c r="J412" s="2142"/>
      <c r="K412" s="2142"/>
    </row>
    <row r="413" spans="1:11" s="2058" customFormat="1" ht="17.25" customHeight="1" x14ac:dyDescent="0.25">
      <c r="B413" s="616"/>
      <c r="C413" s="3112" t="s">
        <v>267</v>
      </c>
      <c r="D413" s="3113">
        <f>SUM(D415+D447)</f>
        <v>17125821000</v>
      </c>
      <c r="E413" s="3114">
        <f>SUM(E415+E447)</f>
        <v>16656499000</v>
      </c>
      <c r="F413" s="3115">
        <f>SUM(E413/D413)*100</f>
        <v>97.259564957498966</v>
      </c>
      <c r="G413" s="2768">
        <f>SUM(G415+G447)/2</f>
        <v>92.5</v>
      </c>
      <c r="H413" s="2059"/>
      <c r="J413" s="2151"/>
      <c r="K413" s="2151"/>
    </row>
    <row r="414" spans="1:11" ht="9.75" hidden="1" customHeight="1" x14ac:dyDescent="0.25">
      <c r="B414" s="314"/>
      <c r="C414" s="1271"/>
      <c r="D414" s="1008"/>
      <c r="E414" s="827"/>
      <c r="F414" s="2389"/>
      <c r="G414" s="2175"/>
      <c r="H414" s="232"/>
    </row>
    <row r="415" spans="1:11" ht="17.25" hidden="1" customHeight="1" x14ac:dyDescent="0.25">
      <c r="B415" s="312"/>
      <c r="C415" s="1180" t="s">
        <v>248</v>
      </c>
      <c r="D415" s="765">
        <f>SUM(D416+D420+D425+D428+D432+D436+D441+D444)</f>
        <v>15358499000</v>
      </c>
      <c r="E415" s="765">
        <f>SUM(E416+E420+E425+E428+E432+E436+E441+E444)</f>
        <v>15356499000</v>
      </c>
      <c r="F415" s="2065">
        <f>SUM(E415/D415)*100</f>
        <v>99.986977894128842</v>
      </c>
      <c r="G415" s="1307">
        <f>SUM(G416+G420+G425+G428+G432+G436+G441+G444)/8</f>
        <v>100</v>
      </c>
      <c r="H415" s="3558" t="s">
        <v>3420</v>
      </c>
    </row>
    <row r="416" spans="1:11" ht="15.75" hidden="1" customHeight="1" x14ac:dyDescent="0.25">
      <c r="B416" s="319"/>
      <c r="C416" s="1282" t="s">
        <v>610</v>
      </c>
      <c r="D416" s="766">
        <v>350000000</v>
      </c>
      <c r="E416" s="766">
        <v>350000000</v>
      </c>
      <c r="F416" s="2380">
        <v>100</v>
      </c>
      <c r="G416" s="2380">
        <v>100</v>
      </c>
      <c r="H416" s="232"/>
    </row>
    <row r="417" spans="2:8" ht="12" hidden="1" customHeight="1" x14ac:dyDescent="0.25">
      <c r="B417" s="319"/>
      <c r="C417" s="1193" t="s">
        <v>952</v>
      </c>
      <c r="D417" s="881">
        <v>150000000</v>
      </c>
      <c r="E417" s="1354">
        <v>150000000</v>
      </c>
      <c r="F417" s="1310">
        <v>100</v>
      </c>
      <c r="G417" s="1310">
        <v>100</v>
      </c>
      <c r="H417" s="232"/>
    </row>
    <row r="418" spans="2:8" ht="13.5" hidden="1" customHeight="1" x14ac:dyDescent="0.25">
      <c r="B418" s="319"/>
      <c r="C418" s="1193" t="s">
        <v>953</v>
      </c>
      <c r="D418" s="881">
        <v>200000000</v>
      </c>
      <c r="E418" s="1354">
        <v>200000000</v>
      </c>
      <c r="F418" s="1310">
        <v>100</v>
      </c>
      <c r="G418" s="1310">
        <v>100</v>
      </c>
      <c r="H418" s="232"/>
    </row>
    <row r="419" spans="2:8" ht="12" hidden="1" customHeight="1" x14ac:dyDescent="0.25">
      <c r="B419" s="319"/>
      <c r="C419" s="1183"/>
      <c r="D419" s="755"/>
      <c r="E419" s="1716"/>
      <c r="F419" s="2386"/>
      <c r="G419" s="1311"/>
      <c r="H419" s="232"/>
    </row>
    <row r="420" spans="2:8" ht="13.5" hidden="1" customHeight="1" x14ac:dyDescent="0.25">
      <c r="B420" s="319"/>
      <c r="C420" s="1194" t="s">
        <v>611</v>
      </c>
      <c r="D420" s="753">
        <v>1150000000</v>
      </c>
      <c r="E420" s="753">
        <v>1150000000</v>
      </c>
      <c r="F420" s="1308">
        <v>100</v>
      </c>
      <c r="G420" s="1650">
        <f>SUM(G421:G423)/3</f>
        <v>100</v>
      </c>
      <c r="H420" s="232"/>
    </row>
    <row r="421" spans="2:8" ht="14.25" hidden="1" customHeight="1" x14ac:dyDescent="0.25">
      <c r="B421" s="319"/>
      <c r="C421" s="1193" t="s">
        <v>954</v>
      </c>
      <c r="D421" s="881">
        <v>1000000000</v>
      </c>
      <c r="E421" s="1354">
        <v>1000000000</v>
      </c>
      <c r="F421" s="1310">
        <v>100</v>
      </c>
      <c r="G421" s="1312">
        <v>100</v>
      </c>
      <c r="H421" s="232"/>
    </row>
    <row r="422" spans="2:8" ht="13.5" hidden="1" customHeight="1" x14ac:dyDescent="0.25">
      <c r="B422" s="319"/>
      <c r="C422" s="1193" t="s">
        <v>955</v>
      </c>
      <c r="D422" s="881">
        <v>100000000</v>
      </c>
      <c r="E422" s="1354">
        <v>100000000</v>
      </c>
      <c r="F422" s="1310">
        <v>100</v>
      </c>
      <c r="G422" s="1716">
        <v>100</v>
      </c>
      <c r="H422" s="232"/>
    </row>
    <row r="423" spans="2:8" ht="13.5" hidden="1" customHeight="1" x14ac:dyDescent="0.25">
      <c r="B423" s="319"/>
      <c r="C423" s="1193" t="s">
        <v>956</v>
      </c>
      <c r="D423" s="881">
        <v>50000000</v>
      </c>
      <c r="E423" s="1354">
        <v>50000000</v>
      </c>
      <c r="F423" s="1310">
        <v>100</v>
      </c>
      <c r="G423" s="1716">
        <v>100</v>
      </c>
      <c r="H423" s="232"/>
    </row>
    <row r="424" spans="2:8" ht="12" hidden="1" customHeight="1" x14ac:dyDescent="0.25">
      <c r="B424" s="319"/>
      <c r="C424" s="1183"/>
      <c r="D424" s="755"/>
      <c r="E424" s="1716"/>
      <c r="F424" s="2386"/>
      <c r="G424" s="1311"/>
      <c r="H424" s="232"/>
    </row>
    <row r="425" spans="2:8" ht="12.75" hidden="1" customHeight="1" x14ac:dyDescent="0.25">
      <c r="B425" s="319"/>
      <c r="C425" s="1194" t="s">
        <v>612</v>
      </c>
      <c r="D425" s="753">
        <v>150000000</v>
      </c>
      <c r="E425" s="753">
        <v>150000000</v>
      </c>
      <c r="F425" s="1308">
        <v>100</v>
      </c>
      <c r="G425" s="1729">
        <v>100</v>
      </c>
      <c r="H425" s="232"/>
    </row>
    <row r="426" spans="2:8" ht="12" hidden="1" customHeight="1" x14ac:dyDescent="0.25">
      <c r="B426" s="319"/>
      <c r="C426" s="1193" t="s">
        <v>957</v>
      </c>
      <c r="D426" s="881">
        <v>150000000</v>
      </c>
      <c r="E426" s="881">
        <v>150000000</v>
      </c>
      <c r="F426" s="1310">
        <v>100</v>
      </c>
      <c r="G426" s="1716">
        <v>100</v>
      </c>
      <c r="H426" s="232"/>
    </row>
    <row r="427" spans="2:8" ht="12" hidden="1" customHeight="1" x14ac:dyDescent="0.25">
      <c r="B427" s="319"/>
      <c r="C427" s="1183"/>
      <c r="D427" s="755"/>
      <c r="E427" s="1716"/>
      <c r="F427" s="2386"/>
      <c r="G427" s="1311"/>
      <c r="H427" s="232"/>
    </row>
    <row r="428" spans="2:8" ht="15" hidden="1" customHeight="1" x14ac:dyDescent="0.25">
      <c r="B428" s="319"/>
      <c r="C428" s="1194" t="s">
        <v>958</v>
      </c>
      <c r="D428" s="753">
        <v>300000000</v>
      </c>
      <c r="E428" s="753">
        <v>300000000</v>
      </c>
      <c r="F428" s="1308">
        <v>100</v>
      </c>
      <c r="G428" s="1729">
        <v>100</v>
      </c>
      <c r="H428" s="232"/>
    </row>
    <row r="429" spans="2:8" ht="15" hidden="1" customHeight="1" x14ac:dyDescent="0.25">
      <c r="B429" s="319"/>
      <c r="C429" s="1193" t="s">
        <v>959</v>
      </c>
      <c r="D429" s="881">
        <v>200000000</v>
      </c>
      <c r="E429" s="881">
        <v>200000000</v>
      </c>
      <c r="F429" s="1310">
        <v>100</v>
      </c>
      <c r="G429" s="1716">
        <v>100</v>
      </c>
      <c r="H429" s="232"/>
    </row>
    <row r="430" spans="2:8" ht="13.5" hidden="1" customHeight="1" x14ac:dyDescent="0.25">
      <c r="B430" s="319"/>
      <c r="C430" s="1193" t="s">
        <v>960</v>
      </c>
      <c r="D430" s="881">
        <v>100000000</v>
      </c>
      <c r="E430" s="881">
        <v>100000000</v>
      </c>
      <c r="F430" s="1310">
        <v>100</v>
      </c>
      <c r="G430" s="1716">
        <v>100</v>
      </c>
      <c r="H430" s="232"/>
    </row>
    <row r="431" spans="2:8" ht="12" hidden="1" customHeight="1" x14ac:dyDescent="0.25">
      <c r="B431" s="319"/>
      <c r="C431" s="1183"/>
      <c r="D431" s="755"/>
      <c r="E431" s="1716"/>
      <c r="F431" s="2386"/>
      <c r="G431" s="1311"/>
      <c r="H431" s="232"/>
    </row>
    <row r="432" spans="2:8" ht="30.75" hidden="1" customHeight="1" x14ac:dyDescent="0.25">
      <c r="B432" s="319"/>
      <c r="C432" s="1194" t="s">
        <v>1797</v>
      </c>
      <c r="D432" s="1772">
        <v>11240299000</v>
      </c>
      <c r="E432" s="753">
        <v>11238299000</v>
      </c>
      <c r="F432" s="1308">
        <v>99.982206879016303</v>
      </c>
      <c r="G432" s="2395">
        <f>SUM(G433:G434)/2</f>
        <v>100</v>
      </c>
      <c r="H432" s="232"/>
    </row>
    <row r="433" spans="2:8" ht="15.75" hidden="1" customHeight="1" x14ac:dyDescent="0.25">
      <c r="B433" s="319"/>
      <c r="C433" s="1193" t="s">
        <v>961</v>
      </c>
      <c r="D433" s="881">
        <v>10990299000</v>
      </c>
      <c r="E433" s="1354">
        <v>10990299000</v>
      </c>
      <c r="F433" s="1310">
        <v>100</v>
      </c>
      <c r="G433" s="1716">
        <v>100</v>
      </c>
      <c r="H433" s="232"/>
    </row>
    <row r="434" spans="2:8" ht="13.5" hidden="1" customHeight="1" x14ac:dyDescent="0.25">
      <c r="B434" s="319"/>
      <c r="C434" s="1193" t="s">
        <v>962</v>
      </c>
      <c r="D434" s="881">
        <v>250000000</v>
      </c>
      <c r="E434" s="1354">
        <v>248000000</v>
      </c>
      <c r="F434" s="1310">
        <v>99.2</v>
      </c>
      <c r="G434" s="1716">
        <v>100</v>
      </c>
      <c r="H434" s="232"/>
    </row>
    <row r="435" spans="2:8" ht="12" hidden="1" customHeight="1" x14ac:dyDescent="0.25">
      <c r="B435" s="319"/>
      <c r="C435" s="1183"/>
      <c r="D435" s="755"/>
      <c r="E435" s="1716"/>
      <c r="F435" s="2386"/>
      <c r="G435" s="1311"/>
      <c r="H435" s="232"/>
    </row>
    <row r="436" spans="2:8" ht="14.25" hidden="1" customHeight="1" x14ac:dyDescent="0.25">
      <c r="B436" s="319"/>
      <c r="C436" s="1194" t="s">
        <v>613</v>
      </c>
      <c r="D436" s="753">
        <v>1668200000</v>
      </c>
      <c r="E436" s="753">
        <v>1668200000</v>
      </c>
      <c r="F436" s="1308">
        <v>100</v>
      </c>
      <c r="G436" s="1650">
        <f>SUM(G437:G439)/3</f>
        <v>100</v>
      </c>
      <c r="H436" s="232"/>
    </row>
    <row r="437" spans="2:8" ht="15.75" hidden="1" customHeight="1" x14ac:dyDescent="0.25">
      <c r="B437" s="319"/>
      <c r="C437" s="1193" t="s">
        <v>963</v>
      </c>
      <c r="D437" s="881">
        <v>478200000</v>
      </c>
      <c r="E437" s="1354">
        <v>478200000</v>
      </c>
      <c r="F437" s="1310">
        <v>100</v>
      </c>
      <c r="G437" s="1312">
        <v>100</v>
      </c>
      <c r="H437" s="232"/>
    </row>
    <row r="438" spans="2:8" ht="12" hidden="1" customHeight="1" x14ac:dyDescent="0.25">
      <c r="B438" s="319"/>
      <c r="C438" s="1193" t="s">
        <v>964</v>
      </c>
      <c r="D438" s="881">
        <v>350000000</v>
      </c>
      <c r="E438" s="1354">
        <v>350000000</v>
      </c>
      <c r="F438" s="1310">
        <v>100</v>
      </c>
      <c r="G438" s="1312">
        <v>100</v>
      </c>
      <c r="H438" s="232"/>
    </row>
    <row r="439" spans="2:8" ht="12" hidden="1" customHeight="1" x14ac:dyDescent="0.25">
      <c r="B439" s="319"/>
      <c r="C439" s="1193" t="s">
        <v>965</v>
      </c>
      <c r="D439" s="881">
        <v>840000000</v>
      </c>
      <c r="E439" s="1354">
        <v>840000000</v>
      </c>
      <c r="F439" s="1310">
        <v>100</v>
      </c>
      <c r="G439" s="1312">
        <v>100</v>
      </c>
      <c r="H439" s="232"/>
    </row>
    <row r="440" spans="2:8" ht="12" hidden="1" customHeight="1" x14ac:dyDescent="0.25">
      <c r="B440" s="319"/>
      <c r="C440" s="1193"/>
      <c r="D440" s="1009"/>
      <c r="E440" s="1716"/>
      <c r="F440" s="2386"/>
      <c r="G440" s="1311"/>
      <c r="H440" s="232"/>
    </row>
    <row r="441" spans="2:8" ht="12" hidden="1" customHeight="1" x14ac:dyDescent="0.25">
      <c r="B441" s="319"/>
      <c r="C441" s="1194" t="s">
        <v>614</v>
      </c>
      <c r="D441" s="753">
        <v>200000000</v>
      </c>
      <c r="E441" s="753">
        <v>200000000</v>
      </c>
      <c r="F441" s="1308">
        <v>100</v>
      </c>
      <c r="G441" s="1650">
        <v>100</v>
      </c>
      <c r="H441" s="232"/>
    </row>
    <row r="442" spans="2:8" ht="12" hidden="1" customHeight="1" x14ac:dyDescent="0.25">
      <c r="B442" s="319"/>
      <c r="C442" s="1193" t="s">
        <v>966</v>
      </c>
      <c r="D442" s="881">
        <v>200000000</v>
      </c>
      <c r="E442" s="3117">
        <v>200000000</v>
      </c>
      <c r="F442" s="1310">
        <v>100</v>
      </c>
      <c r="G442" s="1716">
        <v>100</v>
      </c>
      <c r="H442" s="232"/>
    </row>
    <row r="443" spans="2:8" ht="12" hidden="1" customHeight="1" x14ac:dyDescent="0.25">
      <c r="B443" s="319"/>
      <c r="C443" s="1195"/>
      <c r="D443" s="1010"/>
      <c r="E443" s="1722"/>
      <c r="F443" s="1649"/>
      <c r="G443" s="2271"/>
      <c r="H443" s="232"/>
    </row>
    <row r="444" spans="2:8" ht="15.75" hidden="1" customHeight="1" x14ac:dyDescent="0.25">
      <c r="B444" s="319"/>
      <c r="C444" s="1283" t="s">
        <v>967</v>
      </c>
      <c r="D444" s="1011">
        <v>300000000</v>
      </c>
      <c r="E444" s="1011">
        <v>300000000</v>
      </c>
      <c r="F444" s="1415">
        <v>100</v>
      </c>
      <c r="G444" s="2278">
        <v>100</v>
      </c>
      <c r="H444" s="232"/>
    </row>
    <row r="445" spans="2:8" ht="13.5" hidden="1" customHeight="1" x14ac:dyDescent="0.25">
      <c r="B445" s="319"/>
      <c r="C445" s="1193" t="s">
        <v>968</v>
      </c>
      <c r="D445" s="3118">
        <v>300000000</v>
      </c>
      <c r="E445" s="881">
        <v>300000000</v>
      </c>
      <c r="F445" s="1310">
        <v>100</v>
      </c>
      <c r="G445" s="2271">
        <v>100</v>
      </c>
      <c r="H445" s="232"/>
    </row>
    <row r="446" spans="2:8" ht="12" hidden="1" customHeight="1" x14ac:dyDescent="0.25">
      <c r="B446" s="319"/>
      <c r="C446" s="1271"/>
      <c r="D446" s="1008"/>
      <c r="E446" s="864"/>
      <c r="F446" s="2389"/>
      <c r="G446" s="2175"/>
      <c r="H446" s="232"/>
    </row>
    <row r="447" spans="2:8" ht="20.25" hidden="1" customHeight="1" x14ac:dyDescent="0.25">
      <c r="B447" s="312"/>
      <c r="C447" s="1180" t="s">
        <v>994</v>
      </c>
      <c r="D447" s="765">
        <f>SUM(D448)</f>
        <v>1767322000</v>
      </c>
      <c r="E447" s="765">
        <f>SUM(E448)</f>
        <v>1300000000</v>
      </c>
      <c r="F447" s="1656">
        <f>E447/D447*100</f>
        <v>73.55761994701588</v>
      </c>
      <c r="G447" s="1656">
        <v>85</v>
      </c>
      <c r="H447" s="232"/>
    </row>
    <row r="448" spans="2:8" ht="16.5" hidden="1" customHeight="1" x14ac:dyDescent="0.25">
      <c r="B448" s="503"/>
      <c r="C448" s="1282" t="s">
        <v>995</v>
      </c>
      <c r="D448" s="1012">
        <f>SUM(D449:D449)</f>
        <v>1767322000</v>
      </c>
      <c r="E448" s="1012">
        <f>SUM(E449:E449)</f>
        <v>1300000000</v>
      </c>
      <c r="F448" s="2448">
        <f>E448/D448*100</f>
        <v>73.55761994701588</v>
      </c>
      <c r="G448" s="2118">
        <v>85</v>
      </c>
      <c r="H448" s="232"/>
    </row>
    <row r="449" spans="2:11" ht="18.75" hidden="1" customHeight="1" x14ac:dyDescent="0.25">
      <c r="B449" s="319"/>
      <c r="C449" s="1195" t="s">
        <v>997</v>
      </c>
      <c r="D449" s="891">
        <v>1767322000</v>
      </c>
      <c r="E449" s="1355">
        <v>1300000000</v>
      </c>
      <c r="F449" s="1310">
        <f>E449/D449*100</f>
        <v>73.55761994701588</v>
      </c>
      <c r="G449" s="2271">
        <v>85</v>
      </c>
      <c r="H449" s="232"/>
    </row>
    <row r="450" spans="2:11" ht="12" hidden="1" customHeight="1" x14ac:dyDescent="0.25">
      <c r="B450" s="319"/>
      <c r="C450" s="1259"/>
      <c r="D450" s="2368"/>
      <c r="E450" s="2368"/>
      <c r="F450" s="2332"/>
      <c r="G450" s="2343"/>
      <c r="H450" s="232"/>
    </row>
    <row r="451" spans="2:11" s="269" customFormat="1" ht="16.5" customHeight="1" x14ac:dyDescent="0.25">
      <c r="B451" s="616"/>
      <c r="C451" s="1297" t="s">
        <v>617</v>
      </c>
      <c r="D451" s="2765">
        <f>SUM(D453+D490+D498)</f>
        <v>18950037800</v>
      </c>
      <c r="E451" s="3119">
        <f>SUM(E453+E490+E498)</f>
        <v>18905776492</v>
      </c>
      <c r="F451" s="1471">
        <f>E451/D451*100</f>
        <v>99.76643155825262</v>
      </c>
      <c r="G451" s="2507">
        <f>SUM(G453+G490+G498)/3</f>
        <v>99.42676954368703</v>
      </c>
      <c r="H451" s="3425"/>
      <c r="J451" s="2069"/>
      <c r="K451" s="2069"/>
    </row>
    <row r="452" spans="2:11" ht="12" hidden="1" customHeight="1" x14ac:dyDescent="0.25">
      <c r="B452" s="314"/>
      <c r="C452" s="1146"/>
      <c r="D452" s="1651"/>
      <c r="E452" s="1651"/>
      <c r="F452" s="2182"/>
      <c r="G452" s="2182"/>
      <c r="H452" s="232"/>
    </row>
    <row r="453" spans="2:11" ht="15.75" hidden="1" customHeight="1" x14ac:dyDescent="0.25">
      <c r="B453" s="312"/>
      <c r="C453" s="1285" t="s">
        <v>357</v>
      </c>
      <c r="D453" s="1030">
        <f>SUM(D454+D457+D460+D463+D467+D471+D474+D477+D483+D486)</f>
        <v>11200037800</v>
      </c>
      <c r="E453" s="1030">
        <f>SUM(E454+E457+E460+E463+E467+E471+E474+E477+E483+E486)</f>
        <v>11156946492</v>
      </c>
      <c r="F453" s="2417">
        <f>E453/D453*100</f>
        <v>99.615257477077449</v>
      </c>
      <c r="G453" s="2356">
        <f>SUM(G454+G457+G460+G463+G467+G471+G474+G477+G483+G486)/10</f>
        <v>98.280308631061047</v>
      </c>
      <c r="H453" s="232"/>
    </row>
    <row r="454" spans="2:11" ht="18" hidden="1" customHeight="1" x14ac:dyDescent="0.25">
      <c r="B454" s="319"/>
      <c r="C454" s="1204" t="s">
        <v>1903</v>
      </c>
      <c r="D454" s="4115">
        <f>SUM(D455)</f>
        <v>500000000</v>
      </c>
      <c r="E454" s="4115">
        <f>SUM(E455)</f>
        <v>486800000</v>
      </c>
      <c r="F454" s="2410">
        <f>E454/D454*100</f>
        <v>97.36</v>
      </c>
      <c r="G454" s="2261">
        <v>97.36</v>
      </c>
      <c r="H454" s="232"/>
    </row>
    <row r="455" spans="2:11" ht="15" hidden="1" customHeight="1" x14ac:dyDescent="0.25">
      <c r="B455" s="319"/>
      <c r="C455" s="1196" t="s">
        <v>1910</v>
      </c>
      <c r="D455" s="4113">
        <v>500000000</v>
      </c>
      <c r="E455" s="666">
        <v>486800000</v>
      </c>
      <c r="F455" s="880">
        <f>E455/D455*100</f>
        <v>97.36</v>
      </c>
      <c r="G455" s="1717">
        <v>97.36</v>
      </c>
      <c r="H455" s="232"/>
    </row>
    <row r="456" spans="2:11" ht="12" hidden="1" customHeight="1" x14ac:dyDescent="0.25">
      <c r="B456" s="319"/>
      <c r="C456" s="1287"/>
      <c r="D456" s="4113"/>
      <c r="E456" s="894"/>
      <c r="F456" s="2415"/>
      <c r="G456" s="1315"/>
      <c r="H456" s="232"/>
    </row>
    <row r="457" spans="2:11" ht="17.25" hidden="1" customHeight="1" x14ac:dyDescent="0.25">
      <c r="B457" s="319"/>
      <c r="C457" s="1199" t="s">
        <v>1911</v>
      </c>
      <c r="D457" s="4115">
        <f>SUM(D458)</f>
        <v>1000000000</v>
      </c>
      <c r="E457" s="4115">
        <f>SUM(E458)</f>
        <v>1000000000</v>
      </c>
      <c r="F457" s="2410">
        <f>E457/D457*100</f>
        <v>100</v>
      </c>
      <c r="G457" s="2261">
        <v>100</v>
      </c>
      <c r="H457" s="232"/>
    </row>
    <row r="458" spans="2:11" ht="15" hidden="1" customHeight="1" x14ac:dyDescent="0.25">
      <c r="B458" s="319"/>
      <c r="C458" s="1196" t="s">
        <v>1904</v>
      </c>
      <c r="D458" s="4113">
        <v>1000000000</v>
      </c>
      <c r="E458" s="666">
        <v>1000000000</v>
      </c>
      <c r="F458" s="880">
        <f>E458/D458*100</f>
        <v>100</v>
      </c>
      <c r="G458" s="1717">
        <v>100</v>
      </c>
      <c r="H458" s="232"/>
    </row>
    <row r="459" spans="2:11" ht="11.25" hidden="1" customHeight="1" x14ac:dyDescent="0.25">
      <c r="B459" s="319"/>
      <c r="C459" s="1287"/>
      <c r="D459" s="4113"/>
      <c r="E459" s="894"/>
      <c r="F459" s="2415"/>
      <c r="G459" s="1315"/>
      <c r="H459" s="232"/>
    </row>
    <row r="460" spans="2:11" ht="14.25" hidden="1" customHeight="1" x14ac:dyDescent="0.25">
      <c r="B460" s="319"/>
      <c r="C460" s="1199" t="s">
        <v>291</v>
      </c>
      <c r="D460" s="4115">
        <f>SUM(D461)</f>
        <v>6552037800</v>
      </c>
      <c r="E460" s="4115">
        <f>SUM(E461)</f>
        <v>6550549290</v>
      </c>
      <c r="F460" s="2410">
        <f>E460/D460*100</f>
        <v>99.977281724473571</v>
      </c>
      <c r="G460" s="2261">
        <v>99.977281724473571</v>
      </c>
      <c r="H460" s="232"/>
    </row>
    <row r="461" spans="2:11" ht="15" hidden="1" customHeight="1" x14ac:dyDescent="0.25">
      <c r="B461" s="319"/>
      <c r="C461" s="1196" t="s">
        <v>1905</v>
      </c>
      <c r="D461" s="4113">
        <v>6552037800</v>
      </c>
      <c r="E461" s="666">
        <v>6550549290</v>
      </c>
      <c r="F461" s="880">
        <f>E461/D461*100</f>
        <v>99.977281724473571</v>
      </c>
      <c r="G461" s="1717">
        <v>99.977281724473571</v>
      </c>
      <c r="H461" s="232"/>
    </row>
    <row r="462" spans="2:11" ht="9" hidden="1" customHeight="1" x14ac:dyDescent="0.25">
      <c r="B462" s="319"/>
      <c r="C462" s="1287"/>
      <c r="D462" s="4113"/>
      <c r="E462" s="894"/>
      <c r="F462" s="2415"/>
      <c r="G462" s="1315"/>
      <c r="H462" s="232"/>
    </row>
    <row r="463" spans="2:11" ht="15" hidden="1" customHeight="1" x14ac:dyDescent="0.25">
      <c r="B463" s="319"/>
      <c r="C463" s="1199" t="s">
        <v>1906</v>
      </c>
      <c r="D463" s="4115">
        <f>SUM(D464:D465)</f>
        <v>200000000</v>
      </c>
      <c r="E463" s="4115">
        <f>SUM(E464:E465)</f>
        <v>180321000</v>
      </c>
      <c r="F463" s="2410">
        <f>E463/D463*100</f>
        <v>90.160499999999999</v>
      </c>
      <c r="G463" s="2261">
        <f>SUM(G464:G465)/2</f>
        <v>90.160499999999999</v>
      </c>
      <c r="H463" s="232"/>
    </row>
    <row r="464" spans="2:11" ht="18.75" hidden="1" customHeight="1" x14ac:dyDescent="0.25">
      <c r="B464" s="319"/>
      <c r="C464" s="1196" t="s">
        <v>1912</v>
      </c>
      <c r="D464" s="4113">
        <v>100000000</v>
      </c>
      <c r="E464" s="1238">
        <v>80684000</v>
      </c>
      <c r="F464" s="880">
        <f>E464/D464*100</f>
        <v>80.683999999999997</v>
      </c>
      <c r="G464" s="971">
        <v>80.683999999999997</v>
      </c>
      <c r="H464" s="232"/>
    </row>
    <row r="465" spans="2:8" ht="32.25" hidden="1" customHeight="1" x14ac:dyDescent="0.25">
      <c r="B465" s="319"/>
      <c r="C465" s="1287" t="s">
        <v>1913</v>
      </c>
      <c r="D465" s="4113">
        <v>100000000</v>
      </c>
      <c r="E465" s="666">
        <v>99637000</v>
      </c>
      <c r="F465" s="880">
        <f>E465/D465*100</f>
        <v>99.637</v>
      </c>
      <c r="G465" s="1717">
        <v>99.637</v>
      </c>
      <c r="H465" s="232"/>
    </row>
    <row r="466" spans="2:8" ht="15.75" hidden="1" customHeight="1" x14ac:dyDescent="0.25">
      <c r="B466" s="319"/>
      <c r="C466" s="1287"/>
      <c r="D466" s="4113"/>
      <c r="E466" s="894"/>
      <c r="F466" s="2415"/>
      <c r="G466" s="1315"/>
      <c r="H466" s="232"/>
    </row>
    <row r="467" spans="2:8" ht="17.25" hidden="1" customHeight="1" x14ac:dyDescent="0.25">
      <c r="B467" s="319"/>
      <c r="C467" s="1199" t="s">
        <v>570</v>
      </c>
      <c r="D467" s="4115">
        <f>SUM(D468:D469)</f>
        <v>200000000</v>
      </c>
      <c r="E467" s="4115">
        <f>SUM(E468:E469)</f>
        <v>199505100</v>
      </c>
      <c r="F467" s="2410">
        <f>E467/D467*100</f>
        <v>99.752549999999999</v>
      </c>
      <c r="G467" s="2261">
        <f>SUM(G468:G469)/2</f>
        <v>99.752549999999999</v>
      </c>
      <c r="H467" s="232"/>
    </row>
    <row r="468" spans="2:8" ht="32.25" hidden="1" customHeight="1" x14ac:dyDescent="0.25">
      <c r="B468" s="319"/>
      <c r="C468" s="1196" t="s">
        <v>1914</v>
      </c>
      <c r="D468" s="4113">
        <v>100000000</v>
      </c>
      <c r="E468" s="666">
        <v>99548800</v>
      </c>
      <c r="F468" s="880">
        <f>E468/D468*100</f>
        <v>99.5488</v>
      </c>
      <c r="G468" s="1717">
        <v>99.5488</v>
      </c>
      <c r="H468" s="232"/>
    </row>
    <row r="469" spans="2:8" ht="30" hidden="1" customHeight="1" x14ac:dyDescent="0.25">
      <c r="B469" s="319"/>
      <c r="C469" s="1287" t="s">
        <v>1915</v>
      </c>
      <c r="D469" s="4113">
        <v>100000000</v>
      </c>
      <c r="E469" s="971">
        <v>99956300</v>
      </c>
      <c r="F469" s="880">
        <f>E469/D469*100</f>
        <v>99.956299999999999</v>
      </c>
      <c r="G469" s="971">
        <v>99.956299999999999</v>
      </c>
      <c r="H469" s="232"/>
    </row>
    <row r="470" spans="2:8" ht="14.25" hidden="1" customHeight="1" x14ac:dyDescent="0.25">
      <c r="B470" s="319"/>
      <c r="C470" s="1287"/>
      <c r="D470" s="4113"/>
      <c r="E470" s="894"/>
      <c r="F470" s="2415"/>
      <c r="G470" s="1315"/>
      <c r="H470" s="232"/>
    </row>
    <row r="471" spans="2:8" ht="17.25" hidden="1" customHeight="1" x14ac:dyDescent="0.25">
      <c r="B471" s="319"/>
      <c r="C471" s="1199" t="s">
        <v>1907</v>
      </c>
      <c r="D471" s="4115">
        <f>SUM(D472)</f>
        <v>150000000</v>
      </c>
      <c r="E471" s="4115">
        <f>SUM(E472)</f>
        <v>149942062</v>
      </c>
      <c r="F471" s="2410">
        <f>E471/D471*100</f>
        <v>99.961374666666671</v>
      </c>
      <c r="G471" s="966">
        <v>99.961374666666671</v>
      </c>
      <c r="H471" s="232"/>
    </row>
    <row r="472" spans="2:8" ht="21" hidden="1" customHeight="1" x14ac:dyDescent="0.25">
      <c r="B472" s="319"/>
      <c r="C472" s="1196" t="s">
        <v>1916</v>
      </c>
      <c r="D472" s="4113">
        <v>150000000</v>
      </c>
      <c r="E472" s="3768">
        <v>149942062</v>
      </c>
      <c r="F472" s="880">
        <f>E472/D472*100</f>
        <v>99.961374666666671</v>
      </c>
      <c r="G472" s="3770">
        <v>99.961374666666671</v>
      </c>
      <c r="H472" s="232"/>
    </row>
    <row r="473" spans="2:8" ht="12" hidden="1" customHeight="1" x14ac:dyDescent="0.25">
      <c r="B473" s="319"/>
      <c r="C473" s="1287"/>
      <c r="D473" s="4113"/>
      <c r="E473" s="894"/>
      <c r="F473" s="2415"/>
      <c r="G473" s="1315"/>
      <c r="H473" s="232"/>
    </row>
    <row r="474" spans="2:8" ht="20.25" hidden="1" customHeight="1" x14ac:dyDescent="0.25">
      <c r="B474" s="319"/>
      <c r="C474" s="1199" t="s">
        <v>1908</v>
      </c>
      <c r="D474" s="4115">
        <f>SUM(D475)</f>
        <v>180040000</v>
      </c>
      <c r="E474" s="4115">
        <f>SUM(E475)</f>
        <v>180040000</v>
      </c>
      <c r="F474" s="2410">
        <f>E474/D474*100</f>
        <v>100</v>
      </c>
      <c r="G474" s="2261">
        <v>100</v>
      </c>
      <c r="H474" s="232"/>
    </row>
    <row r="475" spans="2:8" ht="17.25" hidden="1" customHeight="1" x14ac:dyDescent="0.25">
      <c r="B475" s="319"/>
      <c r="C475" s="1196" t="s">
        <v>1918</v>
      </c>
      <c r="D475" s="4113">
        <v>180040000</v>
      </c>
      <c r="E475" s="666">
        <v>180040000</v>
      </c>
      <c r="F475" s="880">
        <f>E475/D475*100</f>
        <v>100</v>
      </c>
      <c r="G475" s="1717">
        <v>100</v>
      </c>
      <c r="H475" s="232"/>
    </row>
    <row r="476" spans="2:8" ht="12" hidden="1" customHeight="1" x14ac:dyDescent="0.25">
      <c r="B476" s="319"/>
      <c r="C476" s="1287"/>
      <c r="D476" s="4113"/>
      <c r="E476" s="894"/>
      <c r="F476" s="2415"/>
      <c r="G476" s="1315"/>
      <c r="H476" s="232"/>
    </row>
    <row r="477" spans="2:8" ht="34.5" hidden="1" customHeight="1" x14ac:dyDescent="0.25">
      <c r="B477" s="319"/>
      <c r="C477" s="1199" t="s">
        <v>1917</v>
      </c>
      <c r="D477" s="4115">
        <f>SUM(D478:D481)</f>
        <v>2117960000</v>
      </c>
      <c r="E477" s="4115">
        <f>SUM(E478:E481)</f>
        <v>2113612000</v>
      </c>
      <c r="F477" s="2410">
        <f>E477/D477*100</f>
        <v>99.794708115356286</v>
      </c>
      <c r="G477" s="2261">
        <f>SUM(G478:G481)/4</f>
        <v>98.924339919470171</v>
      </c>
      <c r="H477" s="232"/>
    </row>
    <row r="478" spans="2:8" ht="15.75" hidden="1" customHeight="1" x14ac:dyDescent="0.25">
      <c r="B478" s="319"/>
      <c r="C478" s="1196" t="s">
        <v>1922</v>
      </c>
      <c r="D478" s="4113">
        <v>100000000</v>
      </c>
      <c r="E478" s="666">
        <v>96700000</v>
      </c>
      <c r="F478" s="880">
        <f>E478/D478*100</f>
        <v>96.7</v>
      </c>
      <c r="G478" s="1717">
        <v>96.7</v>
      </c>
      <c r="H478" s="232"/>
    </row>
    <row r="479" spans="2:8" ht="17.25" hidden="1" customHeight="1" x14ac:dyDescent="0.25">
      <c r="B479" s="319"/>
      <c r="C479" s="1196" t="s">
        <v>1921</v>
      </c>
      <c r="D479" s="4113">
        <v>100000000</v>
      </c>
      <c r="E479" s="666">
        <v>99000000</v>
      </c>
      <c r="F479" s="880">
        <f>E479/D479*100</f>
        <v>99</v>
      </c>
      <c r="G479" s="1717">
        <v>99</v>
      </c>
      <c r="H479" s="232"/>
    </row>
    <row r="480" spans="2:8" ht="18" hidden="1" customHeight="1" x14ac:dyDescent="0.25">
      <c r="B480" s="319"/>
      <c r="C480" s="1196" t="s">
        <v>1920</v>
      </c>
      <c r="D480" s="4113">
        <v>1817960000</v>
      </c>
      <c r="E480" s="666">
        <v>1817912000</v>
      </c>
      <c r="F480" s="880">
        <f>E480/D480*100</f>
        <v>99.997359677880709</v>
      </c>
      <c r="G480" s="1717">
        <v>99.997359677880709</v>
      </c>
      <c r="H480" s="232"/>
    </row>
    <row r="481" spans="2:8" ht="17.25" hidden="1" customHeight="1" x14ac:dyDescent="0.25">
      <c r="B481" s="319"/>
      <c r="C481" s="1196" t="s">
        <v>1919</v>
      </c>
      <c r="D481" s="4113">
        <v>100000000</v>
      </c>
      <c r="E481" s="666">
        <v>100000000</v>
      </c>
      <c r="F481" s="880">
        <f>E481/D481*100</f>
        <v>100</v>
      </c>
      <c r="G481" s="1717">
        <v>100</v>
      </c>
      <c r="H481" s="232"/>
    </row>
    <row r="482" spans="2:8" ht="12" hidden="1" customHeight="1" x14ac:dyDescent="0.25">
      <c r="B482" s="319"/>
      <c r="C482" s="1287"/>
      <c r="D482" s="4113"/>
      <c r="E482" s="894"/>
      <c r="F482" s="2415"/>
      <c r="G482" s="1315"/>
      <c r="H482" s="232"/>
    </row>
    <row r="483" spans="2:8" ht="14.25" hidden="1" customHeight="1" x14ac:dyDescent="0.25">
      <c r="B483" s="319"/>
      <c r="C483" s="1199" t="s">
        <v>292</v>
      </c>
      <c r="D483" s="4115">
        <f>SUM(D484)</f>
        <v>100000000</v>
      </c>
      <c r="E483" s="4115">
        <f>SUM(E484)</f>
        <v>97157040</v>
      </c>
      <c r="F483" s="2410">
        <f>E483/D483*100</f>
        <v>97.157039999999995</v>
      </c>
      <c r="G483" s="2261">
        <v>97.157039999999995</v>
      </c>
      <c r="H483" s="232"/>
    </row>
    <row r="484" spans="2:8" ht="14.25" hidden="1" customHeight="1" x14ac:dyDescent="0.25">
      <c r="B484" s="319"/>
      <c r="C484" s="1196" t="s">
        <v>1923</v>
      </c>
      <c r="D484" s="4113">
        <v>100000000</v>
      </c>
      <c r="E484" s="666">
        <v>97157040</v>
      </c>
      <c r="F484" s="880">
        <f>E484/D484*100</f>
        <v>97.157039999999995</v>
      </c>
      <c r="G484" s="1717">
        <v>97.157039999999995</v>
      </c>
      <c r="H484" s="232"/>
    </row>
    <row r="485" spans="2:8" ht="12" hidden="1" customHeight="1" x14ac:dyDescent="0.25">
      <c r="B485" s="319"/>
      <c r="C485" s="1287"/>
      <c r="D485" s="4113"/>
      <c r="E485" s="894"/>
      <c r="F485" s="2415"/>
      <c r="G485" s="1315"/>
      <c r="H485" s="232"/>
    </row>
    <row r="486" spans="2:8" ht="13.5" hidden="1" customHeight="1" x14ac:dyDescent="0.25">
      <c r="B486" s="319"/>
      <c r="C486" s="1199" t="s">
        <v>1909</v>
      </c>
      <c r="D486" s="4115">
        <f>SUM(D487:D488)</f>
        <v>200000000</v>
      </c>
      <c r="E486" s="4115">
        <f>SUM(E487:E488)</f>
        <v>199020000</v>
      </c>
      <c r="F486" s="2410">
        <f>E486/D486*100</f>
        <v>99.51</v>
      </c>
      <c r="G486" s="966">
        <f>SUM(G487:G488)/2</f>
        <v>99.509999999999991</v>
      </c>
      <c r="H486" s="232"/>
    </row>
    <row r="487" spans="2:8" ht="19.5" hidden="1" customHeight="1" x14ac:dyDescent="0.25">
      <c r="B487" s="319"/>
      <c r="C487" s="1196" t="s">
        <v>1925</v>
      </c>
      <c r="D487" s="4113">
        <v>100000000</v>
      </c>
      <c r="E487" s="3768">
        <v>99025000</v>
      </c>
      <c r="F487" s="880">
        <f>E487/D487*100</f>
        <v>99.024999999999991</v>
      </c>
      <c r="G487" s="3770">
        <v>99.024999999999991</v>
      </c>
      <c r="H487" s="232"/>
    </row>
    <row r="488" spans="2:8" ht="19.5" hidden="1" customHeight="1" x14ac:dyDescent="0.25">
      <c r="B488" s="319"/>
      <c r="C488" s="1196" t="s">
        <v>1924</v>
      </c>
      <c r="D488" s="4113">
        <v>100000000</v>
      </c>
      <c r="E488" s="3768">
        <v>99995000</v>
      </c>
      <c r="F488" s="880">
        <f>E488/D488*100</f>
        <v>99.995000000000005</v>
      </c>
      <c r="G488" s="3770">
        <v>99.995000000000005</v>
      </c>
      <c r="H488" s="232"/>
    </row>
    <row r="489" spans="2:8" ht="16.5" hidden="1" customHeight="1" x14ac:dyDescent="0.25">
      <c r="B489" s="319"/>
      <c r="C489" s="1292"/>
      <c r="D489" s="3122"/>
      <c r="E489" s="969"/>
      <c r="F489" s="1703"/>
      <c r="G489" s="2182"/>
      <c r="H489" s="232"/>
    </row>
    <row r="490" spans="2:8" ht="16.5" hidden="1" customHeight="1" x14ac:dyDescent="0.25">
      <c r="B490" s="312"/>
      <c r="C490" s="1289" t="s">
        <v>358</v>
      </c>
      <c r="D490" s="669">
        <f>SUM(D491+D494)</f>
        <v>7650000000</v>
      </c>
      <c r="E490" s="669">
        <f>SUM(E491+E494)</f>
        <v>7648830000</v>
      </c>
      <c r="F490" s="2417">
        <f>SUM(E490/D490)*100</f>
        <v>99.984705882352941</v>
      </c>
      <c r="G490" s="1307">
        <v>100</v>
      </c>
      <c r="H490" s="232"/>
    </row>
    <row r="491" spans="2:8" ht="18" hidden="1" customHeight="1" x14ac:dyDescent="0.25">
      <c r="B491" s="319"/>
      <c r="C491" s="1200" t="s">
        <v>3647</v>
      </c>
      <c r="D491" s="1025">
        <v>7000000000</v>
      </c>
      <c r="E491" s="1379">
        <v>7000000000</v>
      </c>
      <c r="F491" s="3507">
        <f>SUM(E491/D491)*100</f>
        <v>100</v>
      </c>
      <c r="G491" s="1379">
        <v>100</v>
      </c>
      <c r="H491" s="232"/>
    </row>
    <row r="492" spans="2:8" ht="30.75" hidden="1" customHeight="1" x14ac:dyDescent="0.25">
      <c r="B492" s="319"/>
      <c r="C492" s="1196" t="s">
        <v>3648</v>
      </c>
      <c r="D492" s="939">
        <v>7000000000</v>
      </c>
      <c r="E492" s="971">
        <v>7000000000</v>
      </c>
      <c r="F492" s="1310">
        <f>E492/D492*100</f>
        <v>100</v>
      </c>
      <c r="G492" s="967">
        <v>100</v>
      </c>
      <c r="H492" s="232"/>
    </row>
    <row r="493" spans="2:8" ht="11.25" hidden="1" customHeight="1" x14ac:dyDescent="0.25">
      <c r="B493" s="319"/>
      <c r="C493" s="1196"/>
      <c r="D493" s="1311"/>
      <c r="E493" s="1311"/>
      <c r="F493" s="2415"/>
      <c r="G493" s="2182"/>
      <c r="H493" s="232"/>
    </row>
    <row r="494" spans="2:8" ht="20.25" hidden="1" customHeight="1" x14ac:dyDescent="0.25">
      <c r="B494" s="319"/>
      <c r="C494" s="1200" t="s">
        <v>3649</v>
      </c>
      <c r="D494" s="1025">
        <v>650000000</v>
      </c>
      <c r="E494" s="1025">
        <v>648830000</v>
      </c>
      <c r="F494" s="2410">
        <f>SUM(E494/D494)*100</f>
        <v>99.82</v>
      </c>
      <c r="G494" s="2261">
        <f>SUM(G495:G496)/2</f>
        <v>99.801333333333332</v>
      </c>
      <c r="H494" s="232"/>
    </row>
    <row r="495" spans="2:8" ht="18" hidden="1" customHeight="1" x14ac:dyDescent="0.25">
      <c r="B495" s="319"/>
      <c r="C495" s="1196" t="s">
        <v>3650</v>
      </c>
      <c r="D495" s="939">
        <v>150000000</v>
      </c>
      <c r="E495" s="1312">
        <v>149650000</v>
      </c>
      <c r="F495" s="1310">
        <f>E495/D495*100</f>
        <v>99.766666666666666</v>
      </c>
      <c r="G495" s="1717">
        <v>99.766666666666666</v>
      </c>
      <c r="H495" s="232"/>
    </row>
    <row r="496" spans="2:8" ht="18.75" hidden="1" customHeight="1" x14ac:dyDescent="0.25">
      <c r="B496" s="319"/>
      <c r="C496" s="1196" t="s">
        <v>3651</v>
      </c>
      <c r="D496" s="1312">
        <v>500000000</v>
      </c>
      <c r="E496" s="1312">
        <v>499180000</v>
      </c>
      <c r="F496" s="1310">
        <f>E496/D496*100</f>
        <v>99.835999999999999</v>
      </c>
      <c r="G496" s="1717">
        <v>99.835999999999999</v>
      </c>
      <c r="H496" s="232"/>
    </row>
    <row r="497" spans="1:11" ht="12" hidden="1" customHeight="1" x14ac:dyDescent="0.25">
      <c r="B497" s="319"/>
      <c r="C497" s="1150"/>
      <c r="D497" s="3122"/>
      <c r="E497" s="969"/>
      <c r="F497" s="1703"/>
      <c r="G497" s="2182"/>
      <c r="H497" s="232"/>
    </row>
    <row r="498" spans="1:11" ht="18" hidden="1" customHeight="1" x14ac:dyDescent="0.25">
      <c r="B498" s="312"/>
      <c r="C498" s="1285" t="s">
        <v>2033</v>
      </c>
      <c r="D498" s="1384">
        <f>D499</f>
        <v>100000000</v>
      </c>
      <c r="E498" s="1384">
        <f>E499</f>
        <v>100000000</v>
      </c>
      <c r="F498" s="2417">
        <v>100</v>
      </c>
      <c r="G498" s="1307">
        <v>100</v>
      </c>
      <c r="H498" s="232"/>
    </row>
    <row r="499" spans="1:11" ht="17.25" hidden="1" customHeight="1" x14ac:dyDescent="0.25">
      <c r="A499" s="352"/>
      <c r="B499" s="378"/>
      <c r="C499" s="1293" t="s">
        <v>2246</v>
      </c>
      <c r="D499" s="1061">
        <f>SUM(D500)</f>
        <v>100000000</v>
      </c>
      <c r="E499" s="1061">
        <f>SUM(E500)</f>
        <v>100000000</v>
      </c>
      <c r="F499" s="2410">
        <f>SUM(E499/D499)*100</f>
        <v>100</v>
      </c>
      <c r="G499" s="1650">
        <v>100</v>
      </c>
      <c r="H499" s="535"/>
    </row>
    <row r="500" spans="1:11" ht="14.25" hidden="1" customHeight="1" x14ac:dyDescent="0.25">
      <c r="A500" s="352"/>
      <c r="B500" s="378"/>
      <c r="C500" s="1294" t="s">
        <v>2247</v>
      </c>
      <c r="D500" s="1059">
        <v>100000000</v>
      </c>
      <c r="E500" s="1057">
        <v>100000000</v>
      </c>
      <c r="F500" s="2411">
        <f>SUM(E500/D500)*100</f>
        <v>100</v>
      </c>
      <c r="G500" s="1312">
        <v>100</v>
      </c>
      <c r="H500" s="535"/>
    </row>
    <row r="501" spans="1:11" ht="12" hidden="1" customHeight="1" x14ac:dyDescent="0.25">
      <c r="B501" s="319"/>
      <c r="C501" s="1259"/>
      <c r="D501" s="3122"/>
      <c r="E501" s="969"/>
      <c r="F501" s="1703"/>
      <c r="G501" s="2182"/>
      <c r="H501" s="232"/>
    </row>
    <row r="502" spans="1:11" s="2058" customFormat="1" ht="16.5" customHeight="1" x14ac:dyDescent="0.25">
      <c r="B502" s="616"/>
      <c r="C502" s="1297" t="s">
        <v>271</v>
      </c>
      <c r="D502" s="1066">
        <f>SUM(D504+D563)</f>
        <v>20471143820</v>
      </c>
      <c r="E502" s="1067">
        <f>SUM(E504+E563)</f>
        <v>17647167750</v>
      </c>
      <c r="F502" s="3123">
        <f>E502/D502*100</f>
        <v>86.205089003180092</v>
      </c>
      <c r="G502" s="2788">
        <f>SUM(G504+G563)/2</f>
        <v>85.486111111111114</v>
      </c>
      <c r="H502" s="3444"/>
      <c r="J502" s="2151"/>
      <c r="K502" s="2151"/>
    </row>
    <row r="503" spans="1:11" ht="6" hidden="1" customHeight="1" x14ac:dyDescent="0.25">
      <c r="B503" s="314"/>
      <c r="C503" s="1288"/>
      <c r="D503" s="1007"/>
      <c r="E503" s="798"/>
      <c r="F503" s="1649"/>
      <c r="G503" s="1649"/>
      <c r="H503" s="232"/>
    </row>
    <row r="504" spans="1:11" ht="15.75" hidden="1" customHeight="1" x14ac:dyDescent="0.25">
      <c r="B504" s="312"/>
      <c r="C504" s="1298" t="s">
        <v>248</v>
      </c>
      <c r="D504" s="3631">
        <f>SUM(D505+D508+D522+D526+D532+D545+D556+D559)</f>
        <v>17505827000</v>
      </c>
      <c r="E504" s="3631">
        <f>SUM(E505+E508+E522+E526+E532+E545+E556+E559)</f>
        <v>15141867750</v>
      </c>
      <c r="F504" s="765">
        <f>E504/D504*100</f>
        <v>86.496157822192572</v>
      </c>
      <c r="G504" s="1726">
        <f>SUM(G505+G508+G522+G526+G532+G545+G556+G559)/8</f>
        <v>95.972222222222229</v>
      </c>
      <c r="H504" s="232"/>
      <c r="J504" s="522">
        <v>17505827000</v>
      </c>
      <c r="K504" s="522">
        <v>15141867750</v>
      </c>
    </row>
    <row r="505" spans="1:11" ht="16.5" hidden="1" customHeight="1" x14ac:dyDescent="0.25">
      <c r="B505" s="319"/>
      <c r="C505" s="3927" t="s">
        <v>561</v>
      </c>
      <c r="D505" s="1423">
        <f>SUM(D506)</f>
        <v>174680000</v>
      </c>
      <c r="E505" s="1423">
        <f>SUM(E506)</f>
        <v>174680000</v>
      </c>
      <c r="F505" s="2441">
        <f>E505/D505*100</f>
        <v>100</v>
      </c>
      <c r="G505" s="2273">
        <v>100</v>
      </c>
      <c r="H505" s="232"/>
    </row>
    <row r="506" spans="1:11" ht="15.75" hidden="1" customHeight="1" x14ac:dyDescent="0.25">
      <c r="B506" s="319"/>
      <c r="C506" s="3945" t="s">
        <v>562</v>
      </c>
      <c r="D506" s="3770">
        <v>174680000</v>
      </c>
      <c r="E506" s="1068">
        <v>174680000</v>
      </c>
      <c r="F506" s="4371">
        <f>E506/D506*100</f>
        <v>100</v>
      </c>
      <c r="G506" s="1648">
        <v>100</v>
      </c>
      <c r="H506" s="232"/>
    </row>
    <row r="507" spans="1:11" ht="12" hidden="1" customHeight="1" x14ac:dyDescent="0.25">
      <c r="B507" s="319"/>
      <c r="C507" s="4033"/>
      <c r="D507" s="1038"/>
      <c r="E507" s="1028"/>
      <c r="F507" s="4371"/>
      <c r="G507" s="1649"/>
      <c r="H507" s="232"/>
    </row>
    <row r="508" spans="1:11" ht="18" hidden="1" customHeight="1" x14ac:dyDescent="0.25">
      <c r="B508" s="319"/>
      <c r="C508" s="3946" t="s">
        <v>283</v>
      </c>
      <c r="D508" s="966">
        <f>SUM(D509:D520)</f>
        <v>1225575000</v>
      </c>
      <c r="E508" s="966">
        <f>SUM(E509:E520)</f>
        <v>1225575000</v>
      </c>
      <c r="F508" s="2441">
        <f t="shared" ref="F508:F554" si="42">E508/D508*100</f>
        <v>100</v>
      </c>
      <c r="G508" s="2441">
        <v>100</v>
      </c>
      <c r="H508" s="232"/>
    </row>
    <row r="509" spans="1:11" ht="15" hidden="1" customHeight="1" x14ac:dyDescent="0.25">
      <c r="B509" s="319"/>
      <c r="C509" s="3947" t="s">
        <v>5947</v>
      </c>
      <c r="D509" s="3770">
        <v>100000000</v>
      </c>
      <c r="E509" s="3770">
        <v>100000000</v>
      </c>
      <c r="F509" s="4371">
        <f t="shared" si="42"/>
        <v>100</v>
      </c>
      <c r="G509" s="4371">
        <v>100</v>
      </c>
      <c r="H509" s="232"/>
    </row>
    <row r="510" spans="1:11" ht="14.25" hidden="1" customHeight="1" x14ac:dyDescent="0.25">
      <c r="B510" s="319"/>
      <c r="C510" s="3947" t="s">
        <v>5948</v>
      </c>
      <c r="D510" s="3770">
        <v>100000000</v>
      </c>
      <c r="E510" s="3770">
        <v>100000000</v>
      </c>
      <c r="F510" s="4371">
        <f t="shared" si="42"/>
        <v>100</v>
      </c>
      <c r="G510" s="4371">
        <v>100</v>
      </c>
      <c r="H510" s="232"/>
    </row>
    <row r="511" spans="1:11" ht="15" hidden="1" customHeight="1" x14ac:dyDescent="0.25">
      <c r="B511" s="319"/>
      <c r="C511" s="3947" t="s">
        <v>5949</v>
      </c>
      <c r="D511" s="3770">
        <v>100000000</v>
      </c>
      <c r="E511" s="3770">
        <v>100000000</v>
      </c>
      <c r="F511" s="4371">
        <f t="shared" si="42"/>
        <v>100</v>
      </c>
      <c r="G511" s="4371">
        <v>100</v>
      </c>
      <c r="H511" s="232"/>
    </row>
    <row r="512" spans="1:11" ht="15.75" hidden="1" customHeight="1" x14ac:dyDescent="0.25">
      <c r="B512" s="319"/>
      <c r="C512" s="3947" t="s">
        <v>5950</v>
      </c>
      <c r="D512" s="3770">
        <v>100000000</v>
      </c>
      <c r="E512" s="3770">
        <v>100000000</v>
      </c>
      <c r="F512" s="4371">
        <f t="shared" si="42"/>
        <v>100</v>
      </c>
      <c r="G512" s="4371">
        <v>100</v>
      </c>
      <c r="H512" s="232"/>
    </row>
    <row r="513" spans="2:8" ht="15" hidden="1" customHeight="1" x14ac:dyDescent="0.25">
      <c r="B513" s="319"/>
      <c r="C513" s="3947" t="s">
        <v>5951</v>
      </c>
      <c r="D513" s="3770">
        <v>100000000</v>
      </c>
      <c r="E513" s="3770">
        <v>100000000</v>
      </c>
      <c r="F513" s="4371">
        <f t="shared" si="42"/>
        <v>100</v>
      </c>
      <c r="G513" s="4371">
        <v>100</v>
      </c>
      <c r="H513" s="232"/>
    </row>
    <row r="514" spans="2:8" ht="15" hidden="1" customHeight="1" x14ac:dyDescent="0.25">
      <c r="B514" s="319"/>
      <c r="C514" s="3947" t="s">
        <v>5952</v>
      </c>
      <c r="D514" s="3770">
        <v>100000000</v>
      </c>
      <c r="E514" s="3770">
        <v>100000000</v>
      </c>
      <c r="F514" s="4371">
        <f t="shared" si="42"/>
        <v>100</v>
      </c>
      <c r="G514" s="4371">
        <v>100</v>
      </c>
      <c r="H514" s="232"/>
    </row>
    <row r="515" spans="2:8" ht="14.25" hidden="1" customHeight="1" x14ac:dyDescent="0.25">
      <c r="B515" s="319"/>
      <c r="C515" s="3947" t="s">
        <v>5953</v>
      </c>
      <c r="D515" s="3770">
        <v>100000000</v>
      </c>
      <c r="E515" s="3770">
        <v>100000000</v>
      </c>
      <c r="F515" s="4371">
        <f t="shared" si="42"/>
        <v>100</v>
      </c>
      <c r="G515" s="4371">
        <v>100</v>
      </c>
      <c r="H515" s="232"/>
    </row>
    <row r="516" spans="2:8" ht="12.75" hidden="1" customHeight="1" x14ac:dyDescent="0.25">
      <c r="B516" s="319"/>
      <c r="C516" s="3947" t="s">
        <v>5954</v>
      </c>
      <c r="D516" s="3770">
        <v>100000000</v>
      </c>
      <c r="E516" s="3770">
        <v>100000000</v>
      </c>
      <c r="F516" s="4371">
        <f t="shared" si="42"/>
        <v>100</v>
      </c>
      <c r="G516" s="4371">
        <v>100</v>
      </c>
      <c r="H516" s="232"/>
    </row>
    <row r="517" spans="2:8" ht="14.25" hidden="1" customHeight="1" x14ac:dyDescent="0.25">
      <c r="B517" s="319"/>
      <c r="C517" s="3947" t="s">
        <v>5955</v>
      </c>
      <c r="D517" s="3770">
        <v>100000000</v>
      </c>
      <c r="E517" s="3770">
        <v>100000000</v>
      </c>
      <c r="F517" s="4371">
        <f t="shared" si="42"/>
        <v>100</v>
      </c>
      <c r="G517" s="4371">
        <v>100</v>
      </c>
      <c r="H517" s="232"/>
    </row>
    <row r="518" spans="2:8" ht="13.5" hidden="1" customHeight="1" x14ac:dyDescent="0.25">
      <c r="B518" s="319"/>
      <c r="C518" s="3947" t="s">
        <v>563</v>
      </c>
      <c r="D518" s="3770">
        <v>100000000</v>
      </c>
      <c r="E518" s="3770">
        <v>100000000</v>
      </c>
      <c r="F518" s="4371">
        <f t="shared" si="42"/>
        <v>100</v>
      </c>
      <c r="G518" s="4371">
        <v>100</v>
      </c>
      <c r="H518" s="232"/>
    </row>
    <row r="519" spans="2:8" ht="15.75" hidden="1" customHeight="1" x14ac:dyDescent="0.25">
      <c r="B519" s="319"/>
      <c r="C519" s="3947" t="s">
        <v>564</v>
      </c>
      <c r="D519" s="3770">
        <v>100000000</v>
      </c>
      <c r="E519" s="3770">
        <v>100000000</v>
      </c>
      <c r="F519" s="4371">
        <f t="shared" si="42"/>
        <v>100</v>
      </c>
      <c r="G519" s="4371">
        <v>100</v>
      </c>
      <c r="H519" s="232"/>
    </row>
    <row r="520" spans="2:8" ht="18" hidden="1" customHeight="1" x14ac:dyDescent="0.25">
      <c r="B520" s="319"/>
      <c r="C520" s="3947" t="s">
        <v>1028</v>
      </c>
      <c r="D520" s="3770">
        <v>125575000</v>
      </c>
      <c r="E520" s="3770">
        <v>125575000</v>
      </c>
      <c r="F520" s="4371">
        <f t="shared" si="42"/>
        <v>100</v>
      </c>
      <c r="G520" s="4371">
        <v>100</v>
      </c>
      <c r="H520" s="232"/>
    </row>
    <row r="521" spans="2:8" ht="14.25" hidden="1" customHeight="1" x14ac:dyDescent="0.25">
      <c r="B521" s="319"/>
      <c r="C521" s="4033"/>
      <c r="D521" s="1038"/>
      <c r="E521" s="1024"/>
      <c r="F521" s="4371"/>
      <c r="G521" s="1648"/>
      <c r="H521" s="232"/>
    </row>
    <row r="522" spans="2:8" ht="20.25" hidden="1" customHeight="1" x14ac:dyDescent="0.25">
      <c r="B522" s="319"/>
      <c r="C522" s="3946" t="s">
        <v>565</v>
      </c>
      <c r="D522" s="966">
        <f>SUM(D523:D524)</f>
        <v>200000000</v>
      </c>
      <c r="E522" s="966">
        <f>SUM(E523:E524)</f>
        <v>200000000</v>
      </c>
      <c r="F522" s="2441">
        <f t="shared" si="42"/>
        <v>100</v>
      </c>
      <c r="G522" s="3629">
        <v>100</v>
      </c>
      <c r="H522" s="232"/>
    </row>
    <row r="523" spans="2:8" ht="15.75" hidden="1" customHeight="1" x14ac:dyDescent="0.25">
      <c r="B523" s="319"/>
      <c r="C523" s="3947" t="s">
        <v>566</v>
      </c>
      <c r="D523" s="3770">
        <v>100000000</v>
      </c>
      <c r="E523" s="3770">
        <v>100000000</v>
      </c>
      <c r="F523" s="4371">
        <f t="shared" si="42"/>
        <v>100</v>
      </c>
      <c r="G523" s="3630">
        <v>100</v>
      </c>
      <c r="H523" s="232"/>
    </row>
    <row r="524" spans="2:8" ht="18.75" hidden="1" customHeight="1" x14ac:dyDescent="0.25">
      <c r="B524" s="319"/>
      <c r="C524" s="3947" t="s">
        <v>567</v>
      </c>
      <c r="D524" s="3770">
        <v>100000000</v>
      </c>
      <c r="E524" s="3770">
        <v>100000000</v>
      </c>
      <c r="F524" s="4371">
        <f t="shared" si="42"/>
        <v>100</v>
      </c>
      <c r="G524" s="3630">
        <v>100</v>
      </c>
      <c r="H524" s="232"/>
    </row>
    <row r="525" spans="2:8" ht="7.5" hidden="1" customHeight="1" x14ac:dyDescent="0.25">
      <c r="B525" s="319"/>
      <c r="C525" s="3947"/>
      <c r="D525" s="3770"/>
      <c r="E525" s="3879"/>
      <c r="F525" s="4371"/>
      <c r="G525" s="1648"/>
      <c r="H525" s="232"/>
    </row>
    <row r="526" spans="2:8" ht="18.75" hidden="1" customHeight="1" x14ac:dyDescent="0.25">
      <c r="B526" s="319"/>
      <c r="C526" s="3946" t="s">
        <v>273</v>
      </c>
      <c r="D526" s="966">
        <f>SUM(D527:D530)</f>
        <v>460000000</v>
      </c>
      <c r="E526" s="966">
        <f>SUM(E527:E530)</f>
        <v>460000000</v>
      </c>
      <c r="F526" s="2441">
        <f t="shared" si="42"/>
        <v>100</v>
      </c>
      <c r="G526" s="3629">
        <v>100</v>
      </c>
      <c r="H526" s="232"/>
    </row>
    <row r="527" spans="2:8" ht="14.25" hidden="1" customHeight="1" x14ac:dyDescent="0.25">
      <c r="B527" s="319"/>
      <c r="C527" s="3947" t="s">
        <v>568</v>
      </c>
      <c r="D527" s="3770">
        <v>80000000</v>
      </c>
      <c r="E527" s="3879">
        <v>80000000</v>
      </c>
      <c r="F527" s="4371">
        <f t="shared" si="42"/>
        <v>100</v>
      </c>
      <c r="G527" s="3630">
        <v>100</v>
      </c>
      <c r="H527" s="232"/>
    </row>
    <row r="528" spans="2:8" ht="15" hidden="1" customHeight="1" x14ac:dyDescent="0.25">
      <c r="B528" s="319"/>
      <c r="C528" s="3947" t="s">
        <v>2381</v>
      </c>
      <c r="D528" s="3770">
        <v>80000000</v>
      </c>
      <c r="E528" s="3879">
        <v>80000000</v>
      </c>
      <c r="F528" s="4371">
        <f t="shared" si="42"/>
        <v>100</v>
      </c>
      <c r="G528" s="3630">
        <v>100</v>
      </c>
      <c r="H528" s="232"/>
    </row>
    <row r="529" spans="2:8" ht="15.75" hidden="1" customHeight="1" x14ac:dyDescent="0.25">
      <c r="B529" s="319"/>
      <c r="C529" s="3947" t="s">
        <v>569</v>
      </c>
      <c r="D529" s="3770">
        <v>100000000</v>
      </c>
      <c r="E529" s="3879">
        <v>100000000</v>
      </c>
      <c r="F529" s="4371">
        <f t="shared" si="42"/>
        <v>100</v>
      </c>
      <c r="G529" s="3630">
        <v>100</v>
      </c>
      <c r="H529" s="232"/>
    </row>
    <row r="530" spans="2:8" ht="15" hidden="1" customHeight="1" x14ac:dyDescent="0.25">
      <c r="B530" s="319"/>
      <c r="C530" s="3947" t="s">
        <v>2382</v>
      </c>
      <c r="D530" s="3770">
        <v>200000000</v>
      </c>
      <c r="E530" s="3879">
        <v>200000000</v>
      </c>
      <c r="F530" s="4371">
        <f t="shared" si="42"/>
        <v>100</v>
      </c>
      <c r="G530" s="3630">
        <v>100</v>
      </c>
      <c r="H530" s="232"/>
    </row>
    <row r="531" spans="2:8" ht="13.5" hidden="1" customHeight="1" x14ac:dyDescent="0.25">
      <c r="B531" s="319"/>
      <c r="C531" s="3943"/>
      <c r="D531" s="1023"/>
      <c r="E531" s="790"/>
      <c r="F531" s="4371"/>
      <c r="G531" s="2264"/>
      <c r="H531" s="232"/>
    </row>
    <row r="532" spans="2:8" ht="15.75" hidden="1" customHeight="1" x14ac:dyDescent="0.25">
      <c r="B532" s="319"/>
      <c r="C532" s="3946" t="s">
        <v>570</v>
      </c>
      <c r="D532" s="966">
        <f>SUM(D533:D543)</f>
        <v>1990000000</v>
      </c>
      <c r="E532" s="966">
        <f>SUM(E533:E543)</f>
        <v>1990000000</v>
      </c>
      <c r="F532" s="2441">
        <f t="shared" si="42"/>
        <v>100</v>
      </c>
      <c r="G532" s="3629">
        <v>100</v>
      </c>
      <c r="H532" s="232"/>
    </row>
    <row r="533" spans="2:8" ht="18.75" hidden="1" customHeight="1" x14ac:dyDescent="0.25">
      <c r="B533" s="319"/>
      <c r="C533" s="3947" t="s">
        <v>5956</v>
      </c>
      <c r="D533" s="971">
        <v>200000000</v>
      </c>
      <c r="E533" s="3879">
        <v>200000000</v>
      </c>
      <c r="F533" s="4371">
        <f t="shared" si="42"/>
        <v>100</v>
      </c>
      <c r="G533" s="3630">
        <v>100</v>
      </c>
      <c r="H533" s="232"/>
    </row>
    <row r="534" spans="2:8" ht="33.75" hidden="1" customHeight="1" x14ac:dyDescent="0.25">
      <c r="B534" s="319"/>
      <c r="C534" s="3947" t="s">
        <v>5957</v>
      </c>
      <c r="D534" s="971">
        <v>100000000</v>
      </c>
      <c r="E534" s="3879">
        <v>100000000</v>
      </c>
      <c r="F534" s="4371">
        <f t="shared" si="42"/>
        <v>100</v>
      </c>
      <c r="G534" s="3630">
        <v>100</v>
      </c>
      <c r="H534" s="232"/>
    </row>
    <row r="535" spans="2:8" ht="33.75" hidden="1" customHeight="1" x14ac:dyDescent="0.25">
      <c r="B535" s="319"/>
      <c r="C535" s="3947" t="s">
        <v>5958</v>
      </c>
      <c r="D535" s="971">
        <v>100000000</v>
      </c>
      <c r="E535" s="3879">
        <v>100000000</v>
      </c>
      <c r="F535" s="4371">
        <f t="shared" si="42"/>
        <v>100</v>
      </c>
      <c r="G535" s="3630">
        <v>100</v>
      </c>
      <c r="H535" s="232"/>
    </row>
    <row r="536" spans="2:8" ht="31.5" hidden="1" customHeight="1" x14ac:dyDescent="0.25">
      <c r="B536" s="319"/>
      <c r="C536" s="3947" t="s">
        <v>5959</v>
      </c>
      <c r="D536" s="971">
        <v>100000000</v>
      </c>
      <c r="E536" s="3879">
        <v>100000000</v>
      </c>
      <c r="F536" s="4371">
        <f t="shared" si="42"/>
        <v>100</v>
      </c>
      <c r="G536" s="3630">
        <v>100</v>
      </c>
      <c r="H536" s="232"/>
    </row>
    <row r="537" spans="2:8" ht="16.5" hidden="1" customHeight="1" x14ac:dyDescent="0.25">
      <c r="B537" s="319"/>
      <c r="C537" s="3947" t="s">
        <v>5961</v>
      </c>
      <c r="D537" s="3770">
        <v>200000000</v>
      </c>
      <c r="E537" s="3879">
        <v>200000000</v>
      </c>
      <c r="F537" s="4371">
        <f t="shared" si="42"/>
        <v>100</v>
      </c>
      <c r="G537" s="3630">
        <v>100</v>
      </c>
      <c r="H537" s="232"/>
    </row>
    <row r="538" spans="2:8" ht="14.25" hidden="1" customHeight="1" x14ac:dyDescent="0.25">
      <c r="B538" s="319"/>
      <c r="C538" s="3947" t="s">
        <v>5960</v>
      </c>
      <c r="D538" s="3770">
        <v>100000000</v>
      </c>
      <c r="E538" s="3879">
        <v>100000000</v>
      </c>
      <c r="F538" s="4371">
        <f t="shared" si="42"/>
        <v>100</v>
      </c>
      <c r="G538" s="3630">
        <v>100</v>
      </c>
      <c r="H538" s="232"/>
    </row>
    <row r="539" spans="2:8" ht="17.25" hidden="1" customHeight="1" x14ac:dyDescent="0.25">
      <c r="B539" s="319"/>
      <c r="C539" s="3947" t="s">
        <v>5962</v>
      </c>
      <c r="D539" s="971">
        <v>80000000</v>
      </c>
      <c r="E539" s="3879">
        <v>80000000</v>
      </c>
      <c r="F539" s="4371">
        <f t="shared" si="42"/>
        <v>100</v>
      </c>
      <c r="G539" s="3630">
        <v>100</v>
      </c>
      <c r="H539" s="232"/>
    </row>
    <row r="540" spans="2:8" ht="18" hidden="1" customHeight="1" x14ac:dyDescent="0.25">
      <c r="B540" s="319"/>
      <c r="C540" s="3947" t="s">
        <v>5963</v>
      </c>
      <c r="D540" s="3770">
        <v>100000000</v>
      </c>
      <c r="E540" s="3879">
        <v>100000000</v>
      </c>
      <c r="F540" s="4371">
        <f t="shared" si="42"/>
        <v>100</v>
      </c>
      <c r="G540" s="3630">
        <v>100</v>
      </c>
      <c r="H540" s="232"/>
    </row>
    <row r="541" spans="2:8" ht="14.25" hidden="1" customHeight="1" x14ac:dyDescent="0.25">
      <c r="B541" s="319"/>
      <c r="C541" s="4033" t="s">
        <v>5964</v>
      </c>
      <c r="D541" s="1038">
        <v>80000000</v>
      </c>
      <c r="E541" s="1024">
        <v>80000000</v>
      </c>
      <c r="F541" s="4371">
        <f t="shared" si="42"/>
        <v>100</v>
      </c>
      <c r="G541" s="1648">
        <v>100</v>
      </c>
      <c r="H541" s="232"/>
    </row>
    <row r="542" spans="2:8" ht="20.25" hidden="1" customHeight="1" x14ac:dyDescent="0.25">
      <c r="B542" s="319"/>
      <c r="C542" s="3940" t="s">
        <v>5965</v>
      </c>
      <c r="D542" s="4113">
        <v>400000000</v>
      </c>
      <c r="E542" s="1024">
        <v>400000000</v>
      </c>
      <c r="F542" s="4371">
        <f t="shared" si="42"/>
        <v>100</v>
      </c>
      <c r="G542" s="1648">
        <v>100</v>
      </c>
      <c r="H542" s="232"/>
    </row>
    <row r="543" spans="2:8" ht="15.75" hidden="1" customHeight="1" x14ac:dyDescent="0.25">
      <c r="B543" s="319"/>
      <c r="C543" s="3940" t="s">
        <v>5984</v>
      </c>
      <c r="D543" s="4113">
        <v>530000000</v>
      </c>
      <c r="E543" s="4113">
        <v>530000000</v>
      </c>
      <c r="F543" s="4371">
        <f t="shared" si="42"/>
        <v>100</v>
      </c>
      <c r="G543" s="1648">
        <v>100</v>
      </c>
      <c r="H543" s="232"/>
    </row>
    <row r="544" spans="2:8" ht="13.5" hidden="1" customHeight="1" x14ac:dyDescent="0.25">
      <c r="B544" s="319"/>
      <c r="C544" s="4033"/>
      <c r="D544" s="3121"/>
      <c r="E544" s="1024"/>
      <c r="F544" s="4371"/>
      <c r="G544" s="1648"/>
      <c r="H544" s="232"/>
    </row>
    <row r="545" spans="2:11" ht="18.75" hidden="1" customHeight="1" x14ac:dyDescent="0.25">
      <c r="B545" s="319"/>
      <c r="C545" s="3946" t="s">
        <v>571</v>
      </c>
      <c r="D545" s="1595">
        <f>SUM(D546:D554)</f>
        <v>7807372000</v>
      </c>
      <c r="E545" s="1415">
        <f>SUM(E546:E554)</f>
        <v>5586212750</v>
      </c>
      <c r="F545" s="2441">
        <f t="shared" si="42"/>
        <v>71.550487795381073</v>
      </c>
      <c r="G545" s="1706">
        <f>SUM(G546:G554)/9</f>
        <v>67.777777777777771</v>
      </c>
      <c r="H545" s="232"/>
    </row>
    <row r="546" spans="2:11" ht="16.5" hidden="1" customHeight="1" x14ac:dyDescent="0.25">
      <c r="B546" s="319"/>
      <c r="C546" s="3947" t="s">
        <v>573</v>
      </c>
      <c r="D546" s="3770">
        <v>1650000000</v>
      </c>
      <c r="E546" s="3879">
        <v>1460291900</v>
      </c>
      <c r="F546" s="4371">
        <f t="shared" si="42"/>
        <v>88.502539393939401</v>
      </c>
      <c r="G546" s="3630">
        <v>80</v>
      </c>
      <c r="H546" s="232"/>
    </row>
    <row r="547" spans="2:11" ht="15" hidden="1" customHeight="1" x14ac:dyDescent="0.25">
      <c r="B547" s="319"/>
      <c r="C547" s="3947" t="s">
        <v>866</v>
      </c>
      <c r="D547" s="3770">
        <v>1050000000</v>
      </c>
      <c r="E547" s="1024">
        <v>344000000</v>
      </c>
      <c r="F547" s="4371">
        <f t="shared" si="42"/>
        <v>32.761904761904766</v>
      </c>
      <c r="G547" s="1648">
        <v>25</v>
      </c>
      <c r="H547" s="232"/>
    </row>
    <row r="548" spans="2:11" ht="14.25" hidden="1" customHeight="1" x14ac:dyDescent="0.25">
      <c r="B548" s="319"/>
      <c r="C548" s="3947" t="s">
        <v>575</v>
      </c>
      <c r="D548" s="3770">
        <v>400000000</v>
      </c>
      <c r="E548" s="3879">
        <v>384400000</v>
      </c>
      <c r="F548" s="4371">
        <f t="shared" si="42"/>
        <v>96.1</v>
      </c>
      <c r="G548" s="3630">
        <v>100</v>
      </c>
      <c r="H548" s="232"/>
    </row>
    <row r="549" spans="2:11" ht="15.75" hidden="1" customHeight="1" x14ac:dyDescent="0.25">
      <c r="B549" s="319"/>
      <c r="C549" s="3947" t="s">
        <v>574</v>
      </c>
      <c r="D549" s="3770">
        <v>281372000</v>
      </c>
      <c r="E549" s="3879">
        <v>272222000</v>
      </c>
      <c r="F549" s="4371">
        <f t="shared" si="42"/>
        <v>96.74807727847832</v>
      </c>
      <c r="G549" s="3630">
        <v>100</v>
      </c>
      <c r="H549" s="232"/>
    </row>
    <row r="550" spans="2:11" ht="15" hidden="1" customHeight="1" x14ac:dyDescent="0.25">
      <c r="B550" s="319"/>
      <c r="C550" s="3947" t="s">
        <v>576</v>
      </c>
      <c r="D550" s="3770">
        <v>150000000</v>
      </c>
      <c r="E550" s="3879">
        <v>147348000</v>
      </c>
      <c r="F550" s="4371">
        <f t="shared" si="42"/>
        <v>98.231999999999999</v>
      </c>
      <c r="G550" s="3630">
        <v>100</v>
      </c>
      <c r="H550" s="232"/>
    </row>
    <row r="551" spans="2:11" ht="15.75" hidden="1" customHeight="1" x14ac:dyDescent="0.25">
      <c r="B551" s="319"/>
      <c r="C551" s="3947" t="s">
        <v>578</v>
      </c>
      <c r="D551" s="3770">
        <v>200000000</v>
      </c>
      <c r="E551" s="1024">
        <v>198872000</v>
      </c>
      <c r="F551" s="4371">
        <f t="shared" si="42"/>
        <v>99.436000000000007</v>
      </c>
      <c r="G551" s="1648">
        <v>100</v>
      </c>
      <c r="H551" s="232"/>
    </row>
    <row r="552" spans="2:11" ht="12" hidden="1" customHeight="1" x14ac:dyDescent="0.25">
      <c r="B552" s="319"/>
      <c r="C552" s="3947" t="s">
        <v>577</v>
      </c>
      <c r="D552" s="3770">
        <v>800000000</v>
      </c>
      <c r="E552" s="3879">
        <v>436300000</v>
      </c>
      <c r="F552" s="4371">
        <f t="shared" si="42"/>
        <v>54.537500000000009</v>
      </c>
      <c r="G552" s="3630">
        <v>25</v>
      </c>
      <c r="H552" s="232"/>
    </row>
    <row r="553" spans="2:11" ht="15.75" hidden="1" customHeight="1" x14ac:dyDescent="0.25">
      <c r="B553" s="319"/>
      <c r="C553" s="3947" t="s">
        <v>572</v>
      </c>
      <c r="D553" s="3770">
        <v>1722000000</v>
      </c>
      <c r="E553" s="3879">
        <v>1134778850</v>
      </c>
      <c r="F553" s="4371">
        <f t="shared" si="42"/>
        <v>65.898887921022066</v>
      </c>
      <c r="G553" s="3630">
        <v>30</v>
      </c>
      <c r="H553" s="232"/>
    </row>
    <row r="554" spans="2:11" ht="16.5" hidden="1" customHeight="1" x14ac:dyDescent="0.25">
      <c r="B554" s="319"/>
      <c r="C554" s="3947" t="s">
        <v>579</v>
      </c>
      <c r="D554" s="3770">
        <v>1554000000</v>
      </c>
      <c r="E554" s="3879">
        <v>1208000000</v>
      </c>
      <c r="F554" s="4371">
        <f t="shared" si="42"/>
        <v>77.734877734877742</v>
      </c>
      <c r="G554" s="3630">
        <v>50</v>
      </c>
      <c r="H554" s="232"/>
    </row>
    <row r="555" spans="2:11" ht="12" hidden="1" customHeight="1" x14ac:dyDescent="0.25">
      <c r="B555" s="319"/>
      <c r="C555" s="4033"/>
      <c r="D555" s="1038"/>
      <c r="E555" s="1024"/>
      <c r="F555" s="3648"/>
      <c r="G555" s="1648"/>
      <c r="H555" s="232"/>
    </row>
    <row r="556" spans="2:11" ht="16.5" hidden="1" customHeight="1" x14ac:dyDescent="0.25">
      <c r="B556" s="319"/>
      <c r="C556" s="3946" t="s">
        <v>580</v>
      </c>
      <c r="D556" s="966">
        <f>SUM(D557)</f>
        <v>100000000</v>
      </c>
      <c r="E556" s="966">
        <f>SUM(E557)</f>
        <v>100000000</v>
      </c>
      <c r="F556" s="3629">
        <v>100</v>
      </c>
      <c r="G556" s="3629">
        <v>100</v>
      </c>
      <c r="H556" s="232"/>
    </row>
    <row r="557" spans="2:11" ht="17.25" hidden="1" customHeight="1" x14ac:dyDescent="0.25">
      <c r="B557" s="319"/>
      <c r="C557" s="3947" t="s">
        <v>618</v>
      </c>
      <c r="D557" s="3770">
        <v>100000000</v>
      </c>
      <c r="E557" s="3770">
        <v>100000000</v>
      </c>
      <c r="F557" s="3630">
        <v>100</v>
      </c>
      <c r="G557" s="3630">
        <v>100</v>
      </c>
      <c r="H557" s="232"/>
    </row>
    <row r="558" spans="2:11" ht="9.75" hidden="1" customHeight="1" x14ac:dyDescent="0.25">
      <c r="B558" s="319"/>
      <c r="C558" s="3852"/>
      <c r="D558" s="4120"/>
      <c r="E558" s="865"/>
      <c r="F558" s="3630"/>
      <c r="G558" s="1649"/>
      <c r="H558" s="232"/>
    </row>
    <row r="559" spans="2:11" ht="15.75" hidden="1" customHeight="1" x14ac:dyDescent="0.25">
      <c r="B559" s="319"/>
      <c r="C559" s="4103" t="s">
        <v>581</v>
      </c>
      <c r="D559" s="4155">
        <f>SUM(D560:D561)</f>
        <v>5548200000</v>
      </c>
      <c r="E559" s="4155">
        <f>SUM(E560:E561)</f>
        <v>5405400000</v>
      </c>
      <c r="F559" s="2441">
        <f t="shared" ref="F559:F561" si="43">E559/D559*100</f>
        <v>97.426192278576835</v>
      </c>
      <c r="G559" s="3600">
        <v>100</v>
      </c>
      <c r="H559" s="232"/>
    </row>
    <row r="560" spans="2:11" s="4099" customFormat="1" ht="15" hidden="1" customHeight="1" x14ac:dyDescent="0.25">
      <c r="B560" s="319"/>
      <c r="C560" s="3856" t="s">
        <v>1333</v>
      </c>
      <c r="D560" s="1492">
        <v>4409550000</v>
      </c>
      <c r="E560" s="780">
        <v>4276750000</v>
      </c>
      <c r="F560" s="4371">
        <f t="shared" si="43"/>
        <v>96.988354820786711</v>
      </c>
      <c r="G560" s="3648">
        <v>100</v>
      </c>
      <c r="H560" s="232"/>
      <c r="J560" s="522"/>
      <c r="K560" s="522"/>
    </row>
    <row r="561" spans="2:11" s="4099" customFormat="1" ht="18" hidden="1" customHeight="1" x14ac:dyDescent="0.25">
      <c r="B561" s="319"/>
      <c r="C561" s="3856" t="s">
        <v>5966</v>
      </c>
      <c r="D561" s="1492">
        <v>1138650000</v>
      </c>
      <c r="E561" s="780">
        <v>1128650000</v>
      </c>
      <c r="F561" s="4371">
        <f t="shared" si="43"/>
        <v>99.121767004786363</v>
      </c>
      <c r="G561" s="3648">
        <v>100</v>
      </c>
      <c r="H561" s="232"/>
      <c r="J561" s="522"/>
      <c r="K561" s="522"/>
    </row>
    <row r="562" spans="2:11" s="4099" customFormat="1" ht="12" hidden="1" customHeight="1" x14ac:dyDescent="0.25">
      <c r="B562" s="319"/>
      <c r="C562" s="3893"/>
      <c r="D562" s="791"/>
      <c r="E562" s="791"/>
      <c r="F562" s="1703"/>
      <c r="G562" s="2182"/>
      <c r="H562" s="232"/>
      <c r="J562" s="522"/>
      <c r="K562" s="522"/>
    </row>
    <row r="563" spans="2:11" ht="18.75" hidden="1" customHeight="1" x14ac:dyDescent="0.25">
      <c r="B563" s="312"/>
      <c r="C563" s="507" t="s">
        <v>599</v>
      </c>
      <c r="D563" s="1050">
        <f>SUM(D564)</f>
        <v>2965316820</v>
      </c>
      <c r="E563" s="1050">
        <f>SUM(E564)</f>
        <v>2505300000</v>
      </c>
      <c r="F563" s="807">
        <f>E563/D563*100</f>
        <v>84.48675646064693</v>
      </c>
      <c r="G563" s="1307">
        <v>75</v>
      </c>
      <c r="H563" s="232"/>
    </row>
    <row r="564" spans="2:11" ht="19.5" hidden="1" customHeight="1" x14ac:dyDescent="0.25">
      <c r="B564" s="319"/>
      <c r="C564" s="1202" t="s">
        <v>592</v>
      </c>
      <c r="D564" s="1051">
        <f>SUM(D565)</f>
        <v>2965316820</v>
      </c>
      <c r="E564" s="1051">
        <f>SUM(E565)</f>
        <v>2505300000</v>
      </c>
      <c r="F564" s="2442">
        <f>E564/D564*100</f>
        <v>84.48675646064693</v>
      </c>
      <c r="G564" s="1659">
        <v>75</v>
      </c>
      <c r="H564" s="232"/>
    </row>
    <row r="565" spans="2:11" ht="16.5" hidden="1" customHeight="1" x14ac:dyDescent="0.25">
      <c r="B565" s="319"/>
      <c r="C565" s="1196" t="s">
        <v>600</v>
      </c>
      <c r="D565" s="4376">
        <v>2965316820</v>
      </c>
      <c r="E565" s="4377">
        <v>2505300000</v>
      </c>
      <c r="F565" s="3557">
        <f>E565/D565*100</f>
        <v>84.48675646064693</v>
      </c>
      <c r="G565" s="1312">
        <v>75</v>
      </c>
      <c r="H565" s="232"/>
    </row>
    <row r="566" spans="2:11" ht="12" hidden="1" customHeight="1" x14ac:dyDescent="0.25">
      <c r="B566" s="319"/>
      <c r="C566" s="1146"/>
      <c r="D566" s="791"/>
      <c r="E566" s="791"/>
      <c r="F566" s="1703"/>
      <c r="G566" s="2182"/>
      <c r="H566" s="232"/>
    </row>
    <row r="567" spans="2:11" s="2058" customFormat="1" ht="23.25" customHeight="1" x14ac:dyDescent="0.25">
      <c r="B567" s="616"/>
      <c r="C567" s="3125" t="s">
        <v>606</v>
      </c>
      <c r="D567" s="2797">
        <f>D569+D605</f>
        <v>23332868384</v>
      </c>
      <c r="E567" s="2797">
        <f>E569+E605</f>
        <v>22755002500</v>
      </c>
      <c r="F567" s="2507">
        <f>SUM(E567/D567)*100</f>
        <v>97.523382575644845</v>
      </c>
      <c r="G567" s="2701">
        <f>SUM(G569+G605)/2</f>
        <v>98.888888888888886</v>
      </c>
      <c r="H567" s="3444" t="s">
        <v>3420</v>
      </c>
      <c r="J567" s="2151"/>
      <c r="K567" s="2151"/>
    </row>
    <row r="568" spans="2:11" ht="8.25" hidden="1" customHeight="1" x14ac:dyDescent="0.25">
      <c r="B568" s="314"/>
      <c r="C568" s="1155"/>
      <c r="D568" s="872"/>
      <c r="E568" s="868"/>
      <c r="F568" s="2479"/>
      <c r="G568" s="2466"/>
      <c r="H568" s="232"/>
    </row>
    <row r="569" spans="2:11" ht="17.25" hidden="1" customHeight="1" x14ac:dyDescent="0.25">
      <c r="B569" s="312"/>
      <c r="C569" s="1156" t="s">
        <v>379</v>
      </c>
      <c r="D569" s="1552">
        <f>D570+D577+D581+D584+D587+D591+D594+D599+D602</f>
        <v>8332868384</v>
      </c>
      <c r="E569" s="1552">
        <f>E570+E577+E581+E584+E587+E591+E594+E599+E602</f>
        <v>7832002500</v>
      </c>
      <c r="F569" s="1307">
        <f>SUM(E569/D569)*100</f>
        <v>93.989274030036086</v>
      </c>
      <c r="G569" s="2462">
        <f>SUM(G570+G577+G581+G584+G587+G591+G594+G599+G602)/9</f>
        <v>97.777777777777771</v>
      </c>
      <c r="H569" s="232"/>
    </row>
    <row r="570" spans="2:11" ht="17.25" hidden="1" customHeight="1" x14ac:dyDescent="0.25">
      <c r="B570" s="319"/>
      <c r="C570" s="3949" t="s">
        <v>561</v>
      </c>
      <c r="D570" s="1597">
        <f>SUM(D571:D575)</f>
        <v>1661740000</v>
      </c>
      <c r="E570" s="4155">
        <f>SUM(E571:E575)</f>
        <v>1227884500</v>
      </c>
      <c r="F570" s="1415">
        <f>E570/D570*100</f>
        <v>73.891493254058986</v>
      </c>
      <c r="G570" s="2496">
        <f>SUM(G571:G575)/5</f>
        <v>80</v>
      </c>
      <c r="H570" s="232"/>
    </row>
    <row r="571" spans="2:11" ht="17.25" hidden="1" customHeight="1" x14ac:dyDescent="0.25">
      <c r="B571" s="319"/>
      <c r="C571" s="3950" t="s">
        <v>1812</v>
      </c>
      <c r="D571" s="1081">
        <v>471625000</v>
      </c>
      <c r="E571" s="2457">
        <v>459525000</v>
      </c>
      <c r="F571" s="880">
        <f>E571/D571*100</f>
        <v>97.434402332361515</v>
      </c>
      <c r="G571" s="2230">
        <v>100</v>
      </c>
      <c r="H571" s="232"/>
    </row>
    <row r="572" spans="2:11" ht="17.25" hidden="1" customHeight="1" x14ac:dyDescent="0.25">
      <c r="B572" s="319"/>
      <c r="C572" s="3950" t="s">
        <v>1813</v>
      </c>
      <c r="D572" s="1081">
        <v>300000000</v>
      </c>
      <c r="E572" s="3768">
        <v>295400000</v>
      </c>
      <c r="F572" s="880">
        <f t="shared" ref="F572:F575" si="44">E572/D572*100</f>
        <v>98.466666666666669</v>
      </c>
      <c r="G572" s="3768">
        <v>100</v>
      </c>
      <c r="H572" s="232"/>
    </row>
    <row r="573" spans="2:11" ht="17.25" hidden="1" customHeight="1" x14ac:dyDescent="0.25">
      <c r="B573" s="319"/>
      <c r="C573" s="3950" t="s">
        <v>1814</v>
      </c>
      <c r="D573" s="1081">
        <v>400000000</v>
      </c>
      <c r="E573" s="3768">
        <v>0</v>
      </c>
      <c r="F573" s="3768">
        <v>0</v>
      </c>
      <c r="G573" s="3768">
        <v>0</v>
      </c>
      <c r="H573" s="232"/>
    </row>
    <row r="574" spans="2:11" ht="17.25" hidden="1" customHeight="1" x14ac:dyDescent="0.25">
      <c r="B574" s="319"/>
      <c r="C574" s="3950" t="s">
        <v>1815</v>
      </c>
      <c r="D574" s="1081">
        <v>250000000</v>
      </c>
      <c r="E574" s="2457">
        <v>235044500</v>
      </c>
      <c r="F574" s="880">
        <f t="shared" si="44"/>
        <v>94.017799999999994</v>
      </c>
      <c r="G574" s="2230">
        <v>100</v>
      </c>
      <c r="H574" s="232"/>
    </row>
    <row r="575" spans="2:11" ht="17.25" hidden="1" customHeight="1" x14ac:dyDescent="0.25">
      <c r="B575" s="319"/>
      <c r="C575" s="3950" t="s">
        <v>1816</v>
      </c>
      <c r="D575" s="1081">
        <v>240115000</v>
      </c>
      <c r="E575" s="2457">
        <v>237915000</v>
      </c>
      <c r="F575" s="880">
        <f t="shared" si="44"/>
        <v>99.08377235907794</v>
      </c>
      <c r="G575" s="2230">
        <v>100</v>
      </c>
      <c r="H575" s="232"/>
    </row>
    <row r="576" spans="2:11" ht="9.75" hidden="1" customHeight="1" x14ac:dyDescent="0.25">
      <c r="B576" s="319"/>
      <c r="C576" s="4106"/>
      <c r="D576" s="812"/>
      <c r="E576" s="666"/>
      <c r="F576" s="2456"/>
      <c r="G576" s="2466"/>
      <c r="H576" s="232"/>
    </row>
    <row r="577" spans="2:8" ht="28.5" hidden="1" customHeight="1" x14ac:dyDescent="0.25">
      <c r="B577" s="319"/>
      <c r="C577" s="3949" t="s">
        <v>1817</v>
      </c>
      <c r="D577" s="1082">
        <f>SUM(D578:D579)</f>
        <v>292675000</v>
      </c>
      <c r="E577" s="1082">
        <f>SUM(E578:E579)</f>
        <v>292675000</v>
      </c>
      <c r="F577" s="1415">
        <f>E577/D577*100</f>
        <v>100</v>
      </c>
      <c r="G577" s="2006">
        <v>100</v>
      </c>
      <c r="H577" s="232"/>
    </row>
    <row r="578" spans="2:8" ht="17.25" hidden="1" customHeight="1" x14ac:dyDescent="0.25">
      <c r="B578" s="319"/>
      <c r="C578" s="3950" t="s">
        <v>1818</v>
      </c>
      <c r="D578" s="1083">
        <v>138837500</v>
      </c>
      <c r="E578" s="3768">
        <v>138837500</v>
      </c>
      <c r="F578" s="880">
        <f>E578/D578*100</f>
        <v>100</v>
      </c>
      <c r="G578" s="3768">
        <v>100</v>
      </c>
      <c r="H578" s="232"/>
    </row>
    <row r="579" spans="2:8" ht="17.25" hidden="1" customHeight="1" x14ac:dyDescent="0.25">
      <c r="B579" s="319"/>
      <c r="C579" s="3950" t="s">
        <v>1819</v>
      </c>
      <c r="D579" s="1083">
        <v>153837500</v>
      </c>
      <c r="E579" s="2457">
        <v>153837500</v>
      </c>
      <c r="F579" s="880">
        <f>E579/D579*100</f>
        <v>100</v>
      </c>
      <c r="G579" s="2230">
        <v>100</v>
      </c>
      <c r="H579" s="232"/>
    </row>
    <row r="580" spans="2:8" ht="10.5" hidden="1" customHeight="1" x14ac:dyDescent="0.25">
      <c r="B580" s="319"/>
      <c r="C580" s="3950"/>
      <c r="D580" s="1083"/>
      <c r="E580" s="666"/>
      <c r="F580" s="2467"/>
      <c r="G580" s="2003"/>
      <c r="H580" s="232"/>
    </row>
    <row r="581" spans="2:8" ht="17.25" hidden="1" customHeight="1" x14ac:dyDescent="0.25">
      <c r="B581" s="319"/>
      <c r="C581" s="3949" t="s">
        <v>1820</v>
      </c>
      <c r="D581" s="1082">
        <f>D582</f>
        <v>650000000</v>
      </c>
      <c r="E581" s="1082">
        <f>E582</f>
        <v>642720000</v>
      </c>
      <c r="F581" s="1415">
        <f>E581/D581*100</f>
        <v>98.88</v>
      </c>
      <c r="G581" s="2006">
        <v>100</v>
      </c>
      <c r="H581" s="232"/>
    </row>
    <row r="582" spans="2:8" ht="17.25" hidden="1" customHeight="1" x14ac:dyDescent="0.25">
      <c r="B582" s="319"/>
      <c r="C582" s="3950" t="s">
        <v>1821</v>
      </c>
      <c r="D582" s="1083">
        <v>650000000</v>
      </c>
      <c r="E582" s="2457">
        <v>642720000</v>
      </c>
      <c r="F582" s="880">
        <f>E582/D582*100</f>
        <v>98.88</v>
      </c>
      <c r="G582" s="2230">
        <v>100</v>
      </c>
      <c r="H582" s="232"/>
    </row>
    <row r="583" spans="2:8" ht="13.5" hidden="1" customHeight="1" x14ac:dyDescent="0.25">
      <c r="B583" s="319"/>
      <c r="C583" s="3952"/>
      <c r="D583" s="1084"/>
      <c r="E583" s="666"/>
      <c r="F583" s="2467"/>
      <c r="G583" s="2003"/>
      <c r="H583" s="232"/>
    </row>
    <row r="584" spans="2:8" ht="17.25" hidden="1" customHeight="1" x14ac:dyDescent="0.25">
      <c r="B584" s="319"/>
      <c r="C584" s="3949" t="s">
        <v>1822</v>
      </c>
      <c r="D584" s="1082">
        <f>D585</f>
        <v>472460000</v>
      </c>
      <c r="E584" s="1082">
        <f>E585</f>
        <v>472260000</v>
      </c>
      <c r="F584" s="1415">
        <f>E584/D584*100</f>
        <v>99.957668374042257</v>
      </c>
      <c r="G584" s="2006">
        <v>100</v>
      </c>
      <c r="H584" s="232"/>
    </row>
    <row r="585" spans="2:8" ht="17.25" hidden="1" customHeight="1" x14ac:dyDescent="0.25">
      <c r="B585" s="319"/>
      <c r="C585" s="3950" t="s">
        <v>1823</v>
      </c>
      <c r="D585" s="1083">
        <v>472460000</v>
      </c>
      <c r="E585" s="2457">
        <v>472260000</v>
      </c>
      <c r="F585" s="880">
        <f>E585/D585*100</f>
        <v>99.957668374042257</v>
      </c>
      <c r="G585" s="2230">
        <v>100</v>
      </c>
      <c r="H585" s="232"/>
    </row>
    <row r="586" spans="2:8" ht="12.75" hidden="1" customHeight="1" x14ac:dyDescent="0.25">
      <c r="B586" s="319"/>
      <c r="C586" s="4106"/>
      <c r="D586" s="1085"/>
      <c r="E586" s="666"/>
      <c r="F586" s="2467"/>
      <c r="G586" s="2003"/>
      <c r="H586" s="232"/>
    </row>
    <row r="587" spans="2:8" ht="17.25" hidden="1" customHeight="1" x14ac:dyDescent="0.25">
      <c r="B587" s="319"/>
      <c r="C587" s="3949" t="s">
        <v>1824</v>
      </c>
      <c r="D587" s="1598">
        <f>SUM(D588:D589)</f>
        <v>2270738384</v>
      </c>
      <c r="E587" s="1598">
        <f>SUM(E588:E589)</f>
        <v>2215968000</v>
      </c>
      <c r="F587" s="1415">
        <f>E587/D587*100</f>
        <v>97.587992329458956</v>
      </c>
      <c r="G587" s="2006">
        <v>100</v>
      </c>
      <c r="H587" s="232"/>
    </row>
    <row r="588" spans="2:8" ht="29.25" hidden="1" customHeight="1" x14ac:dyDescent="0.25">
      <c r="B588" s="319"/>
      <c r="C588" s="3950" t="s">
        <v>1825</v>
      </c>
      <c r="D588" s="1087">
        <v>2000853384</v>
      </c>
      <c r="E588" s="2454">
        <v>1985083000</v>
      </c>
      <c r="F588" s="880">
        <f>E588/D588*100</f>
        <v>99.211817111333133</v>
      </c>
      <c r="G588" s="2230">
        <v>100</v>
      </c>
      <c r="H588" s="232"/>
    </row>
    <row r="589" spans="2:8" ht="17.25" hidden="1" customHeight="1" x14ac:dyDescent="0.25">
      <c r="B589" s="319"/>
      <c r="C589" s="3950" t="s">
        <v>1833</v>
      </c>
      <c r="D589" s="1087">
        <v>269885000</v>
      </c>
      <c r="E589" s="1238">
        <v>230885000</v>
      </c>
      <c r="F589" s="880">
        <f>E589/D589*100</f>
        <v>85.549400670656013</v>
      </c>
      <c r="G589" s="1238">
        <v>100</v>
      </c>
      <c r="H589" s="232"/>
    </row>
    <row r="590" spans="2:8" ht="12.75" hidden="1" customHeight="1" x14ac:dyDescent="0.25">
      <c r="B590" s="319"/>
      <c r="C590" s="4106"/>
      <c r="D590" s="1599"/>
      <c r="E590" s="666"/>
      <c r="F590" s="2467"/>
      <c r="G590" s="2003"/>
      <c r="H590" s="232"/>
    </row>
    <row r="591" spans="2:8" ht="19.5" hidden="1" customHeight="1" x14ac:dyDescent="0.25">
      <c r="B591" s="319"/>
      <c r="C591" s="3949" t="s">
        <v>1014</v>
      </c>
      <c r="D591" s="1600">
        <f>D592</f>
        <v>649625000</v>
      </c>
      <c r="E591" s="1600">
        <f>E592</f>
        <v>649520000</v>
      </c>
      <c r="F591" s="1415">
        <f>E591/D591*100</f>
        <v>99.983836828939772</v>
      </c>
      <c r="G591" s="2006">
        <v>100</v>
      </c>
      <c r="H591" s="232"/>
    </row>
    <row r="592" spans="2:8" ht="50.25" hidden="1" customHeight="1" x14ac:dyDescent="0.25">
      <c r="B592" s="319"/>
      <c r="C592" s="3950" t="s">
        <v>1880</v>
      </c>
      <c r="D592" s="1087">
        <v>649625000</v>
      </c>
      <c r="E592" s="2454">
        <v>649520000</v>
      </c>
      <c r="F592" s="880">
        <f>E592/D592*100</f>
        <v>99.983836828939772</v>
      </c>
      <c r="G592" s="2230">
        <v>100</v>
      </c>
      <c r="H592" s="232"/>
    </row>
    <row r="593" spans="2:11" ht="11.25" hidden="1" customHeight="1" x14ac:dyDescent="0.25">
      <c r="B593" s="319"/>
      <c r="C593" s="4106"/>
      <c r="D593" s="1599"/>
      <c r="E593" s="666"/>
      <c r="F593" s="2467"/>
      <c r="G593" s="2003"/>
      <c r="H593" s="232"/>
    </row>
    <row r="594" spans="2:11" ht="17.25" hidden="1" customHeight="1" x14ac:dyDescent="0.25">
      <c r="B594" s="319"/>
      <c r="C594" s="3954" t="s">
        <v>286</v>
      </c>
      <c r="D594" s="1598">
        <f>SUM(D595:D597)</f>
        <v>1635630000</v>
      </c>
      <c r="E594" s="1598">
        <f>SUM(E595:E597)</f>
        <v>1630975000</v>
      </c>
      <c r="F594" s="1415">
        <f>E594/D594*100</f>
        <v>99.715400182192795</v>
      </c>
      <c r="G594" s="2006">
        <v>100</v>
      </c>
      <c r="H594" s="232"/>
    </row>
    <row r="595" spans="2:11" ht="17.25" hidden="1" customHeight="1" x14ac:dyDescent="0.25">
      <c r="B595" s="319"/>
      <c r="C595" s="3955" t="s">
        <v>1826</v>
      </c>
      <c r="D595" s="1087">
        <v>485630000</v>
      </c>
      <c r="E595" s="2454">
        <v>485630000</v>
      </c>
      <c r="F595" s="880">
        <f>E595/D595*100</f>
        <v>100</v>
      </c>
      <c r="G595" s="2230">
        <v>100</v>
      </c>
      <c r="H595" s="232"/>
    </row>
    <row r="596" spans="2:11" ht="17.25" hidden="1" customHeight="1" x14ac:dyDescent="0.25">
      <c r="B596" s="319"/>
      <c r="C596" s="3955" t="s">
        <v>1827</v>
      </c>
      <c r="D596" s="1087">
        <v>650000000</v>
      </c>
      <c r="E596" s="2454">
        <v>647095000</v>
      </c>
      <c r="F596" s="880">
        <f t="shared" ref="F596:F597" si="45">E596/D596*100</f>
        <v>99.553076923076915</v>
      </c>
      <c r="G596" s="2230">
        <v>100</v>
      </c>
      <c r="H596" s="232"/>
    </row>
    <row r="597" spans="2:11" ht="17.25" hidden="1" customHeight="1" x14ac:dyDescent="0.25">
      <c r="B597" s="319"/>
      <c r="C597" s="3955" t="s">
        <v>1832</v>
      </c>
      <c r="D597" s="1087">
        <v>500000000</v>
      </c>
      <c r="E597" s="3768">
        <v>498250000</v>
      </c>
      <c r="F597" s="880">
        <f t="shared" si="45"/>
        <v>99.65</v>
      </c>
      <c r="G597" s="2230">
        <v>100</v>
      </c>
      <c r="H597" s="232"/>
    </row>
    <row r="598" spans="2:11" ht="11.25" hidden="1" customHeight="1" x14ac:dyDescent="0.25">
      <c r="B598" s="319"/>
      <c r="C598" s="4106"/>
      <c r="D598" s="1599"/>
      <c r="E598" s="666"/>
      <c r="F598" s="2467"/>
      <c r="G598" s="2003"/>
      <c r="H598" s="232"/>
    </row>
    <row r="599" spans="2:11" ht="17.25" hidden="1" customHeight="1" x14ac:dyDescent="0.25">
      <c r="B599" s="319"/>
      <c r="C599" s="3954" t="s">
        <v>1828</v>
      </c>
      <c r="D599" s="1598">
        <f>D600</f>
        <v>350000000</v>
      </c>
      <c r="E599" s="1598">
        <f>E600</f>
        <v>350000000</v>
      </c>
      <c r="F599" s="1415">
        <f>E599/D599*100</f>
        <v>100</v>
      </c>
      <c r="G599" s="1415">
        <v>100</v>
      </c>
      <c r="H599" s="232"/>
    </row>
    <row r="600" spans="2:11" ht="27" hidden="1" customHeight="1" x14ac:dyDescent="0.25">
      <c r="B600" s="319"/>
      <c r="C600" s="3955" t="s">
        <v>1829</v>
      </c>
      <c r="D600" s="1087">
        <v>350000000</v>
      </c>
      <c r="E600" s="2454">
        <v>350000000</v>
      </c>
      <c r="F600" s="880">
        <f>E600/D600*100</f>
        <v>100</v>
      </c>
      <c r="G600" s="880">
        <v>100</v>
      </c>
      <c r="H600" s="232"/>
    </row>
    <row r="601" spans="2:11" ht="15" hidden="1" customHeight="1" x14ac:dyDescent="0.25">
      <c r="B601" s="319"/>
      <c r="C601" s="4106"/>
      <c r="D601" s="1599"/>
      <c r="E601" s="666"/>
      <c r="F601" s="2467"/>
      <c r="G601" s="2467"/>
      <c r="H601" s="232"/>
    </row>
    <row r="602" spans="2:11" ht="35.25" hidden="1" customHeight="1" x14ac:dyDescent="0.25">
      <c r="B602" s="319"/>
      <c r="C602" s="3954" t="s">
        <v>1830</v>
      </c>
      <c r="D602" s="1598">
        <f>D603</f>
        <v>350000000</v>
      </c>
      <c r="E602" s="1598">
        <f>E603</f>
        <v>350000000</v>
      </c>
      <c r="F602" s="1415">
        <f>E602/D602*100</f>
        <v>100</v>
      </c>
      <c r="G602" s="1415">
        <v>100</v>
      </c>
      <c r="H602" s="232"/>
    </row>
    <row r="603" spans="2:11" ht="30" hidden="1" customHeight="1" x14ac:dyDescent="0.25">
      <c r="B603" s="319"/>
      <c r="C603" s="3955" t="s">
        <v>1831</v>
      </c>
      <c r="D603" s="1083">
        <v>350000000</v>
      </c>
      <c r="E603" s="2457">
        <v>350000000</v>
      </c>
      <c r="F603" s="880">
        <f>E603/D603*100</f>
        <v>100</v>
      </c>
      <c r="G603" s="880">
        <v>100</v>
      </c>
      <c r="H603" s="232"/>
    </row>
    <row r="604" spans="2:11" s="4099" customFormat="1" ht="21" hidden="1" customHeight="1" x14ac:dyDescent="0.25">
      <c r="B604" s="319"/>
      <c r="C604" s="3892"/>
      <c r="D604" s="791"/>
      <c r="E604" s="791"/>
      <c r="F604" s="2416"/>
      <c r="G604" s="2182"/>
      <c r="H604" s="232"/>
      <c r="J604" s="522"/>
      <c r="K604" s="522"/>
    </row>
    <row r="605" spans="2:11" ht="24" hidden="1" customHeight="1" x14ac:dyDescent="0.25">
      <c r="B605" s="319"/>
      <c r="C605" s="507" t="s">
        <v>381</v>
      </c>
      <c r="D605" s="669">
        <f>D606</f>
        <v>15000000000</v>
      </c>
      <c r="E605" s="669">
        <f>E606</f>
        <v>14923000000</v>
      </c>
      <c r="F605" s="1462">
        <f>SUM(E605/D605)*100</f>
        <v>99.486666666666665</v>
      </c>
      <c r="G605" s="2356">
        <v>100</v>
      </c>
      <c r="H605" s="232"/>
    </row>
    <row r="606" spans="2:11" ht="17.25" hidden="1" customHeight="1" x14ac:dyDescent="0.25">
      <c r="B606" s="319"/>
      <c r="C606" s="741" t="s">
        <v>275</v>
      </c>
      <c r="D606" s="501">
        <f>SUM(D607)</f>
        <v>15000000000</v>
      </c>
      <c r="E606" s="501">
        <f>SUM(E607)</f>
        <v>14923000000</v>
      </c>
      <c r="F606" s="1461">
        <f>E606/D606*100</f>
        <v>99.486666666666665</v>
      </c>
      <c r="G606" s="1671">
        <v>100</v>
      </c>
      <c r="H606" s="232"/>
    </row>
    <row r="607" spans="2:11" ht="15" hidden="1" customHeight="1" x14ac:dyDescent="0.25">
      <c r="B607" s="319"/>
      <c r="C607" s="521" t="s">
        <v>395</v>
      </c>
      <c r="D607" s="2453">
        <v>15000000000</v>
      </c>
      <c r="E607" s="1386">
        <v>14923000000</v>
      </c>
      <c r="F607" s="880">
        <v>99.486666666666665</v>
      </c>
      <c r="G607" s="1717">
        <v>100</v>
      </c>
      <c r="H607" s="232"/>
    </row>
    <row r="608" spans="2:11" ht="12" hidden="1" customHeight="1" x14ac:dyDescent="0.25">
      <c r="B608" s="319"/>
      <c r="C608" s="1214"/>
      <c r="D608" s="973"/>
      <c r="E608" s="791"/>
      <c r="F608" s="3130"/>
      <c r="G608" s="2182"/>
      <c r="H608" s="232"/>
    </row>
    <row r="609" spans="1:11" s="2058" customFormat="1" ht="22.5" customHeight="1" x14ac:dyDescent="0.25">
      <c r="B609" s="616"/>
      <c r="C609" s="3131" t="s">
        <v>607</v>
      </c>
      <c r="D609" s="2530">
        <f>D611+D663</f>
        <v>20567000000</v>
      </c>
      <c r="E609" s="2530">
        <f>E611+E663</f>
        <v>18031087685</v>
      </c>
      <c r="F609" s="2506">
        <f>SUM(E609/D609)*100</f>
        <v>87.669994092478248</v>
      </c>
      <c r="G609" s="2507">
        <f>SUM(G611+G663)/2</f>
        <v>75</v>
      </c>
      <c r="H609" s="3444" t="s">
        <v>3423</v>
      </c>
      <c r="J609" s="2151"/>
      <c r="K609" s="2151"/>
    </row>
    <row r="610" spans="1:11" ht="12" hidden="1" customHeight="1" x14ac:dyDescent="0.25">
      <c r="B610" s="319"/>
      <c r="C610" s="391"/>
      <c r="D610" s="3132"/>
      <c r="E610" s="1105"/>
      <c r="F610" s="2470"/>
      <c r="G610" s="1671"/>
      <c r="H610" s="232"/>
    </row>
    <row r="611" spans="1:11" s="269" customFormat="1" ht="16.5" hidden="1" customHeight="1" x14ac:dyDescent="0.25">
      <c r="B611" s="312"/>
      <c r="C611" s="1156" t="s">
        <v>379</v>
      </c>
      <c r="D611" s="847">
        <f>D613+D622+D625+D629+D636+D645+D650+D654+D657+D660</f>
        <v>17067000000</v>
      </c>
      <c r="E611" s="847">
        <f>E613+E622+E625+E629+E636+E645+E650+E654+E657+E660</f>
        <v>16065561613</v>
      </c>
      <c r="F611" s="1030">
        <f>SUM(E611/D611*100)</f>
        <v>94.132311554461822</v>
      </c>
      <c r="G611" s="2066">
        <f>SUM(G613+G622+G625+G629+G636+G645+G650+G654+G657+G660)/10</f>
        <v>100</v>
      </c>
      <c r="H611" s="268"/>
      <c r="J611" s="2069"/>
      <c r="K611" s="2069"/>
    </row>
    <row r="612" spans="1:11" ht="9" hidden="1" customHeight="1" x14ac:dyDescent="0.25">
      <c r="B612" s="503"/>
      <c r="C612" s="2875"/>
      <c r="D612" s="867"/>
      <c r="E612" s="2499"/>
      <c r="F612" s="2470"/>
      <c r="G612" s="2345"/>
      <c r="H612" s="232"/>
    </row>
    <row r="613" spans="1:11" ht="15" hidden="1" customHeight="1" x14ac:dyDescent="0.25">
      <c r="B613" s="319"/>
      <c r="C613" s="391" t="s">
        <v>368</v>
      </c>
      <c r="D613" s="1556">
        <f>SUM(D614:D620)</f>
        <v>5600000000</v>
      </c>
      <c r="E613" s="1556">
        <f>SUM(E614:E620)</f>
        <v>5160360000</v>
      </c>
      <c r="F613" s="2494">
        <f>E613/D613*100</f>
        <v>92.14928571428571</v>
      </c>
      <c r="G613" s="2006">
        <v>100</v>
      </c>
      <c r="H613" s="232"/>
    </row>
    <row r="614" spans="1:11" ht="13.5" hidden="1" customHeight="1" x14ac:dyDescent="0.25">
      <c r="B614" s="319"/>
      <c r="C614" s="521" t="s">
        <v>369</v>
      </c>
      <c r="D614" s="812">
        <v>2000000000</v>
      </c>
      <c r="E614" s="1984">
        <v>1580926900</v>
      </c>
      <c r="F614" s="2435">
        <f>E614/D614*100</f>
        <v>79.046345000000002</v>
      </c>
      <c r="G614" s="2230">
        <v>100</v>
      </c>
      <c r="H614" s="232"/>
    </row>
    <row r="615" spans="1:11" ht="15.75" hidden="1" customHeight="1" x14ac:dyDescent="0.25">
      <c r="B615" s="319"/>
      <c r="C615" s="521" t="s">
        <v>438</v>
      </c>
      <c r="D615" s="812">
        <v>1200000000</v>
      </c>
      <c r="E615" s="1983">
        <v>1198980000</v>
      </c>
      <c r="F615" s="2435">
        <f t="shared" ref="F615:F620" si="46">E615/D615*100</f>
        <v>99.914999999999992</v>
      </c>
      <c r="G615" s="2230">
        <v>100</v>
      </c>
      <c r="H615" s="232"/>
    </row>
    <row r="616" spans="1:11" ht="15.75" hidden="1" customHeight="1" x14ac:dyDescent="0.25">
      <c r="B616" s="319"/>
      <c r="C616" s="521" t="s">
        <v>439</v>
      </c>
      <c r="D616" s="812">
        <v>500000000</v>
      </c>
      <c r="E616" s="1983">
        <v>492258000</v>
      </c>
      <c r="F616" s="2435">
        <f t="shared" si="46"/>
        <v>98.451599999999999</v>
      </c>
      <c r="G616" s="2230">
        <v>100</v>
      </c>
      <c r="H616" s="232"/>
    </row>
    <row r="617" spans="1:11" ht="15.75" hidden="1" customHeight="1" x14ac:dyDescent="0.25">
      <c r="B617" s="319"/>
      <c r="C617" s="521" t="s">
        <v>440</v>
      </c>
      <c r="D617" s="812">
        <v>500000000</v>
      </c>
      <c r="E617" s="1983">
        <v>497186000</v>
      </c>
      <c r="F617" s="2435">
        <f t="shared" si="46"/>
        <v>99.437200000000004</v>
      </c>
      <c r="G617" s="2230">
        <v>100</v>
      </c>
      <c r="H617" s="232"/>
    </row>
    <row r="618" spans="1:11" ht="16.5" hidden="1" customHeight="1" x14ac:dyDescent="0.25">
      <c r="B618" s="319"/>
      <c r="C618" s="521" t="s">
        <v>441</v>
      </c>
      <c r="D618" s="812">
        <v>500000000</v>
      </c>
      <c r="E618" s="1983">
        <v>495746900</v>
      </c>
      <c r="F618" s="2435">
        <f t="shared" si="46"/>
        <v>99.149379999999994</v>
      </c>
      <c r="G618" s="2230">
        <v>100</v>
      </c>
      <c r="H618" s="232"/>
    </row>
    <row r="619" spans="1:11" ht="14.25" hidden="1" customHeight="1" x14ac:dyDescent="0.25">
      <c r="B619" s="319"/>
      <c r="C619" s="521" t="s">
        <v>442</v>
      </c>
      <c r="D619" s="812">
        <v>500000000</v>
      </c>
      <c r="E619" s="1984">
        <v>496950000</v>
      </c>
      <c r="F619" s="2435">
        <f t="shared" si="46"/>
        <v>99.39</v>
      </c>
      <c r="G619" s="2230">
        <v>100</v>
      </c>
      <c r="H619" s="232"/>
    </row>
    <row r="620" spans="1:11" ht="14.25" hidden="1" customHeight="1" x14ac:dyDescent="0.25">
      <c r="B620" s="319"/>
      <c r="C620" s="521" t="s">
        <v>443</v>
      </c>
      <c r="D620" s="812">
        <v>400000000</v>
      </c>
      <c r="E620" s="1983">
        <v>398312200</v>
      </c>
      <c r="F620" s="2435">
        <f t="shared" si="46"/>
        <v>99.57804999999999</v>
      </c>
      <c r="G620" s="2230">
        <v>100</v>
      </c>
      <c r="H620" s="232"/>
    </row>
    <row r="621" spans="1:11" ht="10.5" hidden="1" customHeight="1" x14ac:dyDescent="0.25">
      <c r="B621" s="319"/>
      <c r="C621" s="521"/>
      <c r="D621" s="1106"/>
      <c r="E621" s="1315"/>
      <c r="F621" s="2435"/>
      <c r="G621" s="2230"/>
      <c r="H621" s="232"/>
    </row>
    <row r="622" spans="1:11" s="3747" customFormat="1" ht="17.25" hidden="1" customHeight="1" x14ac:dyDescent="0.25">
      <c r="A622" s="3618"/>
      <c r="B622" s="3623"/>
      <c r="C622" s="391" t="s">
        <v>370</v>
      </c>
      <c r="D622" s="1557">
        <f>SUM(D623:D623)</f>
        <v>130000000</v>
      </c>
      <c r="E622" s="1557">
        <f>SUM(E623:E623)</f>
        <v>130000000</v>
      </c>
      <c r="F622" s="2494">
        <f>E622/D622*100</f>
        <v>100</v>
      </c>
      <c r="G622" s="2494">
        <v>100</v>
      </c>
      <c r="H622" s="3619"/>
      <c r="J622" s="522"/>
      <c r="K622" s="522"/>
    </row>
    <row r="623" spans="1:11" s="3747" customFormat="1" ht="33" hidden="1" customHeight="1" x14ac:dyDescent="0.25">
      <c r="A623" s="3618"/>
      <c r="B623" s="3623"/>
      <c r="C623" s="521" t="s">
        <v>6951</v>
      </c>
      <c r="D623" s="812">
        <v>130000000</v>
      </c>
      <c r="E623" s="4517">
        <v>130000000</v>
      </c>
      <c r="F623" s="2435">
        <f>E623/D623*100</f>
        <v>100</v>
      </c>
      <c r="G623" s="2435">
        <v>100</v>
      </c>
      <c r="H623" s="3619"/>
      <c r="J623" s="522"/>
      <c r="K623" s="522"/>
    </row>
    <row r="624" spans="1:11" s="3747" customFormat="1" ht="11.25" hidden="1" customHeight="1" x14ac:dyDescent="0.25">
      <c r="A624" s="3618"/>
      <c r="B624" s="3623"/>
      <c r="C624" s="521"/>
      <c r="D624" s="812"/>
      <c r="E624" s="666"/>
      <c r="F624" s="1312"/>
      <c r="G624" s="1312"/>
      <c r="H624" s="3619"/>
      <c r="J624" s="522"/>
      <c r="K624" s="522"/>
    </row>
    <row r="625" spans="1:11" s="3747" customFormat="1" ht="14.25" hidden="1" customHeight="1" x14ac:dyDescent="0.25">
      <c r="A625" s="3618"/>
      <c r="B625" s="3623"/>
      <c r="C625" s="391" t="s">
        <v>445</v>
      </c>
      <c r="D625" s="1557">
        <f>SUM(D626:D627)</f>
        <v>91750000</v>
      </c>
      <c r="E625" s="1557">
        <f>SUM(E626:E627)</f>
        <v>91750000</v>
      </c>
      <c r="F625" s="2494">
        <f>E625/D625*100</f>
        <v>100</v>
      </c>
      <c r="G625" s="2494">
        <v>100</v>
      </c>
      <c r="H625" s="3619"/>
      <c r="J625" s="522"/>
      <c r="K625" s="522"/>
    </row>
    <row r="626" spans="1:11" s="3747" customFormat="1" ht="12" hidden="1" customHeight="1" x14ac:dyDescent="0.25">
      <c r="A626" s="3618"/>
      <c r="B626" s="3623"/>
      <c r="C626" s="521" t="s">
        <v>446</v>
      </c>
      <c r="D626" s="812">
        <v>40000000</v>
      </c>
      <c r="E626" s="1984">
        <v>40000000</v>
      </c>
      <c r="F626" s="2435">
        <f>E626/D626*100</f>
        <v>100</v>
      </c>
      <c r="G626" s="2435">
        <v>100</v>
      </c>
      <c r="H626" s="3619"/>
      <c r="J626" s="522"/>
      <c r="K626" s="522"/>
    </row>
    <row r="627" spans="1:11" s="3747" customFormat="1" ht="13.5" hidden="1" customHeight="1" x14ac:dyDescent="0.25">
      <c r="A627" s="3618"/>
      <c r="B627" s="3623"/>
      <c r="C627" s="521" t="s">
        <v>447</v>
      </c>
      <c r="D627" s="812">
        <v>51750000</v>
      </c>
      <c r="E627" s="1984">
        <v>51750000</v>
      </c>
      <c r="F627" s="2435">
        <f>E627/D627*100</f>
        <v>100</v>
      </c>
      <c r="G627" s="2435">
        <v>100</v>
      </c>
      <c r="H627" s="3619"/>
      <c r="J627" s="522"/>
      <c r="K627" s="522"/>
    </row>
    <row r="628" spans="1:11" s="3747" customFormat="1" ht="8.25" hidden="1" customHeight="1" x14ac:dyDescent="0.25">
      <c r="A628" s="3618"/>
      <c r="B628" s="3623"/>
      <c r="C628" s="521"/>
      <c r="D628" s="812"/>
      <c r="E628" s="666"/>
      <c r="F628" s="1312"/>
      <c r="G628" s="2230"/>
      <c r="H628" s="3619"/>
      <c r="J628" s="522"/>
      <c r="K628" s="522"/>
    </row>
    <row r="629" spans="1:11" s="3747" customFormat="1" ht="13.5" hidden="1" customHeight="1" x14ac:dyDescent="0.25">
      <c r="A629" s="3618"/>
      <c r="B629" s="3623"/>
      <c r="C629" s="391" t="s">
        <v>453</v>
      </c>
      <c r="D629" s="1557">
        <f>SUM(D630:D634)</f>
        <v>338750000</v>
      </c>
      <c r="E629" s="1557">
        <f>SUM(E630:E634)</f>
        <v>326150000</v>
      </c>
      <c r="F629" s="2494">
        <f>E629/D629*100</f>
        <v>96.280442804428048</v>
      </c>
      <c r="G629" s="2496">
        <v>100</v>
      </c>
      <c r="H629" s="3619"/>
      <c r="J629" s="522"/>
      <c r="K629" s="522"/>
    </row>
    <row r="630" spans="1:11" s="3747" customFormat="1" ht="12" hidden="1" customHeight="1" x14ac:dyDescent="0.25">
      <c r="A630" s="3618"/>
      <c r="B630" s="3623"/>
      <c r="C630" s="521" t="s">
        <v>448</v>
      </c>
      <c r="D630" s="812">
        <v>82000000</v>
      </c>
      <c r="E630" s="1984">
        <v>69400000</v>
      </c>
      <c r="F630" s="2435">
        <f>E630/D630*100</f>
        <v>84.634146341463406</v>
      </c>
      <c r="G630" s="2230">
        <v>100</v>
      </c>
      <c r="H630" s="3619"/>
      <c r="J630" s="522"/>
      <c r="K630" s="522"/>
    </row>
    <row r="631" spans="1:11" s="3747" customFormat="1" ht="12" hidden="1" customHeight="1" x14ac:dyDescent="0.25">
      <c r="A631" s="3618"/>
      <c r="B631" s="3623"/>
      <c r="C631" s="521" t="s">
        <v>449</v>
      </c>
      <c r="D631" s="812">
        <v>69400000</v>
      </c>
      <c r="E631" s="1983">
        <v>69400000</v>
      </c>
      <c r="F631" s="2435">
        <f t="shared" ref="F631:F634" si="47">E631/D631*100</f>
        <v>100</v>
      </c>
      <c r="G631" s="2230">
        <v>100</v>
      </c>
      <c r="H631" s="3619"/>
      <c r="J631" s="522"/>
      <c r="K631" s="522"/>
    </row>
    <row r="632" spans="1:11" s="3747" customFormat="1" ht="12" hidden="1" customHeight="1" x14ac:dyDescent="0.25">
      <c r="A632" s="3618"/>
      <c r="B632" s="3623"/>
      <c r="C632" s="521" t="s">
        <v>450</v>
      </c>
      <c r="D632" s="812">
        <v>62450000</v>
      </c>
      <c r="E632" s="1984">
        <v>62450000</v>
      </c>
      <c r="F632" s="2435">
        <f t="shared" si="47"/>
        <v>100</v>
      </c>
      <c r="G632" s="2230">
        <v>100</v>
      </c>
      <c r="H632" s="3619"/>
      <c r="J632" s="522"/>
      <c r="K632" s="522"/>
    </row>
    <row r="633" spans="1:11" s="3747" customFormat="1" ht="12" hidden="1" customHeight="1" x14ac:dyDescent="0.25">
      <c r="A633" s="3618"/>
      <c r="B633" s="3623"/>
      <c r="C633" s="521" t="s">
        <v>451</v>
      </c>
      <c r="D633" s="812">
        <v>62450000</v>
      </c>
      <c r="E633" s="1984">
        <v>62450000</v>
      </c>
      <c r="F633" s="2435">
        <f t="shared" si="47"/>
        <v>100</v>
      </c>
      <c r="G633" s="2230">
        <v>100</v>
      </c>
      <c r="H633" s="3619"/>
      <c r="J633" s="522"/>
      <c r="K633" s="522"/>
    </row>
    <row r="634" spans="1:11" s="3747" customFormat="1" ht="12" hidden="1" customHeight="1" x14ac:dyDescent="0.25">
      <c r="A634" s="3618"/>
      <c r="B634" s="3623"/>
      <c r="C634" s="521" t="s">
        <v>452</v>
      </c>
      <c r="D634" s="812">
        <v>62450000</v>
      </c>
      <c r="E634" s="1984">
        <v>62450000</v>
      </c>
      <c r="F634" s="2435">
        <f t="shared" si="47"/>
        <v>100</v>
      </c>
      <c r="G634" s="2230">
        <v>100</v>
      </c>
      <c r="H634" s="3619"/>
      <c r="J634" s="522"/>
      <c r="K634" s="522"/>
    </row>
    <row r="635" spans="1:11" s="3747" customFormat="1" ht="15" hidden="1" customHeight="1" x14ac:dyDescent="0.25">
      <c r="A635" s="3618"/>
      <c r="B635" s="3623"/>
      <c r="C635" s="521"/>
      <c r="D635" s="812"/>
      <c r="E635" s="894"/>
      <c r="F635" s="1311"/>
      <c r="G635" s="2003"/>
      <c r="H635" s="3619"/>
      <c r="J635" s="522"/>
      <c r="K635" s="522"/>
    </row>
    <row r="636" spans="1:11" s="3747" customFormat="1" ht="27" hidden="1" customHeight="1" x14ac:dyDescent="0.25">
      <c r="A636" s="3618"/>
      <c r="B636" s="3623"/>
      <c r="C636" s="391" t="s">
        <v>454</v>
      </c>
      <c r="D636" s="1557">
        <f>SUM(D637:D643)</f>
        <v>10050000000</v>
      </c>
      <c r="E636" s="1557">
        <f>SUM(E637:E643)</f>
        <v>9789601613</v>
      </c>
      <c r="F636" s="2494">
        <f>E636/D636*100</f>
        <v>97.408971273631835</v>
      </c>
      <c r="G636" s="2496">
        <v>100</v>
      </c>
      <c r="H636" s="3619"/>
      <c r="J636" s="522"/>
      <c r="K636" s="522"/>
    </row>
    <row r="637" spans="1:11" s="3747" customFormat="1" ht="14.25" hidden="1" customHeight="1" x14ac:dyDescent="0.25">
      <c r="A637" s="3618"/>
      <c r="B637" s="3623"/>
      <c r="C637" s="521" t="s">
        <v>455</v>
      </c>
      <c r="D637" s="812">
        <v>600000000</v>
      </c>
      <c r="E637" s="666">
        <v>594000000</v>
      </c>
      <c r="F637" s="2435">
        <f>E637/D637*100</f>
        <v>99</v>
      </c>
      <c r="G637" s="2230">
        <v>100</v>
      </c>
      <c r="H637" s="3619"/>
      <c r="J637" s="522"/>
      <c r="K637" s="522"/>
    </row>
    <row r="638" spans="1:11" s="3747" customFormat="1" ht="12" hidden="1" customHeight="1" x14ac:dyDescent="0.25">
      <c r="A638" s="3618"/>
      <c r="B638" s="3623"/>
      <c r="C638" s="521" t="s">
        <v>456</v>
      </c>
      <c r="D638" s="812">
        <v>1100000000</v>
      </c>
      <c r="E638" s="666">
        <v>1083500000</v>
      </c>
      <c r="F638" s="2435">
        <f t="shared" ref="F638:F643" si="48">E638/D638*100</f>
        <v>98.5</v>
      </c>
      <c r="G638" s="2230">
        <v>100</v>
      </c>
      <c r="H638" s="3619"/>
      <c r="J638" s="522"/>
      <c r="K638" s="522"/>
    </row>
    <row r="639" spans="1:11" s="3747" customFormat="1" ht="12" hidden="1" customHeight="1" x14ac:dyDescent="0.25">
      <c r="A639" s="3618"/>
      <c r="B639" s="3623"/>
      <c r="C639" s="521" t="s">
        <v>457</v>
      </c>
      <c r="D639" s="812">
        <v>1000000000</v>
      </c>
      <c r="E639" s="666">
        <v>839104113</v>
      </c>
      <c r="F639" s="2435">
        <f t="shared" si="48"/>
        <v>83.910411299999993</v>
      </c>
      <c r="G639" s="2230">
        <v>100</v>
      </c>
      <c r="H639" s="3619"/>
      <c r="J639" s="522"/>
      <c r="K639" s="522"/>
    </row>
    <row r="640" spans="1:11" s="3747" customFormat="1" ht="12" hidden="1" customHeight="1" x14ac:dyDescent="0.25">
      <c r="A640" s="3618"/>
      <c r="B640" s="3623"/>
      <c r="C640" s="521" t="s">
        <v>458</v>
      </c>
      <c r="D640" s="812">
        <v>1200000000</v>
      </c>
      <c r="E640" s="666">
        <v>1199197500</v>
      </c>
      <c r="F640" s="2435">
        <f t="shared" si="48"/>
        <v>99.933125000000004</v>
      </c>
      <c r="G640" s="2230">
        <v>100</v>
      </c>
      <c r="H640" s="3619"/>
      <c r="J640" s="522"/>
      <c r="K640" s="522"/>
    </row>
    <row r="641" spans="1:11" s="3747" customFormat="1" ht="12" hidden="1" customHeight="1" x14ac:dyDescent="0.25">
      <c r="A641" s="3618"/>
      <c r="B641" s="3623"/>
      <c r="C641" s="521" t="s">
        <v>459</v>
      </c>
      <c r="D641" s="812">
        <v>3000000000</v>
      </c>
      <c r="E641" s="666">
        <v>2986800000</v>
      </c>
      <c r="F641" s="2435">
        <f t="shared" si="48"/>
        <v>99.56</v>
      </c>
      <c r="G641" s="2230">
        <v>100</v>
      </c>
      <c r="H641" s="3619"/>
      <c r="J641" s="522"/>
      <c r="K641" s="522"/>
    </row>
    <row r="642" spans="1:11" s="3747" customFormat="1" ht="12" hidden="1" customHeight="1" x14ac:dyDescent="0.25">
      <c r="A642" s="3618"/>
      <c r="B642" s="3623"/>
      <c r="C642" s="521" t="s">
        <v>460</v>
      </c>
      <c r="D642" s="812">
        <v>950000000</v>
      </c>
      <c r="E642" s="666">
        <v>931000000</v>
      </c>
      <c r="F642" s="2435">
        <f t="shared" si="48"/>
        <v>98</v>
      </c>
      <c r="G642" s="2230">
        <v>100</v>
      </c>
      <c r="H642" s="3619"/>
      <c r="J642" s="522"/>
      <c r="K642" s="522"/>
    </row>
    <row r="643" spans="1:11" s="3747" customFormat="1" ht="12" hidden="1" customHeight="1" x14ac:dyDescent="0.25">
      <c r="A643" s="3618"/>
      <c r="B643" s="3623"/>
      <c r="C643" s="521" t="s">
        <v>461</v>
      </c>
      <c r="D643" s="812">
        <v>2200000000</v>
      </c>
      <c r="E643" s="666">
        <v>2156000000</v>
      </c>
      <c r="F643" s="2435">
        <f t="shared" si="48"/>
        <v>98</v>
      </c>
      <c r="G643" s="2230">
        <v>100</v>
      </c>
      <c r="H643" s="3619"/>
      <c r="J643" s="522"/>
      <c r="K643" s="522"/>
    </row>
    <row r="644" spans="1:11" s="3747" customFormat="1" ht="12" hidden="1" customHeight="1" x14ac:dyDescent="0.25">
      <c r="A644" s="3618"/>
      <c r="B644" s="3623"/>
      <c r="C644" s="521"/>
      <c r="D644" s="812"/>
      <c r="E644" s="894"/>
      <c r="F644" s="1311"/>
      <c r="G644" s="2230"/>
      <c r="H644" s="3619"/>
      <c r="J644" s="522"/>
      <c r="K644" s="522"/>
    </row>
    <row r="645" spans="1:11" s="3747" customFormat="1" ht="12" hidden="1" customHeight="1" x14ac:dyDescent="0.25">
      <c r="A645" s="3618"/>
      <c r="B645" s="3623"/>
      <c r="C645" s="391" t="s">
        <v>462</v>
      </c>
      <c r="D645" s="1557">
        <f>SUM(D646:D648)</f>
        <v>524600000</v>
      </c>
      <c r="E645" s="1557">
        <f>SUM(E646:E648)</f>
        <v>235800000</v>
      </c>
      <c r="F645" s="2494">
        <f>E645/D645*100</f>
        <v>44.948532215020968</v>
      </c>
      <c r="G645" s="2496">
        <v>100</v>
      </c>
      <c r="H645" s="3619"/>
      <c r="J645" s="522"/>
      <c r="K645" s="522"/>
    </row>
    <row r="646" spans="1:11" s="3747" customFormat="1" ht="13.5" hidden="1" customHeight="1" x14ac:dyDescent="0.25">
      <c r="A646" s="3618"/>
      <c r="B646" s="3623"/>
      <c r="C646" s="521" t="s">
        <v>463</v>
      </c>
      <c r="D646" s="812">
        <v>400000000</v>
      </c>
      <c r="E646" s="1983">
        <v>111200000</v>
      </c>
      <c r="F646" s="2435">
        <f>E646/D646*100</f>
        <v>27.800000000000004</v>
      </c>
      <c r="G646" s="2230">
        <v>100</v>
      </c>
      <c r="H646" s="3619"/>
      <c r="J646" s="522"/>
      <c r="K646" s="522"/>
    </row>
    <row r="647" spans="1:11" s="3747" customFormat="1" ht="13.5" hidden="1" customHeight="1" x14ac:dyDescent="0.25">
      <c r="A647" s="3618"/>
      <c r="B647" s="3623"/>
      <c r="C647" s="521" t="s">
        <v>464</v>
      </c>
      <c r="D647" s="812">
        <v>58300000</v>
      </c>
      <c r="E647" s="1983">
        <v>58300000</v>
      </c>
      <c r="F647" s="2435">
        <f t="shared" ref="F647:F648" si="49">E647/D647*100</f>
        <v>100</v>
      </c>
      <c r="G647" s="2230">
        <v>100</v>
      </c>
      <c r="H647" s="3619"/>
      <c r="J647" s="522"/>
      <c r="K647" s="522"/>
    </row>
    <row r="648" spans="1:11" s="3747" customFormat="1" ht="12" hidden="1" customHeight="1" x14ac:dyDescent="0.25">
      <c r="A648" s="3618"/>
      <c r="B648" s="3623"/>
      <c r="C648" s="521" t="s">
        <v>465</v>
      </c>
      <c r="D648" s="812">
        <v>66300000</v>
      </c>
      <c r="E648" s="1983">
        <v>66300000</v>
      </c>
      <c r="F648" s="2435">
        <f t="shared" si="49"/>
        <v>100</v>
      </c>
      <c r="G648" s="2230">
        <v>100</v>
      </c>
      <c r="H648" s="3619"/>
      <c r="J648" s="522"/>
      <c r="K648" s="522"/>
    </row>
    <row r="649" spans="1:11" s="3747" customFormat="1" ht="9" hidden="1" customHeight="1" x14ac:dyDescent="0.25">
      <c r="A649" s="3618"/>
      <c r="B649" s="3623"/>
      <c r="C649" s="521"/>
      <c r="D649" s="812"/>
      <c r="E649" s="666"/>
      <c r="F649" s="2467"/>
      <c r="G649" s="2230"/>
      <c r="H649" s="3619"/>
      <c r="J649" s="522"/>
      <c r="K649" s="522"/>
    </row>
    <row r="650" spans="1:11" s="3747" customFormat="1" ht="12" hidden="1" customHeight="1" x14ac:dyDescent="0.25">
      <c r="A650" s="3618"/>
      <c r="B650" s="3623"/>
      <c r="C650" s="391" t="s">
        <v>466</v>
      </c>
      <c r="D650" s="1557">
        <f>SUM(D651:D652)</f>
        <v>102850000</v>
      </c>
      <c r="E650" s="1557">
        <f>SUM(E651:E652)</f>
        <v>102850000</v>
      </c>
      <c r="F650" s="2494">
        <f>E650/D650*100</f>
        <v>100</v>
      </c>
      <c r="G650" s="2496">
        <v>100</v>
      </c>
      <c r="H650" s="3619"/>
      <c r="J650" s="522"/>
      <c r="K650" s="522"/>
    </row>
    <row r="651" spans="1:11" s="3747" customFormat="1" ht="12" hidden="1" customHeight="1" x14ac:dyDescent="0.25">
      <c r="A651" s="3618"/>
      <c r="B651" s="3623"/>
      <c r="C651" s="521" t="s">
        <v>467</v>
      </c>
      <c r="D651" s="812">
        <v>62700000</v>
      </c>
      <c r="E651" s="1983">
        <v>62700000</v>
      </c>
      <c r="F651" s="2435">
        <f>E651/D651*100</f>
        <v>100</v>
      </c>
      <c r="G651" s="2230">
        <v>100</v>
      </c>
      <c r="H651" s="3619"/>
      <c r="J651" s="522"/>
      <c r="K651" s="522"/>
    </row>
    <row r="652" spans="1:11" s="3747" customFormat="1" ht="12" hidden="1" customHeight="1" x14ac:dyDescent="0.25">
      <c r="A652" s="3618"/>
      <c r="B652" s="3623"/>
      <c r="C652" s="521" t="s">
        <v>468</v>
      </c>
      <c r="D652" s="812">
        <v>40150000</v>
      </c>
      <c r="E652" s="1983">
        <v>40150000</v>
      </c>
      <c r="F652" s="2435">
        <f>E652/D652*100</f>
        <v>100</v>
      </c>
      <c r="G652" s="2230">
        <v>100</v>
      </c>
      <c r="H652" s="3619"/>
      <c r="J652" s="522"/>
      <c r="K652" s="522"/>
    </row>
    <row r="653" spans="1:11" s="3747" customFormat="1" ht="8.25" hidden="1" customHeight="1" x14ac:dyDescent="0.25">
      <c r="A653" s="3618"/>
      <c r="B653" s="3623"/>
      <c r="C653" s="521"/>
      <c r="D653" s="1560"/>
      <c r="E653" s="894"/>
      <c r="F653" s="1311"/>
      <c r="G653" s="2003"/>
      <c r="H653" s="3619"/>
      <c r="J653" s="522"/>
      <c r="K653" s="522"/>
    </row>
    <row r="654" spans="1:11" s="3747" customFormat="1" ht="13.5" hidden="1" customHeight="1" x14ac:dyDescent="0.25">
      <c r="A654" s="3618"/>
      <c r="B654" s="3623"/>
      <c r="C654" s="391" t="s">
        <v>469</v>
      </c>
      <c r="D654" s="1557">
        <f>SUM(D655:D655)</f>
        <v>79150000</v>
      </c>
      <c r="E654" s="1557">
        <f>SUM(E655:E655)</f>
        <v>79150000</v>
      </c>
      <c r="F654" s="2494">
        <f>E654/D654*100</f>
        <v>100</v>
      </c>
      <c r="G654" s="2496">
        <v>100</v>
      </c>
      <c r="H654" s="3619"/>
      <c r="J654" s="522"/>
      <c r="K654" s="522"/>
    </row>
    <row r="655" spans="1:11" s="3747" customFormat="1" ht="14.25" hidden="1" customHeight="1" x14ac:dyDescent="0.25">
      <c r="A655" s="3618"/>
      <c r="B655" s="3623"/>
      <c r="C655" s="521" t="s">
        <v>474</v>
      </c>
      <c r="D655" s="812">
        <v>79150000</v>
      </c>
      <c r="E655" s="1984">
        <v>79150000</v>
      </c>
      <c r="F655" s="2435">
        <f>E655/D655*100</f>
        <v>100</v>
      </c>
      <c r="G655" s="2230">
        <v>100</v>
      </c>
      <c r="H655" s="3619"/>
      <c r="J655" s="522"/>
      <c r="K655" s="522"/>
    </row>
    <row r="656" spans="1:11" s="3747" customFormat="1" ht="9" hidden="1" customHeight="1" x14ac:dyDescent="0.25">
      <c r="A656" s="3618"/>
      <c r="B656" s="3623"/>
      <c r="C656" s="521"/>
      <c r="D656" s="812"/>
      <c r="E656" s="666"/>
      <c r="F656" s="1312"/>
      <c r="G656" s="2230"/>
      <c r="H656" s="3619"/>
      <c r="J656" s="522"/>
      <c r="K656" s="522"/>
    </row>
    <row r="657" spans="1:11" s="3747" customFormat="1" ht="12" hidden="1" customHeight="1" x14ac:dyDescent="0.25">
      <c r="A657" s="3618"/>
      <c r="B657" s="3623"/>
      <c r="C657" s="391" t="s">
        <v>470</v>
      </c>
      <c r="D657" s="1557">
        <f>SUM(D658:D658)</f>
        <v>69900000</v>
      </c>
      <c r="E657" s="1557">
        <f>SUM(E658:E658)</f>
        <v>69900000</v>
      </c>
      <c r="F657" s="2494">
        <f>E657/D657*100</f>
        <v>100</v>
      </c>
      <c r="G657" s="2496">
        <v>100</v>
      </c>
      <c r="H657" s="3619"/>
      <c r="J657" s="522"/>
      <c r="K657" s="522"/>
    </row>
    <row r="658" spans="1:11" s="3747" customFormat="1" ht="15.75" hidden="1" customHeight="1" x14ac:dyDescent="0.25">
      <c r="A658" s="3618"/>
      <c r="B658" s="3623"/>
      <c r="C658" s="521" t="s">
        <v>471</v>
      </c>
      <c r="D658" s="812">
        <v>69900000</v>
      </c>
      <c r="E658" s="1984">
        <v>69900000</v>
      </c>
      <c r="F658" s="2435">
        <f>E658/D658*100</f>
        <v>100</v>
      </c>
      <c r="G658" s="2230">
        <v>100</v>
      </c>
      <c r="H658" s="3619"/>
      <c r="J658" s="522"/>
      <c r="K658" s="522"/>
    </row>
    <row r="659" spans="1:11" s="3747" customFormat="1" ht="8.25" hidden="1" customHeight="1" x14ac:dyDescent="0.25">
      <c r="A659" s="3618"/>
      <c r="B659" s="3623"/>
      <c r="C659" s="521"/>
      <c r="D659" s="812"/>
      <c r="E659" s="666"/>
      <c r="F659" s="1312"/>
      <c r="G659" s="2230"/>
      <c r="H659" s="3619"/>
      <c r="J659" s="522"/>
      <c r="K659" s="522"/>
    </row>
    <row r="660" spans="1:11" s="3747" customFormat="1" ht="13.5" hidden="1" customHeight="1" x14ac:dyDescent="0.25">
      <c r="A660" s="3618"/>
      <c r="B660" s="3623"/>
      <c r="C660" s="391" t="s">
        <v>472</v>
      </c>
      <c r="D660" s="1557">
        <f>SUM(D661:D661)</f>
        <v>80000000</v>
      </c>
      <c r="E660" s="1557">
        <f>SUM(E661:E661)</f>
        <v>80000000</v>
      </c>
      <c r="F660" s="2494">
        <f>E660/D660*100</f>
        <v>100</v>
      </c>
      <c r="G660" s="2496">
        <v>100</v>
      </c>
      <c r="H660" s="3619"/>
      <c r="J660" s="522"/>
      <c r="K660" s="522"/>
    </row>
    <row r="661" spans="1:11" s="3747" customFormat="1" ht="12" hidden="1" customHeight="1" x14ac:dyDescent="0.25">
      <c r="A661" s="3618"/>
      <c r="B661" s="3623"/>
      <c r="C661" s="521" t="s">
        <v>473</v>
      </c>
      <c r="D661" s="812">
        <v>80000000</v>
      </c>
      <c r="E661" s="812">
        <v>80000000</v>
      </c>
      <c r="F661" s="2435">
        <f>E661/D661*100</f>
        <v>100</v>
      </c>
      <c r="G661" s="2230">
        <v>100</v>
      </c>
      <c r="H661" s="3619"/>
      <c r="J661" s="522"/>
      <c r="K661" s="522"/>
    </row>
    <row r="662" spans="1:11" ht="12" hidden="1" customHeight="1" x14ac:dyDescent="0.25">
      <c r="B662" s="319"/>
      <c r="C662" s="1155"/>
      <c r="D662" s="868"/>
      <c r="E662" s="868"/>
      <c r="F662" s="1323"/>
      <c r="G662" s="2227"/>
      <c r="H662" s="232"/>
    </row>
    <row r="663" spans="1:11" ht="15" hidden="1" customHeight="1" x14ac:dyDescent="0.25">
      <c r="B663" s="312"/>
      <c r="C663" s="1156" t="s">
        <v>477</v>
      </c>
      <c r="D663" s="1552">
        <f>D664+D668</f>
        <v>3500000000</v>
      </c>
      <c r="E663" s="1552">
        <f>E664+E668</f>
        <v>1965526072</v>
      </c>
      <c r="F663" s="1030">
        <f>SUM(E663/D663*100)</f>
        <v>56.15788777142857</v>
      </c>
      <c r="G663" s="2066">
        <f>SUM(G664)/2</f>
        <v>50</v>
      </c>
      <c r="H663" s="232"/>
    </row>
    <row r="664" spans="1:11" ht="15" hidden="1" customHeight="1" x14ac:dyDescent="0.25">
      <c r="B664" s="319"/>
      <c r="C664" s="391" t="s">
        <v>898</v>
      </c>
      <c r="D664" s="1610">
        <f>SUM(D665:D666)</f>
        <v>2000000000</v>
      </c>
      <c r="E664" s="1610">
        <f>SUM(E665:E666)</f>
        <v>1965526072</v>
      </c>
      <c r="F664" s="2434">
        <f>E664/D664*100</f>
        <v>98.276303600000006</v>
      </c>
      <c r="G664" s="2308">
        <v>100</v>
      </c>
      <c r="H664" s="232"/>
    </row>
    <row r="665" spans="1:11" ht="14.25" hidden="1" customHeight="1" x14ac:dyDescent="0.25">
      <c r="B665" s="319"/>
      <c r="C665" s="521" t="s">
        <v>478</v>
      </c>
      <c r="D665" s="812">
        <v>1000000000</v>
      </c>
      <c r="E665" s="1109">
        <v>979999388</v>
      </c>
      <c r="F665" s="1043">
        <f t="shared" ref="F665:F666" si="50">E665/D665*100</f>
        <v>97.999938799999995</v>
      </c>
      <c r="G665" s="1109">
        <v>100</v>
      </c>
      <c r="H665" s="232"/>
    </row>
    <row r="666" spans="1:11" ht="14.25" hidden="1" customHeight="1" x14ac:dyDescent="0.25">
      <c r="B666" s="319"/>
      <c r="C666" s="521" t="s">
        <v>394</v>
      </c>
      <c r="D666" s="812">
        <v>1000000000</v>
      </c>
      <c r="E666" s="1985">
        <v>985526684</v>
      </c>
      <c r="F666" s="1043">
        <f t="shared" si="50"/>
        <v>98.552668400000002</v>
      </c>
      <c r="G666" s="2230">
        <v>100</v>
      </c>
      <c r="H666" s="232"/>
    </row>
    <row r="667" spans="1:11" ht="12" hidden="1" customHeight="1" x14ac:dyDescent="0.25">
      <c r="B667" s="319"/>
      <c r="C667" s="1151"/>
      <c r="D667" s="1558"/>
      <c r="E667" s="3746"/>
      <c r="F667" s="3536"/>
      <c r="G667" s="2302"/>
      <c r="H667" s="232"/>
    </row>
    <row r="668" spans="1:11" s="3747" customFormat="1" ht="15.75" hidden="1" customHeight="1" x14ac:dyDescent="0.25">
      <c r="B668" s="319"/>
      <c r="C668" s="1132" t="s">
        <v>4834</v>
      </c>
      <c r="D668" s="1601">
        <f>D669</f>
        <v>1500000000</v>
      </c>
      <c r="E668" s="2484">
        <v>0</v>
      </c>
      <c r="F668" s="2484">
        <v>0</v>
      </c>
      <c r="G668" s="2484">
        <v>0</v>
      </c>
      <c r="H668" s="232"/>
      <c r="J668" s="522"/>
      <c r="K668" s="522"/>
    </row>
    <row r="669" spans="1:11" s="3747" customFormat="1" ht="20.25" hidden="1" customHeight="1" x14ac:dyDescent="0.25">
      <c r="B669" s="319"/>
      <c r="C669" s="509" t="s">
        <v>4835</v>
      </c>
      <c r="D669" s="3757">
        <v>1500000000</v>
      </c>
      <c r="E669" s="2338">
        <v>0</v>
      </c>
      <c r="F669" s="2338">
        <v>0</v>
      </c>
      <c r="G669" s="2338">
        <v>0</v>
      </c>
      <c r="H669" s="232"/>
      <c r="J669" s="522"/>
      <c r="K669" s="522"/>
    </row>
    <row r="670" spans="1:11" s="3747" customFormat="1" ht="12" hidden="1" customHeight="1" x14ac:dyDescent="0.25">
      <c r="B670" s="319"/>
      <c r="C670" s="1151"/>
      <c r="D670" s="973"/>
      <c r="E670" s="791"/>
      <c r="F670" s="3130"/>
      <c r="G670" s="2182"/>
      <c r="H670" s="232"/>
      <c r="J670" s="522"/>
      <c r="K670" s="522"/>
    </row>
    <row r="671" spans="1:11" ht="18.75" customHeight="1" x14ac:dyDescent="0.25">
      <c r="B671" s="616"/>
      <c r="C671" s="1297" t="s">
        <v>608</v>
      </c>
      <c r="D671" s="2699">
        <f>SUM(D673)</f>
        <v>13815440500</v>
      </c>
      <c r="E671" s="2699">
        <f>SUM(+E673)</f>
        <v>13813440500</v>
      </c>
      <c r="F671" s="2506">
        <f>E671/D671*100</f>
        <v>99.98552344385979</v>
      </c>
      <c r="G671" s="3154">
        <f>SUM(G673)/1</f>
        <v>100</v>
      </c>
      <c r="H671" s="3558" t="s">
        <v>3423</v>
      </c>
    </row>
    <row r="672" spans="1:11" ht="8.25" hidden="1" customHeight="1" x14ac:dyDescent="0.25">
      <c r="B672" s="319"/>
      <c r="C672" s="1147"/>
      <c r="D672" s="836"/>
      <c r="E672" s="836"/>
      <c r="F672" s="1671"/>
      <c r="G672" s="1671"/>
      <c r="H672" s="232"/>
    </row>
    <row r="673" spans="2:8" ht="18" hidden="1" customHeight="1" x14ac:dyDescent="0.25">
      <c r="B673" s="312"/>
      <c r="C673" s="507" t="s">
        <v>248</v>
      </c>
      <c r="D673" s="1546">
        <f>SUM(D674+D677+D680+D684+D687+D691)</f>
        <v>13815440500</v>
      </c>
      <c r="E673" s="1546">
        <f>SUM(E674+E677+E680+E684+E687+E691)</f>
        <v>13813440500</v>
      </c>
      <c r="F673" s="1306">
        <f>E673/D673*100</f>
        <v>99.98552344385979</v>
      </c>
      <c r="G673" s="1307">
        <v>100</v>
      </c>
      <c r="H673" s="232"/>
    </row>
    <row r="674" spans="2:8" ht="18" hidden="1" customHeight="1" x14ac:dyDescent="0.25">
      <c r="B674" s="319"/>
      <c r="C674" s="391" t="s">
        <v>810</v>
      </c>
      <c r="D674" s="1115">
        <f>SUM(D675)</f>
        <v>10865200000</v>
      </c>
      <c r="E674" s="1115">
        <f>SUM(E675)</f>
        <v>10863200000</v>
      </c>
      <c r="F674" s="1646">
        <f>E674/D674*100</f>
        <v>99.98159260759121</v>
      </c>
      <c r="G674" s="1659">
        <v>100</v>
      </c>
      <c r="H674" s="232"/>
    </row>
    <row r="675" spans="2:8" ht="18.75" hidden="1" customHeight="1" x14ac:dyDescent="0.25">
      <c r="B675" s="319"/>
      <c r="C675" s="509" t="s">
        <v>811</v>
      </c>
      <c r="D675" s="939">
        <v>10865200000</v>
      </c>
      <c r="E675" s="1625">
        <v>10863200000</v>
      </c>
      <c r="F675" s="1647">
        <f>E675/D675*100</f>
        <v>99.98159260759121</v>
      </c>
      <c r="G675" s="1312">
        <v>100</v>
      </c>
      <c r="H675" s="232"/>
    </row>
    <row r="676" spans="2:8" ht="9" hidden="1" customHeight="1" x14ac:dyDescent="0.25">
      <c r="B676" s="319"/>
      <c r="C676" s="509"/>
      <c r="D676" s="1548"/>
      <c r="E676" s="3360"/>
      <c r="F676" s="1311"/>
      <c r="G676" s="1311"/>
      <c r="H676" s="232"/>
    </row>
    <row r="677" spans="2:8" ht="17.25" hidden="1" customHeight="1" x14ac:dyDescent="0.25">
      <c r="B677" s="319"/>
      <c r="C677" s="1132" t="s">
        <v>290</v>
      </c>
      <c r="D677" s="1549">
        <f>SUM(D678:D678)</f>
        <v>900000000</v>
      </c>
      <c r="E677" s="1549">
        <f>SUM(E678:E678)</f>
        <v>900000000</v>
      </c>
      <c r="F677" s="1646">
        <f>E677/D677*100</f>
        <v>100</v>
      </c>
      <c r="G677" s="1650">
        <v>100</v>
      </c>
      <c r="H677" s="232"/>
    </row>
    <row r="678" spans="2:8" ht="18.75" hidden="1" customHeight="1" x14ac:dyDescent="0.25">
      <c r="B678" s="319"/>
      <c r="C678" s="509" t="s">
        <v>812</v>
      </c>
      <c r="D678" s="939">
        <v>900000000</v>
      </c>
      <c r="E678" s="1626">
        <v>900000000</v>
      </c>
      <c r="F678" s="1647">
        <f>E678/D678*100</f>
        <v>100</v>
      </c>
      <c r="G678" s="1649">
        <v>100</v>
      </c>
      <c r="H678" s="232"/>
    </row>
    <row r="679" spans="2:8" ht="13.5" hidden="1" customHeight="1" x14ac:dyDescent="0.25">
      <c r="B679" s="319"/>
      <c r="C679" s="509"/>
      <c r="D679" s="1548"/>
      <c r="E679" s="3360"/>
      <c r="F679" s="1311"/>
      <c r="G679" s="1311"/>
      <c r="H679" s="232"/>
    </row>
    <row r="680" spans="2:8" ht="12.75" hidden="1" customHeight="1" x14ac:dyDescent="0.25">
      <c r="B680" s="319"/>
      <c r="C680" s="3645" t="s">
        <v>813</v>
      </c>
      <c r="D680" s="3629">
        <f>SUM(D681:D682)</f>
        <v>577683000</v>
      </c>
      <c r="E680" s="3629">
        <f>SUM(E681:E682)</f>
        <v>577683000</v>
      </c>
      <c r="F680" s="1646">
        <f>E680/D680*100</f>
        <v>100</v>
      </c>
      <c r="G680" s="1650">
        <v>100</v>
      </c>
      <c r="H680" s="232"/>
    </row>
    <row r="681" spans="2:8" ht="18" hidden="1" customHeight="1" x14ac:dyDescent="0.25">
      <c r="B681" s="319"/>
      <c r="C681" s="509" t="s">
        <v>814</v>
      </c>
      <c r="D681" s="939">
        <v>150000000</v>
      </c>
      <c r="E681" s="1627">
        <v>150000000</v>
      </c>
      <c r="F681" s="1647">
        <f>E681/D681*100</f>
        <v>100</v>
      </c>
      <c r="G681" s="1312">
        <v>100</v>
      </c>
      <c r="H681" s="232"/>
    </row>
    <row r="682" spans="2:8" ht="15.75" hidden="1" customHeight="1" x14ac:dyDescent="0.25">
      <c r="B682" s="319"/>
      <c r="C682" s="649" t="s">
        <v>815</v>
      </c>
      <c r="D682" s="1492">
        <v>427683000</v>
      </c>
      <c r="E682" s="1627">
        <v>427683000</v>
      </c>
      <c r="F682" s="1647">
        <f>E682/D682*100</f>
        <v>100</v>
      </c>
      <c r="G682" s="1312">
        <v>100</v>
      </c>
      <c r="H682" s="232"/>
    </row>
    <row r="683" spans="2:8" ht="14.25" hidden="1" customHeight="1" x14ac:dyDescent="0.25">
      <c r="B683" s="319"/>
      <c r="C683" s="509"/>
      <c r="D683" s="1548"/>
      <c r="E683" s="3360"/>
      <c r="F683" s="1311"/>
      <c r="G683" s="1311"/>
      <c r="H683" s="232"/>
    </row>
    <row r="684" spans="2:8" ht="15" hidden="1" customHeight="1" x14ac:dyDescent="0.25">
      <c r="B684" s="319"/>
      <c r="C684" s="1132" t="s">
        <v>273</v>
      </c>
      <c r="D684" s="1549">
        <f>D685</f>
        <v>380424000</v>
      </c>
      <c r="E684" s="1549">
        <f>E685</f>
        <v>380424000</v>
      </c>
      <c r="F684" s="1646">
        <f>E684/D684*100</f>
        <v>100</v>
      </c>
      <c r="G684" s="1308">
        <v>100</v>
      </c>
      <c r="H684" s="232"/>
    </row>
    <row r="685" spans="2:8" ht="17.25" hidden="1" customHeight="1" x14ac:dyDescent="0.25">
      <c r="B685" s="319"/>
      <c r="C685" s="509" t="s">
        <v>816</v>
      </c>
      <c r="D685" s="939">
        <v>380424000</v>
      </c>
      <c r="E685" s="1628">
        <v>380424000</v>
      </c>
      <c r="F685" s="1647">
        <f>E685/D685*100</f>
        <v>100</v>
      </c>
      <c r="G685" s="3630">
        <v>100</v>
      </c>
      <c r="H685" s="232"/>
    </row>
    <row r="686" spans="2:8" ht="13.5" hidden="1" customHeight="1" x14ac:dyDescent="0.25">
      <c r="B686" s="319"/>
      <c r="C686" s="1132"/>
      <c r="D686" s="1548"/>
      <c r="E686" s="3360"/>
      <c r="F686" s="1312"/>
      <c r="G686" s="1312"/>
      <c r="H686" s="232"/>
    </row>
    <row r="687" spans="2:8" ht="21.75" hidden="1" customHeight="1" x14ac:dyDescent="0.25">
      <c r="B687" s="319"/>
      <c r="C687" s="3645" t="s">
        <v>817</v>
      </c>
      <c r="D687" s="3629">
        <f>SUM(D688:D689)</f>
        <v>952383500</v>
      </c>
      <c r="E687" s="3629">
        <f>SUM(E688:E689)</f>
        <v>952383500</v>
      </c>
      <c r="F687" s="1646">
        <f>E687/D687*100</f>
        <v>100</v>
      </c>
      <c r="G687" s="1308">
        <v>100</v>
      </c>
      <c r="H687" s="232"/>
    </row>
    <row r="688" spans="2:8" ht="28.5" hidden="1" customHeight="1" x14ac:dyDescent="0.25">
      <c r="B688" s="319"/>
      <c r="C688" s="509" t="s">
        <v>818</v>
      </c>
      <c r="D688" s="939">
        <v>273591500</v>
      </c>
      <c r="E688" s="1629">
        <v>273591500</v>
      </c>
      <c r="F688" s="1647">
        <f>E688/D688*100</f>
        <v>100</v>
      </c>
      <c r="G688" s="3630">
        <v>100</v>
      </c>
      <c r="H688" s="232"/>
    </row>
    <row r="689" spans="2:11" ht="18" hidden="1" customHeight="1" x14ac:dyDescent="0.25">
      <c r="B689" s="319"/>
      <c r="C689" s="509" t="s">
        <v>819</v>
      </c>
      <c r="D689" s="939">
        <v>678792000</v>
      </c>
      <c r="E689" s="1629">
        <v>678792000</v>
      </c>
      <c r="F689" s="1647">
        <f>E689/D689*100</f>
        <v>100</v>
      </c>
      <c r="G689" s="3630">
        <v>100</v>
      </c>
      <c r="H689" s="232"/>
    </row>
    <row r="690" spans="2:11" ht="12" hidden="1" customHeight="1" x14ac:dyDescent="0.25">
      <c r="B690" s="319"/>
      <c r="C690" s="509"/>
      <c r="D690" s="939"/>
      <c r="E690" s="1855"/>
      <c r="F690" s="1312"/>
      <c r="G690" s="1312"/>
      <c r="H690" s="232"/>
    </row>
    <row r="691" spans="2:11" ht="12" hidden="1" customHeight="1" x14ac:dyDescent="0.25">
      <c r="B691" s="319"/>
      <c r="C691" s="3645" t="s">
        <v>4385</v>
      </c>
      <c r="D691" s="3629">
        <f>SUM(D692:D692)</f>
        <v>139750000</v>
      </c>
      <c r="E691" s="3629">
        <f>SUM(E692:E692)</f>
        <v>139750000</v>
      </c>
      <c r="F691" s="1646">
        <f>E691/D691*100</f>
        <v>100</v>
      </c>
      <c r="G691" s="2264">
        <v>100</v>
      </c>
      <c r="H691" s="232"/>
    </row>
    <row r="692" spans="2:11" ht="21" hidden="1" customHeight="1" x14ac:dyDescent="0.25">
      <c r="B692" s="319"/>
      <c r="C692" s="509" t="s">
        <v>4386</v>
      </c>
      <c r="D692" s="939">
        <v>139750000</v>
      </c>
      <c r="E692" s="1630">
        <v>139750000</v>
      </c>
      <c r="F692" s="1647">
        <f>E692/D692*100</f>
        <v>100</v>
      </c>
      <c r="G692" s="1649">
        <v>100</v>
      </c>
      <c r="H692" s="232"/>
    </row>
    <row r="693" spans="2:11" ht="12" hidden="1" customHeight="1" x14ac:dyDescent="0.25">
      <c r="B693" s="319"/>
      <c r="C693" s="1146"/>
      <c r="D693" s="1651"/>
      <c r="E693" s="1651"/>
      <c r="F693" s="2411"/>
      <c r="G693" s="2175"/>
      <c r="H693" s="232"/>
    </row>
    <row r="694" spans="2:11" s="269" customFormat="1" ht="16.5" customHeight="1" thickBot="1" x14ac:dyDescent="0.3">
      <c r="B694" s="616"/>
      <c r="C694" s="1297" t="s">
        <v>609</v>
      </c>
      <c r="D694" s="3119">
        <f>SUM(+D696+D741+D749+D753+D757+D761+D765+D769+D773+D777+D781+D785)</f>
        <v>10160690290</v>
      </c>
      <c r="E694" s="3119">
        <f>SUM(+E696+E741+E749+E753+E757+E761+E765+E769+E773+E777+E781+E785)</f>
        <v>10095576173</v>
      </c>
      <c r="F694" s="2531">
        <f t="shared" ref="F694:F696" si="51">E694/D694*100</f>
        <v>99.359156561793</v>
      </c>
      <c r="G694" s="2507">
        <f>SUM(G696,G741,G749,G753,G757,G761,G765,G769,G773,G777,G781,G785)/12</f>
        <v>100</v>
      </c>
      <c r="H694" s="3425" t="s">
        <v>3437</v>
      </c>
      <c r="J694" s="2069"/>
      <c r="K694" s="2069"/>
    </row>
    <row r="695" spans="2:11" ht="8.25" hidden="1" customHeight="1" x14ac:dyDescent="0.25">
      <c r="B695" s="319"/>
      <c r="C695" s="1254"/>
      <c r="D695" s="2370"/>
      <c r="E695" s="2370"/>
      <c r="F695" s="2182"/>
      <c r="G695" s="2182"/>
      <c r="H695" s="232"/>
    </row>
    <row r="696" spans="2:11" ht="18.75" hidden="1" customHeight="1" x14ac:dyDescent="0.25">
      <c r="B696" s="312"/>
      <c r="C696" s="1180" t="s">
        <v>241</v>
      </c>
      <c r="D696" s="765">
        <f>SUM(D697+D700+D705+D708+D713+D718+D721+D725+D728)</f>
        <v>3003260590</v>
      </c>
      <c r="E696" s="3631">
        <f>SUM(E697+E700+E705+E708+E713+E718+E721+E725+E728)</f>
        <v>2938827400</v>
      </c>
      <c r="F696" s="2356">
        <f t="shared" si="51"/>
        <v>97.854558801372619</v>
      </c>
      <c r="G696" s="1307">
        <f>(G697+G700+G705+G708+G713+G718+G721+G725+G728)/9</f>
        <v>100</v>
      </c>
      <c r="H696" s="232"/>
    </row>
    <row r="697" spans="2:11" ht="16.5" hidden="1" customHeight="1" x14ac:dyDescent="0.25">
      <c r="B697" s="319"/>
      <c r="C697" s="3938" t="s">
        <v>289</v>
      </c>
      <c r="D697" s="3633">
        <f>SUM(D698)</f>
        <v>266000000</v>
      </c>
      <c r="E697" s="3633">
        <f>SUM(E698)</f>
        <v>262000000</v>
      </c>
      <c r="F697" s="4143">
        <f t="shared" ref="F697:F700" si="52">(E697/D697)*100</f>
        <v>98.496240601503757</v>
      </c>
      <c r="G697" s="2380">
        <v>100</v>
      </c>
      <c r="H697" s="232"/>
    </row>
    <row r="698" spans="2:11" ht="18" hidden="1" customHeight="1" x14ac:dyDescent="0.25">
      <c r="B698" s="319"/>
      <c r="C698" s="4118" t="s">
        <v>5123</v>
      </c>
      <c r="D698" s="3638">
        <v>266000000</v>
      </c>
      <c r="E698" s="2001">
        <v>262000000</v>
      </c>
      <c r="F698" s="4142">
        <f>(E698/D698)*100</f>
        <v>98.496240601503757</v>
      </c>
      <c r="G698" s="2543">
        <v>100</v>
      </c>
      <c r="H698" s="232"/>
    </row>
    <row r="699" spans="2:11" ht="15" hidden="1" customHeight="1" x14ac:dyDescent="0.25">
      <c r="B699" s="319"/>
      <c r="C699" s="4118"/>
      <c r="D699" s="3638"/>
      <c r="E699" s="1314"/>
      <c r="F699" s="1312"/>
      <c r="G699" s="1311"/>
      <c r="H699" s="232"/>
    </row>
    <row r="700" spans="2:11" ht="18" hidden="1" customHeight="1" x14ac:dyDescent="0.25">
      <c r="B700" s="319"/>
      <c r="C700" s="3938" t="s">
        <v>5124</v>
      </c>
      <c r="D700" s="4141">
        <f>SUM(D701:D703)</f>
        <v>912192400</v>
      </c>
      <c r="E700" s="4141">
        <f>SUM(E701:E703)</f>
        <v>852722400</v>
      </c>
      <c r="F700" s="4143">
        <f t="shared" si="52"/>
        <v>93.48054204354257</v>
      </c>
      <c r="G700" s="1650">
        <v>100</v>
      </c>
      <c r="H700" s="232"/>
    </row>
    <row r="701" spans="2:11" ht="15.75" hidden="1" customHeight="1" x14ac:dyDescent="0.25">
      <c r="B701" s="319"/>
      <c r="C701" s="4118" t="s">
        <v>5125</v>
      </c>
      <c r="D701" s="3638">
        <v>721913200</v>
      </c>
      <c r="E701" s="608">
        <v>662443200</v>
      </c>
      <c r="F701" s="4142">
        <f>(E701/D701)*100</f>
        <v>91.762167529281911</v>
      </c>
      <c r="G701" s="1312">
        <v>100</v>
      </c>
      <c r="H701" s="232"/>
    </row>
    <row r="702" spans="2:11" ht="15" hidden="1" customHeight="1" x14ac:dyDescent="0.25">
      <c r="B702" s="319"/>
      <c r="C702" s="4118" t="s">
        <v>5126</v>
      </c>
      <c r="D702" s="3638">
        <v>94879200</v>
      </c>
      <c r="E702" s="3638">
        <v>94879200</v>
      </c>
      <c r="F702" s="4142">
        <f t="shared" ref="F702:F703" si="53">(E702/D702)*100</f>
        <v>100</v>
      </c>
      <c r="G702" s="3651">
        <v>100</v>
      </c>
      <c r="H702" s="232"/>
    </row>
    <row r="703" spans="2:11" ht="18.75" hidden="1" customHeight="1" x14ac:dyDescent="0.25">
      <c r="B703" s="319"/>
      <c r="C703" s="4118" t="s">
        <v>5127</v>
      </c>
      <c r="D703" s="3638">
        <v>95400000</v>
      </c>
      <c r="E703" s="3638">
        <v>95400000</v>
      </c>
      <c r="F703" s="4142">
        <f t="shared" si="53"/>
        <v>100</v>
      </c>
      <c r="G703" s="2543">
        <v>100</v>
      </c>
      <c r="H703" s="232"/>
    </row>
    <row r="704" spans="2:11" ht="11.25" hidden="1" customHeight="1" x14ac:dyDescent="0.25">
      <c r="B704" s="319"/>
      <c r="C704" s="4118"/>
      <c r="D704" s="3630"/>
      <c r="E704" s="4056"/>
      <c r="F704" s="1650"/>
      <c r="G704" s="1650"/>
      <c r="H704" s="232"/>
    </row>
    <row r="705" spans="2:8" ht="24.75" hidden="1" customHeight="1" x14ac:dyDescent="0.25">
      <c r="B705" s="319"/>
      <c r="C705" s="3938" t="s">
        <v>5128</v>
      </c>
      <c r="D705" s="3629">
        <f>SUM(D706:D706)</f>
        <v>190500000</v>
      </c>
      <c r="E705" s="3629">
        <f>SUM(E706:E706)</f>
        <v>189800000</v>
      </c>
      <c r="F705" s="4143">
        <f t="shared" ref="F705:F708" si="54">(E705/D705)*100</f>
        <v>99.632545931758528</v>
      </c>
      <c r="G705" s="1650">
        <v>100</v>
      </c>
      <c r="H705" s="232"/>
    </row>
    <row r="706" spans="2:8" ht="28.5" hidden="1" customHeight="1" x14ac:dyDescent="0.25">
      <c r="B706" s="319"/>
      <c r="C706" s="4118" t="s">
        <v>5129</v>
      </c>
      <c r="D706" s="1123">
        <v>190500000</v>
      </c>
      <c r="E706" s="2001">
        <v>189800000</v>
      </c>
      <c r="F706" s="4142">
        <f>(E706/D706)*100</f>
        <v>99.632545931758528</v>
      </c>
      <c r="G706" s="1312">
        <v>100</v>
      </c>
      <c r="H706" s="232"/>
    </row>
    <row r="707" spans="2:8" ht="15" hidden="1" customHeight="1" x14ac:dyDescent="0.25">
      <c r="B707" s="319"/>
      <c r="C707" s="4118"/>
      <c r="D707" s="3630"/>
      <c r="E707" s="4056"/>
      <c r="F707" s="1650"/>
      <c r="G707" s="1650"/>
      <c r="H707" s="232"/>
    </row>
    <row r="708" spans="2:8" ht="21" hidden="1" customHeight="1" x14ac:dyDescent="0.25">
      <c r="B708" s="319"/>
      <c r="C708" s="3938" t="s">
        <v>5130</v>
      </c>
      <c r="D708" s="3629">
        <f>SUM(D709:D711)</f>
        <v>143950000</v>
      </c>
      <c r="E708" s="3629">
        <f>SUM(E709:E711)</f>
        <v>143750000</v>
      </c>
      <c r="F708" s="4143">
        <f t="shared" si="54"/>
        <v>99.86106286905175</v>
      </c>
      <c r="G708" s="1650">
        <v>100</v>
      </c>
      <c r="H708" s="232"/>
    </row>
    <row r="709" spans="2:8" ht="18.75" hidden="1" customHeight="1" x14ac:dyDescent="0.25">
      <c r="B709" s="319"/>
      <c r="C709" s="4118" t="s">
        <v>5131</v>
      </c>
      <c r="D709" s="3630">
        <v>38450000</v>
      </c>
      <c r="E709" s="3638">
        <v>38450000</v>
      </c>
      <c r="F709" s="4142">
        <f>(E709/D709)*100</f>
        <v>100</v>
      </c>
      <c r="G709" s="3638">
        <v>100</v>
      </c>
      <c r="H709" s="232"/>
    </row>
    <row r="710" spans="2:8" ht="16.5" hidden="1" customHeight="1" x14ac:dyDescent="0.25">
      <c r="B710" s="319"/>
      <c r="C710" s="4118" t="s">
        <v>5132</v>
      </c>
      <c r="D710" s="3630">
        <v>26500000</v>
      </c>
      <c r="E710" s="3638">
        <v>26500000</v>
      </c>
      <c r="F710" s="4142">
        <f t="shared" ref="F710:F711" si="55">(E710/D710)*100</f>
        <v>100</v>
      </c>
      <c r="G710" s="3638">
        <v>100</v>
      </c>
      <c r="H710" s="232"/>
    </row>
    <row r="711" spans="2:8" ht="16.5" hidden="1" customHeight="1" x14ac:dyDescent="0.25">
      <c r="B711" s="378"/>
      <c r="C711" s="4118" t="s">
        <v>5133</v>
      </c>
      <c r="D711" s="3630">
        <v>79000000</v>
      </c>
      <c r="E711" s="2001">
        <v>78800000</v>
      </c>
      <c r="F711" s="4142">
        <f t="shared" si="55"/>
        <v>99.74683544303798</v>
      </c>
      <c r="G711" s="1311">
        <v>100</v>
      </c>
      <c r="H711" s="232"/>
    </row>
    <row r="712" spans="2:8" ht="10.5" hidden="1" customHeight="1" x14ac:dyDescent="0.25">
      <c r="B712" s="319"/>
      <c r="C712" s="4118"/>
      <c r="D712" s="3630"/>
      <c r="E712" s="4056"/>
      <c r="F712" s="1650"/>
      <c r="G712" s="1650"/>
      <c r="H712" s="232"/>
    </row>
    <row r="713" spans="2:8" ht="21.75" hidden="1" customHeight="1" x14ac:dyDescent="0.25">
      <c r="B713" s="319"/>
      <c r="C713" s="3938" t="s">
        <v>5134</v>
      </c>
      <c r="D713" s="3629">
        <f>SUM(D714:D716)</f>
        <v>379170000</v>
      </c>
      <c r="E713" s="3629">
        <f>SUM(E714:E716)</f>
        <v>379170000</v>
      </c>
      <c r="F713" s="4143">
        <f t="shared" ref="F713:F718" si="56">(E713/D713)*100</f>
        <v>100</v>
      </c>
      <c r="G713" s="3600">
        <v>100</v>
      </c>
      <c r="H713" s="232"/>
    </row>
    <row r="714" spans="2:8" ht="22.5" hidden="1" customHeight="1" x14ac:dyDescent="0.25">
      <c r="B714" s="319"/>
      <c r="C714" s="4118" t="s">
        <v>5135</v>
      </c>
      <c r="D714" s="3630">
        <v>121800000</v>
      </c>
      <c r="E714" s="3638">
        <v>121800000</v>
      </c>
      <c r="F714" s="4142">
        <f>(E714/D714)*100</f>
        <v>100</v>
      </c>
      <c r="G714" s="3638">
        <v>100</v>
      </c>
      <c r="H714" s="232"/>
    </row>
    <row r="715" spans="2:8" ht="30.75" hidden="1" customHeight="1" x14ac:dyDescent="0.25">
      <c r="B715" s="319"/>
      <c r="C715" s="4118" t="s">
        <v>5136</v>
      </c>
      <c r="D715" s="3630">
        <v>80400000</v>
      </c>
      <c r="E715" s="3630">
        <v>80400000</v>
      </c>
      <c r="F715" s="4142">
        <f t="shared" ref="F715:F716" si="57">(E715/D715)*100</f>
        <v>100</v>
      </c>
      <c r="G715" s="1312">
        <v>100</v>
      </c>
      <c r="H715" s="232"/>
    </row>
    <row r="716" spans="2:8" ht="21.75" hidden="1" customHeight="1" x14ac:dyDescent="0.25">
      <c r="B716" s="319"/>
      <c r="C716" s="4118" t="s">
        <v>5137</v>
      </c>
      <c r="D716" s="3630">
        <v>176970000</v>
      </c>
      <c r="E716" s="3638">
        <v>176970000</v>
      </c>
      <c r="F716" s="4142">
        <f t="shared" si="57"/>
        <v>100</v>
      </c>
      <c r="G716" s="3638">
        <v>100</v>
      </c>
      <c r="H716" s="232"/>
    </row>
    <row r="717" spans="2:8" ht="14.25" hidden="1" customHeight="1" x14ac:dyDescent="0.25">
      <c r="B717" s="319"/>
      <c r="C717" s="4118"/>
      <c r="D717" s="3630"/>
      <c r="E717" s="3879"/>
      <c r="F717" s="3648"/>
      <c r="G717" s="3648"/>
      <c r="H717" s="232"/>
    </row>
    <row r="718" spans="2:8" ht="24" hidden="1" customHeight="1" x14ac:dyDescent="0.25">
      <c r="B718" s="319"/>
      <c r="C718" s="3938" t="s">
        <v>5138</v>
      </c>
      <c r="D718" s="3629">
        <f>SUM(D719:D719)</f>
        <v>103200000</v>
      </c>
      <c r="E718" s="3629">
        <f>SUM(E719:E719)</f>
        <v>103200000</v>
      </c>
      <c r="F718" s="4143">
        <f t="shared" si="56"/>
        <v>100</v>
      </c>
      <c r="G718" s="1650">
        <v>100</v>
      </c>
      <c r="H718" s="232"/>
    </row>
    <row r="719" spans="2:8" ht="14.25" hidden="1" customHeight="1" x14ac:dyDescent="0.25">
      <c r="B719" s="319"/>
      <c r="C719" s="4118" t="s">
        <v>5139</v>
      </c>
      <c r="D719" s="3630">
        <v>103200000</v>
      </c>
      <c r="E719" s="3638">
        <v>103200000</v>
      </c>
      <c r="F719" s="4142">
        <f>(E719/D719)*100</f>
        <v>100</v>
      </c>
      <c r="G719" s="1312">
        <v>100</v>
      </c>
      <c r="H719" s="232"/>
    </row>
    <row r="720" spans="2:8" ht="12" hidden="1" customHeight="1" x14ac:dyDescent="0.25">
      <c r="B720" s="319"/>
      <c r="C720" s="3852"/>
      <c r="D720" s="729"/>
      <c r="E720" s="3879"/>
      <c r="F720" s="3648"/>
      <c r="G720" s="3648"/>
      <c r="H720" s="232"/>
    </row>
    <row r="721" spans="2:8" ht="18" hidden="1" customHeight="1" x14ac:dyDescent="0.25">
      <c r="B721" s="319"/>
      <c r="C721" s="3938" t="s">
        <v>5140</v>
      </c>
      <c r="D721" s="3629">
        <f>SUM(D722:D723)</f>
        <v>142920000</v>
      </c>
      <c r="E721" s="3629">
        <f>SUM(E722:E723)</f>
        <v>142920000</v>
      </c>
      <c r="F721" s="4143">
        <f t="shared" ref="F721" si="58">(E721/D721)*100</f>
        <v>100</v>
      </c>
      <c r="G721" s="1650">
        <v>100</v>
      </c>
      <c r="H721" s="232"/>
    </row>
    <row r="722" spans="2:8" ht="18.75" hidden="1" customHeight="1" x14ac:dyDescent="0.25">
      <c r="B722" s="319"/>
      <c r="C722" s="4118" t="s">
        <v>5141</v>
      </c>
      <c r="D722" s="3630">
        <v>71300000</v>
      </c>
      <c r="E722" s="2001">
        <v>71300000</v>
      </c>
      <c r="F722" s="4142">
        <f>(E722/D722)*100</f>
        <v>100</v>
      </c>
      <c r="G722" s="1312">
        <v>100</v>
      </c>
      <c r="H722" s="232"/>
    </row>
    <row r="723" spans="2:8" ht="14.25" hidden="1" customHeight="1" x14ac:dyDescent="0.25">
      <c r="B723" s="319"/>
      <c r="C723" s="4118" t="s">
        <v>5142</v>
      </c>
      <c r="D723" s="3630">
        <v>71620000</v>
      </c>
      <c r="E723" s="2001">
        <v>71620000</v>
      </c>
      <c r="F723" s="4142">
        <f>(E723/D723)*100</f>
        <v>100</v>
      </c>
      <c r="G723" s="1312">
        <v>100</v>
      </c>
      <c r="H723" s="232"/>
    </row>
    <row r="724" spans="2:8" ht="12" hidden="1" customHeight="1" x14ac:dyDescent="0.25">
      <c r="B724" s="319"/>
      <c r="C724" s="4118"/>
      <c r="D724" s="3630"/>
      <c r="E724" s="2001"/>
      <c r="F724" s="1312"/>
      <c r="G724" s="1312"/>
      <c r="H724" s="232"/>
    </row>
    <row r="725" spans="2:8" ht="20.25" hidden="1" customHeight="1" x14ac:dyDescent="0.25">
      <c r="B725" s="319"/>
      <c r="C725" s="3938" t="s">
        <v>5143</v>
      </c>
      <c r="D725" s="3629">
        <f>D726</f>
        <v>49000000</v>
      </c>
      <c r="E725" s="3629">
        <f>E726</f>
        <v>48990000</v>
      </c>
      <c r="F725" s="4143">
        <f t="shared" ref="F725:F728" si="59">(E725/D725)*100</f>
        <v>99.979591836734699</v>
      </c>
      <c r="G725" s="1650">
        <v>100</v>
      </c>
      <c r="H725" s="232"/>
    </row>
    <row r="726" spans="2:8" ht="16.5" hidden="1" customHeight="1" x14ac:dyDescent="0.25">
      <c r="B726" s="319"/>
      <c r="C726" s="4118" t="s">
        <v>5144</v>
      </c>
      <c r="D726" s="3630">
        <v>49000000</v>
      </c>
      <c r="E726" s="2001">
        <v>48990000</v>
      </c>
      <c r="F726" s="4142">
        <f>(E726/D726)*100</f>
        <v>99.979591836734699</v>
      </c>
      <c r="G726" s="1312">
        <v>100</v>
      </c>
      <c r="H726" s="232"/>
    </row>
    <row r="727" spans="2:8" ht="13.5" hidden="1" customHeight="1" x14ac:dyDescent="0.25">
      <c r="B727" s="319"/>
      <c r="C727" s="4118"/>
      <c r="D727" s="3630"/>
      <c r="E727" s="2001"/>
      <c r="F727" s="4142"/>
      <c r="G727" s="1312"/>
      <c r="H727" s="232"/>
    </row>
    <row r="728" spans="2:8" ht="17.25" hidden="1" customHeight="1" x14ac:dyDescent="0.25">
      <c r="B728" s="319"/>
      <c r="C728" s="3938" t="s">
        <v>5145</v>
      </c>
      <c r="D728" s="4141">
        <f>SUM(D729:D739)</f>
        <v>816328190</v>
      </c>
      <c r="E728" s="4141">
        <f>SUM(E729:E739)</f>
        <v>816275000</v>
      </c>
      <c r="F728" s="4143">
        <f t="shared" si="59"/>
        <v>99.993484238244918</v>
      </c>
      <c r="G728" s="1650">
        <v>100</v>
      </c>
      <c r="H728" s="232"/>
    </row>
    <row r="729" spans="2:8" ht="21.75" hidden="1" customHeight="1" x14ac:dyDescent="0.25">
      <c r="B729" s="319"/>
      <c r="C729" s="4118" t="s">
        <v>5146</v>
      </c>
      <c r="D729" s="515">
        <v>48600000</v>
      </c>
      <c r="E729" s="515">
        <v>48600000</v>
      </c>
      <c r="F729" s="4142">
        <f>(E729/D729)*100</f>
        <v>100</v>
      </c>
      <c r="G729" s="1312">
        <v>100</v>
      </c>
      <c r="H729" s="232"/>
    </row>
    <row r="730" spans="2:8" ht="17.25" hidden="1" customHeight="1" x14ac:dyDescent="0.25">
      <c r="B730" s="319"/>
      <c r="C730" s="4118" t="s">
        <v>5147</v>
      </c>
      <c r="D730" s="515">
        <v>168250000</v>
      </c>
      <c r="E730" s="515">
        <v>168250000</v>
      </c>
      <c r="F730" s="4142">
        <f t="shared" ref="F730:F739" si="60">(E730/D730)*100</f>
        <v>100</v>
      </c>
      <c r="G730" s="1312">
        <v>100</v>
      </c>
      <c r="H730" s="232"/>
    </row>
    <row r="731" spans="2:8" ht="15.75" hidden="1" customHeight="1" x14ac:dyDescent="0.25">
      <c r="B731" s="319"/>
      <c r="C731" s="4118" t="s">
        <v>5148</v>
      </c>
      <c r="D731" s="515">
        <v>82800000</v>
      </c>
      <c r="E731" s="515">
        <v>82800000</v>
      </c>
      <c r="F731" s="4142">
        <f t="shared" si="60"/>
        <v>100</v>
      </c>
      <c r="G731" s="1312">
        <v>100</v>
      </c>
      <c r="H731" s="232"/>
    </row>
    <row r="732" spans="2:8" ht="18" hidden="1" customHeight="1" x14ac:dyDescent="0.25">
      <c r="B732" s="319"/>
      <c r="C732" s="4118" t="s">
        <v>5149</v>
      </c>
      <c r="D732" s="515">
        <v>81880000</v>
      </c>
      <c r="E732" s="515">
        <v>81880000</v>
      </c>
      <c r="F732" s="4142">
        <f t="shared" si="60"/>
        <v>100</v>
      </c>
      <c r="G732" s="1312">
        <v>100</v>
      </c>
      <c r="H732" s="232"/>
    </row>
    <row r="733" spans="2:8" ht="14.25" hidden="1" customHeight="1" x14ac:dyDescent="0.25">
      <c r="B733" s="319"/>
      <c r="C733" s="4118" t="s">
        <v>5150</v>
      </c>
      <c r="D733" s="515">
        <v>30000000</v>
      </c>
      <c r="E733" s="515">
        <v>30000000</v>
      </c>
      <c r="F733" s="4142">
        <f t="shared" si="60"/>
        <v>100</v>
      </c>
      <c r="G733" s="1312">
        <v>100</v>
      </c>
      <c r="H733" s="232"/>
    </row>
    <row r="734" spans="2:8" ht="15" hidden="1" customHeight="1" x14ac:dyDescent="0.25">
      <c r="B734" s="319"/>
      <c r="C734" s="4118" t="s">
        <v>5151</v>
      </c>
      <c r="D734" s="515">
        <v>91180000</v>
      </c>
      <c r="E734" s="515">
        <v>91180000</v>
      </c>
      <c r="F734" s="4142">
        <f t="shared" si="60"/>
        <v>100</v>
      </c>
      <c r="G734" s="1312">
        <v>100</v>
      </c>
      <c r="H734" s="232"/>
    </row>
    <row r="735" spans="2:8" ht="15" hidden="1" customHeight="1" x14ac:dyDescent="0.25">
      <c r="B735" s="319"/>
      <c r="C735" s="4111" t="s">
        <v>5152</v>
      </c>
      <c r="D735" s="4145">
        <v>89172800</v>
      </c>
      <c r="E735" s="4145">
        <v>89120000</v>
      </c>
      <c r="F735" s="4146">
        <f t="shared" si="60"/>
        <v>99.94078911955215</v>
      </c>
      <c r="G735" s="1323">
        <v>100</v>
      </c>
      <c r="H735" s="232"/>
    </row>
    <row r="736" spans="2:8" ht="15" hidden="1" customHeight="1" x14ac:dyDescent="0.25">
      <c r="B736" s="319"/>
      <c r="C736" s="3856" t="s">
        <v>5153</v>
      </c>
      <c r="D736" s="515">
        <v>89175390</v>
      </c>
      <c r="E736" s="515">
        <v>89175000</v>
      </c>
      <c r="F736" s="608">
        <f t="shared" si="60"/>
        <v>99.999562659608216</v>
      </c>
      <c r="G736" s="1717">
        <v>100</v>
      </c>
      <c r="H736" s="232"/>
    </row>
    <row r="737" spans="2:11" ht="15.75" hidden="1" customHeight="1" x14ac:dyDescent="0.25">
      <c r="B737" s="319"/>
      <c r="C737" s="3856" t="s">
        <v>5154</v>
      </c>
      <c r="D737" s="515">
        <v>33350000</v>
      </c>
      <c r="E737" s="515">
        <v>33350000</v>
      </c>
      <c r="F737" s="608">
        <f t="shared" si="60"/>
        <v>100</v>
      </c>
      <c r="G737" s="1717">
        <v>100</v>
      </c>
      <c r="H737" s="232"/>
    </row>
    <row r="738" spans="2:11" ht="15.75" hidden="1" customHeight="1" x14ac:dyDescent="0.25">
      <c r="B738" s="319"/>
      <c r="C738" s="3856" t="s">
        <v>5155</v>
      </c>
      <c r="D738" s="515">
        <v>70400000</v>
      </c>
      <c r="E738" s="515">
        <v>70400000</v>
      </c>
      <c r="F738" s="608">
        <f t="shared" si="60"/>
        <v>100</v>
      </c>
      <c r="G738" s="1717">
        <v>100</v>
      </c>
      <c r="H738" s="232"/>
    </row>
    <row r="739" spans="2:11" ht="16.5" hidden="1" customHeight="1" x14ac:dyDescent="0.25">
      <c r="B739" s="319"/>
      <c r="C739" s="3856" t="s">
        <v>5156</v>
      </c>
      <c r="D739" s="515">
        <v>31520000</v>
      </c>
      <c r="E739" s="515">
        <v>31520000</v>
      </c>
      <c r="F739" s="608">
        <f t="shared" si="60"/>
        <v>100</v>
      </c>
      <c r="G739" s="1717">
        <v>100</v>
      </c>
      <c r="H739" s="232"/>
    </row>
    <row r="740" spans="2:11" s="4099" customFormat="1" ht="9.75" hidden="1" customHeight="1" x14ac:dyDescent="0.25">
      <c r="B740" s="319"/>
      <c r="C740" s="3896"/>
      <c r="D740" s="791"/>
      <c r="E740" s="791"/>
      <c r="F740" s="2182"/>
      <c r="G740" s="2182"/>
      <c r="H740" s="232"/>
      <c r="J740" s="522"/>
      <c r="K740" s="522"/>
    </row>
    <row r="741" spans="2:11" ht="18" hidden="1" customHeight="1" x14ac:dyDescent="0.25">
      <c r="B741" s="312"/>
      <c r="C741" s="1180" t="s">
        <v>358</v>
      </c>
      <c r="D741" s="765">
        <f>SUM(D742+D746)</f>
        <v>4146829700</v>
      </c>
      <c r="E741" s="3631">
        <f>SUM(E742+E746)</f>
        <v>4146237273</v>
      </c>
      <c r="F741" s="2356">
        <f t="shared" ref="F741" si="61">E741/D741*100</f>
        <v>99.985713736930165</v>
      </c>
      <c r="G741" s="1307">
        <f>SUM(G742,G746)/2</f>
        <v>100</v>
      </c>
      <c r="H741" s="232"/>
    </row>
    <row r="742" spans="2:11" ht="17.25" hidden="1" customHeight="1" x14ac:dyDescent="0.25">
      <c r="B742" s="319"/>
      <c r="C742" s="3968" t="s">
        <v>1016</v>
      </c>
      <c r="D742" s="3625">
        <f>SUM(D743:D744)</f>
        <v>3693989700</v>
      </c>
      <c r="E742" s="3625">
        <f>SUM(E743:E744)</f>
        <v>3693397693</v>
      </c>
      <c r="F742" s="1671">
        <f>E742/D742*100</f>
        <v>99.983973777728735</v>
      </c>
      <c r="G742" s="1671">
        <v>100</v>
      </c>
      <c r="H742" s="232"/>
    </row>
    <row r="743" spans="2:11" ht="17.25" hidden="1" customHeight="1" x14ac:dyDescent="0.25">
      <c r="B743" s="319"/>
      <c r="C743" s="4118" t="s">
        <v>1017</v>
      </c>
      <c r="D743" s="3638">
        <v>471200000</v>
      </c>
      <c r="E743" s="1111">
        <v>471200000</v>
      </c>
      <c r="F743" s="1312">
        <f>E743/D743*100</f>
        <v>100</v>
      </c>
      <c r="G743" s="1312">
        <v>100</v>
      </c>
      <c r="H743" s="232"/>
    </row>
    <row r="744" spans="2:11" ht="23.25" hidden="1" customHeight="1" x14ac:dyDescent="0.25">
      <c r="B744" s="319"/>
      <c r="C744" s="4118" t="s">
        <v>1019</v>
      </c>
      <c r="D744" s="3638">
        <v>3222789700</v>
      </c>
      <c r="E744" s="1314">
        <v>3222197693</v>
      </c>
      <c r="F744" s="1312">
        <f>E744/D744*100</f>
        <v>99.981630604069522</v>
      </c>
      <c r="G744" s="1311">
        <v>100</v>
      </c>
      <c r="H744" s="232"/>
    </row>
    <row r="745" spans="2:11" ht="9" hidden="1" customHeight="1" x14ac:dyDescent="0.25">
      <c r="B745" s="319"/>
      <c r="C745" s="4118"/>
      <c r="D745" s="3638"/>
      <c r="E745" s="1314"/>
      <c r="F745" s="1312"/>
      <c r="G745" s="1311"/>
      <c r="H745" s="232"/>
    </row>
    <row r="746" spans="2:11" ht="28.5" hidden="1" customHeight="1" x14ac:dyDescent="0.25">
      <c r="B746" s="319"/>
      <c r="C746" s="3938" t="s">
        <v>1018</v>
      </c>
      <c r="D746" s="3639">
        <f>SUM(D747)</f>
        <v>452840000</v>
      </c>
      <c r="E746" s="3639">
        <f>SUM(E747)</f>
        <v>452839580</v>
      </c>
      <c r="F746" s="1650">
        <f t="shared" ref="F746:F747" si="62">E746/D746*100</f>
        <v>99.999907252009535</v>
      </c>
      <c r="G746" s="1650">
        <v>100</v>
      </c>
      <c r="H746" s="232"/>
    </row>
    <row r="747" spans="2:11" ht="21.75" hidden="1" customHeight="1" x14ac:dyDescent="0.25">
      <c r="B747" s="319"/>
      <c r="C747" s="4118" t="s">
        <v>1020</v>
      </c>
      <c r="D747" s="3638">
        <v>452840000</v>
      </c>
      <c r="E747" s="2001">
        <v>452839580</v>
      </c>
      <c r="F747" s="1312">
        <f t="shared" si="62"/>
        <v>99.999907252009535</v>
      </c>
      <c r="G747" s="1312">
        <v>100</v>
      </c>
      <c r="H747" s="232"/>
    </row>
    <row r="748" spans="2:11" ht="12" hidden="1" customHeight="1" x14ac:dyDescent="0.25">
      <c r="B748" s="319"/>
      <c r="C748" s="2863"/>
      <c r="D748" s="1008"/>
      <c r="E748" s="2285"/>
      <c r="F748" s="1703"/>
      <c r="G748" s="2182"/>
      <c r="H748" s="232"/>
    </row>
    <row r="749" spans="2:11" s="4099" customFormat="1" ht="22.5" hidden="1" customHeight="1" x14ac:dyDescent="0.25">
      <c r="B749" s="312"/>
      <c r="C749" s="3913" t="s">
        <v>5175</v>
      </c>
      <c r="D749" s="3631">
        <f>D750</f>
        <v>350000000</v>
      </c>
      <c r="E749" s="3631">
        <f>E750</f>
        <v>350000000</v>
      </c>
      <c r="F749" s="2356">
        <f>E749/D749*100</f>
        <v>100</v>
      </c>
      <c r="G749" s="2356">
        <v>100</v>
      </c>
      <c r="H749" s="232"/>
      <c r="J749" s="522"/>
      <c r="K749" s="522"/>
    </row>
    <row r="750" spans="2:11" s="4099" customFormat="1" ht="12" hidden="1" customHeight="1" x14ac:dyDescent="0.25">
      <c r="B750" s="319"/>
      <c r="C750" s="3968" t="s">
        <v>5157</v>
      </c>
      <c r="D750" s="3625">
        <f>D751</f>
        <v>350000000</v>
      </c>
      <c r="E750" s="3625">
        <f>E751</f>
        <v>350000000</v>
      </c>
      <c r="F750" s="1671">
        <f>E750/D750*100</f>
        <v>100</v>
      </c>
      <c r="G750" s="1671">
        <v>100</v>
      </c>
      <c r="H750" s="232"/>
      <c r="J750" s="522"/>
      <c r="K750" s="522"/>
    </row>
    <row r="751" spans="2:11" s="4099" customFormat="1" ht="12" hidden="1" customHeight="1" x14ac:dyDescent="0.25">
      <c r="B751" s="319"/>
      <c r="C751" s="4118" t="s">
        <v>5158</v>
      </c>
      <c r="D751" s="3630">
        <v>350000000</v>
      </c>
      <c r="E751" s="666">
        <v>350000000</v>
      </c>
      <c r="F751" s="1312">
        <f>E751/D751*100</f>
        <v>100</v>
      </c>
      <c r="G751" s="1717">
        <v>100</v>
      </c>
      <c r="H751" s="232"/>
      <c r="J751" s="522"/>
      <c r="K751" s="522"/>
    </row>
    <row r="752" spans="2:11" s="4099" customFormat="1" ht="12" hidden="1" customHeight="1" x14ac:dyDescent="0.25">
      <c r="B752" s="319"/>
      <c r="C752" s="4001"/>
      <c r="D752" s="798"/>
      <c r="E752" s="788"/>
      <c r="F752" s="2281"/>
      <c r="G752" s="2285"/>
      <c r="H752" s="232"/>
      <c r="J752" s="522"/>
      <c r="K752" s="522"/>
    </row>
    <row r="753" spans="2:11" s="4099" customFormat="1" ht="18" hidden="1" customHeight="1" x14ac:dyDescent="0.25">
      <c r="B753" s="312"/>
      <c r="C753" s="3913" t="s">
        <v>5176</v>
      </c>
      <c r="D753" s="3631">
        <f>D754</f>
        <v>300000000</v>
      </c>
      <c r="E753" s="3631">
        <f>E754</f>
        <v>300000000</v>
      </c>
      <c r="F753" s="2356">
        <f>E753/D753*100</f>
        <v>100</v>
      </c>
      <c r="G753" s="2356">
        <v>100</v>
      </c>
      <c r="H753" s="232"/>
      <c r="J753" s="522"/>
      <c r="K753" s="522"/>
    </row>
    <row r="754" spans="2:11" s="4099" customFormat="1" ht="12" hidden="1" customHeight="1" x14ac:dyDescent="0.25">
      <c r="B754" s="319"/>
      <c r="C754" s="4021" t="s">
        <v>5159</v>
      </c>
      <c r="D754" s="3632">
        <f>D755</f>
        <v>300000000</v>
      </c>
      <c r="E754" s="3632">
        <f>E755</f>
        <v>300000000</v>
      </c>
      <c r="F754" s="1671">
        <f>E754/D754*100</f>
        <v>100</v>
      </c>
      <c r="G754" s="2562">
        <v>100</v>
      </c>
      <c r="H754" s="232"/>
      <c r="J754" s="522"/>
      <c r="K754" s="522"/>
    </row>
    <row r="755" spans="2:11" s="4099" customFormat="1" ht="12" hidden="1" customHeight="1" x14ac:dyDescent="0.25">
      <c r="B755" s="319"/>
      <c r="C755" s="4118" t="s">
        <v>5160</v>
      </c>
      <c r="D755" s="3630">
        <v>300000000</v>
      </c>
      <c r="E755" s="666">
        <v>300000000</v>
      </c>
      <c r="F755" s="1312">
        <f>E755/D755*100</f>
        <v>100</v>
      </c>
      <c r="G755" s="1717">
        <v>100</v>
      </c>
      <c r="H755" s="232"/>
      <c r="J755" s="522"/>
      <c r="K755" s="522"/>
    </row>
    <row r="756" spans="2:11" s="4099" customFormat="1" ht="12" hidden="1" customHeight="1" x14ac:dyDescent="0.25">
      <c r="B756" s="319"/>
      <c r="C756" s="4001"/>
      <c r="D756" s="798"/>
      <c r="E756" s="788"/>
      <c r="F756" s="2281"/>
      <c r="G756" s="2285"/>
      <c r="H756" s="232"/>
      <c r="J756" s="522"/>
      <c r="K756" s="522"/>
    </row>
    <row r="757" spans="2:11" s="4099" customFormat="1" ht="17.25" hidden="1" customHeight="1" x14ac:dyDescent="0.25">
      <c r="B757" s="312"/>
      <c r="C757" s="3913" t="s">
        <v>5177</v>
      </c>
      <c r="D757" s="3631">
        <f>D758</f>
        <v>435600000</v>
      </c>
      <c r="E757" s="3631">
        <f>E758</f>
        <v>435600000</v>
      </c>
      <c r="F757" s="2356">
        <f>E757/D757*100</f>
        <v>100</v>
      </c>
      <c r="G757" s="2356">
        <v>100</v>
      </c>
      <c r="H757" s="232"/>
      <c r="J757" s="522"/>
      <c r="K757" s="522"/>
    </row>
    <row r="758" spans="2:11" s="4099" customFormat="1" ht="18" hidden="1" customHeight="1" x14ac:dyDescent="0.25">
      <c r="B758" s="319"/>
      <c r="C758" s="4021" t="s">
        <v>5161</v>
      </c>
      <c r="D758" s="3632">
        <f>D759</f>
        <v>435600000</v>
      </c>
      <c r="E758" s="3632">
        <f>E759</f>
        <v>435600000</v>
      </c>
      <c r="F758" s="1671">
        <f>E758/D758*100</f>
        <v>100</v>
      </c>
      <c r="G758" s="2562">
        <v>100</v>
      </c>
      <c r="H758" s="232"/>
      <c r="J758" s="522"/>
      <c r="K758" s="522"/>
    </row>
    <row r="759" spans="2:11" s="4099" customFormat="1" ht="12" hidden="1" customHeight="1" x14ac:dyDescent="0.25">
      <c r="B759" s="319"/>
      <c r="C759" s="4118" t="s">
        <v>5162</v>
      </c>
      <c r="D759" s="3630">
        <v>435600000</v>
      </c>
      <c r="E759" s="666">
        <v>435600000</v>
      </c>
      <c r="F759" s="1312">
        <f>E759/D759*100</f>
        <v>100</v>
      </c>
      <c r="G759" s="1717">
        <v>100</v>
      </c>
      <c r="H759" s="232"/>
      <c r="J759" s="522"/>
      <c r="K759" s="522"/>
    </row>
    <row r="760" spans="2:11" s="4099" customFormat="1" ht="12" hidden="1" customHeight="1" x14ac:dyDescent="0.25">
      <c r="B760" s="319"/>
      <c r="C760" s="4001"/>
      <c r="D760" s="798"/>
      <c r="E760" s="788"/>
      <c r="F760" s="2281"/>
      <c r="G760" s="2285"/>
      <c r="H760" s="232"/>
      <c r="J760" s="522"/>
      <c r="K760" s="522"/>
    </row>
    <row r="761" spans="2:11" s="4099" customFormat="1" ht="19.5" hidden="1" customHeight="1" x14ac:dyDescent="0.25">
      <c r="B761" s="312"/>
      <c r="C761" s="3913" t="s">
        <v>5178</v>
      </c>
      <c r="D761" s="3631">
        <f>D762</f>
        <v>300000000</v>
      </c>
      <c r="E761" s="3631">
        <f>E762</f>
        <v>299911500</v>
      </c>
      <c r="F761" s="2356">
        <f>E761/D761*100</f>
        <v>99.970500000000001</v>
      </c>
      <c r="G761" s="2356">
        <v>100</v>
      </c>
      <c r="H761" s="232"/>
      <c r="J761" s="522"/>
      <c r="K761" s="522"/>
    </row>
    <row r="762" spans="2:11" s="4099" customFormat="1" ht="20.25" hidden="1" customHeight="1" x14ac:dyDescent="0.25">
      <c r="B762" s="319"/>
      <c r="C762" s="4021" t="s">
        <v>5163</v>
      </c>
      <c r="D762" s="3632">
        <f>D763</f>
        <v>300000000</v>
      </c>
      <c r="E762" s="3632">
        <f>E763</f>
        <v>299911500</v>
      </c>
      <c r="F762" s="1671">
        <f>E762/D762*100</f>
        <v>99.970500000000001</v>
      </c>
      <c r="G762" s="2562">
        <v>100</v>
      </c>
      <c r="H762" s="232"/>
      <c r="J762" s="522"/>
      <c r="K762" s="522"/>
    </row>
    <row r="763" spans="2:11" s="4099" customFormat="1" ht="12" hidden="1" customHeight="1" x14ac:dyDescent="0.25">
      <c r="B763" s="319"/>
      <c r="C763" s="4118" t="s">
        <v>5164</v>
      </c>
      <c r="D763" s="3630">
        <v>300000000</v>
      </c>
      <c r="E763" s="666">
        <v>299911500</v>
      </c>
      <c r="F763" s="1312">
        <f>E763/D763*100</f>
        <v>99.970500000000001</v>
      </c>
      <c r="G763" s="1717">
        <v>100</v>
      </c>
      <c r="H763" s="232"/>
      <c r="J763" s="522"/>
      <c r="K763" s="522"/>
    </row>
    <row r="764" spans="2:11" s="4099" customFormat="1" ht="12" hidden="1" customHeight="1" x14ac:dyDescent="0.25">
      <c r="B764" s="319"/>
      <c r="C764" s="4001"/>
      <c r="D764" s="798"/>
      <c r="E764" s="788"/>
      <c r="F764" s="2281"/>
      <c r="G764" s="2285"/>
      <c r="H764" s="232"/>
      <c r="J764" s="522"/>
      <c r="K764" s="522"/>
    </row>
    <row r="765" spans="2:11" s="4099" customFormat="1" ht="19.5" hidden="1" customHeight="1" x14ac:dyDescent="0.25">
      <c r="B765" s="312"/>
      <c r="C765" s="3913" t="s">
        <v>5179</v>
      </c>
      <c r="D765" s="3631">
        <f>D766</f>
        <v>370000000</v>
      </c>
      <c r="E765" s="3631">
        <f>E766</f>
        <v>370000000</v>
      </c>
      <c r="F765" s="2356">
        <f>E765/D765*100</f>
        <v>100</v>
      </c>
      <c r="G765" s="2356">
        <v>100</v>
      </c>
      <c r="H765" s="232"/>
      <c r="J765" s="522"/>
      <c r="K765" s="522"/>
    </row>
    <row r="766" spans="2:11" s="4099" customFormat="1" ht="18" hidden="1" customHeight="1" x14ac:dyDescent="0.25">
      <c r="B766" s="319"/>
      <c r="C766" s="4021" t="s">
        <v>5165</v>
      </c>
      <c r="D766" s="3632">
        <f>D767</f>
        <v>370000000</v>
      </c>
      <c r="E766" s="3632">
        <f>E767</f>
        <v>370000000</v>
      </c>
      <c r="F766" s="1671">
        <f>E766/D766*100</f>
        <v>100</v>
      </c>
      <c r="G766" s="2562">
        <v>100</v>
      </c>
      <c r="H766" s="232"/>
      <c r="J766" s="522"/>
      <c r="K766" s="522"/>
    </row>
    <row r="767" spans="2:11" s="4099" customFormat="1" ht="12" hidden="1" customHeight="1" x14ac:dyDescent="0.25">
      <c r="B767" s="319"/>
      <c r="C767" s="4118" t="s">
        <v>5166</v>
      </c>
      <c r="D767" s="3630">
        <v>370000000</v>
      </c>
      <c r="E767" s="666">
        <v>370000000</v>
      </c>
      <c r="F767" s="1312">
        <f>E767/D767*100</f>
        <v>100</v>
      </c>
      <c r="G767" s="1717">
        <v>100</v>
      </c>
      <c r="H767" s="232"/>
      <c r="J767" s="522"/>
      <c r="K767" s="522"/>
    </row>
    <row r="768" spans="2:11" s="4099" customFormat="1" ht="12" hidden="1" customHeight="1" x14ac:dyDescent="0.25">
      <c r="B768" s="319"/>
      <c r="C768" s="4001"/>
      <c r="D768" s="798"/>
      <c r="E768" s="788"/>
      <c r="F768" s="2281"/>
      <c r="G768" s="2285"/>
      <c r="H768" s="232"/>
      <c r="J768" s="522"/>
      <c r="K768" s="522"/>
    </row>
    <row r="769" spans="2:11" s="4099" customFormat="1" ht="18" hidden="1" customHeight="1" x14ac:dyDescent="0.25">
      <c r="B769" s="312"/>
      <c r="C769" s="3913" t="s">
        <v>5180</v>
      </c>
      <c r="D769" s="3631">
        <f>D770</f>
        <v>395000000</v>
      </c>
      <c r="E769" s="3631">
        <f>E770</f>
        <v>395000000</v>
      </c>
      <c r="F769" s="2356">
        <f>E769/D769*100</f>
        <v>100</v>
      </c>
      <c r="G769" s="2356">
        <v>100</v>
      </c>
      <c r="H769" s="232"/>
      <c r="J769" s="522"/>
      <c r="K769" s="522"/>
    </row>
    <row r="770" spans="2:11" s="4099" customFormat="1" ht="15" hidden="1" customHeight="1" x14ac:dyDescent="0.25">
      <c r="B770" s="319"/>
      <c r="C770" s="4021" t="s">
        <v>5167</v>
      </c>
      <c r="D770" s="3632">
        <f>D771</f>
        <v>395000000</v>
      </c>
      <c r="E770" s="3632">
        <f>E771</f>
        <v>395000000</v>
      </c>
      <c r="F770" s="1671">
        <f>E770/D770*100</f>
        <v>100</v>
      </c>
      <c r="G770" s="2562">
        <v>100</v>
      </c>
      <c r="H770" s="232"/>
      <c r="J770" s="522"/>
      <c r="K770" s="522"/>
    </row>
    <row r="771" spans="2:11" s="4099" customFormat="1" ht="12" hidden="1" customHeight="1" x14ac:dyDescent="0.25">
      <c r="B771" s="319"/>
      <c r="C771" s="4118" t="s">
        <v>5168</v>
      </c>
      <c r="D771" s="3630">
        <v>395000000</v>
      </c>
      <c r="E771" s="666">
        <v>395000000</v>
      </c>
      <c r="F771" s="1312">
        <f>E771/D771*100</f>
        <v>100</v>
      </c>
      <c r="G771" s="1717">
        <v>100</v>
      </c>
      <c r="H771" s="232"/>
      <c r="J771" s="522"/>
      <c r="K771" s="522"/>
    </row>
    <row r="772" spans="2:11" s="4099" customFormat="1" ht="12" hidden="1" customHeight="1" x14ac:dyDescent="0.25">
      <c r="B772" s="319"/>
      <c r="C772" s="4001"/>
      <c r="D772" s="798"/>
      <c r="E772" s="788"/>
      <c r="F772" s="2281"/>
      <c r="G772" s="2285"/>
      <c r="H772" s="232"/>
      <c r="J772" s="522"/>
      <c r="K772" s="522"/>
    </row>
    <row r="773" spans="2:11" s="4099" customFormat="1" ht="17.25" hidden="1" customHeight="1" x14ac:dyDescent="0.25">
      <c r="B773" s="312"/>
      <c r="C773" s="3913" t="s">
        <v>5181</v>
      </c>
      <c r="D773" s="3631">
        <f>D774</f>
        <v>200000000</v>
      </c>
      <c r="E773" s="3631">
        <f>E774</f>
        <v>200000000</v>
      </c>
      <c r="F773" s="2356">
        <v>100</v>
      </c>
      <c r="G773" s="2356">
        <v>100</v>
      </c>
      <c r="H773" s="232"/>
      <c r="J773" s="522"/>
      <c r="K773" s="522"/>
    </row>
    <row r="774" spans="2:11" s="4099" customFormat="1" ht="12" hidden="1" customHeight="1" x14ac:dyDescent="0.25">
      <c r="B774" s="319"/>
      <c r="C774" s="4021" t="s">
        <v>5169</v>
      </c>
      <c r="D774" s="3632">
        <f>D775</f>
        <v>200000000</v>
      </c>
      <c r="E774" s="3632">
        <f>E775</f>
        <v>200000000</v>
      </c>
      <c r="F774" s="2562">
        <v>100</v>
      </c>
      <c r="G774" s="2562">
        <v>100</v>
      </c>
      <c r="H774" s="232"/>
      <c r="J774" s="522"/>
      <c r="K774" s="522"/>
    </row>
    <row r="775" spans="2:11" s="4099" customFormat="1" ht="12" hidden="1" customHeight="1" x14ac:dyDescent="0.25">
      <c r="B775" s="319"/>
      <c r="C775" s="4118" t="s">
        <v>5170</v>
      </c>
      <c r="D775" s="3630">
        <v>200000000</v>
      </c>
      <c r="E775" s="666">
        <v>200000000</v>
      </c>
      <c r="F775" s="1717">
        <v>100</v>
      </c>
      <c r="G775" s="1717">
        <v>100</v>
      </c>
      <c r="H775" s="232"/>
      <c r="J775" s="522"/>
      <c r="K775" s="522"/>
    </row>
    <row r="776" spans="2:11" s="4099" customFormat="1" ht="12" hidden="1" customHeight="1" x14ac:dyDescent="0.25">
      <c r="B776" s="319"/>
      <c r="C776" s="4001"/>
      <c r="D776" s="798"/>
      <c r="E776" s="788"/>
      <c r="F776" s="2281"/>
      <c r="G776" s="2285"/>
      <c r="H776" s="232"/>
      <c r="J776" s="522"/>
      <c r="K776" s="522"/>
    </row>
    <row r="777" spans="2:11" s="4099" customFormat="1" ht="18" hidden="1" customHeight="1" x14ac:dyDescent="0.25">
      <c r="B777" s="312"/>
      <c r="C777" s="3913" t="s">
        <v>5182</v>
      </c>
      <c r="D777" s="3631">
        <f>D778</f>
        <v>180000000</v>
      </c>
      <c r="E777" s="3631">
        <f>E778</f>
        <v>180000000</v>
      </c>
      <c r="F777" s="2356">
        <f>E777/D777*100</f>
        <v>100</v>
      </c>
      <c r="G777" s="2356">
        <v>100</v>
      </c>
      <c r="H777" s="232"/>
      <c r="J777" s="522"/>
      <c r="K777" s="522"/>
    </row>
    <row r="778" spans="2:11" s="4099" customFormat="1" ht="15" hidden="1" customHeight="1" x14ac:dyDescent="0.25">
      <c r="B778" s="319"/>
      <c r="C778" s="4021" t="s">
        <v>5171</v>
      </c>
      <c r="D778" s="3632">
        <f>D779</f>
        <v>180000000</v>
      </c>
      <c r="E778" s="3632">
        <f>E779</f>
        <v>180000000</v>
      </c>
      <c r="F778" s="1671">
        <f>E778/D778*100</f>
        <v>100</v>
      </c>
      <c r="G778" s="2562">
        <v>100</v>
      </c>
      <c r="H778" s="232"/>
      <c r="J778" s="522"/>
      <c r="K778" s="522"/>
    </row>
    <row r="779" spans="2:11" s="4099" customFormat="1" ht="12" hidden="1" customHeight="1" x14ac:dyDescent="0.25">
      <c r="B779" s="319"/>
      <c r="C779" s="4118" t="s">
        <v>5172</v>
      </c>
      <c r="D779" s="3630">
        <v>180000000</v>
      </c>
      <c r="E779" s="666">
        <v>180000000</v>
      </c>
      <c r="F779" s="1312">
        <f>E779/D779*100</f>
        <v>100</v>
      </c>
      <c r="G779" s="1717">
        <v>100</v>
      </c>
      <c r="H779" s="232"/>
      <c r="J779" s="522"/>
      <c r="K779" s="522"/>
    </row>
    <row r="780" spans="2:11" s="4099" customFormat="1" ht="12" hidden="1" customHeight="1" x14ac:dyDescent="0.25">
      <c r="B780" s="319"/>
      <c r="C780" s="4001"/>
      <c r="D780" s="798"/>
      <c r="E780" s="788"/>
      <c r="F780" s="2281"/>
      <c r="G780" s="2285"/>
      <c r="H780" s="232"/>
      <c r="J780" s="522"/>
      <c r="K780" s="522"/>
    </row>
    <row r="781" spans="2:11" s="4099" customFormat="1" ht="15.75" hidden="1" customHeight="1" x14ac:dyDescent="0.25">
      <c r="B781" s="312"/>
      <c r="C781" s="3913" t="s">
        <v>5183</v>
      </c>
      <c r="D781" s="3631">
        <f>D782</f>
        <v>180000000</v>
      </c>
      <c r="E781" s="3631">
        <f>E782</f>
        <v>180000000</v>
      </c>
      <c r="F781" s="2356">
        <f>E781/D781*100</f>
        <v>100</v>
      </c>
      <c r="G781" s="2356">
        <v>100</v>
      </c>
      <c r="H781" s="232"/>
      <c r="J781" s="522"/>
      <c r="K781" s="522"/>
    </row>
    <row r="782" spans="2:11" s="4099" customFormat="1" ht="17.25" hidden="1" customHeight="1" x14ac:dyDescent="0.25">
      <c r="B782" s="319"/>
      <c r="C782" s="4021" t="s">
        <v>5173</v>
      </c>
      <c r="D782" s="3632">
        <f>D783</f>
        <v>180000000</v>
      </c>
      <c r="E782" s="3632">
        <f>E783</f>
        <v>180000000</v>
      </c>
      <c r="F782" s="1671">
        <f>E782/D782*100</f>
        <v>100</v>
      </c>
      <c r="G782" s="2562">
        <v>100</v>
      </c>
      <c r="H782" s="232"/>
      <c r="J782" s="522"/>
      <c r="K782" s="522"/>
    </row>
    <row r="783" spans="2:11" s="4099" customFormat="1" ht="12" hidden="1" customHeight="1" x14ac:dyDescent="0.25">
      <c r="B783" s="319"/>
      <c r="C783" s="4118" t="s">
        <v>5174</v>
      </c>
      <c r="D783" s="3630">
        <v>180000000</v>
      </c>
      <c r="E783" s="666">
        <v>180000000</v>
      </c>
      <c r="F783" s="1312">
        <f>E783/D783*100</f>
        <v>100</v>
      </c>
      <c r="G783" s="1717">
        <v>100</v>
      </c>
      <c r="H783" s="232"/>
      <c r="J783" s="522"/>
      <c r="K783" s="522"/>
    </row>
    <row r="784" spans="2:11" s="4099" customFormat="1" ht="12" hidden="1" customHeight="1" x14ac:dyDescent="0.25">
      <c r="B784" s="319"/>
      <c r="C784" s="4001"/>
      <c r="D784" s="798"/>
      <c r="E784" s="788"/>
      <c r="F784" s="2281"/>
      <c r="G784" s="2285"/>
      <c r="H784" s="232"/>
      <c r="J784" s="522"/>
      <c r="K784" s="522"/>
    </row>
    <row r="785" spans="1:11" s="4099" customFormat="1" ht="19.5" hidden="1" customHeight="1" x14ac:dyDescent="0.25">
      <c r="B785" s="312"/>
      <c r="C785" s="3913" t="s">
        <v>5184</v>
      </c>
      <c r="D785" s="3631">
        <f>D786</f>
        <v>300000000</v>
      </c>
      <c r="E785" s="3631">
        <f>E786</f>
        <v>300000000</v>
      </c>
      <c r="F785" s="2356">
        <f>E785/D785*100</f>
        <v>100</v>
      </c>
      <c r="G785" s="2356">
        <v>100</v>
      </c>
      <c r="H785" s="232"/>
      <c r="J785" s="522"/>
      <c r="K785" s="522"/>
    </row>
    <row r="786" spans="1:11" s="4099" customFormat="1" ht="12" hidden="1" customHeight="1" x14ac:dyDescent="0.25">
      <c r="B786" s="319"/>
      <c r="C786" s="4021" t="s">
        <v>5185</v>
      </c>
      <c r="D786" s="3632">
        <f>D787</f>
        <v>300000000</v>
      </c>
      <c r="E786" s="3632">
        <f>E787</f>
        <v>300000000</v>
      </c>
      <c r="F786" s="1671">
        <f>E786/D786*100</f>
        <v>100</v>
      </c>
      <c r="G786" s="2562">
        <v>100</v>
      </c>
      <c r="H786" s="232"/>
      <c r="J786" s="522"/>
      <c r="K786" s="522"/>
    </row>
    <row r="787" spans="1:11" s="4099" customFormat="1" ht="12" hidden="1" customHeight="1" x14ac:dyDescent="0.25">
      <c r="B787" s="319"/>
      <c r="C787" s="4118" t="s">
        <v>5186</v>
      </c>
      <c r="D787" s="3630">
        <v>300000000</v>
      </c>
      <c r="E787" s="666">
        <v>300000000</v>
      </c>
      <c r="F787" s="1312">
        <f>E787/D787*100</f>
        <v>100</v>
      </c>
      <c r="G787" s="1717">
        <v>100</v>
      </c>
      <c r="H787" s="232"/>
      <c r="J787" s="522"/>
      <c r="K787" s="522"/>
    </row>
    <row r="788" spans="1:11" ht="16.5" hidden="1" customHeight="1" thickBot="1" x14ac:dyDescent="0.3">
      <c r="B788" s="316"/>
      <c r="C788" s="1134"/>
      <c r="D788" s="3145"/>
      <c r="E788" s="3146"/>
      <c r="F788" s="3147"/>
      <c r="G788" s="651"/>
      <c r="H788" s="279"/>
    </row>
    <row r="789" spans="1:11" s="221" customFormat="1" ht="21" customHeight="1" thickBot="1" x14ac:dyDescent="0.3">
      <c r="B789" s="597"/>
      <c r="C789" s="3148" t="s">
        <v>18</v>
      </c>
      <c r="D789" s="3149">
        <f>SUM(D15+D25)</f>
        <v>324940323392</v>
      </c>
      <c r="E789" s="3149">
        <f>SUM(E15+E25)</f>
        <v>305204399636</v>
      </c>
      <c r="F789" s="3151">
        <f>E789/D789*100</f>
        <v>93.926292818945996</v>
      </c>
      <c r="G789" s="3157">
        <f>SUM(G15+G25)/2</f>
        <v>84.333043915425364</v>
      </c>
      <c r="H789" s="598"/>
      <c r="J789" s="2067">
        <v>324940323392</v>
      </c>
      <c r="K789" s="2067">
        <v>305204399636</v>
      </c>
    </row>
    <row r="790" spans="1:11" ht="14.1" customHeight="1" thickTop="1" x14ac:dyDescent="0.25">
      <c r="B790" s="333"/>
      <c r="C790" s="329"/>
      <c r="D790" s="2939"/>
      <c r="E790" s="2939"/>
      <c r="F790" s="2592"/>
      <c r="G790" s="2592"/>
      <c r="H790" s="168"/>
    </row>
    <row r="791" spans="1:11" ht="20.100000000000001" customHeight="1" x14ac:dyDescent="0.25">
      <c r="B791" s="347"/>
      <c r="C791" s="337"/>
      <c r="D791" s="2939"/>
      <c r="E791" s="2939"/>
      <c r="F791" s="2592"/>
      <c r="G791" s="2882"/>
      <c r="H791" s="168"/>
    </row>
    <row r="792" spans="1:11" s="270" customFormat="1" x14ac:dyDescent="0.25">
      <c r="A792" s="3024"/>
      <c r="B792" s="5769"/>
      <c r="C792" s="5769"/>
      <c r="D792" s="500"/>
      <c r="E792" s="500"/>
      <c r="F792" s="462"/>
      <c r="G792" s="1228" t="s">
        <v>7122</v>
      </c>
      <c r="H792" s="462"/>
      <c r="I792" s="3024"/>
      <c r="J792" s="522"/>
      <c r="K792" s="2150"/>
    </row>
    <row r="793" spans="1:11" s="270" customFormat="1" x14ac:dyDescent="0.25">
      <c r="A793" s="3024"/>
      <c r="B793" s="343"/>
      <c r="C793" s="1348"/>
      <c r="D793" s="500"/>
      <c r="E793" s="500"/>
      <c r="F793" s="462"/>
      <c r="G793" s="1228" t="s">
        <v>2069</v>
      </c>
      <c r="H793" s="462"/>
      <c r="I793" s="3024"/>
      <c r="J793" s="522"/>
      <c r="K793" s="2150"/>
    </row>
    <row r="794" spans="1:11" s="270" customFormat="1" x14ac:dyDescent="0.25">
      <c r="A794" s="3024"/>
      <c r="B794" s="343"/>
      <c r="C794" s="1348"/>
      <c r="D794" s="500"/>
      <c r="E794" s="500"/>
      <c r="F794" s="462"/>
      <c r="G794" s="1228" t="s">
        <v>2067</v>
      </c>
      <c r="H794" s="462"/>
      <c r="I794" s="3024"/>
      <c r="J794" s="522"/>
      <c r="K794" s="2150"/>
    </row>
    <row r="795" spans="1:11" s="270" customFormat="1" x14ac:dyDescent="0.25">
      <c r="A795" s="3024"/>
      <c r="B795" s="343"/>
      <c r="C795" s="1348"/>
      <c r="D795" s="500"/>
      <c r="E795" s="500"/>
      <c r="F795" s="462"/>
      <c r="G795" s="462"/>
      <c r="H795" s="462"/>
      <c r="I795" s="3024"/>
      <c r="J795" s="522"/>
      <c r="K795" s="2150"/>
    </row>
    <row r="796" spans="1:11" s="270" customFormat="1" x14ac:dyDescent="0.25">
      <c r="A796" s="3024"/>
      <c r="B796" s="343"/>
      <c r="C796" s="1348"/>
      <c r="D796" s="500"/>
      <c r="E796" s="500"/>
      <c r="F796" s="462"/>
      <c r="G796" s="462"/>
      <c r="H796" s="462"/>
      <c r="I796" s="3024"/>
      <c r="J796" s="522"/>
      <c r="K796" s="2150"/>
    </row>
    <row r="797" spans="1:11" s="270" customFormat="1" x14ac:dyDescent="0.25">
      <c r="A797" s="3024"/>
      <c r="B797" s="343"/>
      <c r="C797" s="1348"/>
      <c r="D797" s="500"/>
      <c r="E797" s="500"/>
      <c r="F797" s="462"/>
      <c r="G797" s="462"/>
      <c r="H797" s="462"/>
      <c r="I797" s="3024"/>
      <c r="J797" s="522"/>
      <c r="K797" s="2150"/>
    </row>
    <row r="798" spans="1:11" s="270" customFormat="1" x14ac:dyDescent="0.25">
      <c r="A798" s="3024"/>
      <c r="B798" s="343"/>
      <c r="C798" s="1348"/>
      <c r="D798" s="500"/>
      <c r="E798" s="500"/>
      <c r="F798" s="462"/>
      <c r="G798" s="462"/>
      <c r="H798" s="462"/>
      <c r="I798" s="3024"/>
      <c r="J798" s="522"/>
      <c r="K798" s="2150"/>
    </row>
    <row r="799" spans="1:11" s="270" customFormat="1" x14ac:dyDescent="0.25">
      <c r="A799" s="3024"/>
      <c r="B799" s="343"/>
      <c r="C799" s="344"/>
      <c r="D799" s="500"/>
      <c r="E799" s="500"/>
      <c r="F799" s="462"/>
      <c r="G799" s="462"/>
      <c r="H799" s="462"/>
      <c r="I799" s="3024"/>
      <c r="J799" s="522"/>
      <c r="K799" s="2150"/>
    </row>
    <row r="800" spans="1:11" s="270" customFormat="1" ht="15.75" x14ac:dyDescent="0.25">
      <c r="A800" s="3024"/>
      <c r="B800" s="343"/>
      <c r="C800" s="344"/>
      <c r="D800" s="500"/>
      <c r="E800" s="500"/>
      <c r="F800" s="5786" t="s">
        <v>2070</v>
      </c>
      <c r="G800" s="5786"/>
      <c r="H800" s="5786"/>
      <c r="I800" s="3024"/>
      <c r="J800" s="522"/>
      <c r="K800" s="2150"/>
    </row>
    <row r="801" spans="1:11" s="270" customFormat="1" ht="15.75" x14ac:dyDescent="0.25">
      <c r="A801" s="3024"/>
      <c r="B801" s="343"/>
      <c r="C801" s="1348"/>
      <c r="D801" s="500"/>
      <c r="E801" s="500"/>
      <c r="F801" s="5787" t="s">
        <v>2071</v>
      </c>
      <c r="G801" s="5787"/>
      <c r="H801" s="5787"/>
      <c r="I801" s="3024"/>
      <c r="J801" s="522"/>
      <c r="K801" s="2150"/>
    </row>
    <row r="802" spans="1:11" s="270" customFormat="1" x14ac:dyDescent="0.25">
      <c r="A802" s="3024"/>
      <c r="B802" s="343"/>
      <c r="C802" s="1348"/>
      <c r="D802" s="500"/>
      <c r="E802" s="500"/>
      <c r="F802" s="2190"/>
      <c r="G802" s="3007" t="s">
        <v>2072</v>
      </c>
      <c r="H802" s="210"/>
      <c r="I802" s="3024"/>
      <c r="J802" s="522"/>
      <c r="K802" s="2150"/>
    </row>
    <row r="803" spans="1:11" s="270" customFormat="1" x14ac:dyDescent="0.25">
      <c r="A803" s="3024"/>
      <c r="B803" s="343"/>
      <c r="C803" s="1348"/>
      <c r="D803" s="500"/>
      <c r="E803" s="500"/>
      <c r="F803" s="2190"/>
      <c r="G803" s="3009"/>
      <c r="H803" s="3024"/>
      <c r="I803" s="3024"/>
      <c r="J803" s="522"/>
      <c r="K803" s="2150"/>
    </row>
    <row r="804" spans="1:11" s="270" customFormat="1" x14ac:dyDescent="0.25">
      <c r="A804" s="3024"/>
      <c r="B804" s="343"/>
      <c r="C804" s="2891"/>
      <c r="D804" s="500"/>
      <c r="E804" s="500"/>
      <c r="F804" s="2190"/>
      <c r="G804" s="2886"/>
      <c r="H804" s="3024"/>
      <c r="I804" s="3024"/>
      <c r="J804" s="522"/>
      <c r="K804" s="2150"/>
    </row>
    <row r="805" spans="1:11" s="270" customFormat="1" x14ac:dyDescent="0.25">
      <c r="A805" s="3024"/>
      <c r="B805" s="343"/>
      <c r="C805" s="1348"/>
      <c r="D805" s="500"/>
      <c r="E805" s="500"/>
      <c r="F805" s="2190"/>
      <c r="G805" s="3007"/>
      <c r="H805" s="3024"/>
      <c r="I805" s="3024"/>
      <c r="J805" s="522"/>
      <c r="K805" s="2150"/>
    </row>
    <row r="806" spans="1:11" s="270" customFormat="1" x14ac:dyDescent="0.25">
      <c r="A806" s="3024"/>
      <c r="B806" s="343"/>
      <c r="C806" s="1348"/>
      <c r="D806" s="500"/>
      <c r="E806" s="500"/>
      <c r="F806" s="2190"/>
      <c r="G806" s="2889"/>
      <c r="H806" s="3024"/>
      <c r="I806" s="3024"/>
      <c r="J806" s="522"/>
      <c r="K806" s="2150"/>
    </row>
  </sheetData>
  <mergeCells count="14">
    <mergeCell ref="B792:C792"/>
    <mergeCell ref="F800:H800"/>
    <mergeCell ref="F801:H801"/>
    <mergeCell ref="B11:B13"/>
    <mergeCell ref="C11:C13"/>
    <mergeCell ref="D11:G11"/>
    <mergeCell ref="H11:H13"/>
    <mergeCell ref="D12:G12"/>
    <mergeCell ref="B8:D8"/>
    <mergeCell ref="B1:H1"/>
    <mergeCell ref="B2:H2"/>
    <mergeCell ref="B3:H3"/>
    <mergeCell ref="A4:H4"/>
    <mergeCell ref="B7:H7"/>
  </mergeCells>
  <printOptions horizontalCentered="1"/>
  <pageMargins left="0.7" right="0.45" top="0.75" bottom="0.5" header="0.3" footer="0.3"/>
  <pageSetup paperSize="258" scale="55" orientation="landscape" r:id="rId1"/>
  <rowBreaks count="2" manualBreakCount="2">
    <brk id="708" max="13" man="1"/>
    <brk id="789" max="16383" man="1"/>
  </row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Q1040"/>
  <sheetViews>
    <sheetView tabSelected="1" view="pageBreakPreview" zoomScale="73" zoomScaleNormal="90" zoomScaleSheetLayoutView="73" workbookViewId="0">
      <pane xSplit="25245" topLeftCell="E1"/>
      <selection activeCell="D45" sqref="D45"/>
      <selection pane="topRight" activeCell="E6" sqref="E6"/>
    </sheetView>
  </sheetViews>
  <sheetFormatPr defaultColWidth="8.85546875" defaultRowHeight="15.75" x14ac:dyDescent="0.25"/>
  <cols>
    <col min="1" max="1" width="3.28515625" style="3024" customWidth="1"/>
    <col min="2" max="2" width="3.7109375" style="334" customWidth="1"/>
    <col min="3" max="3" width="78.140625" style="4926" customWidth="1"/>
    <col min="4" max="4" width="23.85546875" style="4942" customWidth="1"/>
    <col min="5" max="5" width="15.140625" style="4637" customWidth="1"/>
    <col min="6" max="6" width="23.140625" style="740" customWidth="1"/>
    <col min="7" max="7" width="24" style="905" customWidth="1"/>
    <col min="8" max="8" width="16.7109375" style="500" customWidth="1"/>
    <col min="9" max="9" width="12.140625" style="2188" customWidth="1"/>
    <col min="10" max="10" width="15.5703125" style="500" customWidth="1"/>
    <col min="11" max="11" width="18.7109375" style="500" customWidth="1"/>
    <col min="12" max="12" width="17.7109375" style="2190" customWidth="1"/>
    <col min="13" max="13" width="14.7109375" style="351" customWidth="1"/>
    <col min="14" max="14" width="16.28515625" style="3024" customWidth="1"/>
    <col min="15" max="15" width="13" style="3024" hidden="1" customWidth="1"/>
    <col min="16" max="17" width="17.42578125" style="522" bestFit="1" customWidth="1"/>
    <col min="18" max="16384" width="8.85546875" style="3024"/>
  </cols>
  <sheetData>
    <row r="1" spans="1:17" ht="20.100000000000001" customHeight="1" x14ac:dyDescent="0.35">
      <c r="B1" s="5783"/>
      <c r="C1" s="5783"/>
      <c r="D1" s="5783"/>
      <c r="E1" s="5783"/>
      <c r="F1" s="5783"/>
      <c r="G1" s="5783"/>
      <c r="H1" s="5783"/>
      <c r="I1" s="5783"/>
      <c r="J1" s="5783"/>
      <c r="K1" s="5783"/>
      <c r="L1" s="5783"/>
      <c r="M1" s="5783"/>
      <c r="N1" s="5783"/>
    </row>
    <row r="2" spans="1:17" s="221" customFormat="1" ht="18.75" customHeight="1" x14ac:dyDescent="0.3">
      <c r="A2" s="280"/>
      <c r="B2" s="5784" t="s">
        <v>388</v>
      </c>
      <c r="C2" s="5784"/>
      <c r="D2" s="5784"/>
      <c r="E2" s="5784"/>
      <c r="F2" s="5784"/>
      <c r="G2" s="5784"/>
      <c r="H2" s="5784"/>
      <c r="I2" s="5784"/>
      <c r="J2" s="5784"/>
      <c r="K2" s="5784"/>
      <c r="L2" s="5784"/>
      <c r="M2" s="5784"/>
      <c r="N2" s="5784"/>
      <c r="P2" s="2067"/>
      <c r="Q2" s="2067"/>
    </row>
    <row r="3" spans="1:17" ht="15.75" customHeight="1" x14ac:dyDescent="0.3">
      <c r="A3" s="280"/>
      <c r="B3" s="5773" t="s">
        <v>389</v>
      </c>
      <c r="C3" s="5773"/>
      <c r="D3" s="5773"/>
      <c r="E3" s="5773"/>
      <c r="F3" s="5773"/>
      <c r="G3" s="5773"/>
      <c r="H3" s="5773"/>
      <c r="I3" s="5773"/>
      <c r="J3" s="5773"/>
      <c r="K3" s="5773"/>
      <c r="L3" s="5773"/>
      <c r="M3" s="5773"/>
      <c r="N3" s="5773"/>
    </row>
    <row r="4" spans="1:17" ht="18.75" customHeight="1" x14ac:dyDescent="0.3">
      <c r="A4" s="5773" t="s">
        <v>2418</v>
      </c>
      <c r="B4" s="5773"/>
      <c r="C4" s="5773"/>
      <c r="D4" s="5773"/>
      <c r="E4" s="5773"/>
      <c r="F4" s="5773"/>
      <c r="G4" s="5773"/>
      <c r="H4" s="5773"/>
      <c r="I4" s="5773"/>
      <c r="J4" s="5773"/>
      <c r="K4" s="5773"/>
      <c r="L4" s="5773"/>
      <c r="M4" s="5773"/>
      <c r="N4" s="5773"/>
    </row>
    <row r="5" spans="1:17" ht="14.1" customHeight="1" x14ac:dyDescent="0.25">
      <c r="B5" s="323"/>
      <c r="C5" s="4909"/>
      <c r="D5" s="4940"/>
      <c r="E5" s="4634"/>
      <c r="F5" s="325"/>
      <c r="G5" s="326"/>
      <c r="H5" s="323"/>
      <c r="I5" s="2183"/>
      <c r="J5" s="323"/>
      <c r="K5" s="323"/>
      <c r="L5" s="393"/>
      <c r="M5" s="534"/>
      <c r="N5" s="3023"/>
    </row>
    <row r="6" spans="1:17" ht="14.1" customHeight="1" x14ac:dyDescent="0.25">
      <c r="B6" s="323"/>
      <c r="C6" s="4909"/>
      <c r="D6" s="4940"/>
      <c r="E6" s="4634"/>
      <c r="F6" s="325"/>
      <c r="G6" s="326"/>
      <c r="H6" s="323"/>
      <c r="I6" s="2183"/>
      <c r="J6" s="323"/>
      <c r="K6" s="323"/>
      <c r="L6" s="393"/>
      <c r="M6" s="534"/>
      <c r="N6" s="3023"/>
    </row>
    <row r="7" spans="1:17" ht="14.1" customHeight="1" x14ac:dyDescent="0.25">
      <c r="B7" s="5785" t="s">
        <v>220</v>
      </c>
      <c r="C7" s="5785"/>
      <c r="D7" s="5785"/>
      <c r="E7" s="5785"/>
      <c r="F7" s="5785"/>
      <c r="G7" s="5785"/>
      <c r="H7" s="5785"/>
      <c r="I7" s="5785"/>
      <c r="J7" s="5785"/>
      <c r="K7" s="5785"/>
      <c r="L7" s="5785"/>
      <c r="M7" s="5785"/>
      <c r="N7" s="5785"/>
    </row>
    <row r="8" spans="1:17" ht="14.1" customHeight="1" x14ac:dyDescent="0.25">
      <c r="B8" s="5695" t="s">
        <v>2456</v>
      </c>
      <c r="C8" s="5694"/>
      <c r="D8" s="5694"/>
      <c r="E8" s="5694"/>
      <c r="F8" s="5694"/>
      <c r="G8" s="5694"/>
      <c r="H8" s="5694"/>
      <c r="I8" s="5694"/>
      <c r="J8" s="5694"/>
      <c r="K8" s="210"/>
      <c r="L8" s="2185"/>
      <c r="M8" s="3010"/>
      <c r="N8" s="3014"/>
    </row>
    <row r="9" spans="1:17" ht="14.1" customHeight="1" x14ac:dyDescent="0.25">
      <c r="B9" s="341"/>
      <c r="C9" s="4636"/>
      <c r="D9" s="4941"/>
      <c r="E9" s="4635"/>
      <c r="F9" s="339"/>
      <c r="G9" s="346"/>
      <c r="H9" s="341"/>
      <c r="I9" s="2186"/>
      <c r="J9" s="341"/>
      <c r="K9" s="210"/>
      <c r="L9" s="2185"/>
      <c r="M9" s="3010"/>
      <c r="N9" s="278" t="s">
        <v>135</v>
      </c>
    </row>
    <row r="10" spans="1:17" ht="14.1" customHeight="1" thickBot="1" x14ac:dyDescent="0.3">
      <c r="B10" s="170"/>
      <c r="C10" s="4636"/>
      <c r="N10" s="160"/>
    </row>
    <row r="11" spans="1:17" ht="18.75" customHeight="1" x14ac:dyDescent="0.25">
      <c r="B11" s="5788" t="s">
        <v>1</v>
      </c>
      <c r="C11" s="5800" t="s">
        <v>2</v>
      </c>
      <c r="D11" s="5803" t="s">
        <v>3</v>
      </c>
      <c r="E11" s="5804"/>
      <c r="F11" s="5748" t="s">
        <v>30</v>
      </c>
      <c r="G11" s="5749"/>
      <c r="H11" s="5749"/>
      <c r="I11" s="5750"/>
      <c r="J11" s="5791" t="s">
        <v>31</v>
      </c>
      <c r="K11" s="5792"/>
      <c r="L11" s="5792"/>
      <c r="M11" s="5793"/>
      <c r="N11" s="5794" t="s">
        <v>4</v>
      </c>
    </row>
    <row r="12" spans="1:17" ht="7.5" customHeight="1" thickBot="1" x14ac:dyDescent="0.3">
      <c r="B12" s="5789"/>
      <c r="C12" s="5801"/>
      <c r="D12" s="5805"/>
      <c r="E12" s="5806"/>
      <c r="F12" s="5744"/>
      <c r="G12" s="5745"/>
      <c r="H12" s="5745"/>
      <c r="I12" s="5746"/>
      <c r="J12" s="5797"/>
      <c r="K12" s="5798"/>
      <c r="L12" s="5798"/>
      <c r="M12" s="5799"/>
      <c r="N12" s="5795"/>
    </row>
    <row r="13" spans="1:17" s="3022" customFormat="1" ht="82.5" customHeight="1" thickBot="1" x14ac:dyDescent="0.25">
      <c r="B13" s="5790"/>
      <c r="C13" s="5802"/>
      <c r="D13" s="4638" t="s">
        <v>33</v>
      </c>
      <c r="E13" s="4886" t="s">
        <v>133</v>
      </c>
      <c r="F13" s="744" t="s">
        <v>101</v>
      </c>
      <c r="G13" s="745" t="s">
        <v>102</v>
      </c>
      <c r="H13" s="2191" t="s">
        <v>103</v>
      </c>
      <c r="I13" s="2192" t="s">
        <v>104</v>
      </c>
      <c r="J13" s="2191" t="s">
        <v>33</v>
      </c>
      <c r="K13" s="2191" t="s">
        <v>105</v>
      </c>
      <c r="L13" s="2613" t="s">
        <v>103</v>
      </c>
      <c r="M13" s="739" t="s">
        <v>106</v>
      </c>
      <c r="N13" s="5796"/>
      <c r="P13" s="2146"/>
      <c r="Q13" s="2146"/>
    </row>
    <row r="14" spans="1:17" ht="20.100000000000001" customHeight="1" thickTop="1" thickBot="1" x14ac:dyDescent="0.3">
      <c r="B14" s="331" t="s">
        <v>8</v>
      </c>
      <c r="C14" s="4639" t="s">
        <v>9</v>
      </c>
      <c r="D14" s="4640" t="s">
        <v>10</v>
      </c>
      <c r="E14" s="4887" t="s">
        <v>11</v>
      </c>
      <c r="F14" s="746" t="s">
        <v>12</v>
      </c>
      <c r="G14" s="747" t="s">
        <v>13</v>
      </c>
      <c r="H14" s="2615" t="s">
        <v>35</v>
      </c>
      <c r="I14" s="3026" t="s">
        <v>36</v>
      </c>
      <c r="J14" s="3027" t="s">
        <v>37</v>
      </c>
      <c r="K14" s="340" t="s">
        <v>38</v>
      </c>
      <c r="L14" s="2195" t="s">
        <v>39</v>
      </c>
      <c r="M14" s="340" t="s">
        <v>107</v>
      </c>
      <c r="N14" s="254" t="s">
        <v>108</v>
      </c>
    </row>
    <row r="15" spans="1:17" s="269" customFormat="1" ht="21.75" customHeight="1" thickTop="1" x14ac:dyDescent="0.25">
      <c r="B15" s="318" t="s">
        <v>59</v>
      </c>
      <c r="C15" s="4641" t="s">
        <v>109</v>
      </c>
      <c r="D15" s="5254">
        <f>SUM(D17+D33+D37+D41)</f>
        <v>33561155500</v>
      </c>
      <c r="E15" s="5255">
        <f>D15/2507241496000*100</f>
        <v>1.3385689233981952</v>
      </c>
      <c r="F15" s="749"/>
      <c r="G15" s="5256"/>
      <c r="H15" s="5256"/>
      <c r="I15" s="5256"/>
      <c r="J15" s="3029"/>
      <c r="K15" s="3029"/>
      <c r="L15" s="3029"/>
      <c r="M15" s="1744"/>
      <c r="N15" s="268"/>
      <c r="P15" s="2069"/>
      <c r="Q15" s="2069"/>
    </row>
    <row r="16" spans="1:17" s="276" customFormat="1" ht="8.25" hidden="1" customHeight="1" x14ac:dyDescent="0.25">
      <c r="B16" s="2036"/>
      <c r="C16" s="4657"/>
      <c r="D16" s="5258"/>
      <c r="E16" s="5259"/>
      <c r="F16" s="2024"/>
      <c r="G16" s="3633"/>
      <c r="H16" s="3633"/>
      <c r="I16" s="3633"/>
      <c r="J16" s="5260"/>
      <c r="K16" s="5260"/>
      <c r="L16" s="5260"/>
      <c r="M16" s="5261"/>
      <c r="N16" s="275"/>
      <c r="P16" s="2148"/>
      <c r="Q16" s="2148"/>
    </row>
    <row r="17" spans="1:17" s="2070" customFormat="1" ht="20.25" hidden="1" customHeight="1" x14ac:dyDescent="0.25">
      <c r="B17" s="2904" t="s">
        <v>111</v>
      </c>
      <c r="C17" s="4643" t="s">
        <v>2356</v>
      </c>
      <c r="D17" s="4661">
        <f>D18+D21+D24+D27+D30</f>
        <v>26910660000</v>
      </c>
      <c r="E17" s="4812">
        <f>D17/250724149600*100</f>
        <v>10.733174304482715</v>
      </c>
      <c r="F17" s="832"/>
      <c r="G17" s="3631"/>
      <c r="H17" s="3631"/>
      <c r="I17" s="3631"/>
      <c r="J17" s="5257"/>
      <c r="K17" s="5257"/>
      <c r="L17" s="3631"/>
      <c r="M17" s="3478"/>
      <c r="N17" s="2077"/>
      <c r="P17" s="2085"/>
      <c r="Q17" s="2085"/>
    </row>
    <row r="18" spans="1:17" s="2070" customFormat="1" ht="20.25" hidden="1" customHeight="1" x14ac:dyDescent="0.25">
      <c r="B18" s="1242"/>
      <c r="C18" s="4645" t="s">
        <v>242</v>
      </c>
      <c r="D18" s="4944">
        <f>D19</f>
        <v>3050000000</v>
      </c>
      <c r="E18" s="4783">
        <f>D18/250724149600*100</f>
        <v>1.2164763565320316</v>
      </c>
      <c r="F18" s="3262"/>
      <c r="G18" s="795"/>
      <c r="H18" s="795"/>
      <c r="I18" s="795"/>
      <c r="J18" s="2542"/>
      <c r="K18" s="2542"/>
      <c r="L18" s="795"/>
      <c r="M18" s="795"/>
      <c r="N18" s="3263"/>
    </row>
    <row r="19" spans="1:17" s="2070" customFormat="1" ht="20.25" hidden="1" customHeight="1" x14ac:dyDescent="0.25">
      <c r="B19" s="1242"/>
      <c r="C19" s="4647" t="s">
        <v>2633</v>
      </c>
      <c r="D19" s="4945">
        <v>3050000000</v>
      </c>
      <c r="E19" s="4785">
        <f>D19/250724149600*100</f>
        <v>1.2164763565320316</v>
      </c>
      <c r="F19" s="758"/>
      <c r="G19" s="753"/>
      <c r="H19" s="753"/>
      <c r="I19" s="753"/>
      <c r="J19" s="1747"/>
      <c r="K19" s="1747"/>
      <c r="L19" s="753"/>
      <c r="M19" s="753"/>
      <c r="N19" s="2077"/>
    </row>
    <row r="20" spans="1:17" s="2070" customFormat="1" ht="12" hidden="1" customHeight="1" x14ac:dyDescent="0.25">
      <c r="B20" s="1242"/>
      <c r="C20" s="4649"/>
      <c r="D20" s="4946"/>
      <c r="E20" s="4785"/>
      <c r="F20" s="758"/>
      <c r="G20" s="753"/>
      <c r="H20" s="753"/>
      <c r="I20" s="753"/>
      <c r="J20" s="1747"/>
      <c r="K20" s="1747"/>
      <c r="L20" s="753"/>
      <c r="M20" s="753"/>
      <c r="N20" s="2077"/>
    </row>
    <row r="21" spans="1:17" s="2070" customFormat="1" ht="20.25" hidden="1" customHeight="1" x14ac:dyDescent="0.25">
      <c r="B21" s="1242"/>
      <c r="C21" s="4649" t="s">
        <v>283</v>
      </c>
      <c r="D21" s="4946">
        <f>D22</f>
        <v>585000000</v>
      </c>
      <c r="E21" s="4783">
        <f t="shared" ref="E21:E31" si="0">D21/250724149600*100</f>
        <v>0.23332415362991424</v>
      </c>
      <c r="F21" s="758"/>
      <c r="G21" s="753"/>
      <c r="H21" s="753"/>
      <c r="I21" s="753"/>
      <c r="J21" s="1747"/>
      <c r="K21" s="1747"/>
      <c r="L21" s="753"/>
      <c r="M21" s="753"/>
      <c r="N21" s="2077"/>
    </row>
    <row r="22" spans="1:17" s="2070" customFormat="1" ht="20.25" hidden="1" customHeight="1" x14ac:dyDescent="0.25">
      <c r="B22" s="1242"/>
      <c r="C22" s="4650" t="s">
        <v>2634</v>
      </c>
      <c r="D22" s="4947">
        <v>585000000</v>
      </c>
      <c r="E22" s="4785">
        <f t="shared" si="0"/>
        <v>0.23332415362991424</v>
      </c>
      <c r="F22" s="3262"/>
      <c r="G22" s="795"/>
      <c r="H22" s="795"/>
      <c r="I22" s="795"/>
      <c r="J22" s="2542"/>
      <c r="K22" s="2542"/>
      <c r="L22" s="795"/>
      <c r="M22" s="795"/>
      <c r="N22" s="3263"/>
    </row>
    <row r="23" spans="1:17" s="2070" customFormat="1" ht="11.25" hidden="1" customHeight="1" x14ac:dyDescent="0.25">
      <c r="B23" s="1242"/>
      <c r="C23" s="4649"/>
      <c r="D23" s="4946"/>
      <c r="E23" s="4785"/>
      <c r="F23" s="758"/>
      <c r="G23" s="753"/>
      <c r="H23" s="753"/>
      <c r="I23" s="753"/>
      <c r="J23" s="1747"/>
      <c r="K23" s="1747"/>
      <c r="L23" s="753"/>
      <c r="M23" s="753"/>
      <c r="N23" s="2077"/>
    </row>
    <row r="24" spans="1:17" s="2070" customFormat="1" ht="34.5" hidden="1" customHeight="1" x14ac:dyDescent="0.25">
      <c r="B24" s="1242"/>
      <c r="C24" s="4649" t="s">
        <v>2635</v>
      </c>
      <c r="D24" s="4946">
        <f>D25</f>
        <v>2500000000</v>
      </c>
      <c r="E24" s="4783">
        <f t="shared" si="0"/>
        <v>0.99711176764920617</v>
      </c>
      <c r="F24" s="758"/>
      <c r="G24" s="753"/>
      <c r="H24" s="753"/>
      <c r="I24" s="753"/>
      <c r="J24" s="1747"/>
      <c r="K24" s="1747"/>
      <c r="L24" s="753"/>
      <c r="M24" s="753"/>
      <c r="N24" s="2077"/>
    </row>
    <row r="25" spans="1:17" s="2070" customFormat="1" ht="18" hidden="1" customHeight="1" x14ac:dyDescent="0.25">
      <c r="B25" s="1242"/>
      <c r="C25" s="4647" t="s">
        <v>2636</v>
      </c>
      <c r="D25" s="4945">
        <v>2500000000</v>
      </c>
      <c r="E25" s="4785">
        <f t="shared" si="0"/>
        <v>0.99711176764920617</v>
      </c>
      <c r="F25" s="758"/>
      <c r="G25" s="753"/>
      <c r="H25" s="753"/>
      <c r="I25" s="753"/>
      <c r="J25" s="1747"/>
      <c r="K25" s="1747"/>
      <c r="L25" s="753"/>
      <c r="M25" s="753"/>
      <c r="N25" s="2077"/>
    </row>
    <row r="26" spans="1:17" s="2070" customFormat="1" ht="13.5" hidden="1" customHeight="1" x14ac:dyDescent="0.25">
      <c r="B26" s="1242"/>
      <c r="C26" s="4649"/>
      <c r="D26" s="4946"/>
      <c r="E26" s="4785"/>
      <c r="F26" s="758"/>
      <c r="G26" s="753"/>
      <c r="H26" s="753"/>
      <c r="I26" s="753"/>
      <c r="J26" s="1747"/>
      <c r="K26" s="1747"/>
      <c r="L26" s="753"/>
      <c r="M26" s="753"/>
      <c r="N26" s="2077"/>
    </row>
    <row r="27" spans="1:17" s="2070" customFormat="1" ht="21" hidden="1" customHeight="1" x14ac:dyDescent="0.25">
      <c r="B27" s="1242"/>
      <c r="C27" s="4649" t="s">
        <v>2637</v>
      </c>
      <c r="D27" s="4946">
        <f>D28</f>
        <v>14996460000</v>
      </c>
      <c r="E27" s="4783">
        <f t="shared" si="0"/>
        <v>5.9812586956322455</v>
      </c>
      <c r="F27" s="758"/>
      <c r="G27" s="753"/>
      <c r="H27" s="753"/>
      <c r="I27" s="753"/>
      <c r="J27" s="1747"/>
      <c r="K27" s="1747"/>
      <c r="L27" s="753"/>
      <c r="M27" s="753"/>
      <c r="N27" s="2077"/>
    </row>
    <row r="28" spans="1:17" s="1639" customFormat="1" ht="35.25" hidden="1" customHeight="1" x14ac:dyDescent="0.25">
      <c r="A28" s="1637"/>
      <c r="B28" s="1242"/>
      <c r="C28" s="4647" t="s">
        <v>2638</v>
      </c>
      <c r="D28" s="4948">
        <v>14996460000</v>
      </c>
      <c r="E28" s="4785">
        <f t="shared" si="0"/>
        <v>5.9812586956322455</v>
      </c>
      <c r="F28" s="769"/>
      <c r="G28" s="755"/>
      <c r="H28" s="755"/>
      <c r="I28" s="755"/>
      <c r="J28" s="1756"/>
      <c r="K28" s="2164"/>
      <c r="L28" s="755"/>
      <c r="M28" s="755"/>
      <c r="N28" s="1638"/>
    </row>
    <row r="29" spans="1:17" s="1639" customFormat="1" ht="16.5" hidden="1" customHeight="1" x14ac:dyDescent="0.25">
      <c r="A29" s="1637"/>
      <c r="B29" s="1242"/>
      <c r="C29" s="4647"/>
      <c r="D29" s="4949"/>
      <c r="E29" s="4785"/>
      <c r="F29" s="554"/>
      <c r="G29" s="313"/>
      <c r="H29" s="2202"/>
      <c r="I29" s="2164"/>
      <c r="J29" s="1755"/>
      <c r="K29" s="2210"/>
      <c r="L29" s="2204"/>
      <c r="M29" s="2164"/>
      <c r="N29" s="1638"/>
    </row>
    <row r="30" spans="1:17" s="2070" customFormat="1" ht="29.25" hidden="1" customHeight="1" x14ac:dyDescent="0.25">
      <c r="B30" s="1242"/>
      <c r="C30" s="4649" t="s">
        <v>2639</v>
      </c>
      <c r="D30" s="4950">
        <f>D31</f>
        <v>5779200000</v>
      </c>
      <c r="E30" s="4783">
        <f t="shared" si="0"/>
        <v>2.3050033310393165</v>
      </c>
      <c r="F30" s="770"/>
      <c r="G30" s="766"/>
      <c r="H30" s="766"/>
      <c r="I30" s="766"/>
      <c r="J30" s="1757"/>
      <c r="K30" s="1757"/>
      <c r="L30" s="766"/>
      <c r="M30" s="766"/>
      <c r="N30" s="2077"/>
    </row>
    <row r="31" spans="1:17" s="2070" customFormat="1" ht="20.25" hidden="1" customHeight="1" x14ac:dyDescent="0.25">
      <c r="B31" s="1242"/>
      <c r="C31" s="4647" t="s">
        <v>2640</v>
      </c>
      <c r="D31" s="4651">
        <v>5779200000</v>
      </c>
      <c r="E31" s="4785">
        <f t="shared" si="0"/>
        <v>2.3050033310393165</v>
      </c>
      <c r="F31" s="771"/>
      <c r="G31" s="755"/>
      <c r="H31" s="755"/>
      <c r="I31" s="755"/>
      <c r="J31" s="1748"/>
      <c r="K31" s="2203"/>
      <c r="L31" s="2204"/>
      <c r="M31" s="755"/>
      <c r="N31" s="2077"/>
    </row>
    <row r="32" spans="1:17" ht="12" hidden="1" customHeight="1" x14ac:dyDescent="0.25">
      <c r="B32" s="499"/>
      <c r="C32" s="4695"/>
      <c r="D32" s="4953"/>
      <c r="E32" s="4696"/>
      <c r="F32" s="660"/>
      <c r="G32" s="882"/>
      <c r="H32" s="1651"/>
      <c r="I32" s="2295"/>
      <c r="J32" s="1651"/>
      <c r="K32" s="1651"/>
      <c r="L32" s="775"/>
      <c r="M32" s="358"/>
      <c r="N32" s="281"/>
    </row>
    <row r="33" spans="1:17" s="4099" customFormat="1" ht="23.25" hidden="1" customHeight="1" x14ac:dyDescent="0.25">
      <c r="B33" s="4050" t="s">
        <v>225</v>
      </c>
      <c r="C33" s="4643" t="s">
        <v>2355</v>
      </c>
      <c r="D33" s="4968">
        <f>D34</f>
        <v>4258500000</v>
      </c>
      <c r="E33" s="5312">
        <f>D33/250724149600*100</f>
        <v>1.6984801850136577</v>
      </c>
      <c r="F33" s="3271"/>
      <c r="G33" s="5309"/>
      <c r="H33" s="2845"/>
      <c r="I33" s="3839"/>
      <c r="J33" s="2845"/>
      <c r="K33" s="2845"/>
      <c r="L33" s="2356"/>
      <c r="M33" s="3571"/>
      <c r="N33" s="3565"/>
      <c r="P33" s="522"/>
      <c r="Q33" s="522"/>
    </row>
    <row r="34" spans="1:17" s="4099" customFormat="1" ht="19.5" hidden="1" customHeight="1" x14ac:dyDescent="0.25">
      <c r="B34" s="499"/>
      <c r="C34" s="4750" t="s">
        <v>2648</v>
      </c>
      <c r="D34" s="5311">
        <f>D35</f>
        <v>4258500000</v>
      </c>
      <c r="E34" s="4783">
        <f>D34/250724149600*100</f>
        <v>1.6984801850136577</v>
      </c>
      <c r="F34" s="2674"/>
      <c r="G34" s="883"/>
      <c r="H34" s="791"/>
      <c r="I34" s="1108"/>
      <c r="J34" s="2370"/>
      <c r="K34" s="2370"/>
      <c r="L34" s="1659"/>
      <c r="M34" s="5310"/>
      <c r="N34" s="639"/>
      <c r="P34" s="522"/>
      <c r="Q34" s="522"/>
    </row>
    <row r="35" spans="1:17" s="4099" customFormat="1" ht="19.5" hidden="1" customHeight="1" x14ac:dyDescent="0.25">
      <c r="B35" s="499"/>
      <c r="C35" s="4647" t="s">
        <v>2650</v>
      </c>
      <c r="D35" s="4951">
        <v>4258500000</v>
      </c>
      <c r="E35" s="4785">
        <f>D35/250724149600*100</f>
        <v>1.6984801850136577</v>
      </c>
      <c r="F35" s="780"/>
      <c r="G35" s="878"/>
      <c r="H35" s="1651"/>
      <c r="I35" s="1109"/>
      <c r="J35" s="1314"/>
      <c r="K35" s="1314"/>
      <c r="L35" s="1650"/>
      <c r="M35" s="557"/>
      <c r="N35" s="232"/>
      <c r="P35" s="522"/>
      <c r="Q35" s="522"/>
    </row>
    <row r="36" spans="1:17" s="4099" customFormat="1" ht="12" hidden="1" customHeight="1" x14ac:dyDescent="0.25">
      <c r="B36" s="499"/>
      <c r="C36" s="4647"/>
      <c r="D36" s="4953"/>
      <c r="E36" s="4696"/>
      <c r="F36" s="660"/>
      <c r="G36" s="882"/>
      <c r="H36" s="1651"/>
      <c r="I36" s="2295"/>
      <c r="J36" s="1651"/>
      <c r="K36" s="1651"/>
      <c r="L36" s="775"/>
      <c r="M36" s="358"/>
      <c r="N36" s="281"/>
      <c r="P36" s="522"/>
      <c r="Q36" s="522"/>
    </row>
    <row r="37" spans="1:17" s="4099" customFormat="1" ht="23.25" hidden="1" customHeight="1" x14ac:dyDescent="0.25">
      <c r="B37" s="4050" t="s">
        <v>230</v>
      </c>
      <c r="C37" s="4643" t="s">
        <v>2353</v>
      </c>
      <c r="D37" s="4968">
        <f>D38</f>
        <v>1391995500</v>
      </c>
      <c r="E37" s="5312">
        <f>D37/250724149600*100</f>
        <v>0.55519003742589612</v>
      </c>
      <c r="F37" s="3271"/>
      <c r="G37" s="5309"/>
      <c r="H37" s="2845"/>
      <c r="I37" s="3839"/>
      <c r="J37" s="2845"/>
      <c r="K37" s="2845"/>
      <c r="L37" s="2356"/>
      <c r="M37" s="3571"/>
      <c r="N37" s="3565"/>
      <c r="P37" s="522"/>
      <c r="Q37" s="522"/>
    </row>
    <row r="38" spans="1:17" s="4099" customFormat="1" ht="20.25" hidden="1" customHeight="1" x14ac:dyDescent="0.25">
      <c r="B38" s="499"/>
      <c r="C38" s="5324" t="s">
        <v>2666</v>
      </c>
      <c r="D38" s="5311">
        <f>D39</f>
        <v>1391995500</v>
      </c>
      <c r="E38" s="4783">
        <f>D38/250724149600*100</f>
        <v>0.55519003742589612</v>
      </c>
      <c r="F38" s="2674"/>
      <c r="G38" s="883"/>
      <c r="H38" s="791"/>
      <c r="I38" s="1108"/>
      <c r="J38" s="2370"/>
      <c r="K38" s="2370"/>
      <c r="L38" s="1659"/>
      <c r="M38" s="5310"/>
      <c r="N38" s="639"/>
      <c r="P38" s="522"/>
      <c r="Q38" s="522"/>
    </row>
    <row r="39" spans="1:17" s="4099" customFormat="1" ht="18" hidden="1" customHeight="1" x14ac:dyDescent="0.25">
      <c r="B39" s="499"/>
      <c r="C39" s="4647" t="s">
        <v>2669</v>
      </c>
      <c r="D39" s="4669">
        <v>1391995500</v>
      </c>
      <c r="E39" s="4785">
        <f>D39/250724149600*100</f>
        <v>0.55519003742589612</v>
      </c>
      <c r="F39" s="780"/>
      <c r="G39" s="878"/>
      <c r="H39" s="1651"/>
      <c r="I39" s="1109"/>
      <c r="J39" s="1314"/>
      <c r="K39" s="1314"/>
      <c r="L39" s="1650"/>
      <c r="M39" s="557"/>
      <c r="N39" s="232"/>
      <c r="P39" s="522"/>
      <c r="Q39" s="522"/>
    </row>
    <row r="40" spans="1:17" s="4099" customFormat="1" ht="12" hidden="1" customHeight="1" x14ac:dyDescent="0.25">
      <c r="B40" s="499"/>
      <c r="C40" s="4647"/>
      <c r="D40" s="4953"/>
      <c r="E40" s="4696"/>
      <c r="F40" s="660"/>
      <c r="G40" s="882"/>
      <c r="H40" s="1651"/>
      <c r="I40" s="2295"/>
      <c r="J40" s="1651"/>
      <c r="K40" s="1651"/>
      <c r="L40" s="775"/>
      <c r="M40" s="358"/>
      <c r="N40" s="281"/>
      <c r="P40" s="522"/>
      <c r="Q40" s="522"/>
    </row>
    <row r="41" spans="1:17" s="4099" customFormat="1" ht="23.25" hidden="1" customHeight="1" x14ac:dyDescent="0.25">
      <c r="B41" s="4050" t="s">
        <v>65</v>
      </c>
      <c r="C41" s="4643" t="s">
        <v>2722</v>
      </c>
      <c r="D41" s="4968">
        <f>D42</f>
        <v>1000000000</v>
      </c>
      <c r="E41" s="5312">
        <f>D41/250724149600*100</f>
        <v>0.39884470705968245</v>
      </c>
      <c r="F41" s="3271"/>
      <c r="G41" s="5309"/>
      <c r="H41" s="2845"/>
      <c r="I41" s="3839"/>
      <c r="J41" s="2845"/>
      <c r="K41" s="2845"/>
      <c r="L41" s="2356"/>
      <c r="M41" s="3571"/>
      <c r="N41" s="3565"/>
      <c r="P41" s="522"/>
      <c r="Q41" s="522"/>
    </row>
    <row r="42" spans="1:17" s="4099" customFormat="1" ht="20.25" hidden="1" customHeight="1" x14ac:dyDescent="0.25">
      <c r="B42" s="499"/>
      <c r="C42" s="4750" t="s">
        <v>2723</v>
      </c>
      <c r="D42" s="4805">
        <f>D43</f>
        <v>1000000000</v>
      </c>
      <c r="E42" s="4783">
        <f>D42/250724149600*100</f>
        <v>0.39884470705968245</v>
      </c>
      <c r="F42" s="2674"/>
      <c r="G42" s="883"/>
      <c r="H42" s="791"/>
      <c r="I42" s="1108"/>
      <c r="J42" s="2370"/>
      <c r="K42" s="2370"/>
      <c r="L42" s="1659"/>
      <c r="M42" s="5310"/>
      <c r="N42" s="639"/>
      <c r="P42" s="522"/>
      <c r="Q42" s="522"/>
    </row>
    <row r="43" spans="1:17" s="4099" customFormat="1" ht="20.25" hidden="1" customHeight="1" x14ac:dyDescent="0.25">
      <c r="B43" s="499"/>
      <c r="C43" s="4647" t="s">
        <v>2724</v>
      </c>
      <c r="D43" s="4666">
        <v>1000000000</v>
      </c>
      <c r="E43" s="4785">
        <f>D43/250724149600*100</f>
        <v>0.39884470705968245</v>
      </c>
      <c r="F43" s="780"/>
      <c r="G43" s="878"/>
      <c r="H43" s="1651"/>
      <c r="I43" s="1109"/>
      <c r="J43" s="1314"/>
      <c r="K43" s="1314"/>
      <c r="L43" s="1650"/>
      <c r="M43" s="557"/>
      <c r="N43" s="232"/>
      <c r="P43" s="522"/>
      <c r="Q43" s="522"/>
    </row>
    <row r="44" spans="1:17" s="4099" customFormat="1" ht="12" hidden="1" customHeight="1" x14ac:dyDescent="0.25">
      <c r="B44" s="499"/>
      <c r="C44" s="4647"/>
      <c r="D44" s="4951"/>
      <c r="E44" s="4652"/>
      <c r="F44" s="780"/>
      <c r="G44" s="878"/>
      <c r="H44" s="1651"/>
      <c r="I44" s="1109"/>
      <c r="J44" s="1314"/>
      <c r="K44" s="1314"/>
      <c r="L44" s="1650"/>
      <c r="M44" s="557"/>
      <c r="N44" s="232"/>
      <c r="P44" s="522"/>
      <c r="Q44" s="522"/>
    </row>
    <row r="45" spans="1:17" s="276" customFormat="1" ht="24.75" customHeight="1" x14ac:dyDescent="0.25">
      <c r="A45" s="274"/>
      <c r="B45" s="318" t="s">
        <v>79</v>
      </c>
      <c r="C45" s="4641" t="s">
        <v>17</v>
      </c>
      <c r="D45" s="4952">
        <f>SUM(D47+D106+D144+D275+D229+D344+D438+D519+D764+D902+D853+D652+D605)</f>
        <v>374230355598</v>
      </c>
      <c r="E45" s="4642">
        <f>D45/2507241496000*100</f>
        <v>14.92597965513251</v>
      </c>
      <c r="F45" s="787"/>
      <c r="G45" s="787"/>
      <c r="H45" s="3030"/>
      <c r="I45" s="787"/>
      <c r="J45" s="787"/>
      <c r="K45" s="787"/>
      <c r="L45" s="3031"/>
      <c r="M45" s="527"/>
      <c r="N45" s="275"/>
      <c r="P45" s="2148"/>
      <c r="Q45" s="2148"/>
    </row>
    <row r="46" spans="1:17" ht="12" hidden="1" customHeight="1" x14ac:dyDescent="0.25">
      <c r="B46" s="314"/>
      <c r="C46" s="4653"/>
      <c r="D46" s="4953"/>
      <c r="E46" s="4888"/>
      <c r="F46" s="788"/>
      <c r="G46" s="788"/>
      <c r="H46" s="1651"/>
      <c r="I46" s="1651"/>
      <c r="J46" s="1314"/>
      <c r="K46" s="1314"/>
      <c r="L46" s="775"/>
      <c r="M46" s="557"/>
      <c r="N46" s="232"/>
    </row>
    <row r="47" spans="1:17" s="2058" customFormat="1" ht="21.75" customHeight="1" x14ac:dyDescent="0.25">
      <c r="B47" s="616"/>
      <c r="C47" s="4655" t="s">
        <v>557</v>
      </c>
      <c r="D47" s="4954">
        <f>SUM(D49+D91+D102+D95)</f>
        <v>43814781895</v>
      </c>
      <c r="E47" s="4889">
        <f>D47/D45*100</f>
        <v>11.70797110378348</v>
      </c>
      <c r="F47" s="3403"/>
      <c r="G47" s="2699"/>
      <c r="H47" s="2506"/>
      <c r="I47" s="2699"/>
      <c r="J47" s="2699"/>
      <c r="K47" s="2699"/>
      <c r="L47" s="2506"/>
      <c r="M47" s="2063"/>
      <c r="N47" s="2059"/>
      <c r="P47" s="2151"/>
      <c r="Q47" s="2151"/>
    </row>
    <row r="48" spans="1:17" ht="6.75" hidden="1" customHeight="1" x14ac:dyDescent="0.25">
      <c r="B48" s="319"/>
      <c r="C48" s="4657"/>
      <c r="D48" s="4658"/>
      <c r="E48" s="4890"/>
      <c r="F48" s="790"/>
      <c r="G48" s="791"/>
      <c r="H48" s="2409"/>
      <c r="I48" s="791"/>
      <c r="J48" s="1314"/>
      <c r="K48" s="1314"/>
      <c r="L48" s="1659"/>
      <c r="M48" s="557"/>
      <c r="N48" s="232"/>
    </row>
    <row r="49" spans="1:17" s="1639" customFormat="1" ht="21" hidden="1" customHeight="1" x14ac:dyDescent="0.25">
      <c r="B49" s="1715"/>
      <c r="C49" s="4660" t="s">
        <v>241</v>
      </c>
      <c r="D49" s="4661">
        <f>SUM(D50+D53+D81)</f>
        <v>20745893240</v>
      </c>
      <c r="E49" s="4845">
        <f>D49/183431447000*100</f>
        <v>11.309889105328816</v>
      </c>
      <c r="F49" s="765"/>
      <c r="G49" s="765"/>
      <c r="H49" s="669"/>
      <c r="I49" s="2239"/>
      <c r="J49" s="765"/>
      <c r="K49" s="765"/>
      <c r="L49" s="1462"/>
      <c r="M49" s="2092"/>
      <c r="N49" s="2084"/>
      <c r="P49" s="2093"/>
      <c r="Q49" s="2093"/>
    </row>
    <row r="50" spans="1:17" s="1639" customFormat="1" ht="19.5" hidden="1" customHeight="1" x14ac:dyDescent="0.25">
      <c r="A50" s="1637"/>
      <c r="B50" s="4119"/>
      <c r="C50" s="4662" t="s">
        <v>7004</v>
      </c>
      <c r="D50" s="4663">
        <f>SUM(D51)</f>
        <v>7840926585</v>
      </c>
      <c r="E50" s="4664">
        <f>D50/183431447000*100</f>
        <v>4.2745814380453533</v>
      </c>
      <c r="F50" s="654"/>
      <c r="G50" s="3633"/>
      <c r="H50" s="3633"/>
      <c r="I50" s="3633"/>
      <c r="J50" s="654"/>
      <c r="K50" s="1771"/>
      <c r="L50" s="3633"/>
      <c r="M50" s="3633"/>
      <c r="N50" s="1638"/>
      <c r="P50" s="4588"/>
    </row>
    <row r="51" spans="1:17" s="1639" customFormat="1" ht="18" hidden="1" customHeight="1" x14ac:dyDescent="0.25">
      <c r="A51" s="1637"/>
      <c r="B51" s="4119"/>
      <c r="C51" s="4665" t="s">
        <v>7005</v>
      </c>
      <c r="D51" s="4666">
        <v>7840926585</v>
      </c>
      <c r="E51" s="4667">
        <f>D51/183431447000*100</f>
        <v>4.2745814380453533</v>
      </c>
      <c r="F51" s="624"/>
      <c r="G51" s="3630"/>
      <c r="H51" s="3630"/>
      <c r="I51" s="3630"/>
      <c r="J51" s="1774"/>
      <c r="K51" s="3879"/>
      <c r="L51" s="3630"/>
      <c r="M51" s="3630"/>
      <c r="N51" s="1638"/>
      <c r="P51" s="4588"/>
    </row>
    <row r="52" spans="1:17" s="1639" customFormat="1" ht="12" hidden="1" customHeight="1" x14ac:dyDescent="0.25">
      <c r="A52" s="1637"/>
      <c r="B52" s="4119"/>
      <c r="C52" s="4668"/>
      <c r="D52" s="4669"/>
      <c r="E52" s="4664"/>
      <c r="F52" s="3630"/>
      <c r="G52" s="3630"/>
      <c r="H52" s="1308"/>
      <c r="I52" s="1316"/>
      <c r="J52" s="3879"/>
      <c r="K52" s="1753"/>
      <c r="L52" s="1650"/>
      <c r="M52" s="1650"/>
      <c r="N52" s="1638"/>
      <c r="P52" s="4588"/>
    </row>
    <row r="53" spans="1:17" s="1639" customFormat="1" ht="21" hidden="1" customHeight="1" x14ac:dyDescent="0.25">
      <c r="A53" s="1637"/>
      <c r="B53" s="4119"/>
      <c r="C53" s="4670" t="s">
        <v>7006</v>
      </c>
      <c r="D53" s="4671">
        <f>SUM(D54:D79)</f>
        <v>7093440000</v>
      </c>
      <c r="E53" s="4672">
        <f t="shared" ref="E53:E88" si="1">D53/183431447000*100</f>
        <v>3.8670795635167186</v>
      </c>
      <c r="F53" s="621"/>
      <c r="G53" s="621"/>
      <c r="H53" s="1308"/>
      <c r="I53" s="1316"/>
      <c r="J53" s="621"/>
      <c r="K53" s="621"/>
      <c r="L53" s="1671"/>
      <c r="M53" s="1650"/>
      <c r="N53" s="1638"/>
      <c r="P53" s="4588"/>
    </row>
    <row r="54" spans="1:17" s="1639" customFormat="1" ht="21.75" hidden="1" customHeight="1" x14ac:dyDescent="0.25">
      <c r="A54" s="1637"/>
      <c r="B54" s="4119"/>
      <c r="C54" s="4673" t="s">
        <v>7007</v>
      </c>
      <c r="D54" s="4666">
        <v>483620000</v>
      </c>
      <c r="E54" s="4651">
        <f t="shared" si="1"/>
        <v>0.2636516300283015</v>
      </c>
      <c r="F54" s="626"/>
      <c r="G54" s="3630"/>
      <c r="H54" s="3630"/>
      <c r="I54" s="3630"/>
      <c r="J54" s="1775"/>
      <c r="K54" s="1753"/>
      <c r="L54" s="1312"/>
      <c r="M54" s="1312"/>
      <c r="N54" s="1638"/>
      <c r="P54" s="4588"/>
    </row>
    <row r="55" spans="1:17" s="1639" customFormat="1" ht="21" hidden="1" customHeight="1" x14ac:dyDescent="0.25">
      <c r="A55" s="1637"/>
      <c r="B55" s="4119"/>
      <c r="C55" s="4673" t="s">
        <v>7008</v>
      </c>
      <c r="D55" s="4669">
        <v>498200000</v>
      </c>
      <c r="E55" s="4651">
        <f t="shared" si="1"/>
        <v>0.27160010355258224</v>
      </c>
      <c r="F55" s="625"/>
      <c r="G55" s="3630"/>
      <c r="H55" s="3630"/>
      <c r="I55" s="3630"/>
      <c r="J55" s="1776"/>
      <c r="K55" s="1753"/>
      <c r="L55" s="1312"/>
      <c r="M55" s="1312"/>
      <c r="N55" s="1638"/>
      <c r="P55" s="4588"/>
    </row>
    <row r="56" spans="1:17" s="1639" customFormat="1" ht="24" hidden="1" customHeight="1" x14ac:dyDescent="0.25">
      <c r="A56" s="1637"/>
      <c r="B56" s="4119"/>
      <c r="C56" s="4673" t="s">
        <v>7009</v>
      </c>
      <c r="D56" s="4669">
        <v>604000000</v>
      </c>
      <c r="E56" s="4651">
        <f t="shared" si="1"/>
        <v>0.32927832706896759</v>
      </c>
      <c r="F56" s="625"/>
      <c r="G56" s="3630"/>
      <c r="H56" s="3630"/>
      <c r="I56" s="3630"/>
      <c r="J56" s="1776"/>
      <c r="K56" s="3879"/>
      <c r="L56" s="3630"/>
      <c r="M56" s="3630"/>
      <c r="N56" s="1638"/>
      <c r="P56" s="4588"/>
    </row>
    <row r="57" spans="1:17" s="1639" customFormat="1" ht="22.5" hidden="1" customHeight="1" x14ac:dyDescent="0.25">
      <c r="A57" s="1637"/>
      <c r="B57" s="4119"/>
      <c r="C57" s="4673" t="s">
        <v>7010</v>
      </c>
      <c r="D57" s="4669">
        <v>144800000</v>
      </c>
      <c r="E57" s="4651">
        <f t="shared" si="1"/>
        <v>7.8939572449646542E-2</v>
      </c>
      <c r="F57" s="625"/>
      <c r="G57" s="3630"/>
      <c r="H57" s="1310"/>
      <c r="I57" s="1111"/>
      <c r="J57" s="1776"/>
      <c r="K57" s="1753"/>
      <c r="L57" s="1312"/>
      <c r="M57" s="1312"/>
      <c r="N57" s="1638"/>
      <c r="P57" s="4588"/>
    </row>
    <row r="58" spans="1:17" s="1639" customFormat="1" ht="21.75" hidden="1" customHeight="1" x14ac:dyDescent="0.25">
      <c r="A58" s="1637"/>
      <c r="B58" s="4119"/>
      <c r="C58" s="4673" t="s">
        <v>7011</v>
      </c>
      <c r="D58" s="4669">
        <v>319760000</v>
      </c>
      <c r="E58" s="4651">
        <f t="shared" si="1"/>
        <v>0.17432125474101504</v>
      </c>
      <c r="F58" s="625"/>
      <c r="G58" s="3630"/>
      <c r="H58" s="1310"/>
      <c r="I58" s="1111"/>
      <c r="J58" s="1776"/>
      <c r="K58" s="1753"/>
      <c r="L58" s="1312"/>
      <c r="M58" s="1312"/>
      <c r="N58" s="1638"/>
      <c r="P58" s="4588"/>
    </row>
    <row r="59" spans="1:17" s="1639" customFormat="1" ht="21.75" hidden="1" customHeight="1" x14ac:dyDescent="0.25">
      <c r="A59" s="1637"/>
      <c r="B59" s="4119"/>
      <c r="C59" s="4673" t="s">
        <v>7012</v>
      </c>
      <c r="D59" s="4669">
        <v>273300000</v>
      </c>
      <c r="E59" s="4651">
        <f t="shared" si="1"/>
        <v>0.14899299137077626</v>
      </c>
      <c r="F59" s="625"/>
      <c r="G59" s="3630"/>
      <c r="H59" s="1310"/>
      <c r="I59" s="1111"/>
      <c r="J59" s="1776"/>
      <c r="K59" s="1753"/>
      <c r="L59" s="1312"/>
      <c r="M59" s="1312"/>
      <c r="N59" s="1638"/>
      <c r="P59" s="4588"/>
    </row>
    <row r="60" spans="1:17" s="1639" customFormat="1" ht="19.5" hidden="1" customHeight="1" x14ac:dyDescent="0.25">
      <c r="A60" s="1637"/>
      <c r="B60" s="4119"/>
      <c r="C60" s="4673" t="s">
        <v>7013</v>
      </c>
      <c r="D60" s="4669">
        <v>193920000</v>
      </c>
      <c r="E60" s="4651">
        <f t="shared" si="1"/>
        <v>0.10571796884969238</v>
      </c>
      <c r="F60" s="625"/>
      <c r="G60" s="3630"/>
      <c r="H60" s="1310"/>
      <c r="I60" s="1111"/>
      <c r="J60" s="1776"/>
      <c r="K60" s="1753"/>
      <c r="L60" s="1312"/>
      <c r="M60" s="1312"/>
      <c r="N60" s="1638"/>
      <c r="P60" s="4588"/>
    </row>
    <row r="61" spans="1:17" s="1639" customFormat="1" ht="21.75" hidden="1" customHeight="1" x14ac:dyDescent="0.25">
      <c r="A61" s="1637"/>
      <c r="B61" s="4119"/>
      <c r="C61" s="4673" t="s">
        <v>7014</v>
      </c>
      <c r="D61" s="4669">
        <v>258920000</v>
      </c>
      <c r="E61" s="4651">
        <f t="shared" si="1"/>
        <v>0.14115355040512764</v>
      </c>
      <c r="F61" s="625"/>
      <c r="G61" s="3630"/>
      <c r="H61" s="1310"/>
      <c r="I61" s="1111"/>
      <c r="J61" s="1776"/>
      <c r="K61" s="1753"/>
      <c r="L61" s="1312"/>
      <c r="M61" s="1312"/>
      <c r="N61" s="1638"/>
      <c r="P61" s="4588"/>
    </row>
    <row r="62" spans="1:17" s="1639" customFormat="1" ht="21.75" hidden="1" customHeight="1" x14ac:dyDescent="0.25">
      <c r="A62" s="1637"/>
      <c r="B62" s="4119"/>
      <c r="C62" s="4673" t="s">
        <v>7015</v>
      </c>
      <c r="D62" s="4669">
        <v>266920000</v>
      </c>
      <c r="E62" s="4651">
        <f t="shared" si="1"/>
        <v>0.14551485275041198</v>
      </c>
      <c r="F62" s="625"/>
      <c r="G62" s="3630"/>
      <c r="H62" s="1310"/>
      <c r="I62" s="1111"/>
      <c r="J62" s="1776"/>
      <c r="K62" s="1753"/>
      <c r="L62" s="1312"/>
      <c r="M62" s="1312"/>
      <c r="N62" s="1638"/>
      <c r="P62" s="4588"/>
    </row>
    <row r="63" spans="1:17" s="1639" customFormat="1" ht="20.25" hidden="1" customHeight="1" x14ac:dyDescent="0.25">
      <c r="A63" s="1637"/>
      <c r="B63" s="4119"/>
      <c r="C63" s="4673" t="s">
        <v>7016</v>
      </c>
      <c r="D63" s="4669">
        <v>434120000</v>
      </c>
      <c r="E63" s="4651">
        <f t="shared" si="1"/>
        <v>0.23666607176685467</v>
      </c>
      <c r="F63" s="625"/>
      <c r="G63" s="3630"/>
      <c r="H63" s="1310"/>
      <c r="I63" s="1111"/>
      <c r="J63" s="1776"/>
      <c r="K63" s="1753"/>
      <c r="L63" s="1312"/>
      <c r="M63" s="1312"/>
      <c r="N63" s="1638"/>
      <c r="P63" s="4588"/>
    </row>
    <row r="64" spans="1:17" s="1639" customFormat="1" ht="19.5" hidden="1" customHeight="1" x14ac:dyDescent="0.25">
      <c r="A64" s="1637"/>
      <c r="B64" s="4119"/>
      <c r="C64" s="4673" t="s">
        <v>7017</v>
      </c>
      <c r="D64" s="4669">
        <v>234700000</v>
      </c>
      <c r="E64" s="4651">
        <f t="shared" si="1"/>
        <v>0.12794970755477933</v>
      </c>
      <c r="F64" s="625"/>
      <c r="G64" s="3630"/>
      <c r="H64" s="1310"/>
      <c r="I64" s="1111"/>
      <c r="J64" s="1776"/>
      <c r="K64" s="1753"/>
      <c r="L64" s="1312"/>
      <c r="M64" s="1312"/>
      <c r="N64" s="1638"/>
      <c r="P64" s="4588"/>
    </row>
    <row r="65" spans="1:16" s="1639" customFormat="1" ht="18.75" hidden="1" customHeight="1" x14ac:dyDescent="0.25">
      <c r="A65" s="1637"/>
      <c r="B65" s="4119"/>
      <c r="C65" s="4673" t="s">
        <v>7018</v>
      </c>
      <c r="D65" s="4669">
        <v>271800000</v>
      </c>
      <c r="E65" s="4651">
        <f t="shared" si="1"/>
        <v>0.14817524718103542</v>
      </c>
      <c r="F65" s="625"/>
      <c r="G65" s="3630"/>
      <c r="H65" s="1310"/>
      <c r="I65" s="1111"/>
      <c r="J65" s="1776"/>
      <c r="K65" s="1753"/>
      <c r="L65" s="1312"/>
      <c r="M65" s="1312"/>
      <c r="N65" s="1638"/>
      <c r="P65" s="4588"/>
    </row>
    <row r="66" spans="1:16" s="1639" customFormat="1" ht="19.5" hidden="1" customHeight="1" x14ac:dyDescent="0.25">
      <c r="A66" s="1637"/>
      <c r="B66" s="4119"/>
      <c r="C66" s="4673" t="s">
        <v>7019</v>
      </c>
      <c r="D66" s="4669">
        <v>253300000</v>
      </c>
      <c r="E66" s="4651">
        <f t="shared" si="1"/>
        <v>0.1380897355075654</v>
      </c>
      <c r="F66" s="625"/>
      <c r="G66" s="3630"/>
      <c r="H66" s="1310"/>
      <c r="I66" s="1111"/>
      <c r="J66" s="1776"/>
      <c r="K66" s="1753"/>
      <c r="L66" s="1312"/>
      <c r="M66" s="1312"/>
      <c r="N66" s="1638"/>
      <c r="P66" s="4588"/>
    </row>
    <row r="67" spans="1:16" s="1639" customFormat="1" ht="20.25" hidden="1" customHeight="1" x14ac:dyDescent="0.25">
      <c r="A67" s="1637"/>
      <c r="B67" s="4119"/>
      <c r="C67" s="4673" t="s">
        <v>7020</v>
      </c>
      <c r="D67" s="4669">
        <v>418120000</v>
      </c>
      <c r="E67" s="4651">
        <f t="shared" si="1"/>
        <v>0.22794346707628602</v>
      </c>
      <c r="F67" s="625"/>
      <c r="G67" s="3630"/>
      <c r="H67" s="1310"/>
      <c r="I67" s="1111"/>
      <c r="J67" s="1776"/>
      <c r="K67" s="1753"/>
      <c r="L67" s="1312"/>
      <c r="M67" s="1312"/>
      <c r="N67" s="1638"/>
      <c r="P67" s="4588"/>
    </row>
    <row r="68" spans="1:16" s="1639" customFormat="1" ht="21" hidden="1" customHeight="1" x14ac:dyDescent="0.25">
      <c r="A68" s="1637"/>
      <c r="B68" s="4119"/>
      <c r="C68" s="4673" t="s">
        <v>7021</v>
      </c>
      <c r="D68" s="4669">
        <v>155920000</v>
      </c>
      <c r="E68" s="4651">
        <f t="shared" si="1"/>
        <v>8.5001782709591786E-2</v>
      </c>
      <c r="F68" s="625"/>
      <c r="G68" s="3630"/>
      <c r="H68" s="1310"/>
      <c r="I68" s="1111"/>
      <c r="J68" s="1776"/>
      <c r="K68" s="1753"/>
      <c r="L68" s="1312"/>
      <c r="M68" s="1312"/>
      <c r="N68" s="1638"/>
      <c r="P68" s="4588"/>
    </row>
    <row r="69" spans="1:16" s="1639" customFormat="1" ht="21.75" hidden="1" customHeight="1" x14ac:dyDescent="0.25">
      <c r="A69" s="1637"/>
      <c r="B69" s="4119"/>
      <c r="C69" s="4673" t="s">
        <v>7022</v>
      </c>
      <c r="D69" s="4669">
        <v>222000000</v>
      </c>
      <c r="E69" s="4651">
        <f t="shared" si="1"/>
        <v>0.12102614008164042</v>
      </c>
      <c r="F69" s="625"/>
      <c r="G69" s="3630"/>
      <c r="H69" s="1310"/>
      <c r="I69" s="1111"/>
      <c r="J69" s="1776"/>
      <c r="K69" s="1753"/>
      <c r="L69" s="1312"/>
      <c r="M69" s="1312"/>
      <c r="N69" s="1638"/>
      <c r="P69" s="4588"/>
    </row>
    <row r="70" spans="1:16" s="1639" customFormat="1" ht="22.5" hidden="1" customHeight="1" x14ac:dyDescent="0.25">
      <c r="A70" s="1637"/>
      <c r="B70" s="4119"/>
      <c r="C70" s="4673" t="s">
        <v>7023</v>
      </c>
      <c r="D70" s="4669">
        <v>418120000</v>
      </c>
      <c r="E70" s="4651">
        <f t="shared" si="1"/>
        <v>0.22794346707628602</v>
      </c>
      <c r="F70" s="625"/>
      <c r="G70" s="3630"/>
      <c r="H70" s="1310"/>
      <c r="I70" s="1111"/>
      <c r="J70" s="1776"/>
      <c r="K70" s="1753"/>
      <c r="L70" s="1312"/>
      <c r="M70" s="1312"/>
      <c r="N70" s="1638"/>
      <c r="P70" s="4588"/>
    </row>
    <row r="71" spans="1:16" s="1639" customFormat="1" ht="21.75" hidden="1" customHeight="1" x14ac:dyDescent="0.25">
      <c r="A71" s="1637"/>
      <c r="B71" s="4119"/>
      <c r="C71" s="4673" t="s">
        <v>7024</v>
      </c>
      <c r="D71" s="4669">
        <v>164920000</v>
      </c>
      <c r="E71" s="4651">
        <f t="shared" si="1"/>
        <v>8.9908247848036665E-2</v>
      </c>
      <c r="F71" s="625"/>
      <c r="G71" s="3630"/>
      <c r="H71" s="1310"/>
      <c r="I71" s="1111"/>
      <c r="J71" s="1776"/>
      <c r="K71" s="1753"/>
      <c r="L71" s="1312"/>
      <c r="M71" s="1312"/>
      <c r="N71" s="1638"/>
      <c r="P71" s="4588"/>
    </row>
    <row r="72" spans="1:16" s="1639" customFormat="1" ht="36.75" hidden="1" customHeight="1" x14ac:dyDescent="0.25">
      <c r="A72" s="1637"/>
      <c r="B72" s="4119"/>
      <c r="C72" s="4673" t="s">
        <v>7026</v>
      </c>
      <c r="D72" s="4669">
        <v>229800000</v>
      </c>
      <c r="E72" s="4651">
        <f t="shared" si="1"/>
        <v>0.12527840986829264</v>
      </c>
      <c r="F72" s="625"/>
      <c r="G72" s="3630"/>
      <c r="H72" s="1310"/>
      <c r="I72" s="1111"/>
      <c r="J72" s="1776"/>
      <c r="K72" s="1753"/>
      <c r="L72" s="1312"/>
      <c r="M72" s="1312"/>
      <c r="N72" s="1638"/>
      <c r="P72" s="4588"/>
    </row>
    <row r="73" spans="1:16" s="1639" customFormat="1" ht="33" hidden="1" customHeight="1" x14ac:dyDescent="0.25">
      <c r="A73" s="1637"/>
      <c r="B73" s="4119"/>
      <c r="C73" s="4673" t="s">
        <v>7025</v>
      </c>
      <c r="D73" s="4669">
        <v>173300000</v>
      </c>
      <c r="E73" s="4651">
        <f t="shared" si="1"/>
        <v>9.4476712054721995E-2</v>
      </c>
      <c r="F73" s="625"/>
      <c r="G73" s="3630"/>
      <c r="H73" s="1310"/>
      <c r="I73" s="1111"/>
      <c r="J73" s="1776"/>
      <c r="K73" s="1753"/>
      <c r="L73" s="1312"/>
      <c r="M73" s="1312"/>
      <c r="N73" s="1638"/>
      <c r="P73" s="4588"/>
    </row>
    <row r="74" spans="1:16" s="1639" customFormat="1" ht="24" hidden="1" customHeight="1" x14ac:dyDescent="0.25">
      <c r="A74" s="1637"/>
      <c r="B74" s="4119"/>
      <c r="C74" s="4673" t="s">
        <v>7027</v>
      </c>
      <c r="D74" s="4669">
        <v>322000000</v>
      </c>
      <c r="E74" s="4651">
        <f t="shared" si="1"/>
        <v>0.17554241939769466</v>
      </c>
      <c r="F74" s="625"/>
      <c r="G74" s="3630"/>
      <c r="H74" s="1310"/>
      <c r="I74" s="1111"/>
      <c r="J74" s="1776"/>
      <c r="K74" s="1753"/>
      <c r="L74" s="1312"/>
      <c r="M74" s="1312"/>
      <c r="N74" s="1638"/>
      <c r="P74" s="4588"/>
    </row>
    <row r="75" spans="1:16" s="1639" customFormat="1" ht="30" hidden="1" customHeight="1" x14ac:dyDescent="0.25">
      <c r="A75" s="1637"/>
      <c r="B75" s="4119"/>
      <c r="C75" s="4673" t="s">
        <v>7028</v>
      </c>
      <c r="D75" s="4669">
        <v>108800000</v>
      </c>
      <c r="E75" s="4651">
        <f t="shared" si="1"/>
        <v>5.9313711895867018E-2</v>
      </c>
      <c r="F75" s="625"/>
      <c r="G75" s="3630"/>
      <c r="H75" s="1310"/>
      <c r="I75" s="1111"/>
      <c r="J75" s="1776"/>
      <c r="K75" s="1753"/>
      <c r="L75" s="1312"/>
      <c r="M75" s="1312"/>
      <c r="N75" s="1638"/>
      <c r="P75" s="4588"/>
    </row>
    <row r="76" spans="1:16" s="1639" customFormat="1" ht="24" hidden="1" customHeight="1" x14ac:dyDescent="0.25">
      <c r="A76" s="1637"/>
      <c r="B76" s="4119"/>
      <c r="C76" s="4673" t="s">
        <v>7029</v>
      </c>
      <c r="D76" s="4669">
        <v>220300000</v>
      </c>
      <c r="E76" s="4651">
        <f t="shared" si="1"/>
        <v>0.1200993633332675</v>
      </c>
      <c r="F76" s="625"/>
      <c r="G76" s="3630"/>
      <c r="H76" s="1310"/>
      <c r="I76" s="1111"/>
      <c r="J76" s="1776"/>
      <c r="K76" s="1753"/>
      <c r="L76" s="1312"/>
      <c r="M76" s="1312"/>
      <c r="N76" s="1638"/>
      <c r="P76" s="4588"/>
    </row>
    <row r="77" spans="1:16" s="1639" customFormat="1" ht="30.75" hidden="1" customHeight="1" x14ac:dyDescent="0.25">
      <c r="A77" s="1637"/>
      <c r="B77" s="4119"/>
      <c r="C77" s="4673" t="s">
        <v>7030</v>
      </c>
      <c r="D77" s="4669">
        <v>100000000</v>
      </c>
      <c r="E77" s="4651">
        <f t="shared" si="1"/>
        <v>5.4516279316054239E-2</v>
      </c>
      <c r="F77" s="625"/>
      <c r="G77" s="3630"/>
      <c r="H77" s="1310"/>
      <c r="I77" s="1111"/>
      <c r="J77" s="1776"/>
      <c r="K77" s="1753"/>
      <c r="L77" s="1312"/>
      <c r="M77" s="1312"/>
      <c r="N77" s="1638"/>
      <c r="P77" s="4588"/>
    </row>
    <row r="78" spans="1:16" s="1639" customFormat="1" ht="21.75" hidden="1" customHeight="1" x14ac:dyDescent="0.25">
      <c r="A78" s="1637"/>
      <c r="B78" s="4119"/>
      <c r="C78" s="4673" t="s">
        <v>7031</v>
      </c>
      <c r="D78" s="4669">
        <v>100000000</v>
      </c>
      <c r="E78" s="4651">
        <f t="shared" si="1"/>
        <v>5.4516279316054239E-2</v>
      </c>
      <c r="F78" s="625"/>
      <c r="G78" s="3630"/>
      <c r="H78" s="1310"/>
      <c r="I78" s="1111"/>
      <c r="J78" s="1776"/>
      <c r="K78" s="1753"/>
      <c r="L78" s="1312"/>
      <c r="M78" s="1312"/>
      <c r="N78" s="1638"/>
      <c r="P78" s="4588"/>
    </row>
    <row r="79" spans="1:16" s="1639" customFormat="1" ht="24" hidden="1" customHeight="1" x14ac:dyDescent="0.25">
      <c r="A79" s="1637"/>
      <c r="B79" s="4119"/>
      <c r="C79" s="4673" t="s">
        <v>7032</v>
      </c>
      <c r="D79" s="4669">
        <v>222800000</v>
      </c>
      <c r="E79" s="4651">
        <f t="shared" si="1"/>
        <v>0.12146227031616884</v>
      </c>
      <c r="F79" s="625"/>
      <c r="G79" s="3630"/>
      <c r="H79" s="1310"/>
      <c r="I79" s="1111"/>
      <c r="J79" s="1776"/>
      <c r="K79" s="1753"/>
      <c r="L79" s="1312"/>
      <c r="M79" s="1312"/>
      <c r="N79" s="1638"/>
      <c r="P79" s="4588"/>
    </row>
    <row r="80" spans="1:16" s="1639" customFormat="1" ht="12" hidden="1" customHeight="1" x14ac:dyDescent="0.25">
      <c r="A80" s="1637"/>
      <c r="B80" s="4119"/>
      <c r="C80" s="4674"/>
      <c r="D80" s="4669"/>
      <c r="E80" s="4651"/>
      <c r="F80" s="3630"/>
      <c r="G80" s="3630"/>
      <c r="H80" s="1308"/>
      <c r="I80" s="1316"/>
      <c r="J80" s="3879"/>
      <c r="K80" s="1753"/>
      <c r="L80" s="1650"/>
      <c r="M80" s="1650"/>
      <c r="N80" s="1638"/>
      <c r="P80" s="4588"/>
    </row>
    <row r="81" spans="1:17" s="1639" customFormat="1" ht="20.25" hidden="1" customHeight="1" x14ac:dyDescent="0.25">
      <c r="A81" s="1637"/>
      <c r="B81" s="4119"/>
      <c r="C81" s="4675" t="s">
        <v>7033</v>
      </c>
      <c r="D81" s="4671">
        <f>SUM(D82:D85)</f>
        <v>5811526655</v>
      </c>
      <c r="E81" s="4672">
        <f t="shared" si="1"/>
        <v>3.1682281037667437</v>
      </c>
      <c r="F81" s="655"/>
      <c r="G81" s="3633"/>
      <c r="H81" s="3633"/>
      <c r="I81" s="3633"/>
      <c r="J81" s="655"/>
      <c r="K81" s="655"/>
      <c r="L81" s="1671"/>
      <c r="M81" s="3600"/>
      <c r="N81" s="1638"/>
      <c r="P81" s="4588"/>
    </row>
    <row r="82" spans="1:17" s="1639" customFormat="1" ht="21" hidden="1" customHeight="1" x14ac:dyDescent="0.25">
      <c r="A82" s="1637"/>
      <c r="B82" s="4119"/>
      <c r="C82" s="4676" t="s">
        <v>7034</v>
      </c>
      <c r="D82" s="4669">
        <v>3931886655</v>
      </c>
      <c r="E82" s="4651">
        <f t="shared" si="1"/>
        <v>2.1435183112304621</v>
      </c>
      <c r="F82" s="625"/>
      <c r="G82" s="3630"/>
      <c r="H82" s="3630"/>
      <c r="I82" s="3630"/>
      <c r="J82" s="1776"/>
      <c r="K82" s="1753"/>
      <c r="L82" s="1312"/>
      <c r="M82" s="1312"/>
      <c r="N82" s="1638"/>
      <c r="P82" s="4588"/>
    </row>
    <row r="83" spans="1:17" s="1639" customFormat="1" ht="20.25" hidden="1" customHeight="1" x14ac:dyDescent="0.25">
      <c r="A83" s="1637"/>
      <c r="B83" s="4119"/>
      <c r="C83" s="4676" t="s">
        <v>7035</v>
      </c>
      <c r="D83" s="4669">
        <v>621640000</v>
      </c>
      <c r="E83" s="4651">
        <f t="shared" si="1"/>
        <v>0.33889499874031959</v>
      </c>
      <c r="F83" s="625"/>
      <c r="G83" s="3630"/>
      <c r="H83" s="3630"/>
      <c r="I83" s="3630"/>
      <c r="J83" s="1776"/>
      <c r="K83" s="3879"/>
      <c r="L83" s="3630"/>
      <c r="M83" s="1648"/>
      <c r="N83" s="1638"/>
      <c r="P83" s="4588"/>
    </row>
    <row r="84" spans="1:17" s="1639" customFormat="1" ht="21.75" hidden="1" customHeight="1" x14ac:dyDescent="0.25">
      <c r="A84" s="1637"/>
      <c r="B84" s="4119"/>
      <c r="C84" s="4677" t="s">
        <v>7036</v>
      </c>
      <c r="D84" s="4678">
        <v>486000000</v>
      </c>
      <c r="E84" s="4651">
        <f t="shared" si="1"/>
        <v>0.26494911747602362</v>
      </c>
      <c r="F84" s="4561"/>
      <c r="G84" s="3630"/>
      <c r="H84" s="3620"/>
      <c r="I84" s="3620"/>
      <c r="J84" s="4562"/>
      <c r="K84" s="3879"/>
      <c r="L84" s="3620"/>
      <c r="M84" s="1648"/>
      <c r="N84" s="1638"/>
      <c r="P84" s="4588"/>
    </row>
    <row r="85" spans="1:17" s="1639" customFormat="1" ht="21.75" hidden="1" customHeight="1" x14ac:dyDescent="0.25">
      <c r="A85" s="1637"/>
      <c r="B85" s="4119"/>
      <c r="C85" s="4679" t="s">
        <v>7037</v>
      </c>
      <c r="D85" s="4669">
        <v>772000000</v>
      </c>
      <c r="E85" s="4651">
        <f t="shared" si="1"/>
        <v>0.42086567631993871</v>
      </c>
      <c r="F85" s="625"/>
      <c r="G85" s="3630"/>
      <c r="H85" s="3620"/>
      <c r="I85" s="3620"/>
      <c r="J85" s="4562"/>
      <c r="K85" s="3879"/>
      <c r="L85" s="3620"/>
      <c r="M85" s="1648"/>
      <c r="N85" s="1638"/>
      <c r="P85" s="4588"/>
    </row>
    <row r="86" spans="1:17" s="1639" customFormat="1" ht="21" hidden="1" customHeight="1" x14ac:dyDescent="0.25">
      <c r="B86" s="1640"/>
      <c r="C86" s="4680" t="s">
        <v>2190</v>
      </c>
      <c r="D86" s="4681">
        <v>270800000</v>
      </c>
      <c r="E86" s="4651">
        <f t="shared" si="1"/>
        <v>0.14763008438787489</v>
      </c>
      <c r="F86" s="624"/>
      <c r="G86" s="798"/>
      <c r="H86" s="1111"/>
      <c r="I86" s="784"/>
      <c r="J86" s="624"/>
      <c r="K86" s="2271"/>
      <c r="L86" s="1312"/>
      <c r="M86" s="2089"/>
      <c r="N86" s="2084"/>
      <c r="P86" s="2093"/>
      <c r="Q86" s="2093"/>
    </row>
    <row r="87" spans="1:17" s="1639" customFormat="1" ht="19.5" hidden="1" customHeight="1" x14ac:dyDescent="0.25">
      <c r="B87" s="1640"/>
      <c r="C87" s="4680" t="s">
        <v>2191</v>
      </c>
      <c r="D87" s="4681">
        <v>100000000</v>
      </c>
      <c r="E87" s="4651">
        <f t="shared" si="1"/>
        <v>5.4516279316054239E-2</v>
      </c>
      <c r="F87" s="624"/>
      <c r="G87" s="798"/>
      <c r="H87" s="798"/>
      <c r="I87" s="798"/>
      <c r="J87" s="624"/>
      <c r="K87" s="2271"/>
      <c r="L87" s="1312"/>
      <c r="M87" s="2089"/>
      <c r="N87" s="2084"/>
      <c r="P87" s="2093"/>
      <c r="Q87" s="2093"/>
    </row>
    <row r="88" spans="1:17" s="1639" customFormat="1" ht="21" hidden="1" customHeight="1" x14ac:dyDescent="0.25">
      <c r="B88" s="1640"/>
      <c r="C88" s="4680" t="s">
        <v>2192</v>
      </c>
      <c r="D88" s="4681">
        <v>100000000</v>
      </c>
      <c r="E88" s="4651">
        <f t="shared" si="1"/>
        <v>5.4516279316054239E-2</v>
      </c>
      <c r="F88" s="624"/>
      <c r="G88" s="798"/>
      <c r="H88" s="798"/>
      <c r="I88" s="798"/>
      <c r="J88" s="624"/>
      <c r="K88" s="2271"/>
      <c r="L88" s="1312"/>
      <c r="M88" s="2089"/>
      <c r="N88" s="2084"/>
      <c r="P88" s="2093"/>
      <c r="Q88" s="2093"/>
    </row>
    <row r="89" spans="1:17" s="1639" customFormat="1" ht="24.75" hidden="1" customHeight="1" x14ac:dyDescent="0.25">
      <c r="B89" s="1640"/>
      <c r="C89" s="4680" t="s">
        <v>2193</v>
      </c>
      <c r="D89" s="4681">
        <v>217600000</v>
      </c>
      <c r="E89" s="4651">
        <f t="shared" ref="E89" si="2">D89/174750518000*100</f>
        <v>0.12452037481227954</v>
      </c>
      <c r="F89" s="624"/>
      <c r="G89" s="798"/>
      <c r="H89" s="1111"/>
      <c r="I89" s="784"/>
      <c r="J89" s="624"/>
      <c r="K89" s="2271"/>
      <c r="L89" s="1312"/>
      <c r="M89" s="2089"/>
      <c r="N89" s="2084"/>
      <c r="P89" s="2093"/>
      <c r="Q89" s="2093"/>
    </row>
    <row r="90" spans="1:17" ht="12" hidden="1" customHeight="1" x14ac:dyDescent="0.25">
      <c r="B90" s="319"/>
      <c r="C90" s="4682"/>
      <c r="D90" s="4683"/>
      <c r="E90" s="4848"/>
      <c r="F90" s="638"/>
      <c r="G90" s="798"/>
      <c r="H90" s="1324"/>
      <c r="I90" s="784"/>
      <c r="J90" s="805"/>
      <c r="K90" s="805"/>
      <c r="L90" s="1323"/>
      <c r="M90" s="477"/>
      <c r="N90" s="281"/>
    </row>
    <row r="91" spans="1:17" s="1639" customFormat="1" ht="18" hidden="1" customHeight="1" x14ac:dyDescent="0.25">
      <c r="B91" s="1715"/>
      <c r="C91" s="4684" t="s">
        <v>358</v>
      </c>
      <c r="D91" s="4955">
        <f>D92</f>
        <v>3931886655</v>
      </c>
      <c r="E91" s="4845">
        <f>D91/183431447000*100</f>
        <v>2.1435183112304621</v>
      </c>
      <c r="F91" s="743"/>
      <c r="G91" s="743"/>
      <c r="H91" s="1645"/>
      <c r="I91" s="2239"/>
      <c r="J91" s="743"/>
      <c r="K91" s="743"/>
      <c r="L91" s="1462"/>
      <c r="M91" s="2102"/>
      <c r="N91" s="2103"/>
      <c r="P91" s="2093"/>
      <c r="Q91" s="2093"/>
    </row>
    <row r="92" spans="1:17" s="1639" customFormat="1" ht="31.5" hidden="1" customHeight="1" x14ac:dyDescent="0.25">
      <c r="A92" s="1637"/>
      <c r="B92" s="4119"/>
      <c r="C92" s="4685" t="s">
        <v>7038</v>
      </c>
      <c r="D92" s="4686">
        <f>D93</f>
        <v>3931886655</v>
      </c>
      <c r="E92" s="4672">
        <f t="shared" ref="E92:E93" si="3">D92/174750518000*100</f>
        <v>2.25</v>
      </c>
      <c r="F92" s="656"/>
      <c r="G92" s="656"/>
      <c r="H92" s="2252"/>
      <c r="I92" s="2253"/>
      <c r="J92" s="656"/>
      <c r="K92" s="656"/>
      <c r="L92" s="1671"/>
      <c r="M92" s="2254"/>
      <c r="N92" s="1638"/>
      <c r="P92" s="4588"/>
    </row>
    <row r="93" spans="1:17" s="1639" customFormat="1" ht="22.5" hidden="1" customHeight="1" x14ac:dyDescent="0.25">
      <c r="A93" s="1637"/>
      <c r="B93" s="4119"/>
      <c r="C93" s="4688" t="s">
        <v>7039</v>
      </c>
      <c r="D93" s="4666">
        <v>3931886655</v>
      </c>
      <c r="E93" s="4651">
        <f t="shared" si="3"/>
        <v>2.25</v>
      </c>
      <c r="F93" s="593"/>
      <c r="G93" s="780"/>
      <c r="H93" s="880"/>
      <c r="I93" s="780"/>
      <c r="J93" s="666"/>
      <c r="K93" s="1717"/>
      <c r="L93" s="1717"/>
      <c r="M93" s="1717"/>
      <c r="N93" s="1638"/>
      <c r="P93" s="4588"/>
    </row>
    <row r="94" spans="1:17" s="1639" customFormat="1" ht="12" hidden="1" customHeight="1" x14ac:dyDescent="0.25">
      <c r="B94" s="1640"/>
      <c r="C94" s="4682"/>
      <c r="D94" s="4683"/>
      <c r="E94" s="4848"/>
      <c r="F94" s="638"/>
      <c r="G94" s="799"/>
      <c r="H94" s="2181"/>
      <c r="I94" s="2256"/>
      <c r="J94" s="638"/>
      <c r="K94" s="805"/>
      <c r="L94" s="1323"/>
      <c r="M94" s="2089"/>
      <c r="N94" s="2105"/>
      <c r="P94" s="2093"/>
      <c r="Q94" s="2093"/>
    </row>
    <row r="95" spans="1:17" s="1639" customFormat="1" ht="18" hidden="1" customHeight="1" x14ac:dyDescent="0.25">
      <c r="B95" s="1715"/>
      <c r="C95" s="4684" t="s">
        <v>274</v>
      </c>
      <c r="D95" s="4661">
        <f>SUM(D96+D99)</f>
        <v>17200000000</v>
      </c>
      <c r="E95" s="4845">
        <f>D95/183431447000*100</f>
        <v>9.3768000423613298</v>
      </c>
      <c r="F95" s="5318"/>
      <c r="G95" s="3271"/>
      <c r="H95" s="3548"/>
      <c r="I95" s="3271"/>
      <c r="J95" s="5318"/>
      <c r="K95" s="2226"/>
      <c r="L95" s="3471"/>
      <c r="M95" s="5319"/>
      <c r="N95" s="3742"/>
      <c r="P95" s="2093"/>
      <c r="Q95" s="2093"/>
    </row>
    <row r="96" spans="1:17" s="1639" customFormat="1" ht="21.75" hidden="1" customHeight="1" x14ac:dyDescent="0.25">
      <c r="B96" s="1640"/>
      <c r="C96" s="4657" t="s">
        <v>275</v>
      </c>
      <c r="D96" s="4849">
        <f>D97</f>
        <v>14700000000</v>
      </c>
      <c r="E96" s="4672">
        <f t="shared" ref="E96:E100" si="4">D96/174750518000*100</f>
        <v>8.4119922322633691</v>
      </c>
      <c r="F96" s="5315"/>
      <c r="G96" s="799"/>
      <c r="H96" s="2181"/>
      <c r="I96" s="2256"/>
      <c r="J96" s="5315"/>
      <c r="K96" s="804"/>
      <c r="L96" s="1703"/>
      <c r="M96" s="5316"/>
      <c r="N96" s="5317"/>
      <c r="P96" s="2093"/>
      <c r="Q96" s="2093"/>
    </row>
    <row r="97" spans="1:17" s="1639" customFormat="1" ht="18" hidden="1" customHeight="1" x14ac:dyDescent="0.25">
      <c r="B97" s="1640"/>
      <c r="C97" s="4676" t="s">
        <v>7040</v>
      </c>
      <c r="D97" s="4666">
        <v>14700000000</v>
      </c>
      <c r="E97" s="4651">
        <f t="shared" si="4"/>
        <v>8.4119922322633691</v>
      </c>
      <c r="F97" s="593"/>
      <c r="G97" s="780"/>
      <c r="H97" s="666"/>
      <c r="I97" s="780"/>
      <c r="J97" s="593"/>
      <c r="K97" s="3630"/>
      <c r="L97" s="1717"/>
      <c r="M97" s="5320"/>
      <c r="N97" s="5321"/>
      <c r="P97" s="2093"/>
      <c r="Q97" s="2093"/>
    </row>
    <row r="98" spans="1:17" s="1639" customFormat="1" ht="12" hidden="1" customHeight="1" x14ac:dyDescent="0.25">
      <c r="B98" s="1640"/>
      <c r="C98" s="5325"/>
      <c r="D98" s="5326"/>
      <c r="E98" s="4651"/>
      <c r="F98" s="593"/>
      <c r="G98" s="780"/>
      <c r="H98" s="666"/>
      <c r="I98" s="780"/>
      <c r="J98" s="593"/>
      <c r="K98" s="3630"/>
      <c r="L98" s="1717"/>
      <c r="M98" s="5320"/>
      <c r="N98" s="5321"/>
      <c r="P98" s="2093"/>
      <c r="Q98" s="2093"/>
    </row>
    <row r="99" spans="1:17" s="1639" customFormat="1" ht="18.75" hidden="1" customHeight="1" x14ac:dyDescent="0.25">
      <c r="B99" s="1640"/>
      <c r="C99" s="4690" t="s">
        <v>1887</v>
      </c>
      <c r="D99" s="4687">
        <f>SUM(D100:D100)</f>
        <v>2500000000</v>
      </c>
      <c r="E99" s="4672">
        <f t="shared" si="4"/>
        <v>1.4306109238543145</v>
      </c>
      <c r="F99" s="593"/>
      <c r="G99" s="780"/>
      <c r="H99" s="666"/>
      <c r="I99" s="780"/>
      <c r="J99" s="593"/>
      <c r="K99" s="3630"/>
      <c r="L99" s="1717"/>
      <c r="M99" s="5320"/>
      <c r="N99" s="5321"/>
      <c r="P99" s="2093"/>
      <c r="Q99" s="2093"/>
    </row>
    <row r="100" spans="1:17" s="1639" customFormat="1" ht="20.25" hidden="1" customHeight="1" x14ac:dyDescent="0.25">
      <c r="B100" s="1640"/>
      <c r="C100" s="4676" t="s">
        <v>7041</v>
      </c>
      <c r="D100" s="4666">
        <v>2500000000</v>
      </c>
      <c r="E100" s="4651">
        <f t="shared" si="4"/>
        <v>1.4306109238543145</v>
      </c>
      <c r="F100" s="593"/>
      <c r="G100" s="780"/>
      <c r="H100" s="666"/>
      <c r="I100" s="780"/>
      <c r="J100" s="593"/>
      <c r="K100" s="3630"/>
      <c r="L100" s="1717"/>
      <c r="M100" s="5320"/>
      <c r="N100" s="5321"/>
      <c r="P100" s="2093"/>
      <c r="Q100" s="2093"/>
    </row>
    <row r="101" spans="1:17" s="1639" customFormat="1" ht="12" hidden="1" customHeight="1" x14ac:dyDescent="0.25">
      <c r="B101" s="1640"/>
      <c r="C101" s="5313"/>
      <c r="D101" s="5314"/>
      <c r="E101" s="4667"/>
      <c r="F101" s="5315"/>
      <c r="G101" s="799"/>
      <c r="H101" s="2181"/>
      <c r="I101" s="2256"/>
      <c r="J101" s="5315"/>
      <c r="K101" s="804"/>
      <c r="L101" s="1703"/>
      <c r="M101" s="5316"/>
      <c r="N101" s="5317"/>
      <c r="P101" s="2093"/>
      <c r="Q101" s="2093"/>
    </row>
    <row r="102" spans="1:17" ht="16.5" hidden="1" customHeight="1" x14ac:dyDescent="0.25">
      <c r="B102" s="312"/>
      <c r="C102" s="4684" t="s">
        <v>2213</v>
      </c>
      <c r="D102" s="4689">
        <f>D103</f>
        <v>1937002000</v>
      </c>
      <c r="E102" s="4845">
        <f>D102/183431447000*100</f>
        <v>1.0559814206775568</v>
      </c>
      <c r="F102" s="641"/>
      <c r="G102" s="765"/>
      <c r="H102" s="1645"/>
      <c r="I102" s="2239"/>
      <c r="J102" s="641"/>
      <c r="K102" s="641"/>
      <c r="L102" s="1462"/>
      <c r="M102" s="726"/>
      <c r="N102" s="640"/>
    </row>
    <row r="103" spans="1:17" ht="15" hidden="1" customHeight="1" x14ac:dyDescent="0.25">
      <c r="B103" s="319"/>
      <c r="C103" s="4690" t="s">
        <v>2214</v>
      </c>
      <c r="D103" s="4691">
        <f>D104</f>
        <v>1937002000</v>
      </c>
      <c r="E103" s="4672">
        <f t="shared" ref="E103:E104" si="5">D103/174750518000*100</f>
        <v>1.1084384882910618</v>
      </c>
      <c r="F103" s="642"/>
      <c r="G103" s="795"/>
      <c r="H103" s="2409"/>
      <c r="I103" s="2260"/>
      <c r="J103" s="642"/>
      <c r="K103" s="642"/>
      <c r="L103" s="1671"/>
      <c r="M103" s="558"/>
      <c r="N103" s="639"/>
    </row>
    <row r="104" spans="1:17" s="1639" customFormat="1" ht="17.25" hidden="1" customHeight="1" x14ac:dyDescent="0.25">
      <c r="A104" s="1637"/>
      <c r="B104" s="4119"/>
      <c r="C104" s="4680" t="s">
        <v>7078</v>
      </c>
      <c r="D104" s="4666">
        <v>1937002000</v>
      </c>
      <c r="E104" s="4651">
        <f t="shared" si="5"/>
        <v>1.1084384882910618</v>
      </c>
      <c r="F104" s="626"/>
      <c r="G104" s="3630"/>
      <c r="H104" s="1310"/>
      <c r="I104" s="2249"/>
      <c r="J104" s="1775"/>
      <c r="K104" s="1312"/>
      <c r="L104" s="1717"/>
      <c r="M104" s="1312"/>
      <c r="N104" s="1638"/>
      <c r="P104" s="4588"/>
    </row>
    <row r="105" spans="1:17" ht="12" hidden="1" customHeight="1" x14ac:dyDescent="0.25">
      <c r="B105" s="319"/>
      <c r="C105" s="4657"/>
      <c r="D105" s="4956"/>
      <c r="E105" s="4891"/>
      <c r="F105" s="801"/>
      <c r="G105" s="801"/>
      <c r="H105" s="2409"/>
      <c r="I105" s="2257"/>
      <c r="J105" s="791"/>
      <c r="K105" s="791"/>
      <c r="L105" s="1312"/>
      <c r="M105" s="363"/>
      <c r="N105" s="232"/>
    </row>
    <row r="106" spans="1:17" s="2058" customFormat="1" ht="18" customHeight="1" x14ac:dyDescent="0.25">
      <c r="B106" s="616"/>
      <c r="C106" s="4655" t="s">
        <v>244</v>
      </c>
      <c r="D106" s="4954">
        <f>SUM(D108+D132+D136+D140)</f>
        <v>26848031850</v>
      </c>
      <c r="E106" s="4889">
        <f>D106/D45*100</f>
        <v>7.1741993797104691</v>
      </c>
      <c r="F106" s="3729"/>
      <c r="G106" s="2699"/>
      <c r="H106" s="2530"/>
      <c r="I106" s="2506"/>
      <c r="J106" s="2699"/>
      <c r="K106" s="2699"/>
      <c r="L106" s="2530"/>
      <c r="M106" s="617"/>
      <c r="N106" s="2059"/>
      <c r="P106" s="2151"/>
      <c r="Q106" s="2151"/>
    </row>
    <row r="107" spans="1:17" ht="8.25" hidden="1" customHeight="1" x14ac:dyDescent="0.25">
      <c r="B107" s="319"/>
      <c r="C107" s="4657"/>
      <c r="D107" s="4956"/>
      <c r="E107" s="4891"/>
      <c r="F107" s="3743"/>
      <c r="G107" s="801"/>
      <c r="H107" s="2257"/>
      <c r="I107" s="2257"/>
      <c r="J107" s="1314"/>
      <c r="K107" s="1314"/>
      <c r="L107" s="775"/>
      <c r="M107" s="358"/>
      <c r="N107" s="232"/>
    </row>
    <row r="108" spans="1:17" s="1639" customFormat="1" ht="16.5" hidden="1" customHeight="1" x14ac:dyDescent="0.25">
      <c r="B108" s="1715"/>
      <c r="C108" s="4643" t="s">
        <v>248</v>
      </c>
      <c r="D108" s="4957">
        <f>SUM(D109+D112+D119+D124+D129)</f>
        <v>19544286686</v>
      </c>
      <c r="E108" s="4845">
        <f>D108/178986879000*100</f>
        <v>10.919396324017695</v>
      </c>
      <c r="F108" s="3404"/>
      <c r="G108" s="743"/>
      <c r="H108" s="807"/>
      <c r="I108" s="2659"/>
      <c r="J108" s="743"/>
      <c r="K108" s="1518"/>
      <c r="L108" s="1462"/>
      <c r="M108" s="2108"/>
      <c r="N108" s="2084"/>
      <c r="P108" s="2093"/>
      <c r="Q108" s="2093"/>
    </row>
    <row r="109" spans="1:17" s="1639" customFormat="1" ht="18.75" hidden="1" customHeight="1" x14ac:dyDescent="0.25">
      <c r="B109" s="1640"/>
      <c r="C109" s="4645" t="s">
        <v>242</v>
      </c>
      <c r="D109" s="4944">
        <f>D110</f>
        <v>266190000</v>
      </c>
      <c r="E109" s="4664">
        <f>D109/178986879000*100</f>
        <v>0.14872039866117784</v>
      </c>
      <c r="F109" s="792"/>
      <c r="G109" s="795"/>
      <c r="H109" s="795"/>
      <c r="I109" s="795"/>
      <c r="J109" s="792"/>
      <c r="K109" s="795"/>
      <c r="L109" s="795"/>
      <c r="M109" s="2097"/>
      <c r="N109" s="2084"/>
      <c r="P109" s="2093"/>
      <c r="Q109" s="2093"/>
    </row>
    <row r="110" spans="1:17" s="1639" customFormat="1" ht="14.25" hidden="1" customHeight="1" x14ac:dyDescent="0.25">
      <c r="A110" s="2110"/>
      <c r="B110" s="1640"/>
      <c r="C110" s="4647" t="s">
        <v>4565</v>
      </c>
      <c r="D110" s="4958">
        <v>266190000</v>
      </c>
      <c r="E110" s="4651">
        <f>D110/178986879000*100</f>
        <v>0.14872039866117784</v>
      </c>
      <c r="F110" s="659"/>
      <c r="G110" s="755"/>
      <c r="H110" s="755"/>
      <c r="I110" s="755"/>
      <c r="J110" s="659"/>
      <c r="K110" s="971"/>
      <c r="L110" s="971"/>
      <c r="M110" s="2109"/>
      <c r="N110" s="2084"/>
      <c r="P110" s="2093"/>
      <c r="Q110" s="2093"/>
    </row>
    <row r="111" spans="1:17" s="1639" customFormat="1" ht="12" hidden="1" customHeight="1" x14ac:dyDescent="0.25">
      <c r="A111" s="2110"/>
      <c r="B111" s="1640"/>
      <c r="C111" s="4649"/>
      <c r="D111" s="4959"/>
      <c r="E111" s="4651"/>
      <c r="F111" s="389"/>
      <c r="G111" s="755"/>
      <c r="H111" s="802"/>
      <c r="I111" s="802"/>
      <c r="J111" s="500"/>
      <c r="K111" s="1716"/>
      <c r="L111" s="1648"/>
      <c r="M111" s="2099"/>
      <c r="N111" s="2084"/>
      <c r="P111" s="2093"/>
      <c r="Q111" s="2093"/>
    </row>
    <row r="112" spans="1:17" s="1639" customFormat="1" ht="18" hidden="1" customHeight="1" x14ac:dyDescent="0.25">
      <c r="A112" s="2110"/>
      <c r="B112" s="1640"/>
      <c r="C112" s="4649" t="s">
        <v>283</v>
      </c>
      <c r="D112" s="4960">
        <f>SUM(D113:D117)</f>
        <v>5565736700</v>
      </c>
      <c r="E112" s="4664">
        <f>D112/178986879000*100</f>
        <v>3.1095780490144196</v>
      </c>
      <c r="F112" s="822"/>
      <c r="G112" s="822"/>
      <c r="H112" s="803"/>
      <c r="I112" s="803"/>
      <c r="J112" s="822"/>
      <c r="K112" s="822"/>
      <c r="L112" s="2261"/>
      <c r="M112" s="2107"/>
      <c r="N112" s="2084"/>
      <c r="P112" s="2093"/>
      <c r="Q112" s="2093"/>
    </row>
    <row r="113" spans="1:17" s="1639" customFormat="1" ht="21" hidden="1" customHeight="1" x14ac:dyDescent="0.25">
      <c r="A113" s="2110"/>
      <c r="B113" s="1640"/>
      <c r="C113" s="4647" t="s">
        <v>4566</v>
      </c>
      <c r="D113" s="4961">
        <v>337430000</v>
      </c>
      <c r="E113" s="4651">
        <f>D113/178986879000*100</f>
        <v>0.18852219888140515</v>
      </c>
      <c r="F113" s="659"/>
      <c r="G113" s="755"/>
      <c r="H113" s="802"/>
      <c r="I113" s="802"/>
      <c r="J113" s="659"/>
      <c r="K113" s="971"/>
      <c r="L113" s="1717"/>
      <c r="M113" s="1731"/>
      <c r="N113" s="2084"/>
      <c r="P113" s="2093"/>
      <c r="Q113" s="2093"/>
    </row>
    <row r="114" spans="1:17" s="1639" customFormat="1" ht="14.25" hidden="1" customHeight="1" x14ac:dyDescent="0.25">
      <c r="A114" s="2110"/>
      <c r="B114" s="1640"/>
      <c r="C114" s="4647" t="s">
        <v>4567</v>
      </c>
      <c r="D114" s="4962">
        <v>3042192000</v>
      </c>
      <c r="E114" s="4651">
        <f>D114/178986879000*100</f>
        <v>1.6996731922455612</v>
      </c>
      <c r="F114" s="796"/>
      <c r="G114" s="755"/>
      <c r="H114" s="802"/>
      <c r="I114" s="802"/>
      <c r="J114" s="796"/>
      <c r="K114" s="1670"/>
      <c r="L114" s="1648"/>
      <c r="M114" s="2099"/>
      <c r="N114" s="2084"/>
      <c r="P114" s="2093"/>
      <c r="Q114" s="2093"/>
    </row>
    <row r="115" spans="1:17" s="1639" customFormat="1" ht="19.5" hidden="1" customHeight="1" x14ac:dyDescent="0.25">
      <c r="A115" s="2110"/>
      <c r="B115" s="1640"/>
      <c r="C115" s="4647" t="s">
        <v>4568</v>
      </c>
      <c r="D115" s="4962">
        <v>1599294700</v>
      </c>
      <c r="E115" s="4651">
        <f t="shared" ref="E115:E130" si="6">D115/178986879000*100</f>
        <v>0.89352622322667574</v>
      </c>
      <c r="F115" s="822"/>
      <c r="G115" s="822"/>
      <c r="H115" s="803"/>
      <c r="I115" s="803"/>
      <c r="J115" s="822"/>
      <c r="K115" s="822"/>
      <c r="L115" s="2261"/>
      <c r="M115" s="2106"/>
      <c r="N115" s="2084"/>
      <c r="P115" s="2093"/>
      <c r="Q115" s="2093"/>
    </row>
    <row r="116" spans="1:17" s="1639" customFormat="1" ht="34.5" hidden="1" customHeight="1" x14ac:dyDescent="0.25">
      <c r="A116" s="2110"/>
      <c r="B116" s="1640"/>
      <c r="C116" s="4647" t="s">
        <v>4569</v>
      </c>
      <c r="D116" s="4962">
        <v>247600000</v>
      </c>
      <c r="E116" s="4651">
        <f t="shared" si="6"/>
        <v>0.13833416247232291</v>
      </c>
      <c r="F116" s="659"/>
      <c r="G116" s="755"/>
      <c r="H116" s="755"/>
      <c r="I116" s="755"/>
      <c r="J116" s="659"/>
      <c r="K116" s="971"/>
      <c r="L116" s="971"/>
      <c r="M116" s="2109"/>
      <c r="N116" s="2084"/>
      <c r="P116" s="2093"/>
      <c r="Q116" s="2093"/>
    </row>
    <row r="117" spans="1:17" s="1639" customFormat="1" ht="18.75" hidden="1" customHeight="1" x14ac:dyDescent="0.25">
      <c r="A117" s="2110"/>
      <c r="B117" s="1640"/>
      <c r="C117" s="4647" t="s">
        <v>4570</v>
      </c>
      <c r="D117" s="4962">
        <v>339220000</v>
      </c>
      <c r="E117" s="4667">
        <f t="shared" si="6"/>
        <v>0.18952227218845466</v>
      </c>
      <c r="F117" s="659"/>
      <c r="G117" s="755"/>
      <c r="H117" s="755"/>
      <c r="I117" s="755"/>
      <c r="J117" s="659"/>
      <c r="K117" s="971"/>
      <c r="L117" s="1717"/>
      <c r="M117" s="2099"/>
      <c r="N117" s="2084"/>
      <c r="P117" s="2093"/>
      <c r="Q117" s="2093"/>
    </row>
    <row r="118" spans="1:17" s="1639" customFormat="1" ht="15" hidden="1" customHeight="1" x14ac:dyDescent="0.25">
      <c r="A118" s="2110"/>
      <c r="B118" s="1640"/>
      <c r="C118" s="4649"/>
      <c r="D118" s="4962"/>
      <c r="E118" s="4651"/>
      <c r="F118" s="828"/>
      <c r="G118" s="755"/>
      <c r="H118" s="755"/>
      <c r="I118" s="755"/>
      <c r="J118" s="828"/>
      <c r="K118" s="971"/>
      <c r="L118" s="1717"/>
      <c r="M118" s="2099"/>
      <c r="N118" s="2084"/>
      <c r="P118" s="2093"/>
      <c r="Q118" s="2093"/>
    </row>
    <row r="119" spans="1:17" s="1639" customFormat="1" ht="21.75" hidden="1" customHeight="1" x14ac:dyDescent="0.25">
      <c r="A119" s="2110"/>
      <c r="B119" s="1640"/>
      <c r="C119" s="4649" t="s">
        <v>445</v>
      </c>
      <c r="D119" s="4960">
        <f>SUM(D120:D122)</f>
        <v>1496190000</v>
      </c>
      <c r="E119" s="4672">
        <f t="shared" si="6"/>
        <v>0.8359216096505041</v>
      </c>
      <c r="F119" s="828"/>
      <c r="G119" s="755"/>
      <c r="H119" s="802"/>
      <c r="I119" s="802"/>
      <c r="J119" s="828"/>
      <c r="K119" s="971"/>
      <c r="L119" s="1717"/>
      <c r="M119" s="2099"/>
      <c r="N119" s="2084"/>
      <c r="P119" s="2093"/>
      <c r="Q119" s="2093"/>
    </row>
    <row r="120" spans="1:17" s="1639" customFormat="1" ht="19.5" hidden="1" customHeight="1" x14ac:dyDescent="0.25">
      <c r="A120" s="2110"/>
      <c r="B120" s="1640"/>
      <c r="C120" s="4647" t="s">
        <v>4571</v>
      </c>
      <c r="D120" s="4961">
        <v>1082750000</v>
      </c>
      <c r="E120" s="4651">
        <f t="shared" si="6"/>
        <v>0.60493261073064464</v>
      </c>
      <c r="F120" s="828"/>
      <c r="G120" s="755"/>
      <c r="H120" s="802"/>
      <c r="I120" s="802"/>
      <c r="J120" s="828"/>
      <c r="K120" s="971"/>
      <c r="L120" s="1717"/>
      <c r="M120" s="2099"/>
      <c r="N120" s="2084"/>
      <c r="P120" s="2093"/>
      <c r="Q120" s="2093"/>
    </row>
    <row r="121" spans="1:17" s="1639" customFormat="1" ht="45" hidden="1" customHeight="1" x14ac:dyDescent="0.25">
      <c r="A121" s="2110"/>
      <c r="B121" s="1640"/>
      <c r="C121" s="4647" t="s">
        <v>4572</v>
      </c>
      <c r="D121" s="4961">
        <v>350500000</v>
      </c>
      <c r="E121" s="4651">
        <f t="shared" si="6"/>
        <v>0.19582441012338117</v>
      </c>
      <c r="F121" s="828"/>
      <c r="G121" s="755"/>
      <c r="H121" s="755"/>
      <c r="I121" s="755"/>
      <c r="J121" s="828"/>
      <c r="K121" s="971"/>
      <c r="L121" s="1717"/>
      <c r="M121" s="2099"/>
      <c r="N121" s="2084"/>
      <c r="P121" s="2093"/>
      <c r="Q121" s="2093"/>
    </row>
    <row r="122" spans="1:17" s="1639" customFormat="1" ht="17.25" hidden="1" customHeight="1" x14ac:dyDescent="0.25">
      <c r="A122" s="2110"/>
      <c r="B122" s="1640"/>
      <c r="C122" s="4647" t="s">
        <v>4573</v>
      </c>
      <c r="D122" s="4963">
        <v>62940000</v>
      </c>
      <c r="E122" s="4667">
        <f t="shared" si="6"/>
        <v>3.5164588796478206E-2</v>
      </c>
      <c r="F122" s="828"/>
      <c r="G122" s="755"/>
      <c r="H122" s="755"/>
      <c r="I122" s="755"/>
      <c r="J122" s="828"/>
      <c r="K122" s="971"/>
      <c r="L122" s="971"/>
      <c r="M122" s="2109"/>
      <c r="N122" s="2084"/>
      <c r="P122" s="2093"/>
      <c r="Q122" s="2093"/>
    </row>
    <row r="123" spans="1:17" s="1639" customFormat="1" ht="12" hidden="1" customHeight="1" x14ac:dyDescent="0.25">
      <c r="A123" s="2110"/>
      <c r="B123" s="1640"/>
      <c r="C123" s="4647"/>
      <c r="D123" s="4963"/>
      <c r="E123" s="4651"/>
      <c r="F123" s="828"/>
      <c r="G123" s="755"/>
      <c r="H123" s="755"/>
      <c r="I123" s="755"/>
      <c r="J123" s="828"/>
      <c r="K123" s="1716"/>
      <c r="L123" s="1648"/>
      <c r="M123" s="2099"/>
      <c r="N123" s="2084"/>
      <c r="P123" s="2093"/>
      <c r="Q123" s="2093"/>
    </row>
    <row r="124" spans="1:17" s="1639" customFormat="1" ht="18" hidden="1" customHeight="1" x14ac:dyDescent="0.25">
      <c r="A124" s="2110"/>
      <c r="B124" s="1640"/>
      <c r="C124" s="4649" t="s">
        <v>453</v>
      </c>
      <c r="D124" s="4964">
        <f>SUM(D125:D127)</f>
        <v>1321933500</v>
      </c>
      <c r="E124" s="4672">
        <f t="shared" si="6"/>
        <v>0.73856447320923457</v>
      </c>
      <c r="F124" s="829"/>
      <c r="G124" s="753"/>
      <c r="H124" s="753"/>
      <c r="I124" s="753"/>
      <c r="J124" s="829"/>
      <c r="K124" s="753"/>
      <c r="L124" s="753"/>
      <c r="M124" s="2072"/>
      <c r="N124" s="2084"/>
      <c r="P124" s="2093"/>
      <c r="Q124" s="2093"/>
    </row>
    <row r="125" spans="1:17" s="1639" customFormat="1" ht="15" hidden="1" customHeight="1" x14ac:dyDescent="0.25">
      <c r="A125" s="2110"/>
      <c r="B125" s="1640"/>
      <c r="C125" s="4647" t="s">
        <v>4574</v>
      </c>
      <c r="D125" s="4962">
        <v>429396500</v>
      </c>
      <c r="E125" s="4651">
        <f t="shared" si="6"/>
        <v>0.23990389820697416</v>
      </c>
      <c r="F125" s="796"/>
      <c r="G125" s="755"/>
      <c r="H125" s="755"/>
      <c r="I125" s="755"/>
      <c r="J125" s="3032"/>
      <c r="K125" s="971"/>
      <c r="L125" s="971"/>
      <c r="M125" s="2109"/>
      <c r="N125" s="2084"/>
      <c r="P125" s="2093"/>
      <c r="Q125" s="2093"/>
    </row>
    <row r="126" spans="1:17" s="1639" customFormat="1" ht="18.75" hidden="1" customHeight="1" x14ac:dyDescent="0.25">
      <c r="A126" s="2110"/>
      <c r="B126" s="1640"/>
      <c r="C126" s="4647" t="s">
        <v>4575</v>
      </c>
      <c r="D126" s="4965">
        <v>641599000</v>
      </c>
      <c r="E126" s="4651">
        <f t="shared" si="6"/>
        <v>0.35846147135735018</v>
      </c>
      <c r="F126" s="760"/>
      <c r="G126" s="755"/>
      <c r="H126" s="755"/>
      <c r="I126" s="755"/>
      <c r="J126" s="830"/>
      <c r="K126" s="971"/>
      <c r="L126" s="971"/>
      <c r="M126" s="2109"/>
      <c r="N126" s="2084"/>
      <c r="P126" s="2093"/>
      <c r="Q126" s="2093"/>
    </row>
    <row r="127" spans="1:17" s="1639" customFormat="1" ht="15.75" hidden="1" customHeight="1" x14ac:dyDescent="0.25">
      <c r="A127" s="2110"/>
      <c r="B127" s="1640"/>
      <c r="C127" s="4647" t="s">
        <v>4576</v>
      </c>
      <c r="D127" s="4965">
        <v>250938000</v>
      </c>
      <c r="E127" s="4651">
        <f t="shared" si="6"/>
        <v>0.1401991036449102</v>
      </c>
      <c r="F127" s="830"/>
      <c r="G127" s="755"/>
      <c r="H127" s="755"/>
      <c r="I127" s="755"/>
      <c r="J127" s="830"/>
      <c r="K127" s="1668"/>
      <c r="L127" s="1648"/>
      <c r="M127" s="2099"/>
      <c r="N127" s="2084"/>
      <c r="P127" s="2093"/>
      <c r="Q127" s="2093"/>
    </row>
    <row r="128" spans="1:17" s="1639" customFormat="1" ht="18.75" hidden="1" customHeight="1" x14ac:dyDescent="0.25">
      <c r="A128" s="2110"/>
      <c r="B128" s="1640"/>
      <c r="C128" s="4692"/>
      <c r="D128" s="4965"/>
      <c r="E128" s="4672"/>
      <c r="F128" s="658"/>
      <c r="G128" s="753"/>
      <c r="H128" s="753"/>
      <c r="I128" s="753"/>
      <c r="J128" s="831"/>
      <c r="K128" s="541"/>
      <c r="L128" s="2261"/>
      <c r="M128" s="2112"/>
      <c r="N128" s="2084"/>
      <c r="P128" s="2093"/>
      <c r="Q128" s="2093"/>
    </row>
    <row r="129" spans="1:17" s="1639" customFormat="1" ht="31.5" hidden="1" customHeight="1" x14ac:dyDescent="0.25">
      <c r="A129" s="2110"/>
      <c r="B129" s="1640"/>
      <c r="C129" s="4649" t="s">
        <v>4577</v>
      </c>
      <c r="D129" s="4966">
        <f>D130</f>
        <v>10894236486</v>
      </c>
      <c r="E129" s="4672">
        <f t="shared" si="6"/>
        <v>6.0866117934823594</v>
      </c>
      <c r="F129" s="659"/>
      <c r="G129" s="755"/>
      <c r="H129" s="755"/>
      <c r="I129" s="755"/>
      <c r="J129" s="846"/>
      <c r="K129" s="971"/>
      <c r="L129" s="971"/>
      <c r="M129" s="2109"/>
      <c r="N129" s="2084"/>
      <c r="P129" s="2093"/>
      <c r="Q129" s="2093"/>
    </row>
    <row r="130" spans="1:17" s="1639" customFormat="1" ht="21" hidden="1" customHeight="1" x14ac:dyDescent="0.25">
      <c r="A130" s="2110"/>
      <c r="B130" s="1640"/>
      <c r="C130" s="4647" t="s">
        <v>4578</v>
      </c>
      <c r="D130" s="4958">
        <v>10894236486</v>
      </c>
      <c r="E130" s="4651">
        <f t="shared" si="6"/>
        <v>6.0866117934823594</v>
      </c>
      <c r="F130" s="796"/>
      <c r="G130" s="755"/>
      <c r="H130" s="755"/>
      <c r="I130" s="755"/>
      <c r="J130" s="3032"/>
      <c r="K130" s="971"/>
      <c r="L130" s="1717"/>
      <c r="M130" s="2099"/>
      <c r="N130" s="2084"/>
      <c r="P130" s="2093"/>
      <c r="Q130" s="2093"/>
    </row>
    <row r="131" spans="1:17" ht="12" hidden="1" customHeight="1" x14ac:dyDescent="0.25">
      <c r="B131" s="319"/>
      <c r="C131" s="4645"/>
      <c r="D131" s="4967"/>
      <c r="E131" s="4890"/>
      <c r="F131" s="3033"/>
      <c r="G131" s="969"/>
      <c r="H131" s="791"/>
      <c r="I131" s="791"/>
      <c r="J131" s="824"/>
      <c r="K131" s="1649"/>
      <c r="L131" s="2271"/>
      <c r="M131" s="379"/>
      <c r="N131" s="281"/>
    </row>
    <row r="132" spans="1:17" s="1639" customFormat="1" ht="16.5" hidden="1" customHeight="1" x14ac:dyDescent="0.25">
      <c r="B132" s="1715"/>
      <c r="C132" s="4643" t="s">
        <v>249</v>
      </c>
      <c r="D132" s="4968">
        <f>SUM(D133)</f>
        <v>5296293288</v>
      </c>
      <c r="E132" s="4845">
        <f>D132/178986879000*100</f>
        <v>2.9590399685107642</v>
      </c>
      <c r="F132" s="832"/>
      <c r="G132" s="832"/>
      <c r="H132" s="3631"/>
      <c r="I132" s="3631"/>
      <c r="J132" s="832"/>
      <c r="K132" s="832"/>
      <c r="L132" s="1462"/>
      <c r="M132" s="5323"/>
      <c r="N132" s="3742"/>
      <c r="P132" s="2093"/>
      <c r="Q132" s="2093"/>
    </row>
    <row r="133" spans="1:17" s="1639" customFormat="1" ht="19.5" hidden="1" customHeight="1" x14ac:dyDescent="0.25">
      <c r="B133" s="2088"/>
      <c r="C133" s="4645" t="s">
        <v>1016</v>
      </c>
      <c r="D133" s="4969">
        <f>D134</f>
        <v>5296293288</v>
      </c>
      <c r="E133" s="4664">
        <f>D133/178986879000*100</f>
        <v>2.9590399685107642</v>
      </c>
      <c r="F133" s="3034"/>
      <c r="G133" s="834"/>
      <c r="H133" s="793"/>
      <c r="I133" s="793"/>
      <c r="J133" s="833"/>
      <c r="K133" s="874"/>
      <c r="L133" s="1671"/>
      <c r="M133" s="2094"/>
      <c r="N133" s="2104"/>
      <c r="P133" s="2093"/>
      <c r="Q133" s="2093"/>
    </row>
    <row r="134" spans="1:17" s="1639" customFormat="1" ht="17.25" hidden="1" customHeight="1" x14ac:dyDescent="0.25">
      <c r="B134" s="2114"/>
      <c r="C134" s="4647" t="s">
        <v>4579</v>
      </c>
      <c r="D134" s="4961">
        <v>5296293288</v>
      </c>
      <c r="E134" s="4651">
        <f>D134/178986879000*100</f>
        <v>2.9590399685107642</v>
      </c>
      <c r="F134" s="659"/>
      <c r="G134" s="755"/>
      <c r="H134" s="3630"/>
      <c r="I134" s="802"/>
      <c r="J134" s="659"/>
      <c r="K134" s="3512"/>
      <c r="L134" s="1717"/>
      <c r="M134" s="2099"/>
      <c r="N134" s="2084"/>
      <c r="P134" s="2093"/>
      <c r="Q134" s="2093"/>
    </row>
    <row r="135" spans="1:17" s="1639" customFormat="1" ht="9" hidden="1" customHeight="1" x14ac:dyDescent="0.25">
      <c r="B135" s="3738"/>
      <c r="C135" s="4693"/>
      <c r="D135" s="4953"/>
      <c r="E135" s="4892"/>
      <c r="F135" s="835"/>
      <c r="G135" s="798"/>
      <c r="H135" s="3634"/>
      <c r="I135" s="3634"/>
      <c r="J135" s="835"/>
      <c r="K135" s="3651"/>
      <c r="L135" s="3576"/>
      <c r="M135" s="3740"/>
      <c r="N135" s="2105"/>
      <c r="P135" s="2093"/>
      <c r="Q135" s="2093"/>
    </row>
    <row r="136" spans="1:17" s="1639" customFormat="1" ht="16.5" hidden="1" customHeight="1" x14ac:dyDescent="0.25">
      <c r="B136" s="1715"/>
      <c r="C136" s="4643" t="s">
        <v>4638</v>
      </c>
      <c r="D136" s="4968">
        <f>D137</f>
        <v>98608000</v>
      </c>
      <c r="E136" s="4845">
        <f>D136/178986879000*100</f>
        <v>5.5092306514825599E-2</v>
      </c>
      <c r="F136" s="3382"/>
      <c r="G136" s="2226"/>
      <c r="H136" s="2226"/>
      <c r="I136" s="2226"/>
      <c r="J136" s="3382"/>
      <c r="K136" s="3656"/>
      <c r="L136" s="3656"/>
      <c r="M136" s="3741"/>
      <c r="N136" s="3742"/>
      <c r="P136" s="2093"/>
      <c r="Q136" s="2093"/>
    </row>
    <row r="137" spans="1:17" s="1639" customFormat="1" ht="24" hidden="1" customHeight="1" x14ac:dyDescent="0.25">
      <c r="B137" s="1640"/>
      <c r="C137" s="4645" t="s">
        <v>4639</v>
      </c>
      <c r="D137" s="4970">
        <f>D138</f>
        <v>98608000</v>
      </c>
      <c r="E137" s="4664">
        <f>D137/178986879000*100</f>
        <v>5.5092306514825599E-2</v>
      </c>
      <c r="F137" s="840"/>
      <c r="G137" s="827"/>
      <c r="H137" s="804"/>
      <c r="I137" s="804"/>
      <c r="J137" s="840"/>
      <c r="K137" s="3651"/>
      <c r="L137" s="1649"/>
      <c r="M137" s="3739"/>
      <c r="N137" s="5317"/>
      <c r="P137" s="2093"/>
      <c r="Q137" s="2093"/>
    </row>
    <row r="138" spans="1:17" s="1639" customFormat="1" ht="26.25" hidden="1" customHeight="1" x14ac:dyDescent="0.25">
      <c r="B138" s="1640"/>
      <c r="C138" s="4647" t="s">
        <v>4641</v>
      </c>
      <c r="D138" s="4666">
        <v>98608000</v>
      </c>
      <c r="E138" s="4651">
        <f>D138/178986879000*100</f>
        <v>5.5092306514825599E-2</v>
      </c>
      <c r="F138" s="840"/>
      <c r="G138" s="827"/>
      <c r="H138" s="804"/>
      <c r="I138" s="804"/>
      <c r="J138" s="840"/>
      <c r="K138" s="3651"/>
      <c r="L138" s="1649"/>
      <c r="M138" s="3739"/>
      <c r="N138" s="5317"/>
      <c r="P138" s="2093"/>
      <c r="Q138" s="2093"/>
    </row>
    <row r="139" spans="1:17" s="1639" customFormat="1" ht="9" hidden="1" customHeight="1" x14ac:dyDescent="0.25">
      <c r="B139" s="1640"/>
      <c r="C139" s="5322"/>
      <c r="D139" s="4967"/>
      <c r="E139" s="4903"/>
      <c r="F139" s="840"/>
      <c r="G139" s="827"/>
      <c r="H139" s="804"/>
      <c r="I139" s="804"/>
      <c r="J139" s="840"/>
      <c r="K139" s="3651"/>
      <c r="L139" s="1649"/>
      <c r="M139" s="3739"/>
      <c r="N139" s="5317"/>
      <c r="P139" s="2093"/>
      <c r="Q139" s="2093"/>
    </row>
    <row r="140" spans="1:17" s="1639" customFormat="1" ht="20.25" hidden="1" customHeight="1" x14ac:dyDescent="0.25">
      <c r="B140" s="1715"/>
      <c r="C140" s="4643" t="s">
        <v>4761</v>
      </c>
      <c r="D140" s="4968">
        <f>D141</f>
        <v>1908843876</v>
      </c>
      <c r="E140" s="4845">
        <f>D140/178986879000*100</f>
        <v>1.0664714009567149</v>
      </c>
      <c r="F140" s="3382"/>
      <c r="G140" s="2226"/>
      <c r="H140" s="2226"/>
      <c r="I140" s="2226"/>
      <c r="J140" s="3382"/>
      <c r="K140" s="3656"/>
      <c r="L140" s="3656"/>
      <c r="M140" s="3741"/>
      <c r="N140" s="3742"/>
      <c r="P140" s="2093"/>
      <c r="Q140" s="2093"/>
    </row>
    <row r="141" spans="1:17" s="1639" customFormat="1" ht="22.5" hidden="1" customHeight="1" x14ac:dyDescent="0.25">
      <c r="B141" s="1640"/>
      <c r="C141" s="4694" t="s">
        <v>4764</v>
      </c>
      <c r="D141" s="4970">
        <f>D142</f>
        <v>1908843876</v>
      </c>
      <c r="E141" s="4664">
        <f>D141/178986879000*100</f>
        <v>1.0664714009567149</v>
      </c>
      <c r="F141" s="840"/>
      <c r="G141" s="827"/>
      <c r="H141" s="804"/>
      <c r="I141" s="804"/>
      <c r="J141" s="2694"/>
      <c r="K141" s="1649"/>
      <c r="L141" s="1649"/>
      <c r="M141" s="3739"/>
      <c r="N141" s="2104"/>
      <c r="P141" s="2093"/>
      <c r="Q141" s="2093"/>
    </row>
    <row r="142" spans="1:17" s="1639" customFormat="1" ht="20.25" hidden="1" customHeight="1" x14ac:dyDescent="0.25">
      <c r="B142" s="3738"/>
      <c r="C142" s="4695" t="s">
        <v>4766</v>
      </c>
      <c r="D142" s="4953">
        <v>1908843876</v>
      </c>
      <c r="E142" s="4651">
        <f>D142/178986879000*100</f>
        <v>1.0664714009567149</v>
      </c>
      <c r="F142" s="835"/>
      <c r="G142" s="798"/>
      <c r="H142" s="3634"/>
      <c r="I142" s="3634"/>
      <c r="J142" s="838"/>
      <c r="K142" s="3648"/>
      <c r="L142" s="3648"/>
      <c r="M142" s="2083"/>
      <c r="N142" s="3558"/>
      <c r="P142" s="2093"/>
      <c r="Q142" s="2093"/>
    </row>
    <row r="143" spans="1:17" ht="12" hidden="1" customHeight="1" x14ac:dyDescent="0.25">
      <c r="B143" s="314"/>
      <c r="C143" s="4653"/>
      <c r="D143" s="4953"/>
      <c r="E143" s="4696"/>
      <c r="F143" s="660"/>
      <c r="G143" s="882"/>
      <c r="H143" s="1651"/>
      <c r="I143" s="2295"/>
      <c r="J143" s="824"/>
      <c r="K143" s="1649"/>
      <c r="L143" s="1649"/>
      <c r="M143" s="369"/>
      <c r="N143" s="232"/>
    </row>
    <row r="144" spans="1:17" s="2060" customFormat="1" ht="17.25" customHeight="1" x14ac:dyDescent="0.25">
      <c r="B144" s="2061"/>
      <c r="C144" s="4655" t="s">
        <v>601</v>
      </c>
      <c r="D144" s="4954">
        <f>SUM(D146+D214+D218+D222)</f>
        <v>25433373250</v>
      </c>
      <c r="E144" s="4889">
        <f>D144/D45*100</f>
        <v>6.7961812476058592</v>
      </c>
      <c r="F144" s="3402"/>
      <c r="G144" s="2699"/>
      <c r="H144" s="2506"/>
      <c r="I144" s="3035"/>
      <c r="J144" s="2699"/>
      <c r="K144" s="2699"/>
      <c r="L144" s="2507"/>
      <c r="M144" s="737"/>
      <c r="N144" s="2062"/>
      <c r="P144" s="2152"/>
      <c r="Q144" s="2152"/>
    </row>
    <row r="145" spans="2:17" s="2017" customFormat="1" ht="6.75" hidden="1" customHeight="1" x14ac:dyDescent="0.25">
      <c r="B145" s="2031"/>
      <c r="C145" s="4697"/>
      <c r="D145" s="4971"/>
      <c r="E145" s="4702"/>
      <c r="F145" s="796"/>
      <c r="G145" s="882"/>
      <c r="H145" s="784"/>
      <c r="I145" s="934"/>
      <c r="J145" s="660"/>
      <c r="K145" s="882"/>
      <c r="L145" s="783"/>
      <c r="M145" s="564"/>
      <c r="N145" s="2019"/>
      <c r="P145" s="2130"/>
      <c r="Q145" s="2130"/>
    </row>
    <row r="146" spans="2:17" s="2131" customFormat="1" ht="15.75" hidden="1" customHeight="1" x14ac:dyDescent="0.25">
      <c r="B146" s="2132"/>
      <c r="C146" s="4660" t="s">
        <v>248</v>
      </c>
      <c r="D146" s="4661">
        <f>D147+D150+D154+D168+D171+D174+D179+D182+D186+D192+D199+D203+D208+D211</f>
        <v>10965047510</v>
      </c>
      <c r="E146" s="4715">
        <f>D146/165355445000*100</f>
        <v>6.6311983315699097</v>
      </c>
      <c r="F146" s="2018"/>
      <c r="G146" s="2018"/>
      <c r="H146" s="2239"/>
      <c r="I146" s="3036"/>
      <c r="J146" s="2018"/>
      <c r="K146" s="2018"/>
      <c r="L146" s="2064"/>
      <c r="M146" s="2133"/>
      <c r="N146" s="2134"/>
      <c r="P146" s="2135"/>
      <c r="Q146" s="2135"/>
    </row>
    <row r="147" spans="2:17" s="2131" customFormat="1" ht="18.75" hidden="1" customHeight="1" x14ac:dyDescent="0.25">
      <c r="B147" s="2136"/>
      <c r="C147" s="4910" t="s">
        <v>262</v>
      </c>
      <c r="D147" s="4972">
        <f>D148</f>
        <v>26680000</v>
      </c>
      <c r="E147" s="4718">
        <f>D147/165355445000*100</f>
        <v>1.6134938888767769E-2</v>
      </c>
      <c r="F147" s="3037"/>
      <c r="G147" s="877"/>
      <c r="H147" s="877"/>
      <c r="I147" s="877"/>
      <c r="J147" s="3038"/>
      <c r="K147" s="884"/>
      <c r="L147" s="2299"/>
      <c r="M147" s="2137"/>
      <c r="N147" s="2134"/>
      <c r="P147" s="2135"/>
      <c r="Q147" s="2135"/>
    </row>
    <row r="148" spans="2:17" s="2131" customFormat="1" ht="17.25" hidden="1" customHeight="1" x14ac:dyDescent="0.25">
      <c r="B148" s="2136"/>
      <c r="C148" s="4911" t="s">
        <v>1080</v>
      </c>
      <c r="D148" s="4669">
        <v>26680000</v>
      </c>
      <c r="E148" s="4721">
        <f>D148/165355445000*100</f>
        <v>1.6134938888767769E-2</v>
      </c>
      <c r="F148" s="3039"/>
      <c r="G148" s="878"/>
      <c r="H148" s="878"/>
      <c r="I148" s="878"/>
      <c r="J148" s="3039"/>
      <c r="K148" s="878"/>
      <c r="L148" s="1167"/>
      <c r="M148" s="2129"/>
      <c r="N148" s="2134"/>
      <c r="P148" s="2135"/>
      <c r="Q148" s="2135"/>
    </row>
    <row r="149" spans="2:17" s="2131" customFormat="1" ht="13.5" hidden="1" customHeight="1" x14ac:dyDescent="0.25">
      <c r="B149" s="2136"/>
      <c r="C149" s="4912"/>
      <c r="D149" s="4973"/>
      <c r="E149" s="4721"/>
      <c r="F149" s="3040"/>
      <c r="G149" s="3041"/>
      <c r="H149" s="878"/>
      <c r="I149" s="878"/>
      <c r="J149" s="3040"/>
      <c r="K149" s="2293"/>
      <c r="L149" s="2250"/>
      <c r="M149" s="2138"/>
      <c r="N149" s="2134"/>
      <c r="P149" s="2135"/>
      <c r="Q149" s="2135"/>
    </row>
    <row r="150" spans="2:17" s="2131" customFormat="1" ht="17.25" hidden="1" customHeight="1" x14ac:dyDescent="0.25">
      <c r="B150" s="2136"/>
      <c r="C150" s="4913" t="s">
        <v>290</v>
      </c>
      <c r="D150" s="4687">
        <f>D151+D152</f>
        <v>379125000</v>
      </c>
      <c r="E150" s="4718">
        <f t="shared" ref="E150:E212" si="7">D150/165355445000*100</f>
        <v>0.22927881207661471</v>
      </c>
      <c r="F150" s="3042"/>
      <c r="G150" s="3043"/>
      <c r="H150" s="877"/>
      <c r="I150" s="877"/>
      <c r="J150" s="3042"/>
      <c r="K150" s="3042"/>
      <c r="L150" s="1473"/>
      <c r="M150" s="2140"/>
      <c r="N150" s="2134"/>
      <c r="P150" s="2135"/>
      <c r="Q150" s="2135"/>
    </row>
    <row r="151" spans="2:17" s="2131" customFormat="1" ht="18" hidden="1" customHeight="1" x14ac:dyDescent="0.25">
      <c r="B151" s="2136"/>
      <c r="C151" s="4911" t="s">
        <v>1081</v>
      </c>
      <c r="D151" s="4669">
        <v>26575000</v>
      </c>
      <c r="E151" s="4721">
        <f t="shared" si="7"/>
        <v>1.607143931667929E-2</v>
      </c>
      <c r="F151" s="3039"/>
      <c r="G151" s="878"/>
      <c r="H151" s="878"/>
      <c r="I151" s="878"/>
      <c r="J151" s="3039"/>
      <c r="K151" s="3039"/>
      <c r="L151" s="1474"/>
      <c r="M151" s="2138"/>
      <c r="N151" s="2134"/>
      <c r="P151" s="2135"/>
      <c r="Q151" s="2135"/>
    </row>
    <row r="152" spans="2:17" s="2131" customFormat="1" ht="18.75" hidden="1" customHeight="1" x14ac:dyDescent="0.25">
      <c r="B152" s="2136"/>
      <c r="C152" s="4911" t="s">
        <v>284</v>
      </c>
      <c r="D152" s="4669">
        <v>352550000</v>
      </c>
      <c r="E152" s="4721">
        <f t="shared" si="7"/>
        <v>0.21320737275993545</v>
      </c>
      <c r="F152" s="3039"/>
      <c r="G152" s="3044"/>
      <c r="H152" s="878"/>
      <c r="I152" s="878"/>
      <c r="J152" s="3039"/>
      <c r="K152" s="2293"/>
      <c r="L152" s="1474"/>
      <c r="M152" s="2138"/>
      <c r="N152" s="2134"/>
      <c r="P152" s="2135"/>
      <c r="Q152" s="2135"/>
    </row>
    <row r="153" spans="2:17" s="2131" customFormat="1" ht="12" hidden="1" customHeight="1" x14ac:dyDescent="0.25">
      <c r="B153" s="2136"/>
      <c r="C153" s="4913"/>
      <c r="D153" s="4687"/>
      <c r="E153" s="4698"/>
      <c r="F153" s="3042"/>
      <c r="G153" s="878"/>
      <c r="H153" s="878"/>
      <c r="I153" s="878"/>
      <c r="J153" s="3039"/>
      <c r="K153" s="2293"/>
      <c r="L153" s="2250"/>
      <c r="M153" s="2138"/>
      <c r="N153" s="2134"/>
      <c r="P153" s="2135"/>
      <c r="Q153" s="2135"/>
    </row>
    <row r="154" spans="2:17" s="2131" customFormat="1" ht="19.5" hidden="1" customHeight="1" x14ac:dyDescent="0.25">
      <c r="B154" s="2136"/>
      <c r="C154" s="4913" t="s">
        <v>291</v>
      </c>
      <c r="D154" s="4687">
        <f>SUM(D155:D166)</f>
        <v>2770723934</v>
      </c>
      <c r="E154" s="4718">
        <f t="shared" si="7"/>
        <v>1.6756169922314927</v>
      </c>
      <c r="F154" s="3042"/>
      <c r="G154" s="3043"/>
      <c r="H154" s="877"/>
      <c r="I154" s="3045"/>
      <c r="J154" s="3042"/>
      <c r="K154" s="3042"/>
      <c r="L154" s="1473"/>
      <c r="M154" s="2140"/>
      <c r="N154" s="2134"/>
      <c r="P154" s="2135"/>
      <c r="Q154" s="2135"/>
    </row>
    <row r="155" spans="2:17" s="2131" customFormat="1" ht="17.25" hidden="1" customHeight="1" x14ac:dyDescent="0.25">
      <c r="B155" s="2136"/>
      <c r="C155" s="4911" t="s">
        <v>1082</v>
      </c>
      <c r="D155" s="4669">
        <v>99039000</v>
      </c>
      <c r="E155" s="4721">
        <f t="shared" si="7"/>
        <v>5.9894610667341495E-2</v>
      </c>
      <c r="F155" s="3039"/>
      <c r="G155" s="878"/>
      <c r="H155" s="878"/>
      <c r="I155" s="878"/>
      <c r="J155" s="3039"/>
      <c r="K155" s="878"/>
      <c r="L155" s="1167"/>
      <c r="M155" s="2129"/>
      <c r="N155" s="2134"/>
      <c r="P155" s="2135"/>
      <c r="Q155" s="2135"/>
    </row>
    <row r="156" spans="2:17" s="2131" customFormat="1" ht="15.75" hidden="1" customHeight="1" x14ac:dyDescent="0.25">
      <c r="B156" s="2136"/>
      <c r="C156" s="4914" t="s">
        <v>1083</v>
      </c>
      <c r="D156" s="4767">
        <v>63622120</v>
      </c>
      <c r="E156" s="4721">
        <f t="shared" si="7"/>
        <v>3.8475975193922402E-2</v>
      </c>
      <c r="F156" s="3046"/>
      <c r="G156" s="878"/>
      <c r="H156" s="878"/>
      <c r="I156" s="878"/>
      <c r="J156" s="3046"/>
      <c r="K156" s="878"/>
      <c r="L156" s="1167"/>
      <c r="M156" s="2129"/>
      <c r="N156" s="2134"/>
      <c r="P156" s="2135"/>
      <c r="Q156" s="2135"/>
    </row>
    <row r="157" spans="2:17" s="2131" customFormat="1" ht="15" hidden="1" customHeight="1" x14ac:dyDescent="0.25">
      <c r="B157" s="2136"/>
      <c r="C157" s="4668" t="s">
        <v>1084</v>
      </c>
      <c r="D157" s="4699">
        <v>465388000</v>
      </c>
      <c r="E157" s="4721">
        <f t="shared" si="7"/>
        <v>0.28144703671536186</v>
      </c>
      <c r="F157" s="924"/>
      <c r="G157" s="3044"/>
      <c r="H157" s="878"/>
      <c r="I157" s="3047"/>
      <c r="J157" s="1126"/>
      <c r="K157" s="2293"/>
      <c r="L157" s="1474"/>
      <c r="M157" s="2138"/>
      <c r="N157" s="2134"/>
      <c r="P157" s="2135"/>
      <c r="Q157" s="2135"/>
    </row>
    <row r="158" spans="2:17" s="2131" customFormat="1" ht="15" hidden="1" customHeight="1" x14ac:dyDescent="0.25">
      <c r="B158" s="2136"/>
      <c r="C158" s="4668" t="s">
        <v>1085</v>
      </c>
      <c r="D158" s="4699">
        <v>247084000</v>
      </c>
      <c r="E158" s="4721">
        <f t="shared" si="7"/>
        <v>0.14942598352294958</v>
      </c>
      <c r="F158" s="924"/>
      <c r="G158" s="3044"/>
      <c r="H158" s="878"/>
      <c r="I158" s="3047"/>
      <c r="J158" s="1126"/>
      <c r="K158" s="2293"/>
      <c r="L158" s="1474"/>
      <c r="M158" s="2138"/>
      <c r="N158" s="2134"/>
      <c r="P158" s="2135"/>
      <c r="Q158" s="2135"/>
    </row>
    <row r="159" spans="2:17" s="2131" customFormat="1" ht="15" hidden="1" customHeight="1" x14ac:dyDescent="0.25">
      <c r="B159" s="2136"/>
      <c r="C159" s="4668" t="s">
        <v>1086</v>
      </c>
      <c r="D159" s="4699">
        <v>177785314</v>
      </c>
      <c r="E159" s="4721">
        <f t="shared" si="7"/>
        <v>0.1075170605963414</v>
      </c>
      <c r="F159" s="924"/>
      <c r="G159" s="646"/>
      <c r="H159" s="878"/>
      <c r="I159" s="3047"/>
      <c r="J159" s="1126"/>
      <c r="K159" s="2293"/>
      <c r="L159" s="1474"/>
      <c r="M159" s="2138"/>
      <c r="N159" s="2134"/>
      <c r="P159" s="2135"/>
      <c r="Q159" s="2135"/>
    </row>
    <row r="160" spans="2:17" s="2131" customFormat="1" ht="15" hidden="1" customHeight="1" x14ac:dyDescent="0.25">
      <c r="B160" s="2136"/>
      <c r="C160" s="4668" t="s">
        <v>1087</v>
      </c>
      <c r="D160" s="4699">
        <v>230155000</v>
      </c>
      <c r="E160" s="4721">
        <f t="shared" si="7"/>
        <v>0.13918803822879858</v>
      </c>
      <c r="F160" s="924"/>
      <c r="G160" s="646"/>
      <c r="H160" s="878"/>
      <c r="I160" s="3047"/>
      <c r="J160" s="1126"/>
      <c r="K160" s="2293"/>
      <c r="L160" s="1474"/>
      <c r="M160" s="2138"/>
      <c r="N160" s="2134"/>
      <c r="P160" s="2135"/>
      <c r="Q160" s="2135"/>
    </row>
    <row r="161" spans="2:17" s="2131" customFormat="1" ht="14.25" hidden="1" customHeight="1" x14ac:dyDescent="0.25">
      <c r="B161" s="2136"/>
      <c r="C161" s="4668" t="s">
        <v>1088</v>
      </c>
      <c r="D161" s="4699">
        <v>250990000</v>
      </c>
      <c r="E161" s="4721">
        <f t="shared" si="7"/>
        <v>0.15178816760464103</v>
      </c>
      <c r="F161" s="924"/>
      <c r="G161" s="646"/>
      <c r="H161" s="878"/>
      <c r="I161" s="3047"/>
      <c r="J161" s="1126"/>
      <c r="K161" s="2293"/>
      <c r="L161" s="1474"/>
      <c r="M161" s="2138"/>
      <c r="N161" s="2134"/>
      <c r="P161" s="2135"/>
      <c r="Q161" s="2135"/>
    </row>
    <row r="162" spans="2:17" s="2131" customFormat="1" ht="12" hidden="1" customHeight="1" x14ac:dyDescent="0.25">
      <c r="B162" s="2136"/>
      <c r="C162" s="4668" t="s">
        <v>1089</v>
      </c>
      <c r="D162" s="4699">
        <v>220700000</v>
      </c>
      <c r="E162" s="4721">
        <f t="shared" si="7"/>
        <v>0.1334700529516884</v>
      </c>
      <c r="F162" s="924"/>
      <c r="G162" s="646"/>
      <c r="H162" s="878"/>
      <c r="I162" s="3047"/>
      <c r="J162" s="1126"/>
      <c r="K162" s="2293"/>
      <c r="L162" s="1474"/>
      <c r="M162" s="2138"/>
      <c r="N162" s="2134"/>
      <c r="P162" s="2135"/>
      <c r="Q162" s="2135"/>
    </row>
    <row r="163" spans="2:17" s="2131" customFormat="1" ht="15" hidden="1" customHeight="1" x14ac:dyDescent="0.25">
      <c r="B163" s="2136"/>
      <c r="C163" s="4668" t="s">
        <v>1090</v>
      </c>
      <c r="D163" s="4699">
        <v>183397000</v>
      </c>
      <c r="E163" s="4721">
        <f t="shared" si="7"/>
        <v>0.11091077164105481</v>
      </c>
      <c r="F163" s="924"/>
      <c r="G163" s="646"/>
      <c r="H163" s="878"/>
      <c r="I163" s="3047"/>
      <c r="J163" s="1126"/>
      <c r="K163" s="2293"/>
      <c r="L163" s="1474"/>
      <c r="M163" s="2138"/>
      <c r="N163" s="2134"/>
      <c r="P163" s="2135"/>
      <c r="Q163" s="2135"/>
    </row>
    <row r="164" spans="2:17" s="2131" customFormat="1" ht="17.25" hidden="1" customHeight="1" x14ac:dyDescent="0.25">
      <c r="B164" s="2136"/>
      <c r="C164" s="4668" t="s">
        <v>1091</v>
      </c>
      <c r="D164" s="4699">
        <v>251278000</v>
      </c>
      <c r="E164" s="4721">
        <f t="shared" si="7"/>
        <v>0.15196233785951227</v>
      </c>
      <c r="F164" s="924"/>
      <c r="G164" s="646"/>
      <c r="H164" s="878"/>
      <c r="I164" s="3047"/>
      <c r="J164" s="1126"/>
      <c r="K164" s="2293"/>
      <c r="L164" s="1474"/>
      <c r="M164" s="2138"/>
      <c r="N164" s="2134"/>
      <c r="P164" s="2135"/>
      <c r="Q164" s="2135"/>
    </row>
    <row r="165" spans="2:17" s="2131" customFormat="1" ht="16.5" hidden="1" customHeight="1" x14ac:dyDescent="0.25">
      <c r="B165" s="2136"/>
      <c r="C165" s="4668" t="s">
        <v>1092</v>
      </c>
      <c r="D165" s="4699">
        <v>280372500</v>
      </c>
      <c r="E165" s="4721">
        <f t="shared" si="7"/>
        <v>0.16955746452740036</v>
      </c>
      <c r="F165" s="924"/>
      <c r="G165" s="646"/>
      <c r="H165" s="878"/>
      <c r="I165" s="3047"/>
      <c r="J165" s="1126"/>
      <c r="K165" s="2293"/>
      <c r="L165" s="1474"/>
      <c r="M165" s="2138"/>
      <c r="N165" s="2134"/>
      <c r="P165" s="2135"/>
      <c r="Q165" s="2135"/>
    </row>
    <row r="166" spans="2:17" s="2131" customFormat="1" ht="14.25" hidden="1" customHeight="1" x14ac:dyDescent="0.25">
      <c r="B166" s="2136"/>
      <c r="C166" s="4668" t="s">
        <v>1093</v>
      </c>
      <c r="D166" s="4699">
        <v>300913000</v>
      </c>
      <c r="E166" s="4721">
        <f t="shared" si="7"/>
        <v>0.18197949272248035</v>
      </c>
      <c r="F166" s="924"/>
      <c r="G166" s="646"/>
      <c r="H166" s="878"/>
      <c r="I166" s="3047"/>
      <c r="J166" s="1126"/>
      <c r="K166" s="2293"/>
      <c r="L166" s="1474"/>
      <c r="M166" s="2138"/>
      <c r="N166" s="2134"/>
      <c r="P166" s="2135"/>
      <c r="Q166" s="2135"/>
    </row>
    <row r="167" spans="2:17" s="2131" customFormat="1" ht="9" hidden="1" customHeight="1" x14ac:dyDescent="0.25">
      <c r="B167" s="2136"/>
      <c r="C167" s="4700"/>
      <c r="D167" s="4974"/>
      <c r="E167" s="4702"/>
      <c r="F167" s="3048"/>
      <c r="G167" s="882"/>
      <c r="H167" s="878"/>
      <c r="I167" s="934"/>
      <c r="J167" s="3049"/>
      <c r="K167" s="2293"/>
      <c r="L167" s="2250"/>
      <c r="M167" s="2138"/>
      <c r="N167" s="2134"/>
      <c r="P167" s="2135"/>
      <c r="Q167" s="2135"/>
    </row>
    <row r="168" spans="2:17" s="2131" customFormat="1" ht="20.25" hidden="1" customHeight="1" x14ac:dyDescent="0.25">
      <c r="B168" s="2136"/>
      <c r="C168" s="4915" t="s">
        <v>1013</v>
      </c>
      <c r="D168" s="4687">
        <f>D169</f>
        <v>139050000</v>
      </c>
      <c r="E168" s="4893">
        <f t="shared" si="7"/>
        <v>8.4091576180028424E-2</v>
      </c>
      <c r="F168" s="3042"/>
      <c r="G168" s="3051"/>
      <c r="H168" s="877"/>
      <c r="I168" s="3045"/>
      <c r="J168" s="3042"/>
      <c r="K168" s="3042"/>
      <c r="L168" s="1473"/>
      <c r="M168" s="2140"/>
      <c r="N168" s="2134"/>
      <c r="P168" s="2135"/>
      <c r="Q168" s="2135"/>
    </row>
    <row r="169" spans="2:17" s="2131" customFormat="1" ht="33.75" hidden="1" customHeight="1" x14ac:dyDescent="0.25">
      <c r="B169" s="2136"/>
      <c r="C169" s="4704" t="s">
        <v>1094</v>
      </c>
      <c r="D169" s="4701">
        <v>139050000</v>
      </c>
      <c r="E169" s="4721">
        <f t="shared" si="7"/>
        <v>8.4091576180028424E-2</v>
      </c>
      <c r="F169" s="1474"/>
      <c r="G169" s="646"/>
      <c r="H169" s="878"/>
      <c r="I169" s="3047"/>
      <c r="J169" s="1470"/>
      <c r="K169" s="2293"/>
      <c r="L169" s="1474"/>
      <c r="M169" s="2138"/>
      <c r="N169" s="2134"/>
      <c r="P169" s="2135"/>
      <c r="Q169" s="2135"/>
    </row>
    <row r="170" spans="2:17" s="2131" customFormat="1" ht="9.75" hidden="1" customHeight="1" x14ac:dyDescent="0.25">
      <c r="B170" s="2136"/>
      <c r="C170" s="4916"/>
      <c r="D170" s="4975"/>
      <c r="E170" s="4702"/>
      <c r="F170" s="3053"/>
      <c r="G170" s="2022"/>
      <c r="H170" s="878"/>
      <c r="I170" s="3047"/>
      <c r="J170" s="3040"/>
      <c r="K170" s="2293"/>
      <c r="L170" s="2250"/>
      <c r="M170" s="2138"/>
      <c r="N170" s="2134"/>
      <c r="P170" s="2135"/>
      <c r="Q170" s="2135"/>
    </row>
    <row r="171" spans="2:17" s="2131" customFormat="1" ht="17.25" hidden="1" customHeight="1" x14ac:dyDescent="0.25">
      <c r="B171" s="2136"/>
      <c r="C171" s="4915" t="s">
        <v>1095</v>
      </c>
      <c r="D171" s="4687">
        <f>D172</f>
        <v>78000000</v>
      </c>
      <c r="E171" s="4893">
        <f t="shared" si="7"/>
        <v>4.7171110694298572E-2</v>
      </c>
      <c r="F171" s="3042"/>
      <c r="G171" s="877"/>
      <c r="H171" s="877"/>
      <c r="I171" s="877"/>
      <c r="J171" s="3038"/>
      <c r="K171" s="3038"/>
      <c r="L171" s="1473"/>
      <c r="M171" s="2139"/>
      <c r="N171" s="2134"/>
      <c r="P171" s="2135"/>
      <c r="Q171" s="2135"/>
    </row>
    <row r="172" spans="2:17" s="2131" customFormat="1" ht="27.75" hidden="1" customHeight="1" x14ac:dyDescent="0.25">
      <c r="B172" s="2136"/>
      <c r="C172" s="4704" t="s">
        <v>1096</v>
      </c>
      <c r="D172" s="4669">
        <v>78000000</v>
      </c>
      <c r="E172" s="4748">
        <f t="shared" si="7"/>
        <v>4.7171110694298572E-2</v>
      </c>
      <c r="F172" s="3039"/>
      <c r="G172" s="878"/>
      <c r="H172" s="878"/>
      <c r="I172" s="878"/>
      <c r="J172" s="3039"/>
      <c r="K172" s="2293"/>
      <c r="L172" s="1474"/>
      <c r="M172" s="2125"/>
      <c r="N172" s="2134"/>
      <c r="P172" s="2135"/>
      <c r="Q172" s="2135"/>
    </row>
    <row r="173" spans="2:17" s="2131" customFormat="1" ht="9.75" hidden="1" customHeight="1" x14ac:dyDescent="0.25">
      <c r="B173" s="2136"/>
      <c r="C173" s="4916"/>
      <c r="D173" s="4973"/>
      <c r="E173" s="4748"/>
      <c r="F173" s="3040"/>
      <c r="G173" s="2022"/>
      <c r="H173" s="878"/>
      <c r="I173" s="3047"/>
      <c r="J173" s="3040"/>
      <c r="K173" s="2293"/>
      <c r="L173" s="2250"/>
      <c r="M173" s="2138"/>
      <c r="N173" s="2134"/>
      <c r="P173" s="2135"/>
      <c r="Q173" s="2135"/>
    </row>
    <row r="174" spans="2:17" s="2131" customFormat="1" ht="18.75" hidden="1" customHeight="1" x14ac:dyDescent="0.25">
      <c r="B174" s="2136"/>
      <c r="C174" s="4915" t="s">
        <v>1097</v>
      </c>
      <c r="D174" s="4687">
        <f>D175+D176+D177</f>
        <v>275975000</v>
      </c>
      <c r="E174" s="4893">
        <f t="shared" si="7"/>
        <v>0.16689804197255192</v>
      </c>
      <c r="F174" s="3042"/>
      <c r="G174" s="3055"/>
      <c r="H174" s="877"/>
      <c r="I174" s="3045"/>
      <c r="J174" s="3038"/>
      <c r="K174" s="3038"/>
      <c r="L174" s="1473"/>
      <c r="M174" s="2140"/>
      <c r="N174" s="2134"/>
      <c r="P174" s="2135"/>
      <c r="Q174" s="2135"/>
    </row>
    <row r="175" spans="2:17" s="2131" customFormat="1" ht="34.5" hidden="1" customHeight="1" x14ac:dyDescent="0.25">
      <c r="B175" s="2136"/>
      <c r="C175" s="4704" t="s">
        <v>1098</v>
      </c>
      <c r="D175" s="4651">
        <v>84825000</v>
      </c>
      <c r="E175" s="4748">
        <f t="shared" si="7"/>
        <v>5.1298582880049695E-2</v>
      </c>
      <c r="F175" s="1126"/>
      <c r="G175" s="878"/>
      <c r="H175" s="878"/>
      <c r="I175" s="878"/>
      <c r="J175" s="1126"/>
      <c r="K175" s="2293"/>
      <c r="L175" s="1474"/>
      <c r="M175" s="2138"/>
      <c r="N175" s="2134"/>
      <c r="P175" s="2135"/>
      <c r="Q175" s="2135"/>
    </row>
    <row r="176" spans="2:17" s="2131" customFormat="1" ht="16.5" hidden="1" customHeight="1" x14ac:dyDescent="0.25">
      <c r="B176" s="2136"/>
      <c r="C176" s="4704" t="s">
        <v>1099</v>
      </c>
      <c r="D176" s="4669">
        <v>106950000</v>
      </c>
      <c r="E176" s="4748">
        <f t="shared" si="7"/>
        <v>6.4678849855836315E-2</v>
      </c>
      <c r="F176" s="3039"/>
      <c r="G176" s="878"/>
      <c r="H176" s="878"/>
      <c r="I176" s="878"/>
      <c r="J176" s="3040"/>
      <c r="K176" s="2293"/>
      <c r="L176" s="1474"/>
      <c r="M176" s="2138"/>
      <c r="N176" s="2134"/>
      <c r="P176" s="2135"/>
      <c r="Q176" s="2135"/>
    </row>
    <row r="177" spans="2:17" s="2131" customFormat="1" ht="18.75" hidden="1" customHeight="1" x14ac:dyDescent="0.25">
      <c r="B177" s="2136"/>
      <c r="C177" s="4704" t="s">
        <v>1100</v>
      </c>
      <c r="D177" s="4669">
        <v>84200000</v>
      </c>
      <c r="E177" s="4748">
        <f t="shared" si="7"/>
        <v>5.0920609236665901E-2</v>
      </c>
      <c r="F177" s="3039"/>
      <c r="G177" s="646"/>
      <c r="H177" s="878"/>
      <c r="I177" s="3047"/>
      <c r="J177" s="3040"/>
      <c r="K177" s="2293"/>
      <c r="L177" s="1474"/>
      <c r="M177" s="2138"/>
      <c r="N177" s="2134"/>
      <c r="P177" s="2135"/>
      <c r="Q177" s="2135"/>
    </row>
    <row r="178" spans="2:17" s="2131" customFormat="1" ht="15" hidden="1" customHeight="1" x14ac:dyDescent="0.25">
      <c r="B178" s="2136"/>
      <c r="C178" s="4916"/>
      <c r="D178" s="4976"/>
      <c r="E178" s="4748"/>
      <c r="F178" s="4620"/>
      <c r="G178" s="2022"/>
      <c r="H178" s="878"/>
      <c r="I178" s="3047"/>
      <c r="J178" s="3040"/>
      <c r="K178" s="2293"/>
      <c r="L178" s="2250"/>
      <c r="M178" s="2138"/>
      <c r="N178" s="2134"/>
      <c r="P178" s="2135"/>
      <c r="Q178" s="2135"/>
    </row>
    <row r="179" spans="2:17" s="2131" customFormat="1" ht="19.5" hidden="1" customHeight="1" x14ac:dyDescent="0.25">
      <c r="B179" s="2136"/>
      <c r="C179" s="4915" t="s">
        <v>1101</v>
      </c>
      <c r="D179" s="4849">
        <f>D180</f>
        <v>150669810</v>
      </c>
      <c r="E179" s="4893">
        <f t="shared" si="7"/>
        <v>9.1118747253832497E-2</v>
      </c>
      <c r="F179" s="3054"/>
      <c r="G179" s="877"/>
      <c r="H179" s="877"/>
      <c r="I179" s="877"/>
      <c r="J179" s="3042"/>
      <c r="K179" s="3042"/>
      <c r="L179" s="1473"/>
      <c r="M179" s="2140"/>
      <c r="N179" s="2134"/>
      <c r="P179" s="2135"/>
      <c r="Q179" s="2135"/>
    </row>
    <row r="180" spans="2:17" s="2131" customFormat="1" ht="30" hidden="1" customHeight="1" x14ac:dyDescent="0.25">
      <c r="B180" s="2136"/>
      <c r="C180" s="4704" t="s">
        <v>1102</v>
      </c>
      <c r="D180" s="4701">
        <v>150669810</v>
      </c>
      <c r="E180" s="4748">
        <f t="shared" si="7"/>
        <v>9.1118747253832497E-2</v>
      </c>
      <c r="F180" s="1474"/>
      <c r="G180" s="878"/>
      <c r="H180" s="878"/>
      <c r="I180" s="878"/>
      <c r="J180" s="1450"/>
      <c r="K180" s="2293"/>
      <c r="L180" s="1474"/>
      <c r="M180" s="2138"/>
      <c r="N180" s="2134"/>
      <c r="P180" s="2135"/>
      <c r="Q180" s="2135"/>
    </row>
    <row r="181" spans="2:17" s="2131" customFormat="1" ht="15" hidden="1" customHeight="1" x14ac:dyDescent="0.25">
      <c r="B181" s="2136"/>
      <c r="C181" s="4916"/>
      <c r="D181" s="4977"/>
      <c r="E181" s="4748"/>
      <c r="F181" s="3056"/>
      <c r="G181" s="2023"/>
      <c r="H181" s="878"/>
      <c r="I181" s="3047"/>
      <c r="J181" s="3040"/>
      <c r="K181" s="2293"/>
      <c r="L181" s="2250"/>
      <c r="M181" s="2138"/>
      <c r="N181" s="2134"/>
      <c r="P181" s="2135"/>
      <c r="Q181" s="2135"/>
    </row>
    <row r="182" spans="2:17" s="2131" customFormat="1" ht="17.25" hidden="1" customHeight="1" x14ac:dyDescent="0.25">
      <c r="B182" s="2136"/>
      <c r="C182" s="4915" t="s">
        <v>1103</v>
      </c>
      <c r="D182" s="4687">
        <f>D183+D184</f>
        <v>190200000</v>
      </c>
      <c r="E182" s="4894">
        <f t="shared" si="7"/>
        <v>0.11502493915455883</v>
      </c>
      <c r="F182" s="3040"/>
      <c r="G182" s="3051"/>
      <c r="H182" s="877"/>
      <c r="I182" s="3045"/>
      <c r="J182" s="3042"/>
      <c r="K182" s="3042"/>
      <c r="L182" s="1473"/>
      <c r="M182" s="2140"/>
      <c r="N182" s="2134"/>
      <c r="P182" s="2135"/>
      <c r="Q182" s="2135"/>
    </row>
    <row r="183" spans="2:17" s="2131" customFormat="1" ht="18.75" hidden="1" customHeight="1" x14ac:dyDescent="0.25">
      <c r="B183" s="2136"/>
      <c r="C183" s="4704" t="s">
        <v>1104</v>
      </c>
      <c r="D183" s="4701">
        <v>135700000</v>
      </c>
      <c r="E183" s="4748">
        <f t="shared" si="7"/>
        <v>8.206563745149123E-2</v>
      </c>
      <c r="F183" s="1474"/>
      <c r="G183" s="646"/>
      <c r="H183" s="878"/>
      <c r="I183" s="3047"/>
      <c r="J183" s="1126"/>
      <c r="K183" s="2293"/>
      <c r="L183" s="1474"/>
      <c r="M183" s="2138"/>
      <c r="N183" s="2134"/>
      <c r="P183" s="2135"/>
      <c r="Q183" s="2135"/>
    </row>
    <row r="184" spans="2:17" s="2131" customFormat="1" ht="15" hidden="1" customHeight="1" x14ac:dyDescent="0.25">
      <c r="B184" s="2136"/>
      <c r="C184" s="4704" t="s">
        <v>1105</v>
      </c>
      <c r="D184" s="4701">
        <v>54500000</v>
      </c>
      <c r="E184" s="4748">
        <f t="shared" si="7"/>
        <v>3.2959301703067594E-2</v>
      </c>
      <c r="F184" s="1474"/>
      <c r="G184" s="878"/>
      <c r="H184" s="878"/>
      <c r="I184" s="878"/>
      <c r="J184" s="3057"/>
      <c r="K184" s="2293"/>
      <c r="L184" s="1474"/>
      <c r="M184" s="2138"/>
      <c r="N184" s="2134"/>
      <c r="P184" s="2135"/>
      <c r="Q184" s="2135"/>
    </row>
    <row r="185" spans="2:17" s="2131" customFormat="1" ht="12" hidden="1" customHeight="1" x14ac:dyDescent="0.25">
      <c r="B185" s="2136"/>
      <c r="C185" s="4704"/>
      <c r="D185" s="4977"/>
      <c r="E185" s="4748"/>
      <c r="F185" s="3056"/>
      <c r="G185" s="2023"/>
      <c r="H185" s="878"/>
      <c r="I185" s="3047"/>
      <c r="J185" s="3040"/>
      <c r="K185" s="2293"/>
      <c r="L185" s="2250"/>
      <c r="M185" s="2138"/>
      <c r="N185" s="2134"/>
      <c r="P185" s="2135"/>
      <c r="Q185" s="2135"/>
    </row>
    <row r="186" spans="2:17" s="2131" customFormat="1" ht="21.75" hidden="1" customHeight="1" x14ac:dyDescent="0.25">
      <c r="B186" s="2136"/>
      <c r="C186" s="4915" t="s">
        <v>1106</v>
      </c>
      <c r="D186" s="4687">
        <f>SUM(D187:D190)</f>
        <v>431465000</v>
      </c>
      <c r="E186" s="4893">
        <f t="shared" si="7"/>
        <v>0.26093183686814786</v>
      </c>
      <c r="F186" s="3040"/>
      <c r="G186" s="3051"/>
      <c r="H186" s="877"/>
      <c r="I186" s="3045"/>
      <c r="J186" s="3038"/>
      <c r="K186" s="3038"/>
      <c r="L186" s="1473"/>
      <c r="M186" s="2140"/>
      <c r="N186" s="2134"/>
      <c r="P186" s="2135"/>
      <c r="Q186" s="2135"/>
    </row>
    <row r="187" spans="2:17" s="2131" customFormat="1" ht="18" hidden="1" customHeight="1" x14ac:dyDescent="0.25">
      <c r="B187" s="2136"/>
      <c r="C187" s="4704" t="s">
        <v>1107</v>
      </c>
      <c r="D187" s="4701">
        <v>226725000</v>
      </c>
      <c r="E187" s="4748">
        <f t="shared" si="7"/>
        <v>0.13711371887390827</v>
      </c>
      <c r="F187" s="1474"/>
      <c r="G187" s="646"/>
      <c r="H187" s="878"/>
      <c r="I187" s="3047"/>
      <c r="J187" s="3039"/>
      <c r="K187" s="2293"/>
      <c r="L187" s="1474"/>
      <c r="M187" s="2138"/>
      <c r="N187" s="2134"/>
      <c r="P187" s="2135"/>
      <c r="Q187" s="2135"/>
    </row>
    <row r="188" spans="2:17" s="2131" customFormat="1" ht="16.5" hidden="1" customHeight="1" x14ac:dyDescent="0.25">
      <c r="B188" s="2136"/>
      <c r="C188" s="4704" t="s">
        <v>1108</v>
      </c>
      <c r="D188" s="4701">
        <v>65840000</v>
      </c>
      <c r="E188" s="4748">
        <f t="shared" si="7"/>
        <v>3.9817255488623311E-2</v>
      </c>
      <c r="F188" s="1474"/>
      <c r="G188" s="878"/>
      <c r="H188" s="878"/>
      <c r="I188" s="3047"/>
      <c r="J188" s="3039"/>
      <c r="K188" s="2293"/>
      <c r="L188" s="1474"/>
      <c r="M188" s="2138"/>
      <c r="N188" s="2134"/>
      <c r="P188" s="2135"/>
      <c r="Q188" s="2135"/>
    </row>
    <row r="189" spans="2:17" s="2131" customFormat="1" ht="33" hidden="1" customHeight="1" x14ac:dyDescent="0.25">
      <c r="B189" s="2136"/>
      <c r="C189" s="4704" t="s">
        <v>1109</v>
      </c>
      <c r="D189" s="4701">
        <v>68600000</v>
      </c>
      <c r="E189" s="4748">
        <f t="shared" si="7"/>
        <v>4.1486387097806179E-2</v>
      </c>
      <c r="F189" s="1474"/>
      <c r="G189" s="646"/>
      <c r="H189" s="878"/>
      <c r="I189" s="3047"/>
      <c r="J189" s="3046"/>
      <c r="K189" s="2293"/>
      <c r="L189" s="1474"/>
      <c r="M189" s="2138"/>
      <c r="N189" s="2134"/>
      <c r="P189" s="2135"/>
      <c r="Q189" s="2135"/>
    </row>
    <row r="190" spans="2:17" s="2131" customFormat="1" ht="19.5" hidden="1" customHeight="1" x14ac:dyDescent="0.25">
      <c r="B190" s="2136"/>
      <c r="C190" s="4704" t="s">
        <v>1110</v>
      </c>
      <c r="D190" s="4701">
        <v>70300000</v>
      </c>
      <c r="E190" s="4748">
        <f t="shared" si="7"/>
        <v>4.2514475407810122E-2</v>
      </c>
      <c r="F190" s="1474"/>
      <c r="G190" s="878"/>
      <c r="H190" s="878"/>
      <c r="I190" s="3047"/>
      <c r="J190" s="3057"/>
      <c r="K190" s="3057"/>
      <c r="L190" s="1474"/>
      <c r="M190" s="2138"/>
      <c r="N190" s="2134"/>
      <c r="P190" s="2135"/>
      <c r="Q190" s="2135"/>
    </row>
    <row r="191" spans="2:17" s="2131" customFormat="1" ht="11.25" hidden="1" customHeight="1" x14ac:dyDescent="0.25">
      <c r="B191" s="2136"/>
      <c r="C191" s="4916"/>
      <c r="D191" s="4974"/>
      <c r="E191" s="4702"/>
      <c r="F191" s="3048"/>
      <c r="G191" s="878"/>
      <c r="H191" s="878"/>
      <c r="I191" s="3047"/>
      <c r="J191" s="3040"/>
      <c r="K191" s="2293"/>
      <c r="L191" s="2250"/>
      <c r="M191" s="2138"/>
      <c r="N191" s="2134"/>
      <c r="P191" s="2135"/>
      <c r="Q191" s="2135"/>
    </row>
    <row r="192" spans="2:17" s="2131" customFormat="1" ht="18.75" hidden="1" customHeight="1" x14ac:dyDescent="0.25">
      <c r="B192" s="2136"/>
      <c r="C192" s="4915" t="s">
        <v>1111</v>
      </c>
      <c r="D192" s="4687">
        <f>SUM(D193:D197)</f>
        <v>712720600</v>
      </c>
      <c r="E192" s="4893">
        <f t="shared" si="7"/>
        <v>0.43102336303470384</v>
      </c>
      <c r="F192" s="3042"/>
      <c r="G192" s="877"/>
      <c r="H192" s="877"/>
      <c r="I192" s="877"/>
      <c r="J192" s="3042"/>
      <c r="K192" s="877"/>
      <c r="L192" s="1166"/>
      <c r="M192" s="2128"/>
      <c r="N192" s="2134"/>
      <c r="P192" s="2135"/>
      <c r="Q192" s="2135"/>
    </row>
    <row r="193" spans="2:17" s="2131" customFormat="1" ht="17.25" hidden="1" customHeight="1" x14ac:dyDescent="0.25">
      <c r="B193" s="2136"/>
      <c r="C193" s="4704" t="s">
        <v>1112</v>
      </c>
      <c r="D193" s="4701">
        <v>134700000</v>
      </c>
      <c r="E193" s="4748">
        <f t="shared" si="7"/>
        <v>8.1460879622077154E-2</v>
      </c>
      <c r="F193" s="1474"/>
      <c r="G193" s="878"/>
      <c r="H193" s="878"/>
      <c r="I193" s="878"/>
      <c r="J193" s="3039"/>
      <c r="K193" s="878"/>
      <c r="L193" s="1167"/>
      <c r="M193" s="2129"/>
      <c r="N193" s="2134"/>
      <c r="P193" s="2135"/>
      <c r="Q193" s="2135"/>
    </row>
    <row r="194" spans="2:17" s="2131" customFormat="1" ht="17.25" hidden="1" customHeight="1" x14ac:dyDescent="0.25">
      <c r="B194" s="2136"/>
      <c r="C194" s="4704" t="s">
        <v>1113</v>
      </c>
      <c r="D194" s="4701">
        <v>187175600</v>
      </c>
      <c r="E194" s="4748">
        <f t="shared" si="7"/>
        <v>0.11319590957527888</v>
      </c>
      <c r="F194" s="1474"/>
      <c r="G194" s="878"/>
      <c r="H194" s="878"/>
      <c r="I194" s="878"/>
      <c r="J194" s="3039"/>
      <c r="K194" s="878"/>
      <c r="L194" s="1167"/>
      <c r="M194" s="2129"/>
      <c r="N194" s="2134"/>
      <c r="P194" s="2135"/>
      <c r="Q194" s="2135"/>
    </row>
    <row r="195" spans="2:17" s="2131" customFormat="1" ht="29.25" hidden="1" customHeight="1" x14ac:dyDescent="0.25">
      <c r="B195" s="2136"/>
      <c r="C195" s="4704" t="s">
        <v>1114</v>
      </c>
      <c r="D195" s="4701">
        <v>104145000</v>
      </c>
      <c r="E195" s="4748">
        <f t="shared" si="7"/>
        <v>6.2982504144329807E-2</v>
      </c>
      <c r="F195" s="1474"/>
      <c r="G195" s="878"/>
      <c r="H195" s="878"/>
      <c r="I195" s="878"/>
      <c r="J195" s="3039"/>
      <c r="K195" s="878"/>
      <c r="L195" s="1167"/>
      <c r="M195" s="2129"/>
      <c r="N195" s="2134"/>
      <c r="P195" s="2135"/>
      <c r="Q195" s="2135"/>
    </row>
    <row r="196" spans="2:17" s="2131" customFormat="1" ht="16.5" hidden="1" customHeight="1" x14ac:dyDescent="0.25">
      <c r="B196" s="2136"/>
      <c r="C196" s="4704" t="s">
        <v>1115</v>
      </c>
      <c r="D196" s="4701">
        <v>162200000</v>
      </c>
      <c r="E196" s="4748">
        <f t="shared" si="7"/>
        <v>9.8091719930964466E-2</v>
      </c>
      <c r="F196" s="1474"/>
      <c r="G196" s="878"/>
      <c r="H196" s="878"/>
      <c r="I196" s="878"/>
      <c r="J196" s="3039"/>
      <c r="K196" s="878"/>
      <c r="L196" s="1167"/>
      <c r="M196" s="2129"/>
      <c r="N196" s="2134"/>
      <c r="P196" s="2135"/>
      <c r="Q196" s="2135"/>
    </row>
    <row r="197" spans="2:17" s="2131" customFormat="1" ht="18" hidden="1" customHeight="1" x14ac:dyDescent="0.25">
      <c r="B197" s="2136"/>
      <c r="C197" s="4704" t="s">
        <v>1127</v>
      </c>
      <c r="D197" s="4701">
        <v>124500000</v>
      </c>
      <c r="E197" s="4748">
        <f t="shared" si="7"/>
        <v>7.5292349762053498E-2</v>
      </c>
      <c r="F197" s="1474"/>
      <c r="G197" s="878"/>
      <c r="H197" s="878"/>
      <c r="I197" s="878"/>
      <c r="J197" s="3039"/>
      <c r="K197" s="878"/>
      <c r="L197" s="1167"/>
      <c r="M197" s="2129"/>
      <c r="N197" s="2134"/>
      <c r="P197" s="2135"/>
      <c r="Q197" s="2135"/>
    </row>
    <row r="198" spans="2:17" s="2131" customFormat="1" ht="9" hidden="1" customHeight="1" x14ac:dyDescent="0.25">
      <c r="B198" s="2136"/>
      <c r="C198" s="4668"/>
      <c r="D198" s="4978"/>
      <c r="E198" s="4702"/>
      <c r="F198" s="3059"/>
      <c r="G198" s="2022"/>
      <c r="H198" s="878"/>
      <c r="I198" s="3047"/>
      <c r="J198" s="3040"/>
      <c r="K198" s="2293"/>
      <c r="L198" s="2250"/>
      <c r="M198" s="2138"/>
      <c r="N198" s="2134"/>
      <c r="P198" s="2135"/>
      <c r="Q198" s="2135"/>
    </row>
    <row r="199" spans="2:17" s="2131" customFormat="1" ht="21" hidden="1" customHeight="1" x14ac:dyDescent="0.25">
      <c r="B199" s="2136"/>
      <c r="C199" s="4915" t="s">
        <v>1116</v>
      </c>
      <c r="D199" s="4687">
        <f>D200+D201</f>
        <v>415300000</v>
      </c>
      <c r="E199" s="4893">
        <f t="shared" si="7"/>
        <v>0.25115592655566921</v>
      </c>
      <c r="F199" s="3042"/>
      <c r="G199" s="3051"/>
      <c r="H199" s="877"/>
      <c r="I199" s="3045"/>
      <c r="J199" s="3042"/>
      <c r="K199" s="3042"/>
      <c r="L199" s="1473"/>
      <c r="M199" s="2140"/>
      <c r="N199" s="2134"/>
      <c r="P199" s="2135"/>
      <c r="Q199" s="2135"/>
    </row>
    <row r="200" spans="2:17" s="2131" customFormat="1" ht="18.75" hidden="1" customHeight="1" x14ac:dyDescent="0.25">
      <c r="B200" s="2136"/>
      <c r="C200" s="4704" t="s">
        <v>1117</v>
      </c>
      <c r="D200" s="4701">
        <v>75100000</v>
      </c>
      <c r="E200" s="4748">
        <f t="shared" si="7"/>
        <v>4.5417312988997732E-2</v>
      </c>
      <c r="F200" s="1474"/>
      <c r="G200" s="646"/>
      <c r="H200" s="878"/>
      <c r="I200" s="3047"/>
      <c r="J200" s="3039"/>
      <c r="K200" s="3039"/>
      <c r="L200" s="1474"/>
      <c r="M200" s="2138"/>
      <c r="N200" s="2134"/>
      <c r="P200" s="2135"/>
      <c r="Q200" s="2135"/>
    </row>
    <row r="201" spans="2:17" s="2131" customFormat="1" ht="18.75" hidden="1" customHeight="1" x14ac:dyDescent="0.25">
      <c r="B201" s="2136"/>
      <c r="C201" s="4704" t="s">
        <v>1118</v>
      </c>
      <c r="D201" s="4701">
        <v>340200000</v>
      </c>
      <c r="E201" s="4748">
        <f t="shared" si="7"/>
        <v>0.20573861356667147</v>
      </c>
      <c r="F201" s="1474"/>
      <c r="G201" s="878"/>
      <c r="H201" s="878"/>
      <c r="I201" s="878"/>
      <c r="J201" s="3057"/>
      <c r="K201" s="2293"/>
      <c r="L201" s="1474"/>
      <c r="M201" s="2138"/>
      <c r="N201" s="2134"/>
      <c r="P201" s="2135"/>
      <c r="Q201" s="2135"/>
    </row>
    <row r="202" spans="2:17" s="2131" customFormat="1" ht="16.5" hidden="1" customHeight="1" x14ac:dyDescent="0.25">
      <c r="B202" s="2136"/>
      <c r="C202" s="4916"/>
      <c r="D202" s="4974"/>
      <c r="E202" s="4703"/>
      <c r="F202" s="3048"/>
      <c r="G202" s="2022"/>
      <c r="H202" s="878"/>
      <c r="I202" s="3047"/>
      <c r="J202" s="3040"/>
      <c r="K202" s="2293"/>
      <c r="L202" s="2250"/>
      <c r="M202" s="2138"/>
      <c r="N202" s="2134"/>
      <c r="P202" s="2135"/>
      <c r="Q202" s="2135"/>
    </row>
    <row r="203" spans="2:17" s="2131" customFormat="1" ht="28.5" hidden="1" customHeight="1" x14ac:dyDescent="0.25">
      <c r="B203" s="2136"/>
      <c r="C203" s="4915" t="s">
        <v>1119</v>
      </c>
      <c r="D203" s="4687">
        <f>SUM(D204:D206)</f>
        <v>5197518166</v>
      </c>
      <c r="E203" s="4893">
        <f t="shared" si="7"/>
        <v>3.1432398044104324</v>
      </c>
      <c r="F203" s="3042"/>
      <c r="G203" s="877"/>
      <c r="H203" s="877"/>
      <c r="I203" s="877"/>
      <c r="J203" s="2024"/>
      <c r="K203" s="2024"/>
      <c r="L203" s="1473"/>
      <c r="M203" s="2140"/>
      <c r="N203" s="2134"/>
      <c r="P203" s="2135"/>
      <c r="Q203" s="2135"/>
    </row>
    <row r="204" spans="2:17" s="2131" customFormat="1" ht="18" hidden="1" customHeight="1" x14ac:dyDescent="0.25">
      <c r="B204" s="2136"/>
      <c r="C204" s="4704" t="s">
        <v>1120</v>
      </c>
      <c r="D204" s="4701">
        <v>4016518166</v>
      </c>
      <c r="E204" s="4748">
        <f t="shared" si="7"/>
        <v>2.4290208078723987</v>
      </c>
      <c r="F204" s="1474"/>
      <c r="G204" s="878"/>
      <c r="H204" s="878"/>
      <c r="I204" s="878"/>
      <c r="J204" s="3039"/>
      <c r="K204" s="2293"/>
      <c r="L204" s="1474"/>
      <c r="M204" s="2138"/>
      <c r="N204" s="2134"/>
      <c r="P204" s="2135"/>
      <c r="Q204" s="2135"/>
    </row>
    <row r="205" spans="2:17" s="2131" customFormat="1" ht="19.5" hidden="1" customHeight="1" x14ac:dyDescent="0.25">
      <c r="B205" s="2136"/>
      <c r="C205" s="4704" t="s">
        <v>1121</v>
      </c>
      <c r="D205" s="4701">
        <v>126000000</v>
      </c>
      <c r="E205" s="4748">
        <f t="shared" si="7"/>
        <v>7.6199486506174613E-2</v>
      </c>
      <c r="F205" s="1474"/>
      <c r="G205" s="878"/>
      <c r="H205" s="878"/>
      <c r="I205" s="878"/>
      <c r="J205" s="3039"/>
      <c r="K205" s="2293"/>
      <c r="L205" s="1474"/>
      <c r="M205" s="2138"/>
      <c r="N205" s="2134"/>
      <c r="P205" s="2135"/>
      <c r="Q205" s="2135"/>
    </row>
    <row r="206" spans="2:17" s="2131" customFormat="1" ht="18" hidden="1" customHeight="1" x14ac:dyDescent="0.25">
      <c r="B206" s="2136"/>
      <c r="C206" s="4704" t="s">
        <v>1332</v>
      </c>
      <c r="D206" s="4701">
        <v>1055000000</v>
      </c>
      <c r="E206" s="4748">
        <f t="shared" si="7"/>
        <v>0.63801951003185897</v>
      </c>
      <c r="F206" s="1474"/>
      <c r="G206" s="878"/>
      <c r="H206" s="878"/>
      <c r="I206" s="878"/>
      <c r="J206" s="3039"/>
      <c r="K206" s="2293"/>
      <c r="L206" s="1474"/>
      <c r="M206" s="2138"/>
      <c r="N206" s="2134"/>
      <c r="P206" s="2135"/>
      <c r="Q206" s="2135"/>
    </row>
    <row r="207" spans="2:17" s="2131" customFormat="1" ht="12" hidden="1" customHeight="1" x14ac:dyDescent="0.25">
      <c r="B207" s="2136"/>
      <c r="C207" s="4916"/>
      <c r="D207" s="4974"/>
      <c r="E207" s="4745"/>
      <c r="F207" s="3048"/>
      <c r="G207" s="878"/>
      <c r="H207" s="878"/>
      <c r="I207" s="878"/>
      <c r="J207" s="3040"/>
      <c r="K207" s="2293"/>
      <c r="L207" s="2250"/>
      <c r="M207" s="2138"/>
      <c r="N207" s="2134"/>
      <c r="P207" s="2135"/>
      <c r="Q207" s="2135"/>
    </row>
    <row r="208" spans="2:17" s="2131" customFormat="1" ht="17.25" hidden="1" customHeight="1" x14ac:dyDescent="0.25">
      <c r="B208" s="2136"/>
      <c r="C208" s="4915" t="s">
        <v>1122</v>
      </c>
      <c r="D208" s="4687">
        <f>D209</f>
        <v>40500000</v>
      </c>
      <c r="E208" s="4893">
        <f t="shared" si="7"/>
        <v>2.4492692091270415E-2</v>
      </c>
      <c r="F208" s="3042"/>
      <c r="G208" s="877"/>
      <c r="H208" s="877"/>
      <c r="I208" s="877"/>
      <c r="J208" s="3042"/>
      <c r="K208" s="877"/>
      <c r="L208" s="1166"/>
      <c r="M208" s="2128"/>
      <c r="N208" s="2134"/>
      <c r="P208" s="2135"/>
      <c r="Q208" s="2135"/>
    </row>
    <row r="209" spans="2:17" s="2131" customFormat="1" ht="17.25" hidden="1" customHeight="1" x14ac:dyDescent="0.25">
      <c r="B209" s="2136"/>
      <c r="C209" s="4704" t="s">
        <v>1123</v>
      </c>
      <c r="D209" s="4701">
        <v>40500000</v>
      </c>
      <c r="E209" s="4748">
        <f t="shared" si="7"/>
        <v>2.4492692091270415E-2</v>
      </c>
      <c r="F209" s="1474"/>
      <c r="G209" s="878"/>
      <c r="H209" s="878"/>
      <c r="I209" s="878"/>
      <c r="J209" s="3039"/>
      <c r="K209" s="878"/>
      <c r="L209" s="1167"/>
      <c r="M209" s="2129"/>
      <c r="N209" s="2134"/>
      <c r="P209" s="2135"/>
      <c r="Q209" s="2135"/>
    </row>
    <row r="210" spans="2:17" s="2131" customFormat="1" ht="12" hidden="1" customHeight="1" x14ac:dyDescent="0.25">
      <c r="B210" s="2136"/>
      <c r="C210" s="4916"/>
      <c r="D210" s="4974"/>
      <c r="E210" s="4745"/>
      <c r="F210" s="3048"/>
      <c r="G210" s="878"/>
      <c r="H210" s="878"/>
      <c r="I210" s="878"/>
      <c r="J210" s="3040"/>
      <c r="K210" s="878"/>
      <c r="L210" s="1167"/>
      <c r="M210" s="2129"/>
      <c r="N210" s="2134"/>
      <c r="P210" s="2135"/>
      <c r="Q210" s="2135"/>
    </row>
    <row r="211" spans="2:17" s="2131" customFormat="1" ht="21" hidden="1" customHeight="1" x14ac:dyDescent="0.25">
      <c r="B211" s="2136"/>
      <c r="C211" s="4915" t="s">
        <v>1124</v>
      </c>
      <c r="D211" s="4979">
        <f>SUM(D212:D212)</f>
        <v>157120000</v>
      </c>
      <c r="E211" s="4893">
        <f t="shared" si="7"/>
        <v>9.5019550157540933E-2</v>
      </c>
      <c r="F211" s="3058"/>
      <c r="G211" s="877"/>
      <c r="H211" s="877"/>
      <c r="I211" s="877"/>
      <c r="J211" s="3038"/>
      <c r="K211" s="877"/>
      <c r="L211" s="1166"/>
      <c r="M211" s="2128"/>
      <c r="N211" s="2134"/>
      <c r="P211" s="2135"/>
      <c r="Q211" s="2135"/>
    </row>
    <row r="212" spans="2:17" s="2131" customFormat="1" ht="29.25" hidden="1" customHeight="1" x14ac:dyDescent="0.25">
      <c r="B212" s="2136"/>
      <c r="C212" s="4704" t="s">
        <v>1125</v>
      </c>
      <c r="D212" s="4699">
        <v>157120000</v>
      </c>
      <c r="E212" s="4748">
        <f t="shared" si="7"/>
        <v>9.5019550157540933E-2</v>
      </c>
      <c r="F212" s="924"/>
      <c r="G212" s="878"/>
      <c r="H212" s="878"/>
      <c r="I212" s="878"/>
      <c r="J212" s="1126"/>
      <c r="K212" s="878"/>
      <c r="L212" s="1167"/>
      <c r="M212" s="2129"/>
      <c r="N212" s="2134"/>
      <c r="P212" s="2135"/>
      <c r="Q212" s="2135"/>
    </row>
    <row r="213" spans="2:17" s="2017" customFormat="1" ht="12" hidden="1" customHeight="1" x14ac:dyDescent="0.25">
      <c r="B213" s="2020"/>
      <c r="C213" s="4705"/>
      <c r="D213" s="4956"/>
      <c r="E213" s="4745"/>
      <c r="F213" s="808"/>
      <c r="G213" s="2023"/>
      <c r="H213" s="2256"/>
      <c r="I213" s="3061"/>
      <c r="J213" s="799"/>
      <c r="K213" s="887"/>
      <c r="L213" s="2359"/>
      <c r="M213" s="2025"/>
      <c r="N213" s="2019"/>
      <c r="P213" s="2130"/>
      <c r="Q213" s="2130"/>
    </row>
    <row r="214" spans="2:17" s="2131" customFormat="1" ht="19.5" hidden="1" customHeight="1" x14ac:dyDescent="0.25">
      <c r="B214" s="2132"/>
      <c r="C214" s="4684" t="s">
        <v>315</v>
      </c>
      <c r="D214" s="4955">
        <f>D215</f>
        <v>6140993880</v>
      </c>
      <c r="E214" s="4715">
        <f>D214/165355445000*100</f>
        <v>3.7138141293139757</v>
      </c>
      <c r="F214" s="743"/>
      <c r="G214" s="888"/>
      <c r="H214" s="888"/>
      <c r="I214" s="888"/>
      <c r="J214" s="2018"/>
      <c r="K214" s="2018"/>
      <c r="L214" s="1445"/>
      <c r="M214" s="2133"/>
      <c r="N214" s="2134"/>
      <c r="P214" s="2135"/>
      <c r="Q214" s="2135"/>
    </row>
    <row r="215" spans="2:17" s="2131" customFormat="1" ht="21.75" hidden="1" customHeight="1" x14ac:dyDescent="0.25">
      <c r="B215" s="2141"/>
      <c r="C215" s="4917" t="s">
        <v>316</v>
      </c>
      <c r="D215" s="4706">
        <f>D216</f>
        <v>6140993880</v>
      </c>
      <c r="E215" s="4718">
        <f>D215/165355445000*100</f>
        <v>3.7138141293139757</v>
      </c>
      <c r="F215" s="2026"/>
      <c r="G215" s="883"/>
      <c r="H215" s="883"/>
      <c r="I215" s="890"/>
      <c r="J215" s="2026"/>
      <c r="K215" s="2026"/>
      <c r="L215" s="1472"/>
      <c r="M215" s="2096"/>
      <c r="N215" s="2134"/>
      <c r="P215" s="2135"/>
      <c r="Q215" s="2135"/>
    </row>
    <row r="216" spans="2:17" s="2131" customFormat="1" ht="15" hidden="1" customHeight="1" x14ac:dyDescent="0.25">
      <c r="B216" s="2136"/>
      <c r="C216" s="4704" t="s">
        <v>1126</v>
      </c>
      <c r="D216" s="4669">
        <v>6140993880</v>
      </c>
      <c r="E216" s="4721">
        <f>D216/165355445000*100</f>
        <v>3.7138141293139757</v>
      </c>
      <c r="F216" s="3039"/>
      <c r="G216" s="878"/>
      <c r="H216" s="878"/>
      <c r="I216" s="878"/>
      <c r="J216" s="3062"/>
      <c r="K216" s="2293"/>
      <c r="L216" s="1474"/>
      <c r="M216" s="2138"/>
      <c r="N216" s="2134"/>
      <c r="P216" s="2135"/>
      <c r="Q216" s="2135"/>
    </row>
    <row r="217" spans="2:17" s="2029" customFormat="1" ht="12" hidden="1" customHeight="1" x14ac:dyDescent="0.25">
      <c r="B217" s="2027"/>
      <c r="C217" s="4697"/>
      <c r="D217" s="4971"/>
      <c r="E217" s="4707"/>
      <c r="F217" s="796"/>
      <c r="G217" s="882"/>
      <c r="H217" s="882"/>
      <c r="I217" s="784"/>
      <c r="J217" s="796"/>
      <c r="K217" s="882"/>
      <c r="L217" s="783"/>
      <c r="M217" s="477"/>
      <c r="N217" s="2028"/>
      <c r="P217" s="2142"/>
      <c r="Q217" s="2142"/>
    </row>
    <row r="218" spans="2:17" s="2123" customFormat="1" ht="22.5" hidden="1" customHeight="1" x14ac:dyDescent="0.25">
      <c r="B218" s="2121"/>
      <c r="C218" s="4754" t="s">
        <v>1331</v>
      </c>
      <c r="D218" s="4955">
        <f>SUM(D219)</f>
        <v>625300000</v>
      </c>
      <c r="E218" s="4715">
        <f>D218/165355445000*100</f>
        <v>0.37815507073262689</v>
      </c>
      <c r="F218" s="743"/>
      <c r="G218" s="888"/>
      <c r="H218" s="888"/>
      <c r="I218" s="888"/>
      <c r="J218" s="743"/>
      <c r="K218" s="743"/>
      <c r="L218" s="2240"/>
      <c r="M218" s="2143"/>
      <c r="N218" s="2144"/>
      <c r="P218" s="2145"/>
      <c r="Q218" s="2145"/>
    </row>
    <row r="219" spans="2:17" s="2123" customFormat="1" ht="18" hidden="1" customHeight="1" x14ac:dyDescent="0.25">
      <c r="B219" s="2124"/>
      <c r="C219" s="4708" t="s">
        <v>1149</v>
      </c>
      <c r="D219" s="4979">
        <f>D220</f>
        <v>625300000</v>
      </c>
      <c r="E219" s="4718">
        <f>D219/165355445000*100</f>
        <v>0.37815507073262689</v>
      </c>
      <c r="F219" s="3058"/>
      <c r="G219" s="883"/>
      <c r="H219" s="883"/>
      <c r="I219" s="883"/>
      <c r="J219" s="3042"/>
      <c r="K219" s="3042"/>
      <c r="L219" s="1473"/>
      <c r="M219" s="2140"/>
      <c r="N219" s="2144"/>
      <c r="P219" s="2145"/>
      <c r="Q219" s="2145"/>
    </row>
    <row r="220" spans="2:17" s="2123" customFormat="1" ht="21" hidden="1" customHeight="1" x14ac:dyDescent="0.25">
      <c r="B220" s="2124"/>
      <c r="C220" s="4709" t="s">
        <v>1150</v>
      </c>
      <c r="D220" s="4980">
        <v>625300000</v>
      </c>
      <c r="E220" s="4721">
        <f>D220/165355445000*100</f>
        <v>0.37815507073262689</v>
      </c>
      <c r="F220" s="3039"/>
      <c r="G220" s="878"/>
      <c r="H220" s="878"/>
      <c r="I220" s="878"/>
      <c r="J220" s="3039"/>
      <c r="K220" s="2309"/>
      <c r="L220" s="1474"/>
      <c r="M220" s="2138"/>
      <c r="N220" s="2144"/>
      <c r="P220" s="2145"/>
      <c r="Q220" s="2145"/>
    </row>
    <row r="221" spans="2:17" s="2029" customFormat="1" ht="12" hidden="1" customHeight="1" x14ac:dyDescent="0.25">
      <c r="B221" s="2027"/>
      <c r="C221" s="4710"/>
      <c r="D221" s="4981"/>
      <c r="E221" s="4712"/>
      <c r="F221" s="3065"/>
      <c r="G221" s="2023"/>
      <c r="H221" s="2256"/>
      <c r="I221" s="2256"/>
      <c r="J221" s="808"/>
      <c r="K221" s="887"/>
      <c r="L221" s="2359"/>
      <c r="M221" s="580"/>
      <c r="N221" s="2028"/>
      <c r="P221" s="2142"/>
      <c r="Q221" s="2142"/>
    </row>
    <row r="222" spans="2:17" s="2029" customFormat="1" ht="17.25" hidden="1" customHeight="1" x14ac:dyDescent="0.25">
      <c r="B222" s="2030"/>
      <c r="C222" s="4684" t="s">
        <v>1315</v>
      </c>
      <c r="D222" s="4661">
        <f>SUM(D223+D226)</f>
        <v>7702031860</v>
      </c>
      <c r="E222" s="4715">
        <f>D222/165355445000*100</f>
        <v>4.6578640697317226</v>
      </c>
      <c r="F222" s="2018"/>
      <c r="G222" s="3066"/>
      <c r="H222" s="2239"/>
      <c r="I222" s="2239"/>
      <c r="J222" s="3066"/>
      <c r="K222" s="3066"/>
      <c r="L222" s="2240"/>
      <c r="M222" s="576"/>
      <c r="N222" s="2028"/>
      <c r="P222" s="2142"/>
      <c r="Q222" s="2142"/>
    </row>
    <row r="223" spans="2:17" s="2123" customFormat="1" ht="20.25" hidden="1" customHeight="1" x14ac:dyDescent="0.25">
      <c r="B223" s="2124"/>
      <c r="C223" s="4917" t="s">
        <v>1316</v>
      </c>
      <c r="D223" s="4755">
        <f>SUM(D224)</f>
        <v>4592088000</v>
      </c>
      <c r="E223" s="4718">
        <f>D223/165355445000*100</f>
        <v>2.7771011713584639</v>
      </c>
      <c r="F223" s="3067"/>
      <c r="G223" s="3068"/>
      <c r="H223" s="2243"/>
      <c r="I223" s="2243"/>
      <c r="J223" s="761"/>
      <c r="K223" s="761"/>
      <c r="L223" s="2245"/>
      <c r="M223" s="2096"/>
      <c r="N223" s="2144"/>
      <c r="P223" s="2145"/>
      <c r="Q223" s="2145"/>
    </row>
    <row r="224" spans="2:17" s="2123" customFormat="1" ht="19.5" hidden="1" customHeight="1" x14ac:dyDescent="0.25">
      <c r="B224" s="2124"/>
      <c r="C224" s="4704" t="s">
        <v>1317</v>
      </c>
      <c r="D224" s="4678">
        <v>4592088000</v>
      </c>
      <c r="E224" s="4721">
        <f>D224/165355445000*100</f>
        <v>2.7771011713584639</v>
      </c>
      <c r="F224" s="3039"/>
      <c r="G224" s="646"/>
      <c r="H224" s="2249"/>
      <c r="I224" s="2249"/>
      <c r="J224" s="3039"/>
      <c r="K224" s="2250"/>
      <c r="L224" s="1474"/>
      <c r="M224" s="2101"/>
      <c r="N224" s="2144"/>
      <c r="P224" s="2145"/>
      <c r="Q224" s="2145"/>
    </row>
    <row r="225" spans="2:17" s="2029" customFormat="1" ht="15" hidden="1" customHeight="1" x14ac:dyDescent="0.25">
      <c r="B225" s="2027"/>
      <c r="C225" s="4711"/>
      <c r="D225" s="4982"/>
      <c r="E225" s="4721"/>
      <c r="F225" s="4621"/>
      <c r="G225" s="2022"/>
      <c r="H225" s="784"/>
      <c r="I225" s="784"/>
      <c r="J225" s="3070"/>
      <c r="K225" s="3047"/>
      <c r="L225" s="2250"/>
      <c r="M225" s="361"/>
      <c r="N225" s="2028"/>
      <c r="P225" s="2142"/>
      <c r="Q225" s="2142"/>
    </row>
    <row r="226" spans="2:17" s="2123" customFormat="1" ht="17.25" hidden="1" customHeight="1" x14ac:dyDescent="0.25">
      <c r="B226" s="2124"/>
      <c r="C226" s="4915" t="s">
        <v>1318</v>
      </c>
      <c r="D226" s="4706">
        <f>D227</f>
        <v>3109943860</v>
      </c>
      <c r="E226" s="4718">
        <f t="shared" ref="E226:E227" si="8">D226/165355445000*100</f>
        <v>1.8807628983732587</v>
      </c>
      <c r="F226" s="3071"/>
      <c r="G226" s="3072"/>
      <c r="H226" s="786"/>
      <c r="I226" s="786"/>
      <c r="J226" s="3073"/>
      <c r="K226" s="3045"/>
      <c r="L226" s="2245"/>
      <c r="M226" s="2096"/>
      <c r="N226" s="2144"/>
      <c r="P226" s="2145"/>
      <c r="Q226" s="2145"/>
    </row>
    <row r="227" spans="2:17" s="2123" customFormat="1" ht="18.75" hidden="1" customHeight="1" x14ac:dyDescent="0.25">
      <c r="B227" s="2124"/>
      <c r="C227" s="4704" t="s">
        <v>1319</v>
      </c>
      <c r="D227" s="4669">
        <v>3109943860</v>
      </c>
      <c r="E227" s="4721">
        <f t="shared" si="8"/>
        <v>1.8807628983732587</v>
      </c>
      <c r="F227" s="780"/>
      <c r="G227" s="2022"/>
      <c r="H227" s="784"/>
      <c r="I227" s="784"/>
      <c r="J227" s="780"/>
      <c r="K227" s="2250"/>
      <c r="L227" s="1474"/>
      <c r="M227" s="2101"/>
      <c r="N227" s="2144"/>
      <c r="P227" s="2145"/>
      <c r="Q227" s="2145"/>
    </row>
    <row r="228" spans="2:17" s="2123" customFormat="1" ht="18.75" hidden="1" customHeight="1" x14ac:dyDescent="0.25">
      <c r="B228" s="2124"/>
      <c r="C228" s="4743"/>
      <c r="D228" s="4678"/>
      <c r="E228" s="4745"/>
      <c r="F228" s="799"/>
      <c r="G228" s="5245"/>
      <c r="H228" s="2256"/>
      <c r="I228" s="2256"/>
      <c r="J228" s="784"/>
      <c r="K228" s="783"/>
      <c r="L228" s="2546"/>
      <c r="M228" s="2089"/>
      <c r="N228" s="2144"/>
      <c r="P228" s="2145"/>
      <c r="Q228" s="2145"/>
    </row>
    <row r="229" spans="2:17" s="3429" customFormat="1" ht="24" customHeight="1" x14ac:dyDescent="0.25">
      <c r="B229" s="3426"/>
      <c r="C229" s="4749" t="s">
        <v>7125</v>
      </c>
      <c r="D229" s="4983">
        <f>D231+D266</f>
        <v>29236000000</v>
      </c>
      <c r="E229" s="4895">
        <f>D229/D45*100</f>
        <v>7.8123005156229093</v>
      </c>
      <c r="F229" s="3402"/>
      <c r="G229" s="2748"/>
      <c r="H229" s="3427"/>
      <c r="I229" s="4537"/>
      <c r="J229" s="2748"/>
      <c r="K229" s="2748"/>
      <c r="L229" s="3427"/>
      <c r="M229" s="4538"/>
      <c r="N229" s="4539"/>
      <c r="P229" s="3430"/>
      <c r="Q229" s="3430"/>
    </row>
    <row r="230" spans="2:17" s="276" customFormat="1" ht="10.5" hidden="1" customHeight="1" x14ac:dyDescent="0.25">
      <c r="B230" s="2030"/>
      <c r="C230" s="4684"/>
      <c r="D230" s="4955"/>
      <c r="E230" s="4845"/>
      <c r="F230" s="4856"/>
      <c r="G230" s="743"/>
      <c r="H230" s="2239"/>
      <c r="I230" s="3036"/>
      <c r="J230" s="743"/>
      <c r="K230" s="743"/>
      <c r="L230" s="2239"/>
      <c r="M230" s="4857"/>
      <c r="N230" s="275"/>
      <c r="P230" s="2148"/>
      <c r="Q230" s="2148"/>
    </row>
    <row r="231" spans="2:17" s="276" customFormat="1" ht="19.5" hidden="1" customHeight="1" x14ac:dyDescent="0.25">
      <c r="B231" s="2030"/>
      <c r="C231" s="4684" t="s">
        <v>248</v>
      </c>
      <c r="D231" s="4984">
        <f>D232+D236+D240+D243+D247+D250+D256+D259+D262</f>
        <v>17536000000</v>
      </c>
      <c r="E231" s="4715">
        <f>D231/164852857000*100</f>
        <v>10.637364932049676</v>
      </c>
      <c r="F231" s="743"/>
      <c r="G231" s="743"/>
      <c r="H231" s="2064"/>
      <c r="I231" s="3036"/>
      <c r="J231" s="743"/>
      <c r="K231" s="743"/>
      <c r="L231" s="1726"/>
      <c r="M231" s="377"/>
      <c r="N231" s="275"/>
      <c r="P231" s="2148"/>
      <c r="Q231" s="2148"/>
    </row>
    <row r="232" spans="2:17" s="276" customFormat="1" ht="18" hidden="1" customHeight="1" x14ac:dyDescent="0.25">
      <c r="B232" s="2037"/>
      <c r="C232" s="4750" t="s">
        <v>1692</v>
      </c>
      <c r="D232" s="4985">
        <f>D233+D234</f>
        <v>5336000000</v>
      </c>
      <c r="E232" s="4751">
        <f>D232/164852857000*100</f>
        <v>3.2368259168235101</v>
      </c>
      <c r="F232" s="3415"/>
      <c r="G232" s="877"/>
      <c r="H232" s="877"/>
      <c r="I232" s="877"/>
      <c r="J232" s="779"/>
      <c r="K232" s="877"/>
      <c r="L232" s="877"/>
      <c r="M232" s="529"/>
      <c r="N232" s="275"/>
      <c r="P232" s="2148"/>
      <c r="Q232" s="2148"/>
    </row>
    <row r="233" spans="2:17" s="2017" customFormat="1" ht="17.25" hidden="1" customHeight="1" x14ac:dyDescent="0.25">
      <c r="B233" s="2031"/>
      <c r="C233" s="4647" t="s">
        <v>1693</v>
      </c>
      <c r="D233" s="4986">
        <v>336000000</v>
      </c>
      <c r="E233" s="4858">
        <f t="shared" ref="E233:E264" si="9">D233/164852857000*100</f>
        <v>0.20381812369803212</v>
      </c>
      <c r="F233" s="760"/>
      <c r="G233" s="878"/>
      <c r="H233" s="878"/>
      <c r="I233" s="878"/>
      <c r="J233" s="760"/>
      <c r="K233" s="878"/>
      <c r="L233" s="878"/>
      <c r="M233" s="530"/>
      <c r="N233" s="2019"/>
      <c r="P233" s="2130"/>
      <c r="Q233" s="2130"/>
    </row>
    <row r="234" spans="2:17" s="2017" customFormat="1" ht="24.75" hidden="1" customHeight="1" x14ac:dyDescent="0.25">
      <c r="B234" s="2020"/>
      <c r="C234" s="4647" t="s">
        <v>3245</v>
      </c>
      <c r="D234" s="4986">
        <v>5000000000</v>
      </c>
      <c r="E234" s="4858">
        <f t="shared" si="9"/>
        <v>3.0330077931254777</v>
      </c>
      <c r="F234" s="760"/>
      <c r="G234" s="878"/>
      <c r="H234" s="878"/>
      <c r="I234" s="878"/>
      <c r="J234" s="760"/>
      <c r="K234" s="2250"/>
      <c r="L234" s="2250"/>
      <c r="M234" s="361"/>
      <c r="N234" s="2019"/>
      <c r="P234" s="2130"/>
      <c r="Q234" s="2130"/>
    </row>
    <row r="235" spans="2:17" s="276" customFormat="1" ht="12.75" hidden="1" customHeight="1" x14ac:dyDescent="0.25">
      <c r="B235" s="2027"/>
      <c r="C235" s="4647"/>
      <c r="D235" s="4986"/>
      <c r="E235" s="4858"/>
      <c r="F235" s="761"/>
      <c r="G235" s="877"/>
      <c r="H235" s="877"/>
      <c r="I235" s="877"/>
      <c r="J235" s="761"/>
      <c r="K235" s="761"/>
      <c r="L235" s="2176"/>
      <c r="M235" s="2021"/>
      <c r="N235" s="275"/>
      <c r="P235" s="2148"/>
      <c r="Q235" s="2148"/>
    </row>
    <row r="236" spans="2:17" s="2017" customFormat="1" ht="17.25" hidden="1" customHeight="1" x14ac:dyDescent="0.25">
      <c r="B236" s="2020"/>
      <c r="C236" s="4649" t="s">
        <v>370</v>
      </c>
      <c r="D236" s="4987">
        <v>600000000</v>
      </c>
      <c r="E236" s="4751">
        <f t="shared" si="9"/>
        <v>0.36396093517505734</v>
      </c>
      <c r="F236" s="760"/>
      <c r="G236" s="878"/>
      <c r="H236" s="878"/>
      <c r="I236" s="878"/>
      <c r="J236" s="760"/>
      <c r="K236" s="2293"/>
      <c r="L236" s="1474"/>
      <c r="M236" s="566"/>
      <c r="N236" s="2019"/>
      <c r="P236" s="2130"/>
      <c r="Q236" s="2130"/>
    </row>
    <row r="237" spans="2:17" s="2017" customFormat="1" ht="21" hidden="1" customHeight="1" x14ac:dyDescent="0.25">
      <c r="B237" s="2020"/>
      <c r="C237" s="4647" t="s">
        <v>3246</v>
      </c>
      <c r="D237" s="4986">
        <v>350000000</v>
      </c>
      <c r="E237" s="4858">
        <f t="shared" si="9"/>
        <v>0.21231054551878345</v>
      </c>
      <c r="F237" s="760"/>
      <c r="G237" s="878"/>
      <c r="H237" s="878"/>
      <c r="I237" s="878"/>
      <c r="J237" s="760"/>
      <c r="K237" s="2250"/>
      <c r="L237" s="1474"/>
      <c r="M237" s="361"/>
      <c r="N237" s="2019"/>
      <c r="P237" s="2130"/>
      <c r="Q237" s="2130"/>
    </row>
    <row r="238" spans="2:17" s="276" customFormat="1" ht="21.75" hidden="1" customHeight="1" x14ac:dyDescent="0.25">
      <c r="B238" s="2027"/>
      <c r="C238" s="4647" t="s">
        <v>3247</v>
      </c>
      <c r="D238" s="4986">
        <v>250000000</v>
      </c>
      <c r="E238" s="4858">
        <f t="shared" si="9"/>
        <v>0.15165038965627389</v>
      </c>
      <c r="F238" s="760"/>
      <c r="G238" s="878"/>
      <c r="H238" s="878"/>
      <c r="I238" s="878"/>
      <c r="J238" s="760"/>
      <c r="K238" s="878"/>
      <c r="L238" s="878"/>
      <c r="M238" s="530"/>
      <c r="N238" s="275"/>
      <c r="P238" s="2148"/>
      <c r="Q238" s="2148"/>
    </row>
    <row r="239" spans="2:17" s="2017" customFormat="1" ht="12" hidden="1" customHeight="1" x14ac:dyDescent="0.25">
      <c r="B239" s="2020"/>
      <c r="C239" s="4647"/>
      <c r="D239" s="4986"/>
      <c r="E239" s="4858"/>
      <c r="F239" s="760"/>
      <c r="G239" s="761"/>
      <c r="H239" s="1473"/>
      <c r="I239" s="3045"/>
      <c r="J239" s="761"/>
      <c r="K239" s="758"/>
      <c r="L239" s="2245"/>
      <c r="M239" s="2021"/>
      <c r="N239" s="2019"/>
      <c r="P239" s="2130"/>
      <c r="Q239" s="2130"/>
    </row>
    <row r="240" spans="2:17" s="2017" customFormat="1" ht="18" hidden="1" customHeight="1" x14ac:dyDescent="0.25">
      <c r="B240" s="2020"/>
      <c r="C240" s="4649" t="s">
        <v>445</v>
      </c>
      <c r="D240" s="4987">
        <v>800000000</v>
      </c>
      <c r="E240" s="4751">
        <f t="shared" si="9"/>
        <v>0.48528124690007651</v>
      </c>
      <c r="F240" s="761"/>
      <c r="G240" s="862"/>
      <c r="H240" s="1473"/>
      <c r="I240" s="3091"/>
      <c r="J240" s="862"/>
      <c r="K240" s="862"/>
      <c r="L240" s="2176"/>
      <c r="M240" s="2038"/>
      <c r="N240" s="2019"/>
      <c r="P240" s="2130"/>
      <c r="Q240" s="2130"/>
    </row>
    <row r="241" spans="2:17" s="2017" customFormat="1" ht="21" hidden="1" customHeight="1" x14ac:dyDescent="0.25">
      <c r="B241" s="2020"/>
      <c r="C241" s="4647" t="s">
        <v>3248</v>
      </c>
      <c r="D241" s="4986">
        <v>800000000</v>
      </c>
      <c r="E241" s="4858">
        <f t="shared" si="9"/>
        <v>0.48528124690007651</v>
      </c>
      <c r="F241" s="760"/>
      <c r="G241" s="760"/>
      <c r="H241" s="1474"/>
      <c r="I241" s="3047"/>
      <c r="J241" s="760"/>
      <c r="K241" s="760"/>
      <c r="L241" s="1474"/>
      <c r="M241" s="566"/>
      <c r="N241" s="2019"/>
      <c r="P241" s="2130"/>
      <c r="Q241" s="2130"/>
    </row>
    <row r="242" spans="2:17" s="276" customFormat="1" ht="12" hidden="1" customHeight="1" x14ac:dyDescent="0.25">
      <c r="B242" s="2027"/>
      <c r="C242" s="4647"/>
      <c r="D242" s="4987"/>
      <c r="E242" s="4858"/>
      <c r="F242" s="761"/>
      <c r="G242" s="878"/>
      <c r="H242" s="1474"/>
      <c r="I242" s="3047"/>
      <c r="J242" s="760"/>
      <c r="K242" s="2293"/>
      <c r="L242" s="2250"/>
      <c r="M242" s="566"/>
      <c r="N242" s="275"/>
      <c r="P242" s="2148"/>
      <c r="Q242" s="2148"/>
    </row>
    <row r="243" spans="2:17" s="2017" customFormat="1" ht="19.5" hidden="1" customHeight="1" x14ac:dyDescent="0.25">
      <c r="B243" s="2020"/>
      <c r="C243" s="4649" t="s">
        <v>453</v>
      </c>
      <c r="D243" s="4988">
        <v>600000000</v>
      </c>
      <c r="E243" s="4751">
        <f t="shared" si="9"/>
        <v>0.36396093517505734</v>
      </c>
      <c r="F243" s="761"/>
      <c r="G243" s="877"/>
      <c r="H243" s="877"/>
      <c r="I243" s="877"/>
      <c r="J243" s="761"/>
      <c r="K243" s="761"/>
      <c r="L243" s="2176"/>
      <c r="M243" s="2021"/>
      <c r="N243" s="2019"/>
      <c r="P243" s="2130"/>
      <c r="Q243" s="2130"/>
    </row>
    <row r="244" spans="2:17" s="2017" customFormat="1" ht="21" hidden="1" customHeight="1" x14ac:dyDescent="0.25">
      <c r="B244" s="2020"/>
      <c r="C244" s="4647" t="s">
        <v>3249</v>
      </c>
      <c r="D244" s="4986">
        <v>200000000</v>
      </c>
      <c r="E244" s="4858">
        <f t="shared" si="9"/>
        <v>0.12132031172501913</v>
      </c>
      <c r="F244" s="760"/>
      <c r="G244" s="878"/>
      <c r="H244" s="878"/>
      <c r="I244" s="878"/>
      <c r="J244" s="760"/>
      <c r="K244" s="760"/>
      <c r="L244" s="1474"/>
      <c r="M244" s="361"/>
      <c r="N244" s="2019"/>
      <c r="P244" s="2130"/>
      <c r="Q244" s="2130"/>
    </row>
    <row r="245" spans="2:17" s="2029" customFormat="1" ht="23.25" hidden="1" customHeight="1" x14ac:dyDescent="0.25">
      <c r="B245" s="2027"/>
      <c r="C245" s="4647" t="s">
        <v>3250</v>
      </c>
      <c r="D245" s="4986">
        <v>400000000</v>
      </c>
      <c r="E245" s="4858">
        <f t="shared" si="9"/>
        <v>0.24264062345003826</v>
      </c>
      <c r="F245" s="796"/>
      <c r="G245" s="878"/>
      <c r="H245" s="878"/>
      <c r="I245" s="878"/>
      <c r="J245" s="760"/>
      <c r="K245" s="760"/>
      <c r="L245" s="1474"/>
      <c r="M245" s="566"/>
      <c r="N245" s="2028"/>
      <c r="P245" s="2142"/>
      <c r="Q245" s="2142"/>
    </row>
    <row r="246" spans="2:17" s="2029" customFormat="1" ht="11.25" hidden="1" customHeight="1" x14ac:dyDescent="0.25">
      <c r="B246" s="2027"/>
      <c r="C246" s="4647"/>
      <c r="D246" s="4986"/>
      <c r="E246" s="4858"/>
      <c r="F246" s="760"/>
      <c r="G246" s="878"/>
      <c r="H246" s="878"/>
      <c r="I246" s="878"/>
      <c r="J246" s="760"/>
      <c r="K246" s="760"/>
      <c r="L246" s="1474"/>
      <c r="M246" s="566"/>
      <c r="N246" s="2028"/>
      <c r="P246" s="2142"/>
      <c r="Q246" s="2142"/>
    </row>
    <row r="247" spans="2:17" s="2029" customFormat="1" ht="22.5" hidden="1" customHeight="1" x14ac:dyDescent="0.25">
      <c r="B247" s="2027"/>
      <c r="C247" s="4649" t="s">
        <v>3251</v>
      </c>
      <c r="D247" s="4987">
        <v>200000000</v>
      </c>
      <c r="E247" s="4751">
        <f t="shared" si="9"/>
        <v>0.12132031172501913</v>
      </c>
      <c r="F247" s="760"/>
      <c r="G247" s="878"/>
      <c r="H247" s="1474"/>
      <c r="I247" s="3047"/>
      <c r="J247" s="760"/>
      <c r="K247" s="2293"/>
      <c r="L247" s="2327"/>
      <c r="M247" s="566"/>
      <c r="N247" s="2028"/>
      <c r="P247" s="2142"/>
      <c r="Q247" s="2142"/>
    </row>
    <row r="248" spans="2:17" s="2029" customFormat="1" ht="24" hidden="1" customHeight="1" x14ac:dyDescent="0.25">
      <c r="B248" s="2027"/>
      <c r="C248" s="4647" t="s">
        <v>3252</v>
      </c>
      <c r="D248" s="4986">
        <v>200000000</v>
      </c>
      <c r="E248" s="4858">
        <f t="shared" si="9"/>
        <v>0.12132031172501913</v>
      </c>
      <c r="F248" s="761"/>
      <c r="G248" s="761"/>
      <c r="H248" s="1473"/>
      <c r="I248" s="3045"/>
      <c r="J248" s="761"/>
      <c r="K248" s="761"/>
      <c r="L248" s="2176"/>
      <c r="M248" s="2021"/>
      <c r="N248" s="2028"/>
      <c r="P248" s="2142"/>
      <c r="Q248" s="2142"/>
    </row>
    <row r="249" spans="2:17" s="2029" customFormat="1" ht="12.75" hidden="1" customHeight="1" x14ac:dyDescent="0.25">
      <c r="B249" s="2027"/>
      <c r="C249" s="4647"/>
      <c r="D249" s="4986"/>
      <c r="E249" s="4858"/>
      <c r="F249" s="760"/>
      <c r="G249" s="878"/>
      <c r="H249" s="878"/>
      <c r="I249" s="878"/>
      <c r="J249" s="760"/>
      <c r="K249" s="2247"/>
      <c r="L249" s="1474"/>
      <c r="M249" s="361"/>
      <c r="N249" s="2028"/>
      <c r="P249" s="2142"/>
      <c r="Q249" s="2142"/>
    </row>
    <row r="250" spans="2:17" s="2029" customFormat="1" ht="30.75" hidden="1" customHeight="1" x14ac:dyDescent="0.25">
      <c r="B250" s="2027"/>
      <c r="C250" s="4649" t="s">
        <v>3253</v>
      </c>
      <c r="D250" s="4987">
        <f>SUM(D251:D254)</f>
        <v>7100000000</v>
      </c>
      <c r="E250" s="4751">
        <f t="shared" si="9"/>
        <v>4.3068710662381786</v>
      </c>
      <c r="F250" s="760"/>
      <c r="G250" s="878"/>
      <c r="H250" s="878"/>
      <c r="I250" s="878"/>
      <c r="J250" s="760"/>
      <c r="K250" s="760"/>
      <c r="L250" s="1474"/>
      <c r="M250" s="361"/>
      <c r="N250" s="2028"/>
      <c r="P250" s="2142"/>
      <c r="Q250" s="2142"/>
    </row>
    <row r="251" spans="2:17" s="2029" customFormat="1" ht="18" hidden="1" customHeight="1" x14ac:dyDescent="0.25">
      <c r="B251" s="2027"/>
      <c r="C251" s="4647" t="s">
        <v>3254</v>
      </c>
      <c r="D251" s="4986">
        <v>1000000000</v>
      </c>
      <c r="E251" s="4858">
        <f t="shared" si="9"/>
        <v>0.60660155862509557</v>
      </c>
      <c r="F251" s="760"/>
      <c r="G251" s="878"/>
      <c r="H251" s="878"/>
      <c r="I251" s="878"/>
      <c r="J251" s="760"/>
      <c r="K251" s="2247"/>
      <c r="L251" s="1474"/>
      <c r="M251" s="361"/>
      <c r="N251" s="2028"/>
      <c r="P251" s="2142"/>
      <c r="Q251" s="2142"/>
    </row>
    <row r="252" spans="2:17" s="2029" customFormat="1" ht="20.25" hidden="1" customHeight="1" x14ac:dyDescent="0.25">
      <c r="B252" s="2027"/>
      <c r="C252" s="4647" t="s">
        <v>3255</v>
      </c>
      <c r="D252" s="4986">
        <v>700000000</v>
      </c>
      <c r="E252" s="4858">
        <f t="shared" si="9"/>
        <v>0.4246210910375669</v>
      </c>
      <c r="F252" s="760"/>
      <c r="G252" s="878"/>
      <c r="H252" s="878"/>
      <c r="I252" s="878"/>
      <c r="J252" s="760"/>
      <c r="K252" s="2247"/>
      <c r="L252" s="1474"/>
      <c r="M252" s="361"/>
      <c r="N252" s="2028"/>
      <c r="P252" s="2142"/>
      <c r="Q252" s="2142"/>
    </row>
    <row r="253" spans="2:17" s="2029" customFormat="1" ht="19.5" hidden="1" customHeight="1" x14ac:dyDescent="0.25">
      <c r="B253" s="2027"/>
      <c r="C253" s="4647" t="s">
        <v>3256</v>
      </c>
      <c r="D253" s="4986">
        <v>1000000000</v>
      </c>
      <c r="E253" s="4858">
        <f t="shared" si="9"/>
        <v>0.60660155862509557</v>
      </c>
      <c r="F253" s="760"/>
      <c r="G253" s="878"/>
      <c r="H253" s="1474"/>
      <c r="I253" s="3047"/>
      <c r="J253" s="760"/>
      <c r="K253" s="2247"/>
      <c r="L253" s="1474"/>
      <c r="M253" s="361"/>
      <c r="N253" s="2028"/>
      <c r="P253" s="2142"/>
      <c r="Q253" s="2142"/>
    </row>
    <row r="254" spans="2:17" s="2029" customFormat="1" ht="23.25" hidden="1" customHeight="1" x14ac:dyDescent="0.25">
      <c r="B254" s="2027"/>
      <c r="C254" s="4647" t="s">
        <v>3257</v>
      </c>
      <c r="D254" s="4986">
        <v>4400000000</v>
      </c>
      <c r="E254" s="4858">
        <f t="shared" si="9"/>
        <v>2.6690468579504207</v>
      </c>
      <c r="F254" s="760"/>
      <c r="G254" s="878"/>
      <c r="H254" s="1474"/>
      <c r="I254" s="3047"/>
      <c r="J254" s="760"/>
      <c r="K254" s="2247"/>
      <c r="L254" s="2247"/>
      <c r="M254" s="560"/>
      <c r="N254" s="2028"/>
      <c r="P254" s="2142"/>
      <c r="Q254" s="2142"/>
    </row>
    <row r="255" spans="2:17" s="2029" customFormat="1" ht="15" hidden="1" customHeight="1" x14ac:dyDescent="0.25">
      <c r="B255" s="2027"/>
      <c r="C255" s="4647"/>
      <c r="D255" s="4986"/>
      <c r="E255" s="4858"/>
      <c r="F255" s="761"/>
      <c r="G255" s="761"/>
      <c r="H255" s="1473"/>
      <c r="I255" s="3045"/>
      <c r="J255" s="761"/>
      <c r="K255" s="761"/>
      <c r="L255" s="2176"/>
      <c r="M255" s="384"/>
      <c r="N255" s="2028"/>
      <c r="P255" s="2142"/>
      <c r="Q255" s="2142"/>
    </row>
    <row r="256" spans="2:17" s="2029" customFormat="1" ht="32.25" hidden="1" customHeight="1" x14ac:dyDescent="0.25">
      <c r="B256" s="2027"/>
      <c r="C256" s="4649" t="s">
        <v>3258</v>
      </c>
      <c r="D256" s="4987">
        <f>D257</f>
        <v>1300000000</v>
      </c>
      <c r="E256" s="4751">
        <f t="shared" si="9"/>
        <v>0.7885820262126243</v>
      </c>
      <c r="F256" s="760"/>
      <c r="G256" s="760"/>
      <c r="H256" s="1474"/>
      <c r="I256" s="3047"/>
      <c r="J256" s="760"/>
      <c r="K256" s="760"/>
      <c r="L256" s="1474"/>
      <c r="M256" s="361"/>
      <c r="N256" s="2028"/>
      <c r="P256" s="2142"/>
      <c r="Q256" s="2142"/>
    </row>
    <row r="257" spans="2:17" s="2029" customFormat="1" ht="25.5" hidden="1" customHeight="1" x14ac:dyDescent="0.25">
      <c r="B257" s="2027"/>
      <c r="C257" s="4647" t="s">
        <v>3415</v>
      </c>
      <c r="D257" s="4986">
        <v>1300000000</v>
      </c>
      <c r="E257" s="4858">
        <f t="shared" si="9"/>
        <v>0.7885820262126243</v>
      </c>
      <c r="F257" s="808"/>
      <c r="G257" s="887"/>
      <c r="H257" s="2284"/>
      <c r="I257" s="3061"/>
      <c r="J257" s="2257"/>
      <c r="K257" s="2257"/>
      <c r="L257" s="2691"/>
      <c r="M257" s="559"/>
      <c r="N257" s="2028"/>
      <c r="P257" s="2142"/>
      <c r="Q257" s="2142"/>
    </row>
    <row r="258" spans="2:17" s="2029" customFormat="1" ht="15.75" hidden="1" customHeight="1" x14ac:dyDescent="0.25">
      <c r="B258" s="2027"/>
      <c r="C258" s="4647"/>
      <c r="D258" s="4986"/>
      <c r="E258" s="4858"/>
      <c r="F258" s="760"/>
      <c r="G258" s="878"/>
      <c r="H258" s="1126"/>
      <c r="I258" s="878"/>
      <c r="J258" s="809"/>
      <c r="K258" s="809"/>
      <c r="L258" s="767"/>
      <c r="M258" s="3420"/>
      <c r="N258" s="2028"/>
      <c r="P258" s="2142"/>
      <c r="Q258" s="2142"/>
    </row>
    <row r="259" spans="2:17" s="2029" customFormat="1" ht="24" hidden="1" customHeight="1" x14ac:dyDescent="0.25">
      <c r="B259" s="2027"/>
      <c r="C259" s="4649" t="s">
        <v>3259</v>
      </c>
      <c r="D259" s="4987">
        <v>1000000000</v>
      </c>
      <c r="E259" s="4751">
        <f t="shared" si="9"/>
        <v>0.60660155862509557</v>
      </c>
      <c r="F259" s="760"/>
      <c r="G259" s="878"/>
      <c r="H259" s="1126"/>
      <c r="I259" s="878"/>
      <c r="J259" s="809"/>
      <c r="K259" s="809"/>
      <c r="L259" s="767"/>
      <c r="M259" s="3420"/>
      <c r="N259" s="2028"/>
      <c r="P259" s="2142"/>
      <c r="Q259" s="2142"/>
    </row>
    <row r="260" spans="2:17" s="2029" customFormat="1" ht="21.75" hidden="1" customHeight="1" x14ac:dyDescent="0.25">
      <c r="B260" s="2027"/>
      <c r="C260" s="4647" t="s">
        <v>3260</v>
      </c>
      <c r="D260" s="4986">
        <v>1000000000</v>
      </c>
      <c r="E260" s="4858">
        <f t="shared" si="9"/>
        <v>0.60660155862509557</v>
      </c>
      <c r="F260" s="760"/>
      <c r="G260" s="878"/>
      <c r="H260" s="1126"/>
      <c r="I260" s="878"/>
      <c r="J260" s="809"/>
      <c r="K260" s="809"/>
      <c r="L260" s="767"/>
      <c r="M260" s="3420"/>
      <c r="N260" s="2028"/>
      <c r="P260" s="2142"/>
      <c r="Q260" s="2142"/>
    </row>
    <row r="261" spans="2:17" s="2029" customFormat="1" ht="12" hidden="1" customHeight="1" x14ac:dyDescent="0.25">
      <c r="B261" s="2027"/>
      <c r="C261" s="4647"/>
      <c r="D261" s="4986"/>
      <c r="E261" s="4858"/>
      <c r="F261" s="760"/>
      <c r="G261" s="878"/>
      <c r="H261" s="1126"/>
      <c r="I261" s="878"/>
      <c r="J261" s="809"/>
      <c r="K261" s="809"/>
      <c r="L261" s="767"/>
      <c r="M261" s="3420"/>
      <c r="N261" s="2028"/>
      <c r="P261" s="2142"/>
      <c r="Q261" s="2142"/>
    </row>
    <row r="262" spans="2:17" s="2029" customFormat="1" ht="18" hidden="1" customHeight="1" x14ac:dyDescent="0.25">
      <c r="B262" s="2027"/>
      <c r="C262" s="4649" t="s">
        <v>3261</v>
      </c>
      <c r="D262" s="4987">
        <f>SUM(D263:D264)</f>
        <v>600000000</v>
      </c>
      <c r="E262" s="4751">
        <f t="shared" si="9"/>
        <v>0.36396093517505734</v>
      </c>
      <c r="F262" s="760"/>
      <c r="G262" s="878"/>
      <c r="H262" s="1126"/>
      <c r="I262" s="878"/>
      <c r="J262" s="809"/>
      <c r="K262" s="809"/>
      <c r="L262" s="767"/>
      <c r="M262" s="3420"/>
      <c r="N262" s="2028"/>
      <c r="P262" s="2142"/>
      <c r="Q262" s="2142"/>
    </row>
    <row r="263" spans="2:17" s="2029" customFormat="1" ht="24.75" hidden="1" customHeight="1" x14ac:dyDescent="0.25">
      <c r="B263" s="2027"/>
      <c r="C263" s="4647" t="s">
        <v>3262</v>
      </c>
      <c r="D263" s="4986">
        <v>350000000</v>
      </c>
      <c r="E263" s="4858">
        <f t="shared" si="9"/>
        <v>0.21231054551878345</v>
      </c>
      <c r="F263" s="760"/>
      <c r="G263" s="878"/>
      <c r="H263" s="1126"/>
      <c r="I263" s="878"/>
      <c r="J263" s="809"/>
      <c r="K263" s="809"/>
      <c r="L263" s="767"/>
      <c r="M263" s="3420"/>
      <c r="N263" s="2028"/>
      <c r="P263" s="2142"/>
      <c r="Q263" s="2142"/>
    </row>
    <row r="264" spans="2:17" s="2029" customFormat="1" ht="30.75" hidden="1" customHeight="1" x14ac:dyDescent="0.25">
      <c r="B264" s="2027"/>
      <c r="C264" s="4647" t="s">
        <v>3263</v>
      </c>
      <c r="D264" s="4986">
        <v>250000000</v>
      </c>
      <c r="E264" s="4858">
        <f t="shared" si="9"/>
        <v>0.15165038965627389</v>
      </c>
      <c r="F264" s="760"/>
      <c r="G264" s="878"/>
      <c r="H264" s="1126"/>
      <c r="I264" s="878"/>
      <c r="J264" s="809"/>
      <c r="K264" s="809"/>
      <c r="L264" s="767"/>
      <c r="M264" s="3420"/>
      <c r="N264" s="2028"/>
      <c r="P264" s="2142"/>
      <c r="Q264" s="2142"/>
    </row>
    <row r="265" spans="2:17" s="2029" customFormat="1" ht="12" hidden="1" customHeight="1" x14ac:dyDescent="0.25">
      <c r="B265" s="2027"/>
      <c r="C265" s="4700"/>
      <c r="D265" s="4956"/>
      <c r="E265" s="4896"/>
      <c r="F265" s="808"/>
      <c r="G265" s="887"/>
      <c r="H265" s="2284"/>
      <c r="I265" s="3061"/>
      <c r="J265" s="2257"/>
      <c r="K265" s="2257"/>
      <c r="L265" s="2691"/>
      <c r="M265" s="559"/>
      <c r="N265" s="2028"/>
      <c r="P265" s="2142"/>
      <c r="Q265" s="2142"/>
    </row>
    <row r="266" spans="2:17" s="276" customFormat="1" ht="22.5" hidden="1" customHeight="1" x14ac:dyDescent="0.25">
      <c r="B266" s="2030"/>
      <c r="C266" s="4684" t="s">
        <v>300</v>
      </c>
      <c r="D266" s="4955">
        <f>D267</f>
        <v>11700000000</v>
      </c>
      <c r="E266" s="4715">
        <f>D266/164852857000*100</f>
        <v>7.0972382359136184</v>
      </c>
      <c r="F266" s="743"/>
      <c r="G266" s="743"/>
      <c r="H266" s="2064"/>
      <c r="I266" s="3036"/>
      <c r="J266" s="743"/>
      <c r="K266" s="743"/>
      <c r="L266" s="1726"/>
      <c r="M266" s="562"/>
      <c r="N266" s="275"/>
      <c r="P266" s="2148"/>
      <c r="Q266" s="2148"/>
    </row>
    <row r="267" spans="2:17" s="276" customFormat="1" ht="32.25" hidden="1" customHeight="1" x14ac:dyDescent="0.25">
      <c r="B267" s="2027"/>
      <c r="C267" s="4752" t="s">
        <v>1799</v>
      </c>
      <c r="D267" s="4987">
        <f>SUM(D268:D273)</f>
        <v>11700000000</v>
      </c>
      <c r="E267" s="4751">
        <f>D267/164852857000*100</f>
        <v>7.0972382359136184</v>
      </c>
      <c r="F267" s="779"/>
      <c r="G267" s="761"/>
      <c r="H267" s="1473"/>
      <c r="I267" s="3092"/>
      <c r="J267" s="761"/>
      <c r="K267" s="761"/>
      <c r="L267" s="2176"/>
      <c r="M267" s="563"/>
      <c r="N267" s="275"/>
      <c r="P267" s="2148"/>
      <c r="Q267" s="2148"/>
    </row>
    <row r="268" spans="2:17" s="2017" customFormat="1" ht="24" hidden="1" customHeight="1" x14ac:dyDescent="0.25">
      <c r="B268" s="2020"/>
      <c r="C268" s="4668" t="s">
        <v>3264</v>
      </c>
      <c r="D268" s="4989">
        <v>2000000000</v>
      </c>
      <c r="E268" s="4858">
        <f t="shared" ref="E268:E273" si="10">D268/164852857000*100</f>
        <v>1.2132031172501911</v>
      </c>
      <c r="F268" s="760"/>
      <c r="G268" s="878"/>
      <c r="H268" s="878"/>
      <c r="I268" s="878"/>
      <c r="J268" s="760"/>
      <c r="K268" s="2293"/>
      <c r="L268" s="1474"/>
      <c r="M268" s="566"/>
      <c r="N268" s="2019"/>
      <c r="P268" s="2130"/>
      <c r="Q268" s="2130"/>
    </row>
    <row r="269" spans="2:17" s="2017" customFormat="1" ht="18" hidden="1" customHeight="1" x14ac:dyDescent="0.25">
      <c r="B269" s="2020"/>
      <c r="C269" s="4668" t="s">
        <v>3265</v>
      </c>
      <c r="D269" s="4989">
        <v>6800000</v>
      </c>
      <c r="E269" s="4858">
        <f t="shared" si="10"/>
        <v>4.1248905986506499E-3</v>
      </c>
      <c r="F269" s="760"/>
      <c r="G269" s="878"/>
      <c r="H269" s="878"/>
      <c r="I269" s="878"/>
      <c r="J269" s="760"/>
      <c r="K269" s="878"/>
      <c r="L269" s="878"/>
      <c r="M269" s="530"/>
      <c r="N269" s="2019"/>
      <c r="P269" s="2130"/>
      <c r="Q269" s="2130"/>
    </row>
    <row r="270" spans="2:17" s="2017" customFormat="1" ht="21.75" hidden="1" customHeight="1" x14ac:dyDescent="0.25">
      <c r="B270" s="2020"/>
      <c r="C270" s="4668" t="s">
        <v>3266</v>
      </c>
      <c r="D270" s="4989">
        <v>6800000</v>
      </c>
      <c r="E270" s="4858">
        <f t="shared" si="10"/>
        <v>4.1248905986506499E-3</v>
      </c>
      <c r="F270" s="760"/>
      <c r="G270" s="878"/>
      <c r="H270" s="878"/>
      <c r="I270" s="878"/>
      <c r="J270" s="760"/>
      <c r="K270" s="878"/>
      <c r="L270" s="878"/>
      <c r="M270" s="530"/>
      <c r="N270" s="2019"/>
      <c r="P270" s="2130"/>
      <c r="Q270" s="2130"/>
    </row>
    <row r="271" spans="2:17" s="2017" customFormat="1" ht="28.5" hidden="1" customHeight="1" x14ac:dyDescent="0.25">
      <c r="B271" s="2020"/>
      <c r="C271" s="4668" t="s">
        <v>3267</v>
      </c>
      <c r="D271" s="4989">
        <v>3757320000</v>
      </c>
      <c r="E271" s="4858">
        <f t="shared" si="10"/>
        <v>2.2791961682532444</v>
      </c>
      <c r="F271" s="760"/>
      <c r="G271" s="878"/>
      <c r="H271" s="1474"/>
      <c r="I271" s="3047"/>
      <c r="J271" s="760"/>
      <c r="K271" s="2293"/>
      <c r="L271" s="1474"/>
      <c r="M271" s="566"/>
      <c r="N271" s="2019"/>
      <c r="P271" s="2130"/>
      <c r="Q271" s="2130"/>
    </row>
    <row r="272" spans="2:17" s="2017" customFormat="1" ht="21.75" hidden="1" customHeight="1" x14ac:dyDescent="0.25">
      <c r="B272" s="2020"/>
      <c r="C272" s="4697" t="s">
        <v>3268</v>
      </c>
      <c r="D272" s="4971">
        <v>1238899450</v>
      </c>
      <c r="E272" s="4858">
        <f t="shared" si="10"/>
        <v>0.75151833734977369</v>
      </c>
      <c r="F272" s="796"/>
      <c r="G272" s="882"/>
      <c r="H272" s="882"/>
      <c r="I272" s="882"/>
      <c r="J272" s="796"/>
      <c r="K272" s="2655"/>
      <c r="L272" s="1474"/>
      <c r="M272" s="477"/>
      <c r="N272" s="2019"/>
      <c r="P272" s="2130"/>
      <c r="Q272" s="2130"/>
    </row>
    <row r="273" spans="2:17" s="2017" customFormat="1" ht="18" hidden="1" customHeight="1" x14ac:dyDescent="0.25">
      <c r="B273" s="2020"/>
      <c r="C273" s="4668" t="s">
        <v>3269</v>
      </c>
      <c r="D273" s="4989">
        <v>4690180550</v>
      </c>
      <c r="E273" s="4858">
        <f t="shared" si="10"/>
        <v>2.8450708318631079</v>
      </c>
      <c r="F273" s="760"/>
      <c r="G273" s="878"/>
      <c r="H273" s="1474"/>
      <c r="I273" s="3047"/>
      <c r="J273" s="760"/>
      <c r="K273" s="2250"/>
      <c r="L273" s="1474"/>
      <c r="M273" s="361"/>
      <c r="N273" s="2019"/>
      <c r="P273" s="2130"/>
      <c r="Q273" s="2130"/>
    </row>
    <row r="274" spans="2:17" s="2029" customFormat="1" ht="12" hidden="1" customHeight="1" x14ac:dyDescent="0.25">
      <c r="B274" s="2027"/>
      <c r="C274" s="4705"/>
      <c r="D274" s="4956"/>
      <c r="E274" s="4712"/>
      <c r="F274" s="808"/>
      <c r="G274" s="887"/>
      <c r="H274" s="2256"/>
      <c r="I274" s="2256"/>
      <c r="J274" s="2257"/>
      <c r="K274" s="2257"/>
      <c r="L274" s="2691"/>
      <c r="M274" s="559"/>
      <c r="N274" s="2028"/>
      <c r="P274" s="2142"/>
      <c r="Q274" s="2142"/>
    </row>
    <row r="275" spans="2:17" s="2058" customFormat="1" ht="22.5" customHeight="1" x14ac:dyDescent="0.25">
      <c r="B275" s="616"/>
      <c r="C275" s="4655" t="s">
        <v>7126</v>
      </c>
      <c r="D275" s="4713">
        <f>SUM(+D277+D337)</f>
        <v>27037599428</v>
      </c>
      <c r="E275" s="4889">
        <f>D275/D45*100</f>
        <v>7.2248546980630071</v>
      </c>
      <c r="F275" s="3476"/>
      <c r="G275" s="1980"/>
      <c r="H275" s="1067"/>
      <c r="I275" s="2506"/>
      <c r="J275" s="1980"/>
      <c r="K275" s="1980"/>
      <c r="L275" s="1067"/>
      <c r="M275" s="738"/>
      <c r="N275" s="2059"/>
      <c r="P275" s="2151"/>
      <c r="Q275" s="2151"/>
    </row>
    <row r="276" spans="2:17" s="2029" customFormat="1" ht="12" hidden="1" customHeight="1" x14ac:dyDescent="0.25">
      <c r="B276" s="2032"/>
      <c r="C276" s="4705"/>
      <c r="D276" s="4956"/>
      <c r="E276" s="4712"/>
      <c r="F276" s="3477"/>
      <c r="G276" s="2033"/>
      <c r="H276" s="2256"/>
      <c r="I276" s="2256"/>
      <c r="J276" s="3074"/>
      <c r="K276" s="3074"/>
      <c r="L276" s="2657"/>
      <c r="M276" s="2034"/>
      <c r="N276" s="2028"/>
      <c r="P276" s="2142"/>
      <c r="Q276" s="2142"/>
    </row>
    <row r="277" spans="2:17" s="2123" customFormat="1" ht="19.5" hidden="1" customHeight="1" x14ac:dyDescent="0.25">
      <c r="B277" s="2121"/>
      <c r="C277" s="4660" t="s">
        <v>241</v>
      </c>
      <c r="D277" s="4714">
        <f>SUM(D278+D281+D292+D297+D302+D305+D314+D317+D321+D324+D327)</f>
        <v>24456340328</v>
      </c>
      <c r="E277" s="4715">
        <f>D277/164029053000*100</f>
        <v>14.909761338438015</v>
      </c>
      <c r="F277" s="3478"/>
      <c r="G277" s="765"/>
      <c r="H277" s="765"/>
      <c r="I277" s="2239"/>
      <c r="J277" s="765"/>
      <c r="K277" s="765"/>
      <c r="L277" s="765"/>
      <c r="M277" s="2092"/>
      <c r="N277" s="2144"/>
      <c r="P277" s="2145"/>
      <c r="Q277" s="2145"/>
    </row>
    <row r="278" spans="2:17" s="2123" customFormat="1" ht="21" hidden="1" customHeight="1" x14ac:dyDescent="0.25">
      <c r="B278" s="2124"/>
      <c r="C278" s="4716" t="s">
        <v>638</v>
      </c>
      <c r="D278" s="4717">
        <f>D279</f>
        <v>246000000</v>
      </c>
      <c r="E278" s="4718">
        <f>D278/164029053000*100</f>
        <v>0.14997343184076056</v>
      </c>
      <c r="F278" s="3075"/>
      <c r="G278" s="919"/>
      <c r="H278" s="795"/>
      <c r="I278" s="919"/>
      <c r="J278" s="3076"/>
      <c r="K278" s="3076"/>
      <c r="L278" s="2176"/>
      <c r="M278" s="2156"/>
      <c r="N278" s="2144"/>
      <c r="P278" s="2145"/>
      <c r="Q278" s="2145"/>
    </row>
    <row r="279" spans="2:17" s="2123" customFormat="1" ht="17.25" hidden="1" customHeight="1" x14ac:dyDescent="0.25">
      <c r="B279" s="2124"/>
      <c r="C279" s="4719" t="s">
        <v>639</v>
      </c>
      <c r="D279" s="4720">
        <v>246000000</v>
      </c>
      <c r="E279" s="4721">
        <f>D279/164029053000*100</f>
        <v>0.14997343184076056</v>
      </c>
      <c r="F279" s="3077"/>
      <c r="G279" s="755"/>
      <c r="H279" s="755"/>
      <c r="I279" s="755"/>
      <c r="J279" s="2035"/>
      <c r="K279" s="2035"/>
      <c r="L279" s="1474"/>
      <c r="M279" s="2101"/>
      <c r="N279" s="2144"/>
      <c r="P279" s="2145"/>
      <c r="Q279" s="2145"/>
    </row>
    <row r="280" spans="2:17" s="2123" customFormat="1" ht="15" hidden="1" customHeight="1" x14ac:dyDescent="0.25">
      <c r="B280" s="2124"/>
      <c r="C280" s="4668"/>
      <c r="D280" s="4722"/>
      <c r="E280" s="4721"/>
      <c r="F280" s="798"/>
      <c r="G280" s="798"/>
      <c r="H280" s="2249"/>
      <c r="I280" s="798"/>
      <c r="J280" s="753"/>
      <c r="K280" s="771"/>
      <c r="L280" s="2245"/>
      <c r="M280" s="2096"/>
      <c r="N280" s="2144"/>
      <c r="P280" s="2145"/>
      <c r="Q280" s="2145"/>
    </row>
    <row r="281" spans="2:17" s="2123" customFormat="1" ht="19.5" hidden="1" customHeight="1" x14ac:dyDescent="0.25">
      <c r="B281" s="2124"/>
      <c r="C281" s="4723" t="s">
        <v>640</v>
      </c>
      <c r="D281" s="4724">
        <f>SUM(D282:D290)</f>
        <v>11538156328</v>
      </c>
      <c r="E281" s="4718">
        <f t="shared" ref="E281:E335" si="11">D281/164029053000*100</f>
        <v>7.0342150472575122</v>
      </c>
      <c r="F281" s="803"/>
      <c r="G281" s="803"/>
      <c r="H281" s="803"/>
      <c r="I281" s="803"/>
      <c r="J281" s="753"/>
      <c r="K281" s="753"/>
      <c r="L281" s="1473"/>
      <c r="M281" s="2096"/>
      <c r="N281" s="2144"/>
      <c r="P281" s="2145"/>
      <c r="Q281" s="2145"/>
    </row>
    <row r="282" spans="2:17" s="2123" customFormat="1" ht="18" hidden="1" customHeight="1" x14ac:dyDescent="0.25">
      <c r="B282" s="2124"/>
      <c r="C282" s="4647" t="s">
        <v>3474</v>
      </c>
      <c r="D282" s="4720">
        <v>1585740000</v>
      </c>
      <c r="E282" s="4721">
        <f t="shared" si="11"/>
        <v>0.96674337319986847</v>
      </c>
      <c r="F282" s="3077"/>
      <c r="G282" s="755"/>
      <c r="H282" s="755"/>
      <c r="I282" s="755"/>
      <c r="J282" s="2035"/>
      <c r="K282" s="2035"/>
      <c r="L282" s="1474"/>
      <c r="M282" s="2101"/>
      <c r="N282" s="2144"/>
      <c r="P282" s="2145"/>
      <c r="Q282" s="2145"/>
    </row>
    <row r="283" spans="2:17" s="2123" customFormat="1" ht="17.25" hidden="1" customHeight="1" x14ac:dyDescent="0.25">
      <c r="B283" s="2124"/>
      <c r="C283" s="4647" t="s">
        <v>3475</v>
      </c>
      <c r="D283" s="4720">
        <v>4585144740</v>
      </c>
      <c r="E283" s="4721">
        <f t="shared" si="11"/>
        <v>2.7953247648146817</v>
      </c>
      <c r="F283" s="3077"/>
      <c r="G283" s="755"/>
      <c r="H283" s="755"/>
      <c r="I283" s="755"/>
      <c r="J283" s="2035"/>
      <c r="K283" s="755"/>
      <c r="L283" s="755"/>
      <c r="M283" s="2075"/>
      <c r="N283" s="2144"/>
      <c r="P283" s="2145"/>
      <c r="Q283" s="2145"/>
    </row>
    <row r="284" spans="2:17" s="2123" customFormat="1" ht="20.25" hidden="1" customHeight="1" x14ac:dyDescent="0.25">
      <c r="B284" s="2124"/>
      <c r="C284" s="4647" t="s">
        <v>3476</v>
      </c>
      <c r="D284" s="4720">
        <v>946850000</v>
      </c>
      <c r="E284" s="4721">
        <f t="shared" si="11"/>
        <v>0.57724530056269974</v>
      </c>
      <c r="F284" s="3077"/>
      <c r="G284" s="755"/>
      <c r="H284" s="755"/>
      <c r="I284" s="755"/>
      <c r="J284" s="2035"/>
      <c r="K284" s="755"/>
      <c r="L284" s="755"/>
      <c r="M284" s="2075"/>
      <c r="N284" s="2144"/>
      <c r="P284" s="2145"/>
      <c r="Q284" s="2145"/>
    </row>
    <row r="285" spans="2:17" s="2123" customFormat="1" ht="18" hidden="1" customHeight="1" x14ac:dyDescent="0.25">
      <c r="B285" s="2124"/>
      <c r="C285" s="4647" t="s">
        <v>3477</v>
      </c>
      <c r="D285" s="4720">
        <v>72970000</v>
      </c>
      <c r="E285" s="4721">
        <f t="shared" si="11"/>
        <v>4.4486021631789829E-2</v>
      </c>
      <c r="F285" s="3077"/>
      <c r="G285" s="755"/>
      <c r="H285" s="755"/>
      <c r="I285" s="755"/>
      <c r="J285" s="2035"/>
      <c r="K285" s="755"/>
      <c r="L285" s="755"/>
      <c r="M285" s="2075"/>
      <c r="N285" s="2144"/>
      <c r="P285" s="2145"/>
      <c r="Q285" s="2145"/>
    </row>
    <row r="286" spans="2:17" s="2123" customFormat="1" ht="18.75" hidden="1" customHeight="1" x14ac:dyDescent="0.25">
      <c r="B286" s="2124"/>
      <c r="C286" s="4647" t="s">
        <v>3478</v>
      </c>
      <c r="D286" s="4720">
        <v>1366568072</v>
      </c>
      <c r="E286" s="4721">
        <f t="shared" si="11"/>
        <v>0.83312562439777049</v>
      </c>
      <c r="F286" s="3077"/>
      <c r="G286" s="755"/>
      <c r="H286" s="755"/>
      <c r="I286" s="755"/>
      <c r="J286" s="2035"/>
      <c r="K286" s="3078"/>
      <c r="L286" s="1474"/>
      <c r="M286" s="2083"/>
      <c r="N286" s="2144"/>
      <c r="P286" s="2145"/>
      <c r="Q286" s="2145"/>
    </row>
    <row r="287" spans="2:17" s="2123" customFormat="1" ht="18" hidden="1" customHeight="1" x14ac:dyDescent="0.25">
      <c r="B287" s="2124"/>
      <c r="C287" s="4647" t="s">
        <v>7095</v>
      </c>
      <c r="D287" s="4720">
        <v>435050000</v>
      </c>
      <c r="E287" s="4721">
        <f t="shared" si="11"/>
        <v>0.26522740456228816</v>
      </c>
      <c r="F287" s="3077"/>
      <c r="G287" s="755"/>
      <c r="H287" s="755"/>
      <c r="I287" s="755"/>
      <c r="J287" s="2035"/>
      <c r="K287" s="755"/>
      <c r="L287" s="755"/>
      <c r="M287" s="2075"/>
      <c r="N287" s="2144"/>
      <c r="P287" s="2145"/>
      <c r="Q287" s="2145"/>
    </row>
    <row r="288" spans="2:17" s="2123" customFormat="1" ht="19.5" hidden="1" customHeight="1" x14ac:dyDescent="0.25">
      <c r="B288" s="2124"/>
      <c r="C288" s="4719" t="s">
        <v>3480</v>
      </c>
      <c r="D288" s="4720">
        <v>327789000</v>
      </c>
      <c r="E288" s="4721">
        <f t="shared" si="11"/>
        <v>0.19983594003923194</v>
      </c>
      <c r="F288" s="3077"/>
      <c r="G288" s="755"/>
      <c r="H288" s="755"/>
      <c r="I288" s="755"/>
      <c r="J288" s="2035"/>
      <c r="K288" s="2035"/>
      <c r="L288" s="1474"/>
      <c r="M288" s="2083"/>
      <c r="N288" s="2144"/>
      <c r="P288" s="2145"/>
      <c r="Q288" s="2145"/>
    </row>
    <row r="289" spans="2:17" s="2123" customFormat="1" ht="19.5" hidden="1" customHeight="1" x14ac:dyDescent="0.25">
      <c r="B289" s="2124"/>
      <c r="C289" s="4719" t="s">
        <v>3481</v>
      </c>
      <c r="D289" s="4720">
        <v>751193500</v>
      </c>
      <c r="E289" s="4721">
        <f t="shared" si="11"/>
        <v>0.45796368768891199</v>
      </c>
      <c r="F289" s="3077"/>
      <c r="G289" s="755"/>
      <c r="H289" s="755"/>
      <c r="I289" s="755"/>
      <c r="J289" s="2035"/>
      <c r="K289" s="2035"/>
      <c r="L289" s="1474"/>
      <c r="M289" s="2083"/>
      <c r="N289" s="2144"/>
      <c r="P289" s="2145"/>
      <c r="Q289" s="2145"/>
    </row>
    <row r="290" spans="2:17" s="2123" customFormat="1" ht="20.25" hidden="1" customHeight="1" x14ac:dyDescent="0.25">
      <c r="B290" s="2124"/>
      <c r="C290" s="4668" t="s">
        <v>3482</v>
      </c>
      <c r="D290" s="4699">
        <v>1466851016</v>
      </c>
      <c r="E290" s="4721">
        <f t="shared" si="11"/>
        <v>0.89426293036026971</v>
      </c>
      <c r="F290" s="924"/>
      <c r="G290" s="755"/>
      <c r="H290" s="802"/>
      <c r="I290" s="802"/>
      <c r="J290" s="827"/>
      <c r="K290" s="2250"/>
      <c r="L290" s="2247"/>
      <c r="M290" s="2098"/>
      <c r="N290" s="2144"/>
      <c r="P290" s="2145"/>
      <c r="Q290" s="2145"/>
    </row>
    <row r="291" spans="2:17" s="2123" customFormat="1" ht="13.5" hidden="1" customHeight="1" x14ac:dyDescent="0.25">
      <c r="B291" s="2124"/>
      <c r="C291" s="4668"/>
      <c r="D291" s="4699"/>
      <c r="E291" s="4721"/>
      <c r="F291" s="925"/>
      <c r="G291" s="925"/>
      <c r="H291" s="753"/>
      <c r="I291" s="2243"/>
      <c r="J291" s="925"/>
      <c r="K291" s="925"/>
      <c r="L291" s="1473"/>
      <c r="M291" s="2096"/>
      <c r="N291" s="2144"/>
      <c r="P291" s="2145"/>
      <c r="Q291" s="2145"/>
    </row>
    <row r="292" spans="2:17" s="2123" customFormat="1" ht="17.25" hidden="1" customHeight="1" x14ac:dyDescent="0.25">
      <c r="B292" s="2124"/>
      <c r="C292" s="4723" t="s">
        <v>344</v>
      </c>
      <c r="D292" s="4725">
        <f>SUM(D293:D295)</f>
        <v>2760905000</v>
      </c>
      <c r="E292" s="4718">
        <f t="shared" si="11"/>
        <v>1.6831804790094107</v>
      </c>
      <c r="F292" s="924"/>
      <c r="G292" s="755"/>
      <c r="H292" s="755"/>
      <c r="I292" s="755"/>
      <c r="J292" s="924"/>
      <c r="K292" s="755"/>
      <c r="L292" s="755"/>
      <c r="M292" s="2075"/>
      <c r="N292" s="2144"/>
      <c r="P292" s="2145"/>
      <c r="Q292" s="2145"/>
    </row>
    <row r="293" spans="2:17" s="2123" customFormat="1" ht="18" hidden="1" customHeight="1" x14ac:dyDescent="0.25">
      <c r="B293" s="2124"/>
      <c r="C293" s="4726" t="s">
        <v>648</v>
      </c>
      <c r="D293" s="4727">
        <v>2000000000</v>
      </c>
      <c r="E293" s="4721">
        <f t="shared" si="11"/>
        <v>1.2192961938273215</v>
      </c>
      <c r="F293" s="924"/>
      <c r="G293" s="755"/>
      <c r="H293" s="755"/>
      <c r="I293" s="755"/>
      <c r="J293" s="924"/>
      <c r="K293" s="755"/>
      <c r="L293" s="755"/>
      <c r="M293" s="2075"/>
      <c r="N293" s="2144"/>
      <c r="P293" s="2145"/>
      <c r="Q293" s="2145"/>
    </row>
    <row r="294" spans="2:17" s="2123" customFormat="1" ht="17.25" hidden="1" customHeight="1" x14ac:dyDescent="0.25">
      <c r="B294" s="2124"/>
      <c r="C294" s="4726" t="s">
        <v>649</v>
      </c>
      <c r="D294" s="4727">
        <v>650000000</v>
      </c>
      <c r="E294" s="4721">
        <f t="shared" si="11"/>
        <v>0.39627126299387949</v>
      </c>
      <c r="F294" s="924"/>
      <c r="G294" s="755"/>
      <c r="H294" s="755"/>
      <c r="I294" s="755"/>
      <c r="J294" s="924"/>
      <c r="K294" s="3079"/>
      <c r="L294" s="1474"/>
      <c r="M294" s="2083"/>
      <c r="N294" s="2144"/>
      <c r="P294" s="2145"/>
      <c r="Q294" s="2145"/>
    </row>
    <row r="295" spans="2:17" s="2123" customFormat="1" ht="23.25" hidden="1" customHeight="1" x14ac:dyDescent="0.25">
      <c r="B295" s="2124"/>
      <c r="C295" s="4726" t="s">
        <v>650</v>
      </c>
      <c r="D295" s="4727">
        <v>110905000</v>
      </c>
      <c r="E295" s="4721">
        <f t="shared" si="11"/>
        <v>6.7613022188209554E-2</v>
      </c>
      <c r="F295" s="926"/>
      <c r="G295" s="755"/>
      <c r="H295" s="755"/>
      <c r="I295" s="755"/>
      <c r="J295" s="755"/>
      <c r="K295" s="3080"/>
      <c r="L295" s="1716"/>
      <c r="M295" s="2083"/>
      <c r="N295" s="2144"/>
      <c r="P295" s="2145"/>
      <c r="Q295" s="2145"/>
    </row>
    <row r="296" spans="2:17" s="2123" customFormat="1" ht="18" hidden="1" customHeight="1" x14ac:dyDescent="0.25">
      <c r="B296" s="2124"/>
      <c r="C296" s="4728"/>
      <c r="D296" s="4729"/>
      <c r="E296" s="4721"/>
      <c r="F296" s="1868"/>
      <c r="G296" s="803"/>
      <c r="H296" s="803"/>
      <c r="I296" s="803"/>
      <c r="J296" s="1868"/>
      <c r="K296" s="3081"/>
      <c r="L296" s="1473"/>
      <c r="M296" s="2106"/>
      <c r="N296" s="2144"/>
      <c r="P296" s="2145"/>
      <c r="Q296" s="2145"/>
    </row>
    <row r="297" spans="2:17" s="2123" customFormat="1" ht="23.25" hidden="1" customHeight="1" x14ac:dyDescent="0.25">
      <c r="B297" s="2124"/>
      <c r="C297" s="4730" t="s">
        <v>273</v>
      </c>
      <c r="D297" s="4731">
        <f>SUM(D298:D300)</f>
        <v>1641240000</v>
      </c>
      <c r="E297" s="4718">
        <f t="shared" si="11"/>
        <v>1.0005788425785767</v>
      </c>
      <c r="F297" s="924"/>
      <c r="G297" s="755"/>
      <c r="H297" s="755"/>
      <c r="I297" s="755"/>
      <c r="J297" s="924"/>
      <c r="K297" s="1123"/>
      <c r="L297" s="755"/>
      <c r="M297" s="2075"/>
      <c r="N297" s="2144"/>
      <c r="P297" s="2145"/>
      <c r="Q297" s="2145"/>
    </row>
    <row r="298" spans="2:17" s="2123" customFormat="1" ht="18" hidden="1" customHeight="1" x14ac:dyDescent="0.25">
      <c r="B298" s="2124"/>
      <c r="C298" s="4647" t="s">
        <v>345</v>
      </c>
      <c r="D298" s="4727">
        <v>1163340000</v>
      </c>
      <c r="E298" s="4721">
        <f t="shared" si="11"/>
        <v>0.70922801706353811</v>
      </c>
      <c r="F298" s="924"/>
      <c r="G298" s="755"/>
      <c r="H298" s="755"/>
      <c r="I298" s="755"/>
      <c r="J298" s="924"/>
      <c r="K298" s="1123"/>
      <c r="L298" s="755"/>
      <c r="M298" s="2075"/>
      <c r="N298" s="2144"/>
      <c r="P298" s="2145"/>
      <c r="Q298" s="2145"/>
    </row>
    <row r="299" spans="2:17" s="2123" customFormat="1" ht="20.25" hidden="1" customHeight="1" x14ac:dyDescent="0.25">
      <c r="B299" s="2124"/>
      <c r="C299" s="4719" t="s">
        <v>651</v>
      </c>
      <c r="D299" s="4727">
        <v>296600000</v>
      </c>
      <c r="E299" s="4721">
        <f t="shared" si="11"/>
        <v>0.1808216255445918</v>
      </c>
      <c r="F299" s="3077"/>
      <c r="G299" s="755"/>
      <c r="H299" s="755"/>
      <c r="I299" s="755"/>
      <c r="J299" s="3082"/>
      <c r="K299" s="3083"/>
      <c r="L299" s="1474"/>
      <c r="M299" s="2099"/>
      <c r="N299" s="2144"/>
      <c r="P299" s="2145"/>
      <c r="Q299" s="2145"/>
    </row>
    <row r="300" spans="2:17" s="2123" customFormat="1" ht="19.5" hidden="1" customHeight="1" x14ac:dyDescent="0.25">
      <c r="B300" s="2124"/>
      <c r="C300" s="4719" t="s">
        <v>652</v>
      </c>
      <c r="D300" s="4720">
        <v>181300000</v>
      </c>
      <c r="E300" s="4721">
        <f t="shared" si="11"/>
        <v>0.1105291999704467</v>
      </c>
      <c r="F300" s="924"/>
      <c r="G300" s="755"/>
      <c r="H300" s="755"/>
      <c r="I300" s="755"/>
      <c r="J300" s="755"/>
      <c r="K300" s="3084"/>
      <c r="L300" s="2247"/>
      <c r="M300" s="2098"/>
      <c r="N300" s="2144"/>
      <c r="P300" s="2145"/>
      <c r="Q300" s="2145"/>
    </row>
    <row r="301" spans="2:17" s="2123" customFormat="1" ht="15.75" hidden="1" customHeight="1" x14ac:dyDescent="0.25">
      <c r="B301" s="2124"/>
      <c r="C301" s="4668"/>
      <c r="D301" s="4699"/>
      <c r="E301" s="4721"/>
      <c r="F301" s="925"/>
      <c r="G301" s="803"/>
      <c r="H301" s="803"/>
      <c r="I301" s="803"/>
      <c r="J301" s="925"/>
      <c r="K301" s="3085"/>
      <c r="L301" s="1473"/>
      <c r="M301" s="2096"/>
      <c r="N301" s="2144"/>
      <c r="P301" s="2145"/>
      <c r="Q301" s="2145"/>
    </row>
    <row r="302" spans="2:17" s="2123" customFormat="1" ht="21" hidden="1" customHeight="1" x14ac:dyDescent="0.25">
      <c r="B302" s="2124"/>
      <c r="C302" s="4649" t="s">
        <v>653</v>
      </c>
      <c r="D302" s="4731">
        <f>SUM(D303)</f>
        <v>30750000</v>
      </c>
      <c r="E302" s="4718">
        <f t="shared" si="11"/>
        <v>1.874667898009507E-2</v>
      </c>
      <c r="F302" s="924"/>
      <c r="G302" s="755"/>
      <c r="H302" s="755"/>
      <c r="I302" s="755"/>
      <c r="J302" s="924"/>
      <c r="K302" s="1123"/>
      <c r="L302" s="755"/>
      <c r="M302" s="2075"/>
      <c r="N302" s="2144"/>
      <c r="P302" s="2145"/>
      <c r="Q302" s="2145"/>
    </row>
    <row r="303" spans="2:17" s="2123" customFormat="1" ht="32.25" hidden="1" customHeight="1" x14ac:dyDescent="0.25">
      <c r="B303" s="2124"/>
      <c r="C303" s="4719" t="s">
        <v>654</v>
      </c>
      <c r="D303" s="4727">
        <v>30750000</v>
      </c>
      <c r="E303" s="4721">
        <f t="shared" si="11"/>
        <v>1.874667898009507E-2</v>
      </c>
      <c r="F303" s="924"/>
      <c r="G303" s="755"/>
      <c r="H303" s="755"/>
      <c r="I303" s="755"/>
      <c r="J303" s="924"/>
      <c r="K303" s="3079"/>
      <c r="L303" s="1474"/>
      <c r="M303" s="2083"/>
      <c r="N303" s="2144"/>
      <c r="P303" s="2145"/>
      <c r="Q303" s="2145"/>
    </row>
    <row r="304" spans="2:17" s="2123" customFormat="1" ht="12" hidden="1" customHeight="1" x14ac:dyDescent="0.25">
      <c r="B304" s="2124"/>
      <c r="C304" s="4668"/>
      <c r="D304" s="4732"/>
      <c r="E304" s="4721"/>
      <c r="F304" s="755"/>
      <c r="G304" s="755"/>
      <c r="H304" s="2249"/>
      <c r="I304" s="2249"/>
      <c r="J304" s="755"/>
      <c r="K304" s="2250"/>
      <c r="L304" s="1716"/>
      <c r="M304" s="2083"/>
      <c r="N304" s="2144"/>
      <c r="P304" s="2145"/>
      <c r="Q304" s="2145"/>
    </row>
    <row r="305" spans="2:17" s="2123" customFormat="1" ht="22.5" hidden="1" customHeight="1" x14ac:dyDescent="0.25">
      <c r="B305" s="2124"/>
      <c r="C305" s="4733" t="s">
        <v>656</v>
      </c>
      <c r="D305" s="4734">
        <f>SUM(D306:D312)</f>
        <v>1562865000</v>
      </c>
      <c r="E305" s="4718">
        <f t="shared" si="11"/>
        <v>0.95279767298296847</v>
      </c>
      <c r="F305" s="753"/>
      <c r="G305" s="753"/>
      <c r="H305" s="753"/>
      <c r="I305" s="753"/>
      <c r="J305" s="753"/>
      <c r="K305" s="753"/>
      <c r="L305" s="1473"/>
      <c r="M305" s="2096"/>
      <c r="N305" s="2144"/>
      <c r="P305" s="2145"/>
      <c r="Q305" s="2145"/>
    </row>
    <row r="306" spans="2:17" s="2123" customFormat="1" ht="20.25" hidden="1" customHeight="1" x14ac:dyDescent="0.25">
      <c r="B306" s="2124"/>
      <c r="C306" s="4719" t="s">
        <v>657</v>
      </c>
      <c r="D306" s="4727">
        <v>304360000</v>
      </c>
      <c r="E306" s="4721">
        <f t="shared" si="11"/>
        <v>0.18555249477664179</v>
      </c>
      <c r="F306" s="924"/>
      <c r="G306" s="755"/>
      <c r="H306" s="755"/>
      <c r="I306" s="755"/>
      <c r="J306" s="2035"/>
      <c r="K306" s="2035"/>
      <c r="L306" s="1474"/>
      <c r="M306" s="2101"/>
      <c r="N306" s="2144"/>
      <c r="P306" s="2145"/>
      <c r="Q306" s="2145"/>
    </row>
    <row r="307" spans="2:17" s="2123" customFormat="1" ht="19.5" hidden="1" customHeight="1" x14ac:dyDescent="0.25">
      <c r="B307" s="2124"/>
      <c r="C307" s="4719" t="s">
        <v>3483</v>
      </c>
      <c r="D307" s="4727">
        <v>353750000</v>
      </c>
      <c r="E307" s="4721">
        <f t="shared" si="11"/>
        <v>0.21566301428320747</v>
      </c>
      <c r="F307" s="924"/>
      <c r="G307" s="755"/>
      <c r="H307" s="755"/>
      <c r="I307" s="755"/>
      <c r="J307" s="2035"/>
      <c r="K307" s="755"/>
      <c r="L307" s="755"/>
      <c r="M307" s="2075"/>
      <c r="N307" s="2144"/>
      <c r="P307" s="2145"/>
      <c r="Q307" s="2145"/>
    </row>
    <row r="308" spans="2:17" s="2123" customFormat="1" ht="18.75" hidden="1" customHeight="1" x14ac:dyDescent="0.25">
      <c r="B308" s="2124"/>
      <c r="C308" s="4719" t="s">
        <v>3484</v>
      </c>
      <c r="D308" s="4727">
        <v>306250000</v>
      </c>
      <c r="E308" s="4721">
        <f t="shared" si="11"/>
        <v>0.18670472967980861</v>
      </c>
      <c r="F308" s="924"/>
      <c r="G308" s="755"/>
      <c r="H308" s="755"/>
      <c r="I308" s="755"/>
      <c r="J308" s="2035"/>
      <c r="K308" s="755"/>
      <c r="L308" s="755"/>
      <c r="M308" s="2075"/>
      <c r="N308" s="2144"/>
      <c r="P308" s="2145"/>
      <c r="Q308" s="2145"/>
    </row>
    <row r="309" spans="2:17" s="2123" customFormat="1" ht="18" hidden="1" customHeight="1" x14ac:dyDescent="0.25">
      <c r="B309" s="2124"/>
      <c r="C309" s="4719" t="s">
        <v>660</v>
      </c>
      <c r="D309" s="4727">
        <v>176300000</v>
      </c>
      <c r="E309" s="4721">
        <f t="shared" si="11"/>
        <v>0.10748095948587839</v>
      </c>
      <c r="F309" s="924"/>
      <c r="G309" s="755"/>
      <c r="H309" s="755"/>
      <c r="I309" s="755"/>
      <c r="J309" s="2035"/>
      <c r="K309" s="2035"/>
      <c r="L309" s="1474"/>
      <c r="M309" s="2101"/>
      <c r="N309" s="2144"/>
      <c r="P309" s="2145"/>
      <c r="Q309" s="2145"/>
    </row>
    <row r="310" spans="2:17" s="2123" customFormat="1" ht="15" hidden="1" customHeight="1" x14ac:dyDescent="0.25">
      <c r="B310" s="2124"/>
      <c r="C310" s="4719" t="s">
        <v>3485</v>
      </c>
      <c r="D310" s="4727">
        <v>115705000</v>
      </c>
      <c r="E310" s="4721">
        <f t="shared" si="11"/>
        <v>7.0539333053395131E-2</v>
      </c>
      <c r="F310" s="924"/>
      <c r="G310" s="755"/>
      <c r="H310" s="755"/>
      <c r="I310" s="755"/>
      <c r="J310" s="2035"/>
      <c r="K310" s="2035"/>
      <c r="L310" s="1474"/>
      <c r="M310" s="2083"/>
      <c r="N310" s="2144"/>
      <c r="P310" s="2145"/>
      <c r="Q310" s="2145"/>
    </row>
    <row r="311" spans="2:17" s="2123" customFormat="1" ht="15" hidden="1" customHeight="1" x14ac:dyDescent="0.25">
      <c r="B311" s="2124"/>
      <c r="C311" s="4719" t="s">
        <v>3486</v>
      </c>
      <c r="D311" s="4727">
        <v>250000000</v>
      </c>
      <c r="E311" s="4721">
        <f t="shared" si="11"/>
        <v>0.15241202422841518</v>
      </c>
      <c r="F311" s="924"/>
      <c r="G311" s="755"/>
      <c r="H311" s="755"/>
      <c r="I311" s="755"/>
      <c r="J311" s="2035"/>
      <c r="K311" s="3078"/>
      <c r="L311" s="1474"/>
      <c r="M311" s="2101"/>
      <c r="N311" s="2144"/>
      <c r="P311" s="2145"/>
      <c r="Q311" s="2145"/>
    </row>
    <row r="312" spans="2:17" s="2123" customFormat="1" ht="22.5" hidden="1" customHeight="1" x14ac:dyDescent="0.25">
      <c r="B312" s="2124"/>
      <c r="C312" s="4719" t="s">
        <v>3487</v>
      </c>
      <c r="D312" s="4727">
        <v>56500000</v>
      </c>
      <c r="E312" s="4721">
        <f t="shared" si="11"/>
        <v>3.4445117475621838E-2</v>
      </c>
      <c r="F312" s="924"/>
      <c r="G312" s="755"/>
      <c r="H312" s="755"/>
      <c r="I312" s="755"/>
      <c r="J312" s="2035"/>
      <c r="K312" s="2035"/>
      <c r="L312" s="1474"/>
      <c r="M312" s="2101"/>
      <c r="N312" s="2144"/>
      <c r="P312" s="2145"/>
      <c r="Q312" s="2145"/>
    </row>
    <row r="313" spans="2:17" s="2123" customFormat="1" ht="12" hidden="1" customHeight="1" x14ac:dyDescent="0.25">
      <c r="B313" s="2124"/>
      <c r="C313" s="4735"/>
      <c r="D313" s="4732"/>
      <c r="E313" s="4721"/>
      <c r="F313" s="755"/>
      <c r="G313" s="755"/>
      <c r="H313" s="755"/>
      <c r="I313" s="755"/>
      <c r="J313" s="2035"/>
      <c r="K313" s="755"/>
      <c r="L313" s="755"/>
      <c r="M313" s="2075"/>
      <c r="N313" s="2144"/>
      <c r="P313" s="2145"/>
      <c r="Q313" s="2145"/>
    </row>
    <row r="314" spans="2:17" s="2123" customFormat="1" ht="23.25" hidden="1" customHeight="1" x14ac:dyDescent="0.25">
      <c r="B314" s="2124"/>
      <c r="C314" s="4730" t="s">
        <v>664</v>
      </c>
      <c r="D314" s="4736">
        <f>D315</f>
        <v>240200000</v>
      </c>
      <c r="E314" s="4718">
        <f t="shared" si="11"/>
        <v>0.14643747287866132</v>
      </c>
      <c r="F314" s="755"/>
      <c r="G314" s="755"/>
      <c r="H314" s="755"/>
      <c r="I314" s="755"/>
      <c r="J314" s="2035"/>
      <c r="K314" s="2250"/>
      <c r="L314" s="802"/>
      <c r="M314" s="2100"/>
      <c r="N314" s="2144"/>
      <c r="P314" s="2145"/>
      <c r="Q314" s="2145"/>
    </row>
    <row r="315" spans="2:17" s="2123" customFormat="1" ht="30" hidden="1" customHeight="1" x14ac:dyDescent="0.25">
      <c r="B315" s="2124"/>
      <c r="C315" s="4719" t="s">
        <v>3488</v>
      </c>
      <c r="D315" s="4727">
        <v>240200000</v>
      </c>
      <c r="E315" s="4721">
        <f t="shared" si="11"/>
        <v>0.14643747287866132</v>
      </c>
      <c r="F315" s="3086"/>
      <c r="G315" s="753"/>
      <c r="H315" s="753"/>
      <c r="I315" s="753"/>
      <c r="J315" s="3086"/>
      <c r="K315" s="3086"/>
      <c r="L315" s="1473"/>
      <c r="M315" s="2082"/>
      <c r="N315" s="2144"/>
      <c r="P315" s="2145"/>
      <c r="Q315" s="2145"/>
    </row>
    <row r="316" spans="2:17" s="2123" customFormat="1" ht="13.5" hidden="1" customHeight="1" x14ac:dyDescent="0.25">
      <c r="B316" s="2124"/>
      <c r="C316" s="4647"/>
      <c r="D316" s="4732"/>
      <c r="E316" s="4721"/>
      <c r="F316" s="924"/>
      <c r="G316" s="755"/>
      <c r="H316" s="755"/>
      <c r="I316" s="755"/>
      <c r="J316" s="2035"/>
      <c r="K316" s="2035"/>
      <c r="L316" s="1474"/>
      <c r="M316" s="2101"/>
      <c r="N316" s="2144"/>
      <c r="P316" s="2145"/>
      <c r="Q316" s="2145"/>
    </row>
    <row r="317" spans="2:17" s="2123" customFormat="1" ht="18.75" hidden="1" customHeight="1" x14ac:dyDescent="0.25">
      <c r="B317" s="2124"/>
      <c r="C317" s="4730" t="s">
        <v>666</v>
      </c>
      <c r="D317" s="4737">
        <f>SUM(D318:D319)</f>
        <v>111200000</v>
      </c>
      <c r="E317" s="4718">
        <f t="shared" si="11"/>
        <v>6.779286837679907E-2</v>
      </c>
      <c r="F317" s="755"/>
      <c r="G317" s="755"/>
      <c r="H317" s="755"/>
      <c r="I317" s="755"/>
      <c r="J317" s="755"/>
      <c r="K317" s="1716"/>
      <c r="L317" s="2247"/>
      <c r="M317" s="2098"/>
      <c r="N317" s="2144"/>
      <c r="P317" s="2145"/>
      <c r="Q317" s="2145"/>
    </row>
    <row r="318" spans="2:17" s="2123" customFormat="1" ht="23.25" hidden="1" customHeight="1" x14ac:dyDescent="0.25">
      <c r="B318" s="2124"/>
      <c r="C318" s="4719" t="s">
        <v>3489</v>
      </c>
      <c r="D318" s="4720">
        <v>66200000</v>
      </c>
      <c r="E318" s="4721">
        <f t="shared" si="11"/>
        <v>4.0358704015684338E-2</v>
      </c>
      <c r="F318" s="3087"/>
      <c r="G318" s="3086"/>
      <c r="H318" s="753"/>
      <c r="I318" s="753"/>
      <c r="J318" s="3087"/>
      <c r="K318" s="3086"/>
      <c r="L318" s="1473"/>
      <c r="M318" s="2082"/>
      <c r="N318" s="2144"/>
      <c r="P318" s="2145"/>
      <c r="Q318" s="2145"/>
    </row>
    <row r="319" spans="2:17" s="2123" customFormat="1" ht="19.5" hidden="1" customHeight="1" x14ac:dyDescent="0.25">
      <c r="B319" s="2124"/>
      <c r="C319" s="4719" t="s">
        <v>3490</v>
      </c>
      <c r="D319" s="4720">
        <v>45000000</v>
      </c>
      <c r="E319" s="4721">
        <f t="shared" si="11"/>
        <v>2.7434164361114732E-2</v>
      </c>
      <c r="F319" s="3077"/>
      <c r="G319" s="755"/>
      <c r="H319" s="755"/>
      <c r="I319" s="755"/>
      <c r="J319" s="2035"/>
      <c r="K319" s="2035"/>
      <c r="L319" s="1474"/>
      <c r="M319" s="2101"/>
      <c r="N319" s="2144"/>
      <c r="P319" s="2145"/>
      <c r="Q319" s="2145"/>
    </row>
    <row r="320" spans="2:17" s="2123" customFormat="1" ht="14.25" hidden="1" customHeight="1" x14ac:dyDescent="0.25">
      <c r="B320" s="2124"/>
      <c r="C320" s="4738"/>
      <c r="D320" s="4739"/>
      <c r="E320" s="4721"/>
      <c r="F320" s="3077"/>
      <c r="G320" s="755"/>
      <c r="H320" s="755"/>
      <c r="I320" s="755"/>
      <c r="J320" s="2035"/>
      <c r="K320" s="3078"/>
      <c r="L320" s="1474"/>
      <c r="M320" s="2083"/>
      <c r="N320" s="2144"/>
      <c r="P320" s="2145"/>
      <c r="Q320" s="2145"/>
    </row>
    <row r="321" spans="2:17" s="2123" customFormat="1" ht="27.75" hidden="1" customHeight="1" x14ac:dyDescent="0.25">
      <c r="B321" s="2124"/>
      <c r="C321" s="4649" t="s">
        <v>670</v>
      </c>
      <c r="D321" s="4731">
        <f>SUM(D322)</f>
        <v>350200000</v>
      </c>
      <c r="E321" s="4718">
        <f t="shared" si="11"/>
        <v>0.213498763539164</v>
      </c>
      <c r="F321" s="3077"/>
      <c r="G321" s="755"/>
      <c r="H321" s="755"/>
      <c r="I321" s="755"/>
      <c r="J321" s="2035"/>
      <c r="K321" s="755"/>
      <c r="L321" s="755"/>
      <c r="M321" s="2075"/>
      <c r="N321" s="2144"/>
      <c r="P321" s="2145"/>
      <c r="Q321" s="2145"/>
    </row>
    <row r="322" spans="2:17" s="2123" customFormat="1" ht="31.5" hidden="1" customHeight="1" x14ac:dyDescent="0.25">
      <c r="B322" s="2124"/>
      <c r="C322" s="4719" t="s">
        <v>3491</v>
      </c>
      <c r="D322" s="4740">
        <v>350200000</v>
      </c>
      <c r="E322" s="4721">
        <f t="shared" si="11"/>
        <v>0.213498763539164</v>
      </c>
      <c r="F322" s="3088"/>
      <c r="G322" s="755"/>
      <c r="H322" s="2249"/>
      <c r="I322" s="2249"/>
      <c r="J322" s="755"/>
      <c r="K322" s="2250"/>
      <c r="L322" s="1716"/>
      <c r="M322" s="2083"/>
      <c r="N322" s="2144"/>
      <c r="P322" s="2145"/>
      <c r="Q322" s="2145"/>
    </row>
    <row r="323" spans="2:17" s="2123" customFormat="1" ht="15.75" hidden="1" customHeight="1" x14ac:dyDescent="0.25">
      <c r="B323" s="2124"/>
      <c r="C323" s="4719"/>
      <c r="D323" s="4727"/>
      <c r="E323" s="4721"/>
      <c r="F323" s="925"/>
      <c r="G323" s="925"/>
      <c r="H323" s="753"/>
      <c r="I323" s="753"/>
      <c r="J323" s="925"/>
      <c r="K323" s="925"/>
      <c r="L323" s="1473"/>
      <c r="M323" s="2096"/>
      <c r="N323" s="2144"/>
      <c r="P323" s="2145"/>
      <c r="Q323" s="2145"/>
    </row>
    <row r="324" spans="2:17" s="2123" customFormat="1" ht="30.75" hidden="1" customHeight="1" x14ac:dyDescent="0.25">
      <c r="B324" s="2124"/>
      <c r="C324" s="4730" t="s">
        <v>2137</v>
      </c>
      <c r="D324" s="4731">
        <f>D325</f>
        <v>500000000</v>
      </c>
      <c r="E324" s="4718">
        <f t="shared" si="11"/>
        <v>0.30482404845683037</v>
      </c>
      <c r="F324" s="1095"/>
      <c r="G324" s="755"/>
      <c r="H324" s="755"/>
      <c r="I324" s="755"/>
      <c r="J324" s="2035"/>
      <c r="K324" s="755"/>
      <c r="L324" s="755"/>
      <c r="M324" s="2075"/>
      <c r="N324" s="2144"/>
      <c r="P324" s="2145"/>
      <c r="Q324" s="2145"/>
    </row>
    <row r="325" spans="2:17" s="2123" customFormat="1" ht="24" hidden="1" customHeight="1" x14ac:dyDescent="0.25">
      <c r="B325" s="2124"/>
      <c r="C325" s="4741" t="s">
        <v>2138</v>
      </c>
      <c r="D325" s="4742">
        <v>500000000</v>
      </c>
      <c r="E325" s="4721">
        <f t="shared" si="11"/>
        <v>0.30482404845683037</v>
      </c>
      <c r="F325" s="924"/>
      <c r="G325" s="755"/>
      <c r="H325" s="755"/>
      <c r="I325" s="755"/>
      <c r="J325" s="2035"/>
      <c r="K325" s="2035"/>
      <c r="L325" s="1474"/>
      <c r="M325" s="2101"/>
      <c r="N325" s="2144"/>
      <c r="P325" s="2145"/>
      <c r="Q325" s="2145"/>
    </row>
    <row r="326" spans="2:17" s="2123" customFormat="1" ht="15.75" hidden="1" customHeight="1" x14ac:dyDescent="0.25">
      <c r="B326" s="2124"/>
      <c r="C326" s="4741"/>
      <c r="D326" s="4742"/>
      <c r="E326" s="4721"/>
      <c r="F326" s="924"/>
      <c r="G326" s="755"/>
      <c r="H326" s="755"/>
      <c r="I326" s="755"/>
      <c r="J326" s="2035"/>
      <c r="K326" s="2035"/>
      <c r="L326" s="1474"/>
      <c r="M326" s="2101"/>
      <c r="N326" s="2144"/>
      <c r="P326" s="2145"/>
      <c r="Q326" s="2145"/>
    </row>
    <row r="327" spans="2:17" s="2123" customFormat="1" ht="23.25" hidden="1" customHeight="1" x14ac:dyDescent="0.25">
      <c r="B327" s="2124"/>
      <c r="C327" s="4649" t="s">
        <v>371</v>
      </c>
      <c r="D327" s="4731">
        <f>SUM(D328:D335)</f>
        <v>5474824000</v>
      </c>
      <c r="E327" s="4718">
        <f t="shared" si="11"/>
        <v>3.3377160325372355</v>
      </c>
      <c r="F327" s="924"/>
      <c r="G327" s="755"/>
      <c r="H327" s="755"/>
      <c r="I327" s="755"/>
      <c r="J327" s="755"/>
      <c r="K327" s="2250"/>
      <c r="L327" s="2250"/>
      <c r="M327" s="2101"/>
      <c r="N327" s="2144"/>
      <c r="P327" s="2145"/>
      <c r="Q327" s="2145"/>
    </row>
    <row r="328" spans="2:17" s="2123" customFormat="1" ht="18.75" hidden="1" customHeight="1" x14ac:dyDescent="0.25">
      <c r="B328" s="2157"/>
      <c r="C328" s="4719" t="s">
        <v>2139</v>
      </c>
      <c r="D328" s="4727">
        <v>1243104000</v>
      </c>
      <c r="E328" s="4721">
        <f t="shared" si="11"/>
        <v>0.75785598786575936</v>
      </c>
      <c r="F328" s="925"/>
      <c r="G328" s="753"/>
      <c r="H328" s="753"/>
      <c r="I328" s="753"/>
      <c r="J328" s="925"/>
      <c r="K328" s="753"/>
      <c r="L328" s="753"/>
      <c r="M328" s="2072"/>
      <c r="N328" s="2144"/>
      <c r="P328" s="2145"/>
      <c r="Q328" s="2145"/>
    </row>
    <row r="329" spans="2:17" s="2123" customFormat="1" ht="18" hidden="1" customHeight="1" x14ac:dyDescent="0.25">
      <c r="B329" s="2157"/>
      <c r="C329" s="4719" t="s">
        <v>3492</v>
      </c>
      <c r="D329" s="4727">
        <v>585600000</v>
      </c>
      <c r="E329" s="4721">
        <f t="shared" si="11"/>
        <v>0.35700992555263977</v>
      </c>
      <c r="F329" s="924"/>
      <c r="G329" s="755"/>
      <c r="H329" s="755"/>
      <c r="I329" s="755"/>
      <c r="J329" s="924"/>
      <c r="K329" s="755"/>
      <c r="L329" s="755"/>
      <c r="M329" s="2075"/>
      <c r="N329" s="2144"/>
      <c r="P329" s="2145"/>
      <c r="Q329" s="2145"/>
    </row>
    <row r="330" spans="2:17" s="2123" customFormat="1" ht="15.75" hidden="1" customHeight="1" x14ac:dyDescent="0.25">
      <c r="B330" s="2157"/>
      <c r="C330" s="4719" t="s">
        <v>3493</v>
      </c>
      <c r="D330" s="4727">
        <v>515000000</v>
      </c>
      <c r="E330" s="4721">
        <f t="shared" si="11"/>
        <v>0.31396876991053529</v>
      </c>
      <c r="F330" s="924"/>
      <c r="G330" s="755"/>
      <c r="H330" s="2249"/>
      <c r="I330" s="2249"/>
      <c r="J330" s="809"/>
      <c r="K330" s="2250"/>
      <c r="L330" s="2245"/>
      <c r="M330" s="2098"/>
      <c r="N330" s="2144"/>
      <c r="P330" s="2145"/>
      <c r="Q330" s="2145"/>
    </row>
    <row r="331" spans="2:17" s="2123" customFormat="1" ht="20.25" hidden="1" customHeight="1" x14ac:dyDescent="0.25">
      <c r="B331" s="2157"/>
      <c r="C331" s="4719" t="s">
        <v>3494</v>
      </c>
      <c r="D331" s="4727">
        <v>447600000</v>
      </c>
      <c r="E331" s="4721">
        <f t="shared" si="11"/>
        <v>0.27287848817855459</v>
      </c>
      <c r="F331" s="925"/>
      <c r="G331" s="925"/>
      <c r="H331" s="753"/>
      <c r="I331" s="2243"/>
      <c r="J331" s="925"/>
      <c r="K331" s="925"/>
      <c r="L331" s="1473"/>
      <c r="M331" s="2096"/>
      <c r="N331" s="2144"/>
      <c r="P331" s="2145"/>
      <c r="Q331" s="2145"/>
    </row>
    <row r="332" spans="2:17" s="2123" customFormat="1" ht="15.75" hidden="1" customHeight="1" x14ac:dyDescent="0.25">
      <c r="B332" s="2157"/>
      <c r="C332" s="4719" t="s">
        <v>3495</v>
      </c>
      <c r="D332" s="4727">
        <v>222000000</v>
      </c>
      <c r="E332" s="4721">
        <f t="shared" si="11"/>
        <v>0.1353418775148327</v>
      </c>
      <c r="F332" s="924"/>
      <c r="G332" s="755"/>
      <c r="H332" s="755"/>
      <c r="I332" s="755"/>
      <c r="J332" s="2035"/>
      <c r="K332" s="2035"/>
      <c r="L332" s="1474"/>
      <c r="M332" s="2101"/>
      <c r="N332" s="2144"/>
      <c r="P332" s="2145"/>
      <c r="Q332" s="2145"/>
    </row>
    <row r="333" spans="2:17" s="2123" customFormat="1" ht="19.5" hidden="1" customHeight="1" x14ac:dyDescent="0.25">
      <c r="B333" s="2157"/>
      <c r="C333" s="4719" t="s">
        <v>3496</v>
      </c>
      <c r="D333" s="4727">
        <v>178700000</v>
      </c>
      <c r="E333" s="4721">
        <f t="shared" si="11"/>
        <v>0.1089441149184712</v>
      </c>
      <c r="F333" s="924"/>
      <c r="G333" s="755"/>
      <c r="H333" s="755"/>
      <c r="I333" s="755"/>
      <c r="J333" s="2035"/>
      <c r="K333" s="2035"/>
      <c r="L333" s="1474"/>
      <c r="M333" s="2101"/>
      <c r="N333" s="2144"/>
      <c r="P333" s="2145"/>
      <c r="Q333" s="2145"/>
    </row>
    <row r="334" spans="2:17" s="2123" customFormat="1" ht="21" hidden="1" customHeight="1" x14ac:dyDescent="0.25">
      <c r="B334" s="2157"/>
      <c r="C334" s="4719" t="s">
        <v>3497</v>
      </c>
      <c r="D334" s="4727">
        <v>2123820000</v>
      </c>
      <c r="E334" s="4721">
        <f t="shared" si="11"/>
        <v>1.294782821187171</v>
      </c>
      <c r="F334" s="924"/>
      <c r="G334" s="755"/>
      <c r="H334" s="755"/>
      <c r="I334" s="755"/>
      <c r="J334" s="2035"/>
      <c r="K334" s="2035"/>
      <c r="L334" s="1474"/>
      <c r="M334" s="2101"/>
      <c r="N334" s="2144"/>
      <c r="P334" s="2145"/>
      <c r="Q334" s="2145"/>
    </row>
    <row r="335" spans="2:17" s="2123" customFormat="1" ht="18" hidden="1" customHeight="1" x14ac:dyDescent="0.25">
      <c r="B335" s="2158"/>
      <c r="C335" s="4719" t="s">
        <v>3498</v>
      </c>
      <c r="D335" s="4727">
        <v>159000000</v>
      </c>
      <c r="E335" s="4721">
        <f t="shared" si="11"/>
        <v>9.693404740927207E-2</v>
      </c>
      <c r="F335" s="924"/>
      <c r="G335" s="755"/>
      <c r="H335" s="755"/>
      <c r="I335" s="2249"/>
      <c r="J335" s="2035"/>
      <c r="K335" s="2035"/>
      <c r="L335" s="1474"/>
      <c r="M335" s="2101"/>
      <c r="N335" s="2144"/>
      <c r="P335" s="2145"/>
      <c r="Q335" s="2145"/>
    </row>
    <row r="336" spans="2:17" s="2029" customFormat="1" ht="12.75" hidden="1" customHeight="1" x14ac:dyDescent="0.25">
      <c r="B336" s="2027"/>
      <c r="C336" s="4743"/>
      <c r="D336" s="4744"/>
      <c r="E336" s="4745"/>
      <c r="F336" s="3090"/>
      <c r="G336" s="804"/>
      <c r="H336" s="804"/>
      <c r="I336" s="804"/>
      <c r="J336" s="804"/>
      <c r="K336" s="804"/>
      <c r="L336" s="1649"/>
      <c r="M336" s="369"/>
      <c r="N336" s="2028"/>
      <c r="P336" s="2142"/>
      <c r="Q336" s="2142"/>
    </row>
    <row r="337" spans="1:17" s="2123" customFormat="1" ht="15.75" hidden="1" customHeight="1" x14ac:dyDescent="0.25">
      <c r="B337" s="2121"/>
      <c r="C337" s="4684" t="s">
        <v>346</v>
      </c>
      <c r="D337" s="4714">
        <f>SUM(D338+D341)</f>
        <v>2581259100</v>
      </c>
      <c r="E337" s="4715">
        <f>D337/164029053000*100</f>
        <v>1.5736596979560689</v>
      </c>
      <c r="F337" s="765"/>
      <c r="G337" s="765"/>
      <c r="H337" s="765"/>
      <c r="I337" s="2239"/>
      <c r="J337" s="765"/>
      <c r="K337" s="765"/>
      <c r="L337" s="1726"/>
      <c r="M337" s="2092"/>
      <c r="N337" s="2144"/>
      <c r="P337" s="2145"/>
      <c r="Q337" s="2145"/>
    </row>
    <row r="338" spans="1:17" s="2123" customFormat="1" ht="21.75" hidden="1" customHeight="1" x14ac:dyDescent="0.25">
      <c r="B338" s="2124"/>
      <c r="C338" s="4657" t="s">
        <v>347</v>
      </c>
      <c r="D338" s="4746">
        <f>SUM(D339)</f>
        <v>552655000</v>
      </c>
      <c r="E338" s="4718">
        <f t="shared" ref="E338:E342" si="12">D338/159498383000*100</f>
        <v>0.34649567575866902</v>
      </c>
      <c r="F338" s="793"/>
      <c r="G338" s="793"/>
      <c r="H338" s="793"/>
      <c r="I338" s="793"/>
      <c r="J338" s="793"/>
      <c r="K338" s="793"/>
      <c r="L338" s="2176"/>
      <c r="M338" s="2156"/>
      <c r="N338" s="2144"/>
      <c r="P338" s="2145"/>
      <c r="Q338" s="2145"/>
    </row>
    <row r="339" spans="1:17" s="2123" customFormat="1" ht="19.5" hidden="1" customHeight="1" x14ac:dyDescent="0.25">
      <c r="B339" s="2124"/>
      <c r="C339" s="4647" t="s">
        <v>3499</v>
      </c>
      <c r="D339" s="4720">
        <v>552655000</v>
      </c>
      <c r="E339" s="4721">
        <f t="shared" si="12"/>
        <v>0.34649567575866902</v>
      </c>
      <c r="F339" s="924"/>
      <c r="G339" s="802"/>
      <c r="H339" s="802"/>
      <c r="I339" s="802"/>
      <c r="J339" s="3089"/>
      <c r="K339" s="3089"/>
      <c r="L339" s="1474"/>
      <c r="M339" s="2083"/>
      <c r="N339" s="2144"/>
      <c r="P339" s="2145"/>
      <c r="Q339" s="2145"/>
    </row>
    <row r="340" spans="1:17" s="2123" customFormat="1" ht="12.75" hidden="1" customHeight="1" x14ac:dyDescent="0.25">
      <c r="B340" s="2124"/>
      <c r="C340" s="4668"/>
      <c r="D340" s="4747"/>
      <c r="E340" s="4721"/>
      <c r="F340" s="924"/>
      <c r="G340" s="802"/>
      <c r="H340" s="802"/>
      <c r="I340" s="802"/>
      <c r="J340" s="3089"/>
      <c r="K340" s="755"/>
      <c r="L340" s="755"/>
      <c r="M340" s="2075"/>
      <c r="N340" s="2144"/>
      <c r="P340" s="2145"/>
      <c r="Q340" s="2145"/>
    </row>
    <row r="341" spans="1:17" s="2123" customFormat="1" ht="27" hidden="1" customHeight="1" x14ac:dyDescent="0.25">
      <c r="B341" s="2124"/>
      <c r="C341" s="4723" t="s">
        <v>675</v>
      </c>
      <c r="D341" s="4724">
        <f>SUM(D342:D342)</f>
        <v>2028604100</v>
      </c>
      <c r="E341" s="4718">
        <f t="shared" si="12"/>
        <v>1.271864994393078</v>
      </c>
      <c r="F341" s="924"/>
      <c r="G341" s="802"/>
      <c r="H341" s="802"/>
      <c r="I341" s="802"/>
      <c r="J341" s="755"/>
      <c r="K341" s="755"/>
      <c r="L341" s="755"/>
      <c r="M341" s="2075"/>
      <c r="N341" s="2144"/>
      <c r="P341" s="2145"/>
      <c r="Q341" s="2145"/>
    </row>
    <row r="342" spans="1:17" s="2123" customFormat="1" ht="18.75" hidden="1" customHeight="1" x14ac:dyDescent="0.25">
      <c r="B342" s="2124"/>
      <c r="C342" s="4647" t="s">
        <v>676</v>
      </c>
      <c r="D342" s="4727">
        <v>2028604100</v>
      </c>
      <c r="E342" s="4721">
        <f t="shared" si="12"/>
        <v>1.271864994393078</v>
      </c>
      <c r="F342" s="924"/>
      <c r="G342" s="802"/>
      <c r="H342" s="802"/>
      <c r="I342" s="802"/>
      <c r="J342" s="3089"/>
      <c r="K342" s="3089"/>
      <c r="L342" s="1474"/>
      <c r="M342" s="2101"/>
      <c r="N342" s="2144"/>
      <c r="P342" s="2145"/>
      <c r="Q342" s="2145"/>
    </row>
    <row r="343" spans="1:17" s="2029" customFormat="1" ht="12" hidden="1" customHeight="1" x14ac:dyDescent="0.25">
      <c r="B343" s="2040"/>
      <c r="C343" s="4753"/>
      <c r="D343" s="4971"/>
      <c r="E343" s="4707"/>
      <c r="F343" s="660"/>
      <c r="G343" s="882"/>
      <c r="H343" s="2248"/>
      <c r="I343" s="934"/>
      <c r="J343" s="2246"/>
      <c r="K343" s="2249"/>
      <c r="L343" s="783"/>
      <c r="M343" s="561"/>
      <c r="N343" s="2028"/>
      <c r="P343" s="2142"/>
      <c r="Q343" s="2142"/>
    </row>
    <row r="344" spans="1:17" s="2058" customFormat="1" ht="18.75" customHeight="1" x14ac:dyDescent="0.25">
      <c r="B344" s="616"/>
      <c r="C344" s="4655" t="s">
        <v>258</v>
      </c>
      <c r="D344" s="4954">
        <f>SUM(+D346+D417+D434)</f>
        <v>30001590000</v>
      </c>
      <c r="E344" s="4889">
        <f>D344/D45*100</f>
        <v>8.0168777201568986</v>
      </c>
      <c r="F344" s="3403"/>
      <c r="G344" s="2699"/>
      <c r="H344" s="2506"/>
      <c r="I344" s="2506"/>
      <c r="J344" s="2699"/>
      <c r="K344" s="2699"/>
      <c r="L344" s="2506"/>
      <c r="M344" s="617"/>
      <c r="N344" s="2059"/>
      <c r="P344" s="2151"/>
      <c r="Q344" s="2151"/>
    </row>
    <row r="345" spans="1:17" s="2029" customFormat="1" ht="10.5" hidden="1" customHeight="1" x14ac:dyDescent="0.25">
      <c r="B345" s="2036"/>
      <c r="C345" s="4753"/>
      <c r="D345" s="4971"/>
      <c r="E345" s="4897"/>
      <c r="F345" s="3422"/>
      <c r="G345" s="777"/>
      <c r="H345" s="784"/>
      <c r="I345" s="2248"/>
      <c r="J345" s="2246"/>
      <c r="K345" s="2246"/>
      <c r="L345" s="3093"/>
      <c r="M345" s="2034"/>
      <c r="N345" s="2028"/>
      <c r="P345" s="2142"/>
      <c r="Q345" s="2142"/>
    </row>
    <row r="346" spans="1:17" s="2029" customFormat="1" ht="21.75" hidden="1" customHeight="1" x14ac:dyDescent="0.25">
      <c r="B346" s="2030"/>
      <c r="C346" s="4754" t="s">
        <v>248</v>
      </c>
      <c r="D346" s="4955">
        <f>SUM(D347+D357+D363+D369+D399+D405)</f>
        <v>17000200000</v>
      </c>
      <c r="E346" s="4845">
        <f>D346/153448669000*100</f>
        <v>11.078753638456128</v>
      </c>
      <c r="F346" s="3404"/>
      <c r="G346" s="743"/>
      <c r="H346" s="2659"/>
      <c r="I346" s="2239"/>
      <c r="J346" s="743"/>
      <c r="K346" s="743"/>
      <c r="L346" s="2659"/>
      <c r="M346" s="576"/>
      <c r="N346" s="2028"/>
      <c r="P346" s="2142"/>
      <c r="Q346" s="2142"/>
    </row>
    <row r="347" spans="1:17" s="2029" customFormat="1" ht="17.25" hidden="1" customHeight="1" x14ac:dyDescent="0.25">
      <c r="A347" s="2041"/>
      <c r="B347" s="383"/>
      <c r="C347" s="4918" t="s">
        <v>3082</v>
      </c>
      <c r="D347" s="4990">
        <f>SUM(D348:D355)</f>
        <v>3783200000</v>
      </c>
      <c r="E347" s="4898">
        <f>D347/153448669000*100</f>
        <v>2.4654498632373278</v>
      </c>
      <c r="F347" s="2044"/>
      <c r="G347" s="2043"/>
      <c r="H347" s="766"/>
      <c r="I347" s="3095"/>
      <c r="J347" s="2043"/>
      <c r="K347" s="2044"/>
      <c r="L347" s="2286"/>
      <c r="M347" s="644"/>
      <c r="N347" s="2045"/>
      <c r="P347" s="2142"/>
      <c r="Q347" s="2142"/>
    </row>
    <row r="348" spans="1:17" s="2029" customFormat="1" ht="18.75" hidden="1" customHeight="1" x14ac:dyDescent="0.25">
      <c r="A348" s="2041"/>
      <c r="B348" s="383"/>
      <c r="C348" s="4919" t="s">
        <v>3083</v>
      </c>
      <c r="D348" s="4757">
        <v>100000000</v>
      </c>
      <c r="E348" s="4651">
        <f>D348/153448669000*100</f>
        <v>6.5168372363008237E-2</v>
      </c>
      <c r="F348" s="2047"/>
      <c r="G348" s="780"/>
      <c r="H348" s="782"/>
      <c r="I348" s="2249"/>
      <c r="J348" s="2047"/>
      <c r="K348" s="2250"/>
      <c r="L348" s="782"/>
      <c r="M348" s="361"/>
      <c r="N348" s="2045"/>
      <c r="P348" s="2142"/>
      <c r="Q348" s="2142"/>
    </row>
    <row r="349" spans="1:17" s="2029" customFormat="1" ht="33" hidden="1" customHeight="1" x14ac:dyDescent="0.25">
      <c r="A349" s="2041"/>
      <c r="B349" s="383"/>
      <c r="C349" s="4919" t="s">
        <v>3084</v>
      </c>
      <c r="D349" s="4757">
        <v>100000000</v>
      </c>
      <c r="E349" s="4651">
        <f t="shared" ref="E349:E412" si="13">D349/153448669000*100</f>
        <v>6.5168372363008237E-2</v>
      </c>
      <c r="F349" s="2047"/>
      <c r="G349" s="780"/>
      <c r="H349" s="782"/>
      <c r="I349" s="2249"/>
      <c r="J349" s="2047"/>
      <c r="K349" s="2250"/>
      <c r="L349" s="782"/>
      <c r="M349" s="361"/>
      <c r="N349" s="2045"/>
      <c r="P349" s="2142"/>
      <c r="Q349" s="2142"/>
    </row>
    <row r="350" spans="1:17" s="2029" customFormat="1" ht="32.25" hidden="1" customHeight="1" x14ac:dyDescent="0.25">
      <c r="A350" s="2041"/>
      <c r="B350" s="383"/>
      <c r="C350" s="4919" t="s">
        <v>3085</v>
      </c>
      <c r="D350" s="4757">
        <v>100000000</v>
      </c>
      <c r="E350" s="4651">
        <f t="shared" si="13"/>
        <v>6.5168372363008237E-2</v>
      </c>
      <c r="F350" s="2047"/>
      <c r="G350" s="780"/>
      <c r="H350" s="782"/>
      <c r="I350" s="2249"/>
      <c r="J350" s="2047"/>
      <c r="K350" s="2250"/>
      <c r="L350" s="782"/>
      <c r="M350" s="361"/>
      <c r="N350" s="2045"/>
      <c r="P350" s="2142"/>
      <c r="Q350" s="2142"/>
    </row>
    <row r="351" spans="1:17" s="2029" customFormat="1" ht="18" hidden="1" customHeight="1" x14ac:dyDescent="0.25">
      <c r="A351" s="2041"/>
      <c r="B351" s="383"/>
      <c r="C351" s="4919" t="s">
        <v>3086</v>
      </c>
      <c r="D351" s="4757">
        <v>2083200000</v>
      </c>
      <c r="E351" s="4651">
        <f t="shared" si="13"/>
        <v>1.3575875330661877</v>
      </c>
      <c r="F351" s="2047"/>
      <c r="G351" s="780"/>
      <c r="H351" s="782"/>
      <c r="I351" s="2249"/>
      <c r="J351" s="2047"/>
      <c r="K351" s="2250"/>
      <c r="L351" s="782"/>
      <c r="M351" s="361"/>
      <c r="N351" s="2045"/>
      <c r="P351" s="2142"/>
      <c r="Q351" s="2142"/>
    </row>
    <row r="352" spans="1:17" s="2029" customFormat="1" ht="16.5" hidden="1" customHeight="1" x14ac:dyDescent="0.25">
      <c r="A352" s="2041"/>
      <c r="B352" s="383"/>
      <c r="C352" s="4919" t="s">
        <v>3087</v>
      </c>
      <c r="D352" s="4757">
        <v>200000000</v>
      </c>
      <c r="E352" s="4651">
        <f t="shared" si="13"/>
        <v>0.13033674472601647</v>
      </c>
      <c r="F352" s="760"/>
      <c r="G352" s="809"/>
      <c r="H352" s="2267"/>
      <c r="I352" s="2246"/>
      <c r="J352" s="2247"/>
      <c r="K352" s="2247"/>
      <c r="L352" s="2250"/>
      <c r="M352" s="560"/>
      <c r="N352" s="2045"/>
      <c r="P352" s="2142"/>
      <c r="Q352" s="2142"/>
    </row>
    <row r="353" spans="1:17" s="2029" customFormat="1" ht="15.75" hidden="1" customHeight="1" x14ac:dyDescent="0.25">
      <c r="A353" s="2041"/>
      <c r="B353" s="383"/>
      <c r="C353" s="4919" t="s">
        <v>3088</v>
      </c>
      <c r="D353" s="4757">
        <v>800000000</v>
      </c>
      <c r="E353" s="4651">
        <f t="shared" si="13"/>
        <v>0.52134697890406589</v>
      </c>
      <c r="F353" s="2049"/>
      <c r="G353" s="766"/>
      <c r="H353" s="766"/>
      <c r="I353" s="766"/>
      <c r="J353" s="2049"/>
      <c r="K353" s="2049"/>
      <c r="L353" s="1012"/>
      <c r="M353" s="384"/>
      <c r="N353" s="2045"/>
      <c r="P353" s="2142"/>
      <c r="Q353" s="2142"/>
    </row>
    <row r="354" spans="1:17" s="2029" customFormat="1" ht="15.75" hidden="1" customHeight="1" x14ac:dyDescent="0.25">
      <c r="A354" s="2041"/>
      <c r="B354" s="383"/>
      <c r="C354" s="4919" t="s">
        <v>3089</v>
      </c>
      <c r="D354" s="4757">
        <v>100000000</v>
      </c>
      <c r="E354" s="4651">
        <f t="shared" si="13"/>
        <v>6.5168372363008237E-2</v>
      </c>
      <c r="F354" s="2047"/>
      <c r="G354" s="782"/>
      <c r="H354" s="782"/>
      <c r="I354" s="782"/>
      <c r="J354" s="2047"/>
      <c r="K354" s="1668"/>
      <c r="L354" s="782"/>
      <c r="M354" s="370"/>
      <c r="N354" s="2045"/>
      <c r="P354" s="2142"/>
      <c r="Q354" s="2142"/>
    </row>
    <row r="355" spans="1:17" s="2029" customFormat="1" ht="20.25" hidden="1" customHeight="1" x14ac:dyDescent="0.25">
      <c r="A355" s="2041"/>
      <c r="B355" s="383"/>
      <c r="C355" s="4919" t="s">
        <v>3090</v>
      </c>
      <c r="D355" s="4757">
        <v>300000000</v>
      </c>
      <c r="E355" s="4651">
        <f t="shared" si="13"/>
        <v>0.19550511708902474</v>
      </c>
      <c r="F355" s="760"/>
      <c r="G355" s="809"/>
      <c r="H355" s="1451"/>
      <c r="I355" s="809"/>
      <c r="J355" s="760"/>
      <c r="K355" s="2247"/>
      <c r="L355" s="2250"/>
      <c r="M355" s="560"/>
      <c r="N355" s="2045"/>
      <c r="P355" s="2142"/>
      <c r="Q355" s="2142"/>
    </row>
    <row r="356" spans="1:17" s="2029" customFormat="1" ht="16.5" hidden="1" customHeight="1" x14ac:dyDescent="0.25">
      <c r="A356" s="2041"/>
      <c r="B356" s="383"/>
      <c r="C356" s="4919"/>
      <c r="D356" s="4757"/>
      <c r="E356" s="4651"/>
      <c r="F356" s="2049"/>
      <c r="G356" s="766"/>
      <c r="H356" s="766"/>
      <c r="I356" s="766"/>
      <c r="J356" s="2049"/>
      <c r="K356" s="782"/>
      <c r="L356" s="782"/>
      <c r="M356" s="782"/>
      <c r="N356" s="2045"/>
      <c r="P356" s="2142"/>
      <c r="Q356" s="2142"/>
    </row>
    <row r="357" spans="1:17" s="2029" customFormat="1" ht="18" hidden="1" customHeight="1" x14ac:dyDescent="0.25">
      <c r="A357" s="2041"/>
      <c r="B357" s="383"/>
      <c r="C357" s="4920" t="s">
        <v>3091</v>
      </c>
      <c r="D357" s="4756">
        <f>SUM(D358:D361)</f>
        <v>600000000</v>
      </c>
      <c r="E357" s="4672">
        <f t="shared" si="13"/>
        <v>0.39101023417804948</v>
      </c>
      <c r="F357" s="2047"/>
      <c r="G357" s="782"/>
      <c r="H357" s="782"/>
      <c r="I357" s="782"/>
      <c r="J357" s="2047"/>
      <c r="K357" s="782"/>
      <c r="L357" s="782"/>
      <c r="M357" s="782"/>
      <c r="N357" s="2045"/>
      <c r="P357" s="2142"/>
      <c r="Q357" s="2142"/>
    </row>
    <row r="358" spans="1:17" s="2029" customFormat="1" ht="18" hidden="1" customHeight="1" x14ac:dyDescent="0.25">
      <c r="A358" s="2041"/>
      <c r="B358" s="383"/>
      <c r="C358" s="4919" t="s">
        <v>3092</v>
      </c>
      <c r="D358" s="4757">
        <v>50000000</v>
      </c>
      <c r="E358" s="4651">
        <f t="shared" si="13"/>
        <v>3.2584186181504118E-2</v>
      </c>
      <c r="F358" s="760"/>
      <c r="G358" s="809"/>
      <c r="H358" s="1451"/>
      <c r="I358" s="809"/>
      <c r="J358" s="2247"/>
      <c r="K358" s="2247"/>
      <c r="L358" s="2250"/>
      <c r="M358" s="560"/>
      <c r="N358" s="2045"/>
      <c r="P358" s="2142"/>
      <c r="Q358" s="2142"/>
    </row>
    <row r="359" spans="1:17" s="2029" customFormat="1" ht="18" hidden="1" customHeight="1" x14ac:dyDescent="0.25">
      <c r="A359" s="2041"/>
      <c r="B359" s="383"/>
      <c r="C359" s="4919" t="s">
        <v>3093</v>
      </c>
      <c r="D359" s="4757">
        <v>200000000</v>
      </c>
      <c r="E359" s="4651">
        <f t="shared" si="13"/>
        <v>0.13033674472601647</v>
      </c>
      <c r="F359" s="2049"/>
      <c r="G359" s="766"/>
      <c r="H359" s="766"/>
      <c r="I359" s="766"/>
      <c r="J359" s="2049"/>
      <c r="K359" s="2049"/>
      <c r="L359" s="1012"/>
      <c r="M359" s="384"/>
      <c r="N359" s="2045"/>
      <c r="P359" s="2142"/>
      <c r="Q359" s="2142"/>
    </row>
    <row r="360" spans="1:17" s="2029" customFormat="1" ht="18" hidden="1" customHeight="1" x14ac:dyDescent="0.25">
      <c r="A360" s="2041"/>
      <c r="B360" s="383"/>
      <c r="C360" s="4919" t="s">
        <v>3094</v>
      </c>
      <c r="D360" s="4757">
        <v>150000000</v>
      </c>
      <c r="E360" s="4651">
        <f t="shared" si="13"/>
        <v>9.7752558544512369E-2</v>
      </c>
      <c r="F360" s="2047"/>
      <c r="G360" s="782"/>
      <c r="H360" s="782"/>
      <c r="I360" s="782"/>
      <c r="J360" s="2047"/>
      <c r="K360" s="2047"/>
      <c r="L360" s="782"/>
      <c r="M360" s="782"/>
      <c r="N360" s="2045"/>
      <c r="P360" s="2142"/>
      <c r="Q360" s="2142"/>
    </row>
    <row r="361" spans="1:17" s="2029" customFormat="1" ht="19.5" hidden="1" customHeight="1" x14ac:dyDescent="0.25">
      <c r="A361" s="2041"/>
      <c r="B361" s="383"/>
      <c r="C361" s="4826" t="s">
        <v>3095</v>
      </c>
      <c r="D361" s="4991">
        <v>200000000</v>
      </c>
      <c r="E361" s="4651">
        <f t="shared" si="13"/>
        <v>0.13033674472601647</v>
      </c>
      <c r="F361" s="2047"/>
      <c r="G361" s="782"/>
      <c r="H361" s="782"/>
      <c r="I361" s="782"/>
      <c r="J361" s="2047"/>
      <c r="K361" s="2047"/>
      <c r="L361" s="782"/>
      <c r="M361" s="782"/>
      <c r="N361" s="2045"/>
      <c r="P361" s="2142"/>
      <c r="Q361" s="2142"/>
    </row>
    <row r="362" spans="1:17" s="2029" customFormat="1" ht="14.25" hidden="1" customHeight="1" x14ac:dyDescent="0.25">
      <c r="A362" s="2041"/>
      <c r="B362" s="383"/>
      <c r="C362" s="4649"/>
      <c r="D362" s="4986"/>
      <c r="E362" s="4651"/>
      <c r="F362" s="2047"/>
      <c r="G362" s="782"/>
      <c r="H362" s="782"/>
      <c r="I362" s="782"/>
      <c r="J362" s="2047"/>
      <c r="K362" s="2047"/>
      <c r="L362" s="782"/>
      <c r="M362" s="782"/>
      <c r="N362" s="2045"/>
      <c r="P362" s="2142"/>
      <c r="Q362" s="2142"/>
    </row>
    <row r="363" spans="1:17" s="2029" customFormat="1" ht="30" hidden="1" customHeight="1" x14ac:dyDescent="0.25">
      <c r="A363" s="2041"/>
      <c r="B363" s="383"/>
      <c r="C363" s="4920" t="s">
        <v>3096</v>
      </c>
      <c r="D363" s="4756">
        <f>SUM(D364:D367)</f>
        <v>162000000</v>
      </c>
      <c r="E363" s="4672">
        <f t="shared" si="13"/>
        <v>0.10557276322807337</v>
      </c>
      <c r="F363" s="2047"/>
      <c r="G363" s="782"/>
      <c r="H363" s="782"/>
      <c r="I363" s="782"/>
      <c r="J363" s="2047"/>
      <c r="K363" s="782"/>
      <c r="L363" s="782"/>
      <c r="M363" s="782"/>
      <c r="N363" s="2045"/>
      <c r="P363" s="2142"/>
      <c r="Q363" s="2142"/>
    </row>
    <row r="364" spans="1:17" s="2029" customFormat="1" ht="21.75" hidden="1" customHeight="1" x14ac:dyDescent="0.25">
      <c r="A364" s="2041"/>
      <c r="B364" s="383"/>
      <c r="C364" s="4919" t="s">
        <v>3097</v>
      </c>
      <c r="D364" s="4757">
        <v>10000000</v>
      </c>
      <c r="E364" s="4651">
        <f t="shared" si="13"/>
        <v>6.5168372363008245E-3</v>
      </c>
      <c r="F364" s="1005"/>
      <c r="G364" s="782"/>
      <c r="H364" s="782"/>
      <c r="I364" s="782"/>
      <c r="J364" s="1005"/>
      <c r="K364" s="782"/>
      <c r="L364" s="782"/>
      <c r="M364" s="782"/>
      <c r="N364" s="2045"/>
      <c r="P364" s="2142"/>
      <c r="Q364" s="2142"/>
    </row>
    <row r="365" spans="1:17" s="2029" customFormat="1" ht="21" hidden="1" customHeight="1" x14ac:dyDescent="0.25">
      <c r="A365" s="2041"/>
      <c r="B365" s="383"/>
      <c r="C365" s="4919" t="s">
        <v>3098</v>
      </c>
      <c r="D365" s="4757">
        <v>100000000</v>
      </c>
      <c r="E365" s="4651">
        <f t="shared" si="13"/>
        <v>6.5168372363008237E-2</v>
      </c>
      <c r="F365" s="808"/>
      <c r="G365" s="809"/>
      <c r="H365" s="1451"/>
      <c r="I365" s="809"/>
      <c r="J365" s="2247"/>
      <c r="K365" s="2247"/>
      <c r="L365" s="2247"/>
      <c r="M365" s="560"/>
      <c r="N365" s="2045"/>
      <c r="P365" s="2142"/>
      <c r="Q365" s="2142"/>
    </row>
    <row r="366" spans="1:17" s="2029" customFormat="1" ht="17.25" hidden="1" customHeight="1" x14ac:dyDescent="0.25">
      <c r="A366" s="2041"/>
      <c r="B366" s="383"/>
      <c r="C366" s="4919" t="s">
        <v>3099</v>
      </c>
      <c r="D366" s="4757">
        <v>12000000</v>
      </c>
      <c r="E366" s="4651">
        <f t="shared" si="13"/>
        <v>7.8202046835609881E-3</v>
      </c>
      <c r="F366" s="2049"/>
      <c r="G366" s="766"/>
      <c r="H366" s="766"/>
      <c r="I366" s="766"/>
      <c r="J366" s="2049"/>
      <c r="K366" s="2049"/>
      <c r="L366" s="1012"/>
      <c r="M366" s="384"/>
      <c r="N366" s="2045"/>
      <c r="P366" s="2142"/>
      <c r="Q366" s="2142"/>
    </row>
    <row r="367" spans="1:17" s="2029" customFormat="1" ht="17.25" hidden="1" customHeight="1" x14ac:dyDescent="0.25">
      <c r="A367" s="2041"/>
      <c r="B367" s="383"/>
      <c r="C367" s="4919" t="s">
        <v>3100</v>
      </c>
      <c r="D367" s="4757">
        <v>40000000</v>
      </c>
      <c r="E367" s="4651">
        <f t="shared" si="13"/>
        <v>2.6067348945203298E-2</v>
      </c>
      <c r="F367" s="2047"/>
      <c r="G367" s="782"/>
      <c r="H367" s="782"/>
      <c r="I367" s="782"/>
      <c r="J367" s="2047"/>
      <c r="K367" s="782"/>
      <c r="L367" s="782"/>
      <c r="M367" s="782"/>
      <c r="N367" s="2045"/>
      <c r="P367" s="2142"/>
      <c r="Q367" s="2142"/>
    </row>
    <row r="368" spans="1:17" s="2029" customFormat="1" ht="14.25" hidden="1" customHeight="1" x14ac:dyDescent="0.25">
      <c r="A368" s="2041"/>
      <c r="B368" s="383"/>
      <c r="C368" s="4645"/>
      <c r="D368" s="4992"/>
      <c r="E368" s="4651"/>
      <c r="F368" s="2047"/>
      <c r="G368" s="782"/>
      <c r="H368" s="782"/>
      <c r="I368" s="782"/>
      <c r="J368" s="2047"/>
      <c r="K368" s="782"/>
      <c r="L368" s="782"/>
      <c r="M368" s="782"/>
      <c r="N368" s="2045"/>
      <c r="P368" s="2142"/>
      <c r="Q368" s="2142"/>
    </row>
    <row r="369" spans="1:17" s="2029" customFormat="1" ht="34.5" hidden="1" customHeight="1" x14ac:dyDescent="0.25">
      <c r="A369" s="2041"/>
      <c r="B369" s="383"/>
      <c r="C369" s="4920" t="s">
        <v>3101</v>
      </c>
      <c r="D369" s="4756">
        <f>SUM(D370:D397)</f>
        <v>10850000000</v>
      </c>
      <c r="E369" s="4672">
        <f t="shared" si="13"/>
        <v>7.0707684013863945</v>
      </c>
      <c r="F369" s="2047"/>
      <c r="G369" s="782"/>
      <c r="H369" s="782"/>
      <c r="I369" s="782"/>
      <c r="J369" s="2047"/>
      <c r="K369" s="2250"/>
      <c r="L369" s="782"/>
      <c r="M369" s="361"/>
      <c r="N369" s="2045"/>
      <c r="P369" s="2142"/>
      <c r="Q369" s="2142"/>
    </row>
    <row r="370" spans="1:17" s="2029" customFormat="1" ht="18.75" hidden="1" customHeight="1" x14ac:dyDescent="0.25">
      <c r="A370" s="2041"/>
      <c r="B370" s="383"/>
      <c r="C370" s="4919" t="s">
        <v>3102</v>
      </c>
      <c r="D370" s="4757">
        <v>600000000</v>
      </c>
      <c r="E370" s="4651">
        <f t="shared" si="13"/>
        <v>0.39101023417804948</v>
      </c>
      <c r="F370" s="808"/>
      <c r="G370" s="809"/>
      <c r="H370" s="1451"/>
      <c r="I370" s="809"/>
      <c r="J370" s="2247"/>
      <c r="K370" s="2247"/>
      <c r="L370" s="2247"/>
      <c r="M370" s="560"/>
      <c r="N370" s="2045"/>
      <c r="P370" s="2142"/>
      <c r="Q370" s="2142"/>
    </row>
    <row r="371" spans="1:17" s="2029" customFormat="1" ht="18" hidden="1" customHeight="1" x14ac:dyDescent="0.25">
      <c r="A371" s="2041"/>
      <c r="B371" s="383"/>
      <c r="C371" s="4919" t="s">
        <v>3103</v>
      </c>
      <c r="D371" s="4757">
        <v>300000000</v>
      </c>
      <c r="E371" s="4651">
        <f t="shared" si="13"/>
        <v>0.19550511708902474</v>
      </c>
      <c r="F371" s="2049"/>
      <c r="G371" s="766"/>
      <c r="H371" s="766"/>
      <c r="I371" s="766"/>
      <c r="J371" s="2049"/>
      <c r="K371" s="2049"/>
      <c r="L371" s="1012"/>
      <c r="M371" s="384"/>
      <c r="N371" s="2045"/>
      <c r="P371" s="2142"/>
      <c r="Q371" s="2142"/>
    </row>
    <row r="372" spans="1:17" s="2029" customFormat="1" ht="21.75" hidden="1" customHeight="1" x14ac:dyDescent="0.25">
      <c r="A372" s="2041"/>
      <c r="B372" s="383"/>
      <c r="C372" s="4919" t="s">
        <v>3104</v>
      </c>
      <c r="D372" s="4757">
        <v>300000000</v>
      </c>
      <c r="E372" s="4651">
        <f t="shared" si="13"/>
        <v>0.19550511708902474</v>
      </c>
      <c r="F372" s="2047"/>
      <c r="G372" s="782"/>
      <c r="H372" s="782"/>
      <c r="I372" s="782"/>
      <c r="J372" s="2047"/>
      <c r="K372" s="782"/>
      <c r="L372" s="782"/>
      <c r="M372" s="782"/>
      <c r="N372" s="2045"/>
      <c r="P372" s="2142"/>
      <c r="Q372" s="2142"/>
    </row>
    <row r="373" spans="1:17" s="2029" customFormat="1" ht="19.5" hidden="1" customHeight="1" x14ac:dyDescent="0.25">
      <c r="A373" s="2041"/>
      <c r="B373" s="383"/>
      <c r="C373" s="4826" t="s">
        <v>3105</v>
      </c>
      <c r="D373" s="4991">
        <v>300000000</v>
      </c>
      <c r="E373" s="4651">
        <f t="shared" si="13"/>
        <v>0.19550511708902474</v>
      </c>
      <c r="F373" s="2047"/>
      <c r="G373" s="782"/>
      <c r="H373" s="782"/>
      <c r="I373" s="782"/>
      <c r="J373" s="2047"/>
      <c r="K373" s="782"/>
      <c r="L373" s="782"/>
      <c r="M373" s="782"/>
      <c r="N373" s="2045"/>
      <c r="P373" s="2142"/>
      <c r="Q373" s="2142"/>
    </row>
    <row r="374" spans="1:17" s="2029" customFormat="1" ht="17.25" hidden="1" customHeight="1" x14ac:dyDescent="0.25">
      <c r="A374" s="2041"/>
      <c r="B374" s="383"/>
      <c r="C374" s="4647" t="s">
        <v>3106</v>
      </c>
      <c r="D374" s="4757">
        <v>100000000</v>
      </c>
      <c r="E374" s="4651">
        <f t="shared" si="13"/>
        <v>6.5168372363008237E-2</v>
      </c>
      <c r="F374" s="2047"/>
      <c r="G374" s="782"/>
      <c r="H374" s="782"/>
      <c r="I374" s="782"/>
      <c r="J374" s="2047"/>
      <c r="K374" s="2047"/>
      <c r="L374" s="782"/>
      <c r="M374" s="361"/>
      <c r="N374" s="2045"/>
      <c r="P374" s="2142"/>
      <c r="Q374" s="2142"/>
    </row>
    <row r="375" spans="1:17" s="2029" customFormat="1" ht="22.5" hidden="1" customHeight="1" x14ac:dyDescent="0.25">
      <c r="A375" s="2041"/>
      <c r="B375" s="383"/>
      <c r="C375" s="4647" t="s">
        <v>3107</v>
      </c>
      <c r="D375" s="4757">
        <v>100000000</v>
      </c>
      <c r="E375" s="4651">
        <f t="shared" si="13"/>
        <v>6.5168372363008237E-2</v>
      </c>
      <c r="F375" s="2047"/>
      <c r="G375" s="782"/>
      <c r="H375" s="782"/>
      <c r="I375" s="782"/>
      <c r="J375" s="2047"/>
      <c r="K375" s="2250"/>
      <c r="L375" s="782"/>
      <c r="M375" s="361"/>
      <c r="N375" s="2045"/>
      <c r="P375" s="2142"/>
      <c r="Q375" s="2142"/>
    </row>
    <row r="376" spans="1:17" s="2029" customFormat="1" ht="16.5" hidden="1" customHeight="1" x14ac:dyDescent="0.25">
      <c r="A376" s="2041"/>
      <c r="B376" s="383"/>
      <c r="C376" s="4647" t="s">
        <v>3108</v>
      </c>
      <c r="D376" s="4757">
        <v>100000000</v>
      </c>
      <c r="E376" s="4651">
        <f t="shared" si="13"/>
        <v>6.5168372363008237E-2</v>
      </c>
      <c r="F376" s="2047"/>
      <c r="G376" s="782"/>
      <c r="H376" s="782"/>
      <c r="I376" s="782"/>
      <c r="J376" s="2047"/>
      <c r="K376" s="782"/>
      <c r="L376" s="782"/>
      <c r="M376" s="782"/>
      <c r="N376" s="2045"/>
      <c r="P376" s="2142"/>
      <c r="Q376" s="2142"/>
    </row>
    <row r="377" spans="1:17" s="2029" customFormat="1" ht="19.5" hidden="1" customHeight="1" x14ac:dyDescent="0.25">
      <c r="A377" s="2041"/>
      <c r="B377" s="383"/>
      <c r="C377" s="4647" t="s">
        <v>3109</v>
      </c>
      <c r="D377" s="4757">
        <v>100000000</v>
      </c>
      <c r="E377" s="4651">
        <f t="shared" si="13"/>
        <v>6.5168372363008237E-2</v>
      </c>
      <c r="F377" s="2047"/>
      <c r="G377" s="782"/>
      <c r="H377" s="782"/>
      <c r="I377" s="782"/>
      <c r="J377" s="2047"/>
      <c r="K377" s="2250"/>
      <c r="L377" s="782"/>
      <c r="M377" s="361"/>
      <c r="N377" s="2045"/>
      <c r="P377" s="2142"/>
      <c r="Q377" s="2142"/>
    </row>
    <row r="378" spans="1:17" s="2029" customFormat="1" ht="19.5" hidden="1" customHeight="1" x14ac:dyDescent="0.25">
      <c r="A378" s="2041"/>
      <c r="B378" s="383"/>
      <c r="C378" s="4647" t="s">
        <v>3110</v>
      </c>
      <c r="D378" s="4757">
        <v>100000000</v>
      </c>
      <c r="E378" s="4651">
        <f t="shared" si="13"/>
        <v>6.5168372363008237E-2</v>
      </c>
      <c r="F378" s="2047"/>
      <c r="G378" s="782"/>
      <c r="H378" s="782"/>
      <c r="I378" s="782"/>
      <c r="J378" s="2047"/>
      <c r="K378" s="782"/>
      <c r="L378" s="782"/>
      <c r="M378" s="782"/>
      <c r="N378" s="2045"/>
      <c r="P378" s="2142"/>
      <c r="Q378" s="2142"/>
    </row>
    <row r="379" spans="1:17" s="2029" customFormat="1" ht="19.5" hidden="1" customHeight="1" x14ac:dyDescent="0.25">
      <c r="A379" s="2041"/>
      <c r="B379" s="383"/>
      <c r="C379" s="4647" t="s">
        <v>3111</v>
      </c>
      <c r="D379" s="4757">
        <v>200000000</v>
      </c>
      <c r="E379" s="4651">
        <f t="shared" si="13"/>
        <v>0.13033674472601647</v>
      </c>
      <c r="F379" s="2047"/>
      <c r="G379" s="782"/>
      <c r="H379" s="782"/>
      <c r="I379" s="782"/>
      <c r="J379" s="2047"/>
      <c r="K379" s="2250"/>
      <c r="L379" s="782"/>
      <c r="M379" s="560"/>
      <c r="N379" s="2045"/>
      <c r="P379" s="2142"/>
      <c r="Q379" s="2142"/>
    </row>
    <row r="380" spans="1:17" s="2029" customFormat="1" ht="18" hidden="1" customHeight="1" x14ac:dyDescent="0.25">
      <c r="A380" s="2041"/>
      <c r="B380" s="383"/>
      <c r="C380" s="4647" t="s">
        <v>3112</v>
      </c>
      <c r="D380" s="4757">
        <v>200000000</v>
      </c>
      <c r="E380" s="4651">
        <f t="shared" si="13"/>
        <v>0.13033674472601647</v>
      </c>
      <c r="F380" s="2047"/>
      <c r="G380" s="782"/>
      <c r="H380" s="782"/>
      <c r="I380" s="782"/>
      <c r="J380" s="2047"/>
      <c r="K380" s="782"/>
      <c r="L380" s="782"/>
      <c r="M380" s="782"/>
      <c r="N380" s="2045"/>
      <c r="P380" s="2142"/>
      <c r="Q380" s="2142"/>
    </row>
    <row r="381" spans="1:17" s="2029" customFormat="1" ht="18" hidden="1" customHeight="1" x14ac:dyDescent="0.25">
      <c r="A381" s="2041"/>
      <c r="B381" s="383"/>
      <c r="C381" s="4647" t="s">
        <v>3113</v>
      </c>
      <c r="D381" s="4757">
        <v>1000000000</v>
      </c>
      <c r="E381" s="4651">
        <f t="shared" si="13"/>
        <v>0.65168372363008242</v>
      </c>
      <c r="F381" s="2047"/>
      <c r="G381" s="782"/>
      <c r="H381" s="782"/>
      <c r="I381" s="782"/>
      <c r="J381" s="2047"/>
      <c r="K381" s="2250"/>
      <c r="L381" s="782"/>
      <c r="M381" s="560"/>
      <c r="N381" s="2045"/>
      <c r="P381" s="2142"/>
      <c r="Q381" s="2142"/>
    </row>
    <row r="382" spans="1:17" s="2029" customFormat="1" ht="19.5" hidden="1" customHeight="1" x14ac:dyDescent="0.25">
      <c r="A382" s="2041"/>
      <c r="B382" s="383"/>
      <c r="C382" s="4647" t="s">
        <v>3114</v>
      </c>
      <c r="D382" s="4757">
        <v>500000000</v>
      </c>
      <c r="E382" s="4651">
        <f t="shared" si="13"/>
        <v>0.32584186181504121</v>
      </c>
      <c r="F382" s="808"/>
      <c r="G382" s="809"/>
      <c r="H382" s="1451"/>
      <c r="I382" s="809"/>
      <c r="J382" s="2247"/>
      <c r="K382" s="2247"/>
      <c r="L382" s="2247"/>
      <c r="M382" s="560"/>
      <c r="N382" s="2045"/>
      <c r="P382" s="2142"/>
      <c r="Q382" s="2142"/>
    </row>
    <row r="383" spans="1:17" s="2029" customFormat="1" ht="18" hidden="1" customHeight="1" x14ac:dyDescent="0.25">
      <c r="A383" s="2041"/>
      <c r="B383" s="383"/>
      <c r="C383" s="4647" t="s">
        <v>3115</v>
      </c>
      <c r="D383" s="4757">
        <v>1000000000</v>
      </c>
      <c r="E383" s="4651">
        <f t="shared" si="13"/>
        <v>0.65168372363008242</v>
      </c>
      <c r="F383" s="2049"/>
      <c r="G383" s="766"/>
      <c r="H383" s="766"/>
      <c r="I383" s="766"/>
      <c r="J383" s="2049"/>
      <c r="K383" s="2049"/>
      <c r="L383" s="1012"/>
      <c r="M383" s="384"/>
      <c r="N383" s="2045"/>
      <c r="P383" s="2142"/>
      <c r="Q383" s="2142"/>
    </row>
    <row r="384" spans="1:17" s="2029" customFormat="1" ht="18.75" hidden="1" customHeight="1" x14ac:dyDescent="0.25">
      <c r="A384" s="2041"/>
      <c r="B384" s="383"/>
      <c r="C384" s="4647" t="s">
        <v>3116</v>
      </c>
      <c r="D384" s="4757">
        <v>500000000</v>
      </c>
      <c r="E384" s="4651">
        <f t="shared" si="13"/>
        <v>0.32584186181504121</v>
      </c>
      <c r="F384" s="2047"/>
      <c r="G384" s="782"/>
      <c r="H384" s="782"/>
      <c r="I384" s="782"/>
      <c r="J384" s="2047"/>
      <c r="K384" s="2250"/>
      <c r="L384" s="782"/>
      <c r="M384" s="361"/>
      <c r="N384" s="2045"/>
      <c r="P384" s="2142"/>
      <c r="Q384" s="2142"/>
    </row>
    <row r="385" spans="1:17" s="2029" customFormat="1" ht="18.75" hidden="1" customHeight="1" x14ac:dyDescent="0.25">
      <c r="A385" s="2041"/>
      <c r="B385" s="383"/>
      <c r="C385" s="4647" t="s">
        <v>3117</v>
      </c>
      <c r="D385" s="4757">
        <v>500000000</v>
      </c>
      <c r="E385" s="4651">
        <f t="shared" si="13"/>
        <v>0.32584186181504121</v>
      </c>
      <c r="F385" s="2047"/>
      <c r="G385" s="782"/>
      <c r="H385" s="782"/>
      <c r="I385" s="782"/>
      <c r="J385" s="2047"/>
      <c r="K385" s="782"/>
      <c r="L385" s="782"/>
      <c r="M385" s="782"/>
      <c r="N385" s="2045"/>
      <c r="P385" s="2142"/>
      <c r="Q385" s="2142"/>
    </row>
    <row r="386" spans="1:17" s="2029" customFormat="1" ht="16.5" hidden="1" customHeight="1" x14ac:dyDescent="0.25">
      <c r="A386" s="2041"/>
      <c r="B386" s="383"/>
      <c r="C386" s="4647" t="s">
        <v>3118</v>
      </c>
      <c r="D386" s="4757">
        <v>800000000</v>
      </c>
      <c r="E386" s="4651">
        <f t="shared" si="13"/>
        <v>0.52134697890406589</v>
      </c>
      <c r="F386" s="2047"/>
      <c r="G386" s="782"/>
      <c r="H386" s="782"/>
      <c r="I386" s="782"/>
      <c r="J386" s="2047"/>
      <c r="K386" s="782"/>
      <c r="L386" s="782"/>
      <c r="M386" s="782"/>
      <c r="N386" s="2045"/>
      <c r="P386" s="2142"/>
      <c r="Q386" s="2142"/>
    </row>
    <row r="387" spans="1:17" s="2029" customFormat="1" ht="18.75" hidden="1" customHeight="1" x14ac:dyDescent="0.25">
      <c r="A387" s="2041"/>
      <c r="B387" s="383"/>
      <c r="C387" s="4647" t="s">
        <v>3119</v>
      </c>
      <c r="D387" s="4757">
        <v>500000000</v>
      </c>
      <c r="E387" s="4651">
        <f t="shared" si="13"/>
        <v>0.32584186181504121</v>
      </c>
      <c r="F387" s="808"/>
      <c r="G387" s="801"/>
      <c r="H387" s="2284"/>
      <c r="I387" s="2257"/>
      <c r="J387" s="2658"/>
      <c r="K387" s="2658"/>
      <c r="L387" s="2658"/>
      <c r="M387" s="559"/>
      <c r="N387" s="2045"/>
      <c r="P387" s="2142"/>
      <c r="Q387" s="2142"/>
    </row>
    <row r="388" spans="1:17" s="2029" customFormat="1" ht="21.75" hidden="1" customHeight="1" x14ac:dyDescent="0.25">
      <c r="A388" s="2041"/>
      <c r="B388" s="383"/>
      <c r="C388" s="4647" t="s">
        <v>3120</v>
      </c>
      <c r="D388" s="4757">
        <v>1000000000</v>
      </c>
      <c r="E388" s="4651">
        <f t="shared" si="13"/>
        <v>0.65168372363008242</v>
      </c>
      <c r="F388" s="2049"/>
      <c r="G388" s="2049"/>
      <c r="H388" s="1473"/>
      <c r="I388" s="2243"/>
      <c r="J388" s="2049"/>
      <c r="K388" s="2049"/>
      <c r="L388" s="1012"/>
      <c r="M388" s="384"/>
      <c r="N388" s="2045"/>
      <c r="P388" s="2142"/>
      <c r="Q388" s="2142"/>
    </row>
    <row r="389" spans="1:17" s="2029" customFormat="1" ht="27.75" hidden="1" customHeight="1" x14ac:dyDescent="0.25">
      <c r="A389" s="2041"/>
      <c r="B389" s="383"/>
      <c r="C389" s="4647" t="s">
        <v>3121</v>
      </c>
      <c r="D389" s="4757">
        <v>100000000</v>
      </c>
      <c r="E389" s="4651">
        <f t="shared" si="13"/>
        <v>6.5168372363008237E-2</v>
      </c>
      <c r="F389" s="1005"/>
      <c r="G389" s="782"/>
      <c r="H389" s="782"/>
      <c r="I389" s="782"/>
      <c r="J389" s="1005"/>
      <c r="K389" s="782"/>
      <c r="L389" s="782"/>
      <c r="M389" s="782"/>
      <c r="N389" s="2045"/>
      <c r="P389" s="2142"/>
      <c r="Q389" s="2142"/>
    </row>
    <row r="390" spans="1:17" s="2029" customFormat="1" ht="18.75" hidden="1" customHeight="1" x14ac:dyDescent="0.25">
      <c r="A390" s="2041"/>
      <c r="B390" s="383"/>
      <c r="C390" s="4647" t="s">
        <v>3122</v>
      </c>
      <c r="D390" s="4757">
        <v>200000000</v>
      </c>
      <c r="E390" s="4651">
        <f t="shared" si="13"/>
        <v>0.13033674472601647</v>
      </c>
      <c r="F390" s="2047"/>
      <c r="G390" s="782"/>
      <c r="H390" s="782"/>
      <c r="I390" s="782"/>
      <c r="J390" s="2047"/>
      <c r="K390" s="782"/>
      <c r="L390" s="782"/>
      <c r="M390" s="782"/>
      <c r="N390" s="2045"/>
      <c r="P390" s="2142"/>
      <c r="Q390" s="2142"/>
    </row>
    <row r="391" spans="1:17" s="2029" customFormat="1" ht="33.75" hidden="1" customHeight="1" x14ac:dyDescent="0.25">
      <c r="A391" s="2041"/>
      <c r="B391" s="383"/>
      <c r="C391" s="4647" t="s">
        <v>3123</v>
      </c>
      <c r="D391" s="4757">
        <v>200000000</v>
      </c>
      <c r="E391" s="4651">
        <f t="shared" si="13"/>
        <v>0.13033674472601647</v>
      </c>
      <c r="F391" s="2047"/>
      <c r="G391" s="782"/>
      <c r="H391" s="1474"/>
      <c r="I391" s="2249"/>
      <c r="J391" s="2047"/>
      <c r="K391" s="2250"/>
      <c r="L391" s="782"/>
      <c r="M391" s="560"/>
      <c r="N391" s="2045"/>
      <c r="P391" s="2142"/>
      <c r="Q391" s="2142"/>
    </row>
    <row r="392" spans="1:17" s="2029" customFormat="1" ht="18" hidden="1" customHeight="1" x14ac:dyDescent="0.25">
      <c r="A392" s="2041"/>
      <c r="B392" s="383"/>
      <c r="C392" s="4647" t="s">
        <v>3124</v>
      </c>
      <c r="D392" s="4757">
        <v>200000000</v>
      </c>
      <c r="E392" s="4651">
        <f t="shared" si="13"/>
        <v>0.13033674472601647</v>
      </c>
      <c r="F392" s="808"/>
      <c r="G392" s="809"/>
      <c r="H392" s="1474"/>
      <c r="I392" s="2246"/>
      <c r="J392" s="2247"/>
      <c r="K392" s="2247"/>
      <c r="L392" s="2247"/>
      <c r="M392" s="560"/>
      <c r="N392" s="2045"/>
      <c r="P392" s="2142"/>
      <c r="Q392" s="2142"/>
    </row>
    <row r="393" spans="1:17" s="2029" customFormat="1" ht="19.5" hidden="1" customHeight="1" x14ac:dyDescent="0.25">
      <c r="A393" s="2041"/>
      <c r="B393" s="383"/>
      <c r="C393" s="4647" t="s">
        <v>3125</v>
      </c>
      <c r="D393" s="4986">
        <v>750000000</v>
      </c>
      <c r="E393" s="4651">
        <f t="shared" si="13"/>
        <v>0.48876279272256185</v>
      </c>
      <c r="F393" s="2049"/>
      <c r="G393" s="2049"/>
      <c r="H393" s="1473"/>
      <c r="I393" s="2243"/>
      <c r="J393" s="2049"/>
      <c r="K393" s="2049"/>
      <c r="L393" s="1012"/>
      <c r="M393" s="384"/>
      <c r="N393" s="2045"/>
      <c r="P393" s="2142"/>
      <c r="Q393" s="2142"/>
    </row>
    <row r="394" spans="1:17" s="2029" customFormat="1" ht="21" hidden="1" customHeight="1" x14ac:dyDescent="0.25">
      <c r="A394" s="2041"/>
      <c r="B394" s="383"/>
      <c r="C394" s="4921" t="s">
        <v>3126</v>
      </c>
      <c r="D394" s="4757">
        <v>300000000</v>
      </c>
      <c r="E394" s="4651">
        <f t="shared" si="13"/>
        <v>0.19550511708902474</v>
      </c>
      <c r="F394" s="2047"/>
      <c r="G394" s="782"/>
      <c r="H394" s="782"/>
      <c r="I394" s="782"/>
      <c r="J394" s="2047"/>
      <c r="K394" s="2250"/>
      <c r="L394" s="782"/>
      <c r="M394" s="361"/>
      <c r="N394" s="2045"/>
      <c r="P394" s="2142"/>
      <c r="Q394" s="2142"/>
    </row>
    <row r="395" spans="1:17" s="2029" customFormat="1" ht="20.25" hidden="1" customHeight="1" x14ac:dyDescent="0.25">
      <c r="A395" s="2041"/>
      <c r="B395" s="383"/>
      <c r="C395" s="4919" t="s">
        <v>3127</v>
      </c>
      <c r="D395" s="4757">
        <v>200000000</v>
      </c>
      <c r="E395" s="4651">
        <f t="shared" si="13"/>
        <v>0.13033674472601647</v>
      </c>
      <c r="F395" s="1614"/>
      <c r="G395" s="827"/>
      <c r="H395" s="827"/>
      <c r="I395" s="827"/>
      <c r="J395" s="1614"/>
      <c r="K395" s="827"/>
      <c r="L395" s="827"/>
      <c r="M395" s="827"/>
      <c r="N395" s="3416"/>
      <c r="P395" s="2142"/>
      <c r="Q395" s="2142"/>
    </row>
    <row r="396" spans="1:17" s="2029" customFormat="1" ht="16.5" hidden="1" customHeight="1" x14ac:dyDescent="0.25">
      <c r="A396" s="2041"/>
      <c r="B396" s="383"/>
      <c r="C396" s="4919" t="s">
        <v>3128</v>
      </c>
      <c r="D396" s="4757">
        <v>100000000</v>
      </c>
      <c r="E396" s="4651">
        <f t="shared" si="13"/>
        <v>6.5168372363008237E-2</v>
      </c>
      <c r="F396" s="2047"/>
      <c r="G396" s="780"/>
      <c r="H396" s="1126"/>
      <c r="I396" s="809"/>
      <c r="J396" s="2047"/>
      <c r="K396" s="771"/>
      <c r="L396" s="755"/>
      <c r="M396" s="356"/>
      <c r="N396" s="3417"/>
      <c r="O396" s="3418"/>
      <c r="P396" s="3419"/>
      <c r="Q396" s="2142"/>
    </row>
    <row r="397" spans="1:17" s="2029" customFormat="1" ht="32.25" hidden="1" customHeight="1" x14ac:dyDescent="0.25">
      <c r="B397" s="2027"/>
      <c r="C397" s="4919" t="s">
        <v>3129</v>
      </c>
      <c r="D397" s="4757">
        <v>600000000</v>
      </c>
      <c r="E397" s="4651">
        <f t="shared" si="13"/>
        <v>0.39101023417804948</v>
      </c>
      <c r="F397" s="760"/>
      <c r="G397" s="809"/>
      <c r="H397" s="780"/>
      <c r="I397" s="809"/>
      <c r="J397" s="809"/>
      <c r="K397" s="809"/>
      <c r="L397" s="2692"/>
      <c r="M397" s="3420"/>
      <c r="N397" s="3421"/>
      <c r="O397" s="3418"/>
      <c r="P397" s="3419"/>
      <c r="Q397" s="2142"/>
    </row>
    <row r="398" spans="1:17" s="2029" customFormat="1" ht="12" hidden="1" customHeight="1" x14ac:dyDescent="0.25">
      <c r="B398" s="2027"/>
      <c r="C398" s="4758"/>
      <c r="D398" s="4992"/>
      <c r="E398" s="4651"/>
      <c r="F398" s="760"/>
      <c r="G398" s="809"/>
      <c r="H398" s="780"/>
      <c r="I398" s="809"/>
      <c r="J398" s="809"/>
      <c r="K398" s="809"/>
      <c r="L398" s="2692"/>
      <c r="M398" s="3420"/>
      <c r="N398" s="3421"/>
      <c r="O398" s="3418"/>
      <c r="P398" s="3419"/>
      <c r="Q398" s="2142"/>
    </row>
    <row r="399" spans="1:17" s="2029" customFormat="1" ht="18" hidden="1" customHeight="1" x14ac:dyDescent="0.25">
      <c r="B399" s="2027"/>
      <c r="C399" s="4920" t="s">
        <v>3130</v>
      </c>
      <c r="D399" s="4756">
        <f>SUM(D400:D403)</f>
        <v>575000000</v>
      </c>
      <c r="E399" s="4672">
        <f t="shared" si="13"/>
        <v>0.3747181410872974</v>
      </c>
      <c r="F399" s="760"/>
      <c r="G399" s="809"/>
      <c r="H399" s="780"/>
      <c r="I399" s="809"/>
      <c r="J399" s="809"/>
      <c r="K399" s="809"/>
      <c r="L399" s="2692"/>
      <c r="M399" s="3420"/>
      <c r="N399" s="3421"/>
      <c r="O399" s="3418"/>
      <c r="P399" s="3419"/>
      <c r="Q399" s="2142"/>
    </row>
    <row r="400" spans="1:17" s="2029" customFormat="1" ht="17.25" hidden="1" customHeight="1" x14ac:dyDescent="0.25">
      <c r="B400" s="2027"/>
      <c r="C400" s="4919" t="s">
        <v>3131</v>
      </c>
      <c r="D400" s="4757">
        <v>200000000</v>
      </c>
      <c r="E400" s="4651">
        <f t="shared" si="13"/>
        <v>0.13033674472601647</v>
      </c>
      <c r="F400" s="760"/>
      <c r="G400" s="809"/>
      <c r="H400" s="780"/>
      <c r="I400" s="809"/>
      <c r="J400" s="809"/>
      <c r="K400" s="809"/>
      <c r="L400" s="2692"/>
      <c r="M400" s="3420"/>
      <c r="N400" s="3421"/>
      <c r="O400" s="3418"/>
      <c r="P400" s="3419"/>
      <c r="Q400" s="2142"/>
    </row>
    <row r="401" spans="2:17" s="2029" customFormat="1" ht="19.5" hidden="1" customHeight="1" x14ac:dyDescent="0.25">
      <c r="B401" s="2027"/>
      <c r="C401" s="4919" t="s">
        <v>3132</v>
      </c>
      <c r="D401" s="4757">
        <v>100000000</v>
      </c>
      <c r="E401" s="4651">
        <f t="shared" si="13"/>
        <v>6.5168372363008237E-2</v>
      </c>
      <c r="F401" s="760"/>
      <c r="G401" s="809"/>
      <c r="H401" s="780"/>
      <c r="I401" s="809"/>
      <c r="J401" s="809"/>
      <c r="K401" s="809"/>
      <c r="L401" s="2692"/>
      <c r="M401" s="3420"/>
      <c r="N401" s="3421"/>
      <c r="O401" s="3418"/>
      <c r="P401" s="3419"/>
      <c r="Q401" s="2142"/>
    </row>
    <row r="402" spans="2:17" s="2029" customFormat="1" ht="19.5" hidden="1" customHeight="1" x14ac:dyDescent="0.25">
      <c r="B402" s="2027"/>
      <c r="C402" s="4826" t="s">
        <v>3133</v>
      </c>
      <c r="D402" s="4991">
        <v>150000000</v>
      </c>
      <c r="E402" s="4651">
        <f t="shared" si="13"/>
        <v>9.7752558544512369E-2</v>
      </c>
      <c r="F402" s="760"/>
      <c r="G402" s="809"/>
      <c r="H402" s="780"/>
      <c r="I402" s="809"/>
      <c r="J402" s="809"/>
      <c r="K402" s="809"/>
      <c r="L402" s="2692"/>
      <c r="M402" s="3420"/>
      <c r="N402" s="3421"/>
      <c r="O402" s="3418"/>
      <c r="P402" s="3419"/>
      <c r="Q402" s="2142"/>
    </row>
    <row r="403" spans="2:17" s="2029" customFormat="1" ht="19.5" hidden="1" customHeight="1" x14ac:dyDescent="0.25">
      <c r="B403" s="2027"/>
      <c r="C403" s="4647" t="s">
        <v>3134</v>
      </c>
      <c r="D403" s="4986">
        <v>125000000</v>
      </c>
      <c r="E403" s="4651">
        <f t="shared" si="13"/>
        <v>8.1460465453760303E-2</v>
      </c>
      <c r="F403" s="760"/>
      <c r="G403" s="809"/>
      <c r="H403" s="780"/>
      <c r="I403" s="809"/>
      <c r="J403" s="809"/>
      <c r="K403" s="809"/>
      <c r="L403" s="2692"/>
      <c r="M403" s="3420"/>
      <c r="N403" s="3421"/>
      <c r="O403" s="3418"/>
      <c r="P403" s="3419"/>
      <c r="Q403" s="2142"/>
    </row>
    <row r="404" spans="2:17" s="2029" customFormat="1" ht="12" hidden="1" customHeight="1" x14ac:dyDescent="0.25">
      <c r="B404" s="2027"/>
      <c r="C404" s="4649"/>
      <c r="D404" s="4986"/>
      <c r="E404" s="4651"/>
      <c r="F404" s="760"/>
      <c r="G404" s="809"/>
      <c r="H404" s="780"/>
      <c r="I404" s="809"/>
      <c r="J404" s="809"/>
      <c r="K404" s="809"/>
      <c r="L404" s="2692"/>
      <c r="M404" s="3420"/>
      <c r="N404" s="3421"/>
      <c r="O404" s="3418"/>
      <c r="P404" s="3419"/>
      <c r="Q404" s="2142"/>
    </row>
    <row r="405" spans="2:17" s="2029" customFormat="1" ht="23.25" hidden="1" customHeight="1" x14ac:dyDescent="0.25">
      <c r="B405" s="2027"/>
      <c r="C405" s="4649" t="s">
        <v>3135</v>
      </c>
      <c r="D405" s="4987">
        <f>SUM(D406:D415)</f>
        <v>1030000000</v>
      </c>
      <c r="E405" s="4672">
        <f t="shared" si="13"/>
        <v>0.67123423533898496</v>
      </c>
      <c r="F405" s="760"/>
      <c r="G405" s="809"/>
      <c r="H405" s="780"/>
      <c r="I405" s="809"/>
      <c r="J405" s="809"/>
      <c r="K405" s="809"/>
      <c r="L405" s="2692"/>
      <c r="M405" s="3420"/>
      <c r="N405" s="3421"/>
      <c r="O405" s="3418"/>
      <c r="P405" s="3419"/>
      <c r="Q405" s="2142"/>
    </row>
    <row r="406" spans="2:17" s="2029" customFormat="1" ht="24.75" hidden="1" customHeight="1" x14ac:dyDescent="0.25">
      <c r="B406" s="2027"/>
      <c r="C406" s="4647" t="s">
        <v>3136</v>
      </c>
      <c r="D406" s="4986">
        <v>100000000</v>
      </c>
      <c r="E406" s="4651">
        <f t="shared" si="13"/>
        <v>6.5168372363008237E-2</v>
      </c>
      <c r="F406" s="760"/>
      <c r="G406" s="809"/>
      <c r="H406" s="780"/>
      <c r="I406" s="809"/>
      <c r="J406" s="809"/>
      <c r="K406" s="809"/>
      <c r="L406" s="2692"/>
      <c r="M406" s="3420"/>
      <c r="N406" s="3421"/>
      <c r="O406" s="3418"/>
      <c r="P406" s="3419"/>
      <c r="Q406" s="2142"/>
    </row>
    <row r="407" spans="2:17" s="2029" customFormat="1" ht="20.25" hidden="1" customHeight="1" x14ac:dyDescent="0.25">
      <c r="B407" s="2027"/>
      <c r="C407" s="4647" t="s">
        <v>3137</v>
      </c>
      <c r="D407" s="4986">
        <v>100000000</v>
      </c>
      <c r="E407" s="4651">
        <f t="shared" si="13"/>
        <v>6.5168372363008237E-2</v>
      </c>
      <c r="F407" s="760"/>
      <c r="G407" s="809"/>
      <c r="H407" s="780"/>
      <c r="I407" s="809"/>
      <c r="J407" s="809"/>
      <c r="K407" s="809"/>
      <c r="L407" s="2692"/>
      <c r="M407" s="3420"/>
      <c r="N407" s="3421"/>
      <c r="O407" s="3418"/>
      <c r="P407" s="3419"/>
      <c r="Q407" s="2142"/>
    </row>
    <row r="408" spans="2:17" s="2029" customFormat="1" ht="23.25" hidden="1" customHeight="1" x14ac:dyDescent="0.25">
      <c r="B408" s="2027"/>
      <c r="C408" s="4647" t="s">
        <v>3138</v>
      </c>
      <c r="D408" s="4986">
        <v>150000000</v>
      </c>
      <c r="E408" s="4651">
        <f t="shared" si="13"/>
        <v>9.7752558544512369E-2</v>
      </c>
      <c r="F408" s="760"/>
      <c r="G408" s="809"/>
      <c r="H408" s="780"/>
      <c r="I408" s="809"/>
      <c r="J408" s="809"/>
      <c r="K408" s="809"/>
      <c r="L408" s="2692"/>
      <c r="M408" s="3420"/>
      <c r="N408" s="3421"/>
      <c r="O408" s="3418"/>
      <c r="P408" s="3419"/>
      <c r="Q408" s="2142"/>
    </row>
    <row r="409" spans="2:17" s="2029" customFormat="1" ht="20.25" hidden="1" customHeight="1" x14ac:dyDescent="0.25">
      <c r="B409" s="2027"/>
      <c r="C409" s="4647" t="s">
        <v>3139</v>
      </c>
      <c r="D409" s="4986">
        <v>100000000</v>
      </c>
      <c r="E409" s="4651">
        <f t="shared" si="13"/>
        <v>6.5168372363008237E-2</v>
      </c>
      <c r="F409" s="760"/>
      <c r="G409" s="809"/>
      <c r="H409" s="780"/>
      <c r="I409" s="809"/>
      <c r="J409" s="809"/>
      <c r="K409" s="809"/>
      <c r="L409" s="2692"/>
      <c r="M409" s="3420"/>
      <c r="N409" s="3421"/>
      <c r="O409" s="3418"/>
      <c r="P409" s="3419"/>
      <c r="Q409" s="2142"/>
    </row>
    <row r="410" spans="2:17" s="2029" customFormat="1" ht="26.25" hidden="1" customHeight="1" x14ac:dyDescent="0.25">
      <c r="B410" s="2027"/>
      <c r="C410" s="4647" t="s">
        <v>3140</v>
      </c>
      <c r="D410" s="4986">
        <v>50000000</v>
      </c>
      <c r="E410" s="4651">
        <f t="shared" si="13"/>
        <v>3.2584186181504118E-2</v>
      </c>
      <c r="F410" s="760"/>
      <c r="G410" s="809"/>
      <c r="H410" s="780"/>
      <c r="I410" s="809"/>
      <c r="J410" s="809"/>
      <c r="K410" s="809"/>
      <c r="L410" s="2692"/>
      <c r="M410" s="3420"/>
      <c r="N410" s="3421"/>
      <c r="O410" s="3418"/>
      <c r="P410" s="3419"/>
      <c r="Q410" s="2142"/>
    </row>
    <row r="411" spans="2:17" s="2029" customFormat="1" ht="27.75" hidden="1" customHeight="1" x14ac:dyDescent="0.25">
      <c r="B411" s="2027"/>
      <c r="C411" s="4647" t="s">
        <v>3141</v>
      </c>
      <c r="D411" s="4986">
        <v>100000000</v>
      </c>
      <c r="E411" s="4651">
        <f t="shared" si="13"/>
        <v>6.5168372363008237E-2</v>
      </c>
      <c r="F411" s="760"/>
      <c r="G411" s="809"/>
      <c r="H411" s="780"/>
      <c r="I411" s="809"/>
      <c r="J411" s="809"/>
      <c r="K411" s="809"/>
      <c r="L411" s="2692"/>
      <c r="M411" s="3420"/>
      <c r="N411" s="3421"/>
      <c r="O411" s="3418"/>
      <c r="P411" s="3419"/>
      <c r="Q411" s="2142"/>
    </row>
    <row r="412" spans="2:17" s="2029" customFormat="1" ht="30" hidden="1" customHeight="1" x14ac:dyDescent="0.25">
      <c r="B412" s="2027"/>
      <c r="C412" s="4647" t="s">
        <v>3142</v>
      </c>
      <c r="D412" s="4986">
        <v>150000000</v>
      </c>
      <c r="E412" s="4651">
        <f t="shared" si="13"/>
        <v>9.7752558544512369E-2</v>
      </c>
      <c r="F412" s="760"/>
      <c r="G412" s="809"/>
      <c r="H412" s="780"/>
      <c r="I412" s="809"/>
      <c r="J412" s="809"/>
      <c r="K412" s="809"/>
      <c r="L412" s="2692"/>
      <c r="M412" s="3420"/>
      <c r="N412" s="3421"/>
      <c r="O412" s="3418"/>
      <c r="P412" s="3419"/>
      <c r="Q412" s="2142"/>
    </row>
    <row r="413" spans="2:17" s="2029" customFormat="1" ht="19.5" hidden="1" customHeight="1" x14ac:dyDescent="0.25">
      <c r="B413" s="2027"/>
      <c r="C413" s="4647" t="s">
        <v>3143</v>
      </c>
      <c r="D413" s="4986">
        <v>100000000</v>
      </c>
      <c r="E413" s="4651">
        <f t="shared" ref="E413:E436" si="14">D413/153448669000*100</f>
        <v>6.5168372363008237E-2</v>
      </c>
      <c r="F413" s="760"/>
      <c r="G413" s="809"/>
      <c r="H413" s="780"/>
      <c r="I413" s="809"/>
      <c r="J413" s="809"/>
      <c r="K413" s="809"/>
      <c r="L413" s="2692"/>
      <c r="M413" s="3420"/>
      <c r="N413" s="3421"/>
      <c r="O413" s="3418"/>
      <c r="P413" s="3419"/>
      <c r="Q413" s="2142"/>
    </row>
    <row r="414" spans="2:17" s="2029" customFormat="1" ht="18.75" hidden="1" customHeight="1" x14ac:dyDescent="0.25">
      <c r="B414" s="2027"/>
      <c r="C414" s="4647" t="s">
        <v>3144</v>
      </c>
      <c r="D414" s="4986">
        <v>100000000</v>
      </c>
      <c r="E414" s="4651">
        <f t="shared" si="14"/>
        <v>6.5168372363008237E-2</v>
      </c>
      <c r="F414" s="760"/>
      <c r="G414" s="809"/>
      <c r="H414" s="780"/>
      <c r="I414" s="809"/>
      <c r="J414" s="809"/>
      <c r="K414" s="809"/>
      <c r="L414" s="2692"/>
      <c r="M414" s="3420"/>
      <c r="N414" s="3421"/>
      <c r="O414" s="3418"/>
      <c r="P414" s="3419"/>
      <c r="Q414" s="2142"/>
    </row>
    <row r="415" spans="2:17" s="2029" customFormat="1" ht="23.25" hidden="1" customHeight="1" x14ac:dyDescent="0.25">
      <c r="B415" s="2027"/>
      <c r="C415" s="4647" t="s">
        <v>3145</v>
      </c>
      <c r="D415" s="4986">
        <v>80000000</v>
      </c>
      <c r="E415" s="4651">
        <f t="shared" si="14"/>
        <v>5.2134697890406596E-2</v>
      </c>
      <c r="F415" s="760"/>
      <c r="G415" s="809"/>
      <c r="H415" s="780"/>
      <c r="I415" s="809"/>
      <c r="J415" s="809"/>
      <c r="K415" s="809"/>
      <c r="L415" s="2692"/>
      <c r="M415" s="3420"/>
      <c r="N415" s="3421"/>
      <c r="O415" s="3418"/>
      <c r="P415" s="3419"/>
      <c r="Q415" s="2142"/>
    </row>
    <row r="416" spans="2:17" s="2029" customFormat="1" ht="12" hidden="1" customHeight="1" x14ac:dyDescent="0.25">
      <c r="B416" s="2040"/>
      <c r="C416" s="4657"/>
      <c r="D416" s="4956"/>
      <c r="E416" s="4848"/>
      <c r="F416" s="808"/>
      <c r="G416" s="3096"/>
      <c r="H416" s="3097"/>
      <c r="I416" s="3098"/>
      <c r="J416" s="2257"/>
      <c r="K416" s="2257"/>
      <c r="L416" s="2658"/>
      <c r="M416" s="559"/>
      <c r="N416" s="5327"/>
      <c r="P416" s="2142"/>
      <c r="Q416" s="2142"/>
    </row>
    <row r="417" spans="1:17" s="2029" customFormat="1" ht="22.5" hidden="1" customHeight="1" x14ac:dyDescent="0.25">
      <c r="B417" s="2030"/>
      <c r="C417" s="4754" t="s">
        <v>741</v>
      </c>
      <c r="D417" s="4993">
        <f>SUM(D418+D421+D424+D431)</f>
        <v>5001390000</v>
      </c>
      <c r="E417" s="4845">
        <f t="shared" si="14"/>
        <v>3.2593244585262582</v>
      </c>
      <c r="F417" s="3100"/>
      <c r="G417" s="3100"/>
      <c r="H417" s="2239"/>
      <c r="I417" s="2239"/>
      <c r="J417" s="3100"/>
      <c r="K417" s="3100"/>
      <c r="L417" s="2239"/>
      <c r="M417" s="576"/>
      <c r="N417" s="5328"/>
      <c r="P417" s="2142"/>
      <c r="Q417" s="2142"/>
    </row>
    <row r="418" spans="1:17" s="2029" customFormat="1" ht="23.25" hidden="1" customHeight="1" x14ac:dyDescent="0.25">
      <c r="B418" s="2027"/>
      <c r="C418" s="4920" t="s">
        <v>3146</v>
      </c>
      <c r="D418" s="4759">
        <f>D419</f>
        <v>500000000</v>
      </c>
      <c r="E418" s="4847">
        <f t="shared" si="14"/>
        <v>0.32584186181504121</v>
      </c>
      <c r="F418" s="3101"/>
      <c r="G418" s="3101"/>
      <c r="H418" s="2243"/>
      <c r="I418" s="2243"/>
      <c r="J418" s="2052"/>
      <c r="K418" s="2052"/>
      <c r="L418" s="1012"/>
      <c r="M418" s="644"/>
      <c r="N418" s="4378"/>
      <c r="P418" s="2142"/>
      <c r="Q418" s="2142"/>
    </row>
    <row r="419" spans="1:17" s="2029" customFormat="1" ht="19.5" hidden="1" customHeight="1" x14ac:dyDescent="0.25">
      <c r="B419" s="2027"/>
      <c r="C419" s="4919" t="s">
        <v>3147</v>
      </c>
      <c r="D419" s="4757">
        <v>500000000</v>
      </c>
      <c r="E419" s="4651">
        <f t="shared" si="14"/>
        <v>0.32584186181504121</v>
      </c>
      <c r="F419" s="2047"/>
      <c r="G419" s="3102"/>
      <c r="H419" s="2249"/>
      <c r="I419" s="784"/>
      <c r="J419" s="2047"/>
      <c r="K419" s="3103"/>
      <c r="L419" s="782"/>
      <c r="M419" s="477"/>
      <c r="N419" s="2028"/>
      <c r="P419" s="2142"/>
      <c r="Q419" s="2142"/>
    </row>
    <row r="420" spans="1:17" s="2029" customFormat="1" ht="14.25" hidden="1" customHeight="1" x14ac:dyDescent="0.25">
      <c r="B420" s="2027"/>
      <c r="C420" s="4760"/>
      <c r="D420" s="4994"/>
      <c r="E420" s="4651"/>
      <c r="F420" s="2047"/>
      <c r="G420" s="3104"/>
      <c r="H420" s="2249"/>
      <c r="I420" s="2249"/>
      <c r="J420" s="2047"/>
      <c r="K420" s="782"/>
      <c r="L420" s="782"/>
      <c r="M420" s="782"/>
      <c r="N420" s="2028"/>
      <c r="P420" s="2142"/>
      <c r="Q420" s="2142"/>
    </row>
    <row r="421" spans="1:17" s="2029" customFormat="1" ht="21.75" hidden="1" customHeight="1" x14ac:dyDescent="0.25">
      <c r="B421" s="2027"/>
      <c r="C421" s="4761" t="s">
        <v>3148</v>
      </c>
      <c r="D421" s="4734">
        <f>D422</f>
        <v>400000000</v>
      </c>
      <c r="E421" s="4672">
        <f t="shared" si="14"/>
        <v>0.26067348945203295</v>
      </c>
      <c r="F421" s="2047"/>
      <c r="G421" s="3104"/>
      <c r="H421" s="2249"/>
      <c r="I421" s="2249"/>
      <c r="J421" s="2047"/>
      <c r="K421" s="2692"/>
      <c r="L421" s="782"/>
      <c r="M421" s="361"/>
      <c r="N421" s="2028"/>
      <c r="P421" s="2142"/>
      <c r="Q421" s="2142"/>
    </row>
    <row r="422" spans="1:17" s="2029" customFormat="1" ht="26.25" hidden="1" customHeight="1" x14ac:dyDescent="0.25">
      <c r="B422" s="2027"/>
      <c r="C422" s="4762" t="s">
        <v>3149</v>
      </c>
      <c r="D422" s="4763">
        <v>400000000</v>
      </c>
      <c r="E422" s="4651">
        <f t="shared" si="14"/>
        <v>0.26067348945203295</v>
      </c>
      <c r="F422" s="2047"/>
      <c r="G422" s="3104"/>
      <c r="H422" s="2249"/>
      <c r="I422" s="2249"/>
      <c r="J422" s="2047"/>
      <c r="K422" s="2047"/>
      <c r="L422" s="782"/>
      <c r="M422" s="361"/>
      <c r="N422" s="2028"/>
      <c r="P422" s="2142"/>
      <c r="Q422" s="2142"/>
    </row>
    <row r="423" spans="1:17" s="2029" customFormat="1" ht="14.25" hidden="1" customHeight="1" x14ac:dyDescent="0.25">
      <c r="B423" s="2027"/>
      <c r="C423" s="4764"/>
      <c r="D423" s="4994"/>
      <c r="E423" s="4651"/>
      <c r="F423" s="2047"/>
      <c r="G423" s="3104"/>
      <c r="H423" s="2249"/>
      <c r="I423" s="2249"/>
      <c r="J423" s="2047"/>
      <c r="K423" s="2047"/>
      <c r="L423" s="782"/>
      <c r="M423" s="361"/>
      <c r="N423" s="2028"/>
      <c r="P423" s="2142"/>
      <c r="Q423" s="2142"/>
    </row>
    <row r="424" spans="1:17" s="2029" customFormat="1" ht="23.25" hidden="1" customHeight="1" x14ac:dyDescent="0.25">
      <c r="B424" s="2027"/>
      <c r="C424" s="4920" t="s">
        <v>3150</v>
      </c>
      <c r="D424" s="4756">
        <f>SUM(D425:D429)</f>
        <v>4001390000</v>
      </c>
      <c r="E424" s="4672">
        <f t="shared" si="14"/>
        <v>2.6076407348961754</v>
      </c>
      <c r="F424" s="2047"/>
      <c r="G424" s="3104"/>
      <c r="H424" s="2249"/>
      <c r="I424" s="2249"/>
      <c r="J424" s="2047"/>
      <c r="K424" s="771"/>
      <c r="L424" s="782"/>
      <c r="M424" s="361"/>
      <c r="N424" s="2028"/>
      <c r="P424" s="2142"/>
      <c r="Q424" s="2142"/>
    </row>
    <row r="425" spans="1:17" s="2029" customFormat="1" ht="22.5" hidden="1" customHeight="1" x14ac:dyDescent="0.25">
      <c r="B425" s="2027"/>
      <c r="C425" s="4922" t="s">
        <v>3151</v>
      </c>
      <c r="D425" s="4991">
        <v>2881390000</v>
      </c>
      <c r="E425" s="4651">
        <f t="shared" si="14"/>
        <v>1.8777549644304832</v>
      </c>
      <c r="F425" s="2047"/>
      <c r="G425" s="3104"/>
      <c r="H425" s="2249"/>
      <c r="I425" s="2249"/>
      <c r="J425" s="2047"/>
      <c r="K425" s="771"/>
      <c r="L425" s="782"/>
      <c r="M425" s="361"/>
      <c r="N425" s="2028"/>
      <c r="P425" s="2142"/>
      <c r="Q425" s="2142"/>
    </row>
    <row r="426" spans="1:17" s="2029" customFormat="1" ht="33" hidden="1" customHeight="1" x14ac:dyDescent="0.25">
      <c r="B426" s="2027"/>
      <c r="C426" s="4647" t="s">
        <v>3152</v>
      </c>
      <c r="D426" s="4757">
        <v>80000000</v>
      </c>
      <c r="E426" s="4651">
        <f t="shared" si="14"/>
        <v>5.2134697890406596E-2</v>
      </c>
      <c r="F426" s="2047"/>
      <c r="G426" s="3104"/>
      <c r="H426" s="2249"/>
      <c r="I426" s="2249"/>
      <c r="J426" s="2047"/>
      <c r="K426" s="771"/>
      <c r="L426" s="782"/>
      <c r="M426" s="361"/>
      <c r="N426" s="2028"/>
      <c r="P426" s="2142"/>
      <c r="Q426" s="2142"/>
    </row>
    <row r="427" spans="1:17" s="2029" customFormat="1" ht="21.75" hidden="1" customHeight="1" x14ac:dyDescent="0.25">
      <c r="B427" s="2027"/>
      <c r="C427" s="4647" t="s">
        <v>3153</v>
      </c>
      <c r="D427" s="4757">
        <v>200000000</v>
      </c>
      <c r="E427" s="4651">
        <f t="shared" si="14"/>
        <v>0.13033674472601647</v>
      </c>
      <c r="F427" s="2047"/>
      <c r="G427" s="782"/>
      <c r="H427" s="782"/>
      <c r="I427" s="782"/>
      <c r="J427" s="2047"/>
      <c r="K427" s="771"/>
      <c r="L427" s="782"/>
      <c r="M427" s="361"/>
      <c r="N427" s="2028"/>
      <c r="P427" s="2142"/>
      <c r="Q427" s="2142"/>
    </row>
    <row r="428" spans="1:17" s="2029" customFormat="1" ht="17.25" hidden="1" customHeight="1" x14ac:dyDescent="0.25">
      <c r="B428" s="2027"/>
      <c r="C428" s="4647" t="s">
        <v>3154</v>
      </c>
      <c r="D428" s="4757">
        <v>120000000</v>
      </c>
      <c r="E428" s="4651">
        <f t="shared" si="14"/>
        <v>7.8202046835609898E-2</v>
      </c>
      <c r="F428" s="2047"/>
      <c r="G428" s="782"/>
      <c r="H428" s="782"/>
      <c r="I428" s="782"/>
      <c r="J428" s="2047"/>
      <c r="K428" s="782"/>
      <c r="L428" s="782"/>
      <c r="M428" s="782"/>
      <c r="N428" s="2028"/>
      <c r="P428" s="2142"/>
      <c r="Q428" s="2142"/>
    </row>
    <row r="429" spans="1:17" s="2029" customFormat="1" ht="22.5" hidden="1" customHeight="1" x14ac:dyDescent="0.25">
      <c r="B429" s="2027"/>
      <c r="C429" s="4647" t="s">
        <v>3155</v>
      </c>
      <c r="D429" s="4757">
        <v>720000000</v>
      </c>
      <c r="E429" s="4651">
        <f t="shared" si="14"/>
        <v>0.46921228101365942</v>
      </c>
      <c r="F429" s="782"/>
      <c r="G429" s="782"/>
      <c r="H429" s="782"/>
      <c r="I429" s="782"/>
      <c r="J429" s="2051"/>
      <c r="K429" s="782"/>
      <c r="L429" s="782"/>
      <c r="M429" s="782"/>
      <c r="N429" s="2028"/>
      <c r="P429" s="2142"/>
      <c r="Q429" s="2142"/>
    </row>
    <row r="430" spans="1:17" s="2029" customFormat="1" ht="12.75" hidden="1" customHeight="1" x14ac:dyDescent="0.25">
      <c r="B430" s="2027"/>
      <c r="C430" s="4647"/>
      <c r="D430" s="4757"/>
      <c r="E430" s="4651"/>
      <c r="F430" s="2051"/>
      <c r="G430" s="782"/>
      <c r="H430" s="937"/>
      <c r="I430" s="937"/>
      <c r="J430" s="3105"/>
      <c r="K430" s="809"/>
      <c r="L430" s="2247"/>
      <c r="M430" s="560"/>
      <c r="N430" s="2028"/>
      <c r="P430" s="2142"/>
      <c r="Q430" s="2142"/>
    </row>
    <row r="431" spans="1:17" s="2029" customFormat="1" ht="25.5" hidden="1" customHeight="1" x14ac:dyDescent="0.25">
      <c r="A431" s="2041"/>
      <c r="B431" s="383"/>
      <c r="C431" s="4649" t="s">
        <v>3156</v>
      </c>
      <c r="D431" s="4756">
        <f>D432</f>
        <v>100000000</v>
      </c>
      <c r="E431" s="4672">
        <f t="shared" si="14"/>
        <v>6.5168372363008237E-2</v>
      </c>
      <c r="F431" s="766"/>
      <c r="G431" s="766"/>
      <c r="H431" s="766"/>
      <c r="I431" s="766"/>
      <c r="J431" s="2049"/>
      <c r="K431" s="766"/>
      <c r="L431" s="766"/>
      <c r="M431" s="766"/>
      <c r="N431" s="2045"/>
      <c r="P431" s="2142"/>
      <c r="Q431" s="2142"/>
    </row>
    <row r="432" spans="1:17" s="2029" customFormat="1" ht="18.75" hidden="1" customHeight="1" x14ac:dyDescent="0.25">
      <c r="A432" s="2041"/>
      <c r="B432" s="383"/>
      <c r="C432" s="4647" t="s">
        <v>3157</v>
      </c>
      <c r="D432" s="4757">
        <v>100000000</v>
      </c>
      <c r="E432" s="4651">
        <f t="shared" si="14"/>
        <v>6.5168372363008237E-2</v>
      </c>
      <c r="F432" s="782"/>
      <c r="G432" s="782"/>
      <c r="H432" s="782"/>
      <c r="I432" s="782"/>
      <c r="J432" s="2054"/>
      <c r="K432" s="782"/>
      <c r="L432" s="782"/>
      <c r="M432" s="782"/>
      <c r="N432" s="2045"/>
      <c r="P432" s="2142"/>
      <c r="Q432" s="2142"/>
    </row>
    <row r="433" spans="1:17" s="2029" customFormat="1" ht="16.5" hidden="1" customHeight="1" x14ac:dyDescent="0.25">
      <c r="B433" s="2027"/>
      <c r="C433" s="4765"/>
      <c r="D433" s="4995"/>
      <c r="E433" s="4848"/>
      <c r="F433" s="3107"/>
      <c r="G433" s="3108"/>
      <c r="H433" s="2249"/>
      <c r="I433" s="2246"/>
      <c r="J433" s="3105"/>
      <c r="K433" s="809"/>
      <c r="L433" s="2247"/>
      <c r="M433" s="560"/>
      <c r="N433" s="5327"/>
      <c r="P433" s="2142"/>
      <c r="Q433" s="2142"/>
    </row>
    <row r="434" spans="1:17" s="2029" customFormat="1" ht="19.5" hidden="1" customHeight="1" x14ac:dyDescent="0.25">
      <c r="B434" s="2027"/>
      <c r="C434" s="4660" t="s">
        <v>3213</v>
      </c>
      <c r="D434" s="4996">
        <f>D435</f>
        <v>8000000000</v>
      </c>
      <c r="E434" s="4845">
        <f t="shared" si="14"/>
        <v>5.2134697890406594</v>
      </c>
      <c r="F434" s="3110"/>
      <c r="G434" s="765"/>
      <c r="H434" s="765"/>
      <c r="I434" s="765"/>
      <c r="J434" s="2055"/>
      <c r="K434" s="2240"/>
      <c r="L434" s="807"/>
      <c r="M434" s="576"/>
      <c r="N434" s="5328"/>
      <c r="P434" s="2142"/>
      <c r="Q434" s="2142"/>
    </row>
    <row r="435" spans="1:17" s="2029" customFormat="1" ht="23.25" hidden="1" customHeight="1" x14ac:dyDescent="0.25">
      <c r="A435" s="2041"/>
      <c r="B435" s="383"/>
      <c r="C435" s="4923" t="s">
        <v>3418</v>
      </c>
      <c r="D435" s="4997">
        <f>SUM(D436)</f>
        <v>8000000000</v>
      </c>
      <c r="E435" s="4847">
        <f t="shared" si="14"/>
        <v>5.2134697890406594</v>
      </c>
      <c r="F435" s="2056"/>
      <c r="G435" s="795"/>
      <c r="H435" s="795"/>
      <c r="I435" s="795"/>
      <c r="J435" s="2056"/>
      <c r="K435" s="2056"/>
      <c r="L435" s="2387"/>
      <c r="M435" s="511"/>
      <c r="N435" s="5329"/>
      <c r="P435" s="2142"/>
      <c r="Q435" s="2142"/>
    </row>
    <row r="436" spans="1:17" s="2029" customFormat="1" ht="34.5" hidden="1" customHeight="1" x14ac:dyDescent="0.25">
      <c r="A436" s="2041"/>
      <c r="B436" s="383"/>
      <c r="C436" s="4741" t="s">
        <v>3223</v>
      </c>
      <c r="D436" s="4732">
        <v>8000000000</v>
      </c>
      <c r="E436" s="4651">
        <f t="shared" si="14"/>
        <v>5.2134697890406594</v>
      </c>
      <c r="F436" s="2054"/>
      <c r="G436" s="755"/>
      <c r="H436" s="755"/>
      <c r="I436" s="755"/>
      <c r="J436" s="2054"/>
      <c r="K436" s="1014"/>
      <c r="L436" s="1126"/>
      <c r="M436" s="512"/>
      <c r="N436" s="3417"/>
      <c r="P436" s="2142"/>
      <c r="Q436" s="2142"/>
    </row>
    <row r="437" spans="1:17" s="2029" customFormat="1" ht="12" hidden="1" customHeight="1" x14ac:dyDescent="0.25">
      <c r="B437" s="2027"/>
      <c r="C437" s="4705"/>
      <c r="D437" s="4998"/>
      <c r="E437" s="4667"/>
      <c r="F437" s="1008"/>
      <c r="G437" s="1450"/>
      <c r="H437" s="2284"/>
      <c r="I437" s="2257"/>
      <c r="J437" s="801"/>
      <c r="K437" s="2257"/>
      <c r="L437" s="2359"/>
      <c r="M437" s="559"/>
      <c r="N437" s="3657"/>
      <c r="P437" s="2142"/>
      <c r="Q437" s="2142"/>
    </row>
    <row r="438" spans="1:17" s="2058" customFormat="1" ht="19.5" customHeight="1" x14ac:dyDescent="0.25">
      <c r="B438" s="616"/>
      <c r="C438" s="4655" t="s">
        <v>267</v>
      </c>
      <c r="D438" s="4999">
        <f>SUM(D440+D515+D507+D511)</f>
        <v>15605076000</v>
      </c>
      <c r="E438" s="4889">
        <f>D438/D45*100</f>
        <v>4.1699118648630007</v>
      </c>
      <c r="F438" s="3658"/>
      <c r="G438" s="3119"/>
      <c r="H438" s="1471"/>
      <c r="I438" s="2530"/>
      <c r="J438" s="3119"/>
      <c r="K438" s="3119"/>
      <c r="L438" s="2775"/>
      <c r="M438" s="738"/>
      <c r="N438" s="3659"/>
      <c r="P438" s="2151"/>
      <c r="Q438" s="2151"/>
    </row>
    <row r="439" spans="1:17" ht="9.75" hidden="1" customHeight="1" x14ac:dyDescent="0.25">
      <c r="B439" s="314"/>
      <c r="C439" s="4705"/>
      <c r="D439" s="4998"/>
      <c r="E439" s="4667"/>
      <c r="F439" s="3570"/>
      <c r="G439" s="827"/>
      <c r="H439" s="2284"/>
      <c r="I439" s="791"/>
      <c r="J439" s="1008"/>
      <c r="K439" s="827"/>
      <c r="L439" s="2389"/>
      <c r="M439" s="363"/>
      <c r="N439" s="639"/>
    </row>
    <row r="440" spans="1:17" ht="17.25" hidden="1" customHeight="1" x14ac:dyDescent="0.25">
      <c r="B440" s="312"/>
      <c r="C440" s="4684" t="s">
        <v>248</v>
      </c>
      <c r="D440" s="4661">
        <f>SUM(D441+D458+D464+D469+D476+D483+D494)</f>
        <v>12281000000</v>
      </c>
      <c r="E440" s="4845">
        <f>D440/147784925000*100</f>
        <v>8.310049215100932</v>
      </c>
      <c r="F440" s="3478"/>
      <c r="G440" s="765"/>
      <c r="H440" s="765"/>
      <c r="I440" s="765"/>
      <c r="J440" s="765"/>
      <c r="K440" s="765"/>
      <c r="L440" s="2065"/>
      <c r="M440" s="555"/>
      <c r="N440" s="232"/>
    </row>
    <row r="441" spans="1:17" ht="19.5" hidden="1" customHeight="1" x14ac:dyDescent="0.25">
      <c r="B441" s="319"/>
      <c r="C441" s="4752" t="s">
        <v>610</v>
      </c>
      <c r="D441" s="4706">
        <v>4145000000</v>
      </c>
      <c r="E441" s="4846">
        <f>D441/147784925000*100</f>
        <v>2.804751567184542</v>
      </c>
      <c r="F441" s="766"/>
      <c r="G441" s="766"/>
      <c r="H441" s="766"/>
      <c r="I441" s="766"/>
      <c r="J441" s="766"/>
      <c r="K441" s="766"/>
      <c r="L441" s="2380"/>
      <c r="M441" s="365"/>
      <c r="N441" s="232"/>
    </row>
    <row r="442" spans="1:17" ht="22.5" hidden="1" customHeight="1" x14ac:dyDescent="0.25">
      <c r="B442" s="319"/>
      <c r="C442" s="4766" t="s">
        <v>4218</v>
      </c>
      <c r="D442" s="4666">
        <v>200000000</v>
      </c>
      <c r="E442" s="4847">
        <f>D442/147784925000*100</f>
        <v>0.13533180058791519</v>
      </c>
      <c r="F442" s="881"/>
      <c r="G442" s="755"/>
      <c r="H442" s="755"/>
      <c r="I442" s="755"/>
      <c r="J442" s="881"/>
      <c r="K442" s="1354"/>
      <c r="L442" s="1310"/>
      <c r="M442" s="678"/>
      <c r="N442" s="232"/>
    </row>
    <row r="443" spans="1:17" ht="19.5" hidden="1" customHeight="1" x14ac:dyDescent="0.25">
      <c r="B443" s="319"/>
      <c r="C443" s="4766" t="s">
        <v>4219</v>
      </c>
      <c r="D443" s="4666">
        <v>2400000000</v>
      </c>
      <c r="E443" s="4847">
        <f t="shared" ref="E443:E505" si="15">D443/147784925000*100</f>
        <v>1.623981607054982</v>
      </c>
      <c r="F443" s="881"/>
      <c r="G443" s="755"/>
      <c r="H443" s="755"/>
      <c r="I443" s="755"/>
      <c r="J443" s="881"/>
      <c r="K443" s="1354"/>
      <c r="L443" s="1310"/>
      <c r="M443" s="678"/>
      <c r="N443" s="232"/>
    </row>
    <row r="444" spans="1:17" ht="17.25" hidden="1" customHeight="1" x14ac:dyDescent="0.25">
      <c r="B444" s="319"/>
      <c r="C444" s="4668" t="s">
        <v>4220</v>
      </c>
      <c r="D444" s="4669">
        <v>70000000</v>
      </c>
      <c r="E444" s="4847">
        <f t="shared" si="15"/>
        <v>4.736613020577031E-2</v>
      </c>
      <c r="F444" s="755"/>
      <c r="G444" s="755"/>
      <c r="H444" s="1472"/>
      <c r="I444" s="1314"/>
      <c r="J444" s="755"/>
      <c r="K444" s="1716"/>
      <c r="L444" s="2386"/>
      <c r="M444" s="557"/>
      <c r="N444" s="232"/>
    </row>
    <row r="445" spans="1:17" ht="20.25" hidden="1" customHeight="1" x14ac:dyDescent="0.25">
      <c r="B445" s="319"/>
      <c r="C445" s="4668" t="s">
        <v>4221</v>
      </c>
      <c r="D445" s="4669">
        <v>70000000</v>
      </c>
      <c r="E445" s="4847">
        <f t="shared" si="15"/>
        <v>4.736613020577031E-2</v>
      </c>
      <c r="F445" s="753"/>
      <c r="G445" s="753"/>
      <c r="H445" s="753"/>
      <c r="I445" s="753"/>
      <c r="J445" s="753"/>
      <c r="K445" s="753"/>
      <c r="L445" s="1308"/>
      <c r="M445" s="552"/>
      <c r="N445" s="232"/>
    </row>
    <row r="446" spans="1:17" ht="18" hidden="1" customHeight="1" x14ac:dyDescent="0.25">
      <c r="B446" s="319"/>
      <c r="C446" s="4766" t="s">
        <v>4222</v>
      </c>
      <c r="D446" s="4666">
        <v>250000000</v>
      </c>
      <c r="E446" s="4847">
        <f t="shared" si="15"/>
        <v>0.16916475073489395</v>
      </c>
      <c r="F446" s="881"/>
      <c r="G446" s="755"/>
      <c r="H446" s="755"/>
      <c r="I446" s="755"/>
      <c r="J446" s="881"/>
      <c r="K446" s="1354"/>
      <c r="L446" s="1310"/>
      <c r="M446" s="385"/>
      <c r="N446" s="232"/>
    </row>
    <row r="447" spans="1:17" ht="21" hidden="1" customHeight="1" x14ac:dyDescent="0.25">
      <c r="B447" s="319"/>
      <c r="C447" s="4766" t="s">
        <v>4262</v>
      </c>
      <c r="D447" s="4666">
        <v>100000000</v>
      </c>
      <c r="E447" s="4847">
        <f t="shared" si="15"/>
        <v>6.7665900293957595E-2</v>
      </c>
      <c r="F447" s="881"/>
      <c r="G447" s="755"/>
      <c r="H447" s="755"/>
      <c r="I447" s="755"/>
      <c r="J447" s="881"/>
      <c r="K447" s="1354"/>
      <c r="L447" s="1310"/>
      <c r="M447" s="357"/>
      <c r="N447" s="232"/>
    </row>
    <row r="448" spans="1:17" ht="21.75" hidden="1" customHeight="1" x14ac:dyDescent="0.25">
      <c r="B448" s="319"/>
      <c r="C448" s="4766" t="s">
        <v>4223</v>
      </c>
      <c r="D448" s="4666">
        <v>50000000</v>
      </c>
      <c r="E448" s="4847">
        <f t="shared" si="15"/>
        <v>3.3832950146978798E-2</v>
      </c>
      <c r="F448" s="881"/>
      <c r="G448" s="755"/>
      <c r="H448" s="755"/>
      <c r="I448" s="755"/>
      <c r="J448" s="881"/>
      <c r="K448" s="1354"/>
      <c r="L448" s="1310"/>
      <c r="M448" s="357"/>
      <c r="N448" s="232"/>
    </row>
    <row r="449" spans="2:14" ht="19.5" hidden="1" customHeight="1" x14ac:dyDescent="0.25">
      <c r="B449" s="319"/>
      <c r="C449" s="4668" t="s">
        <v>4263</v>
      </c>
      <c r="D449" s="4669">
        <v>70000000</v>
      </c>
      <c r="E449" s="4847">
        <f t="shared" si="15"/>
        <v>4.736613020577031E-2</v>
      </c>
      <c r="F449" s="755"/>
      <c r="G449" s="753"/>
      <c r="H449" s="753"/>
      <c r="I449" s="753"/>
      <c r="J449" s="755"/>
      <c r="K449" s="1716"/>
      <c r="L449" s="2386"/>
      <c r="M449" s="557"/>
      <c r="N449" s="232"/>
    </row>
    <row r="450" spans="2:14" ht="20.25" hidden="1" customHeight="1" x14ac:dyDescent="0.25">
      <c r="B450" s="319"/>
      <c r="C450" s="4668" t="s">
        <v>4264</v>
      </c>
      <c r="D450" s="4669">
        <v>200000000</v>
      </c>
      <c r="E450" s="4847">
        <f t="shared" si="15"/>
        <v>0.13533180058791519</v>
      </c>
      <c r="F450" s="753"/>
      <c r="G450" s="753"/>
      <c r="H450" s="753"/>
      <c r="I450" s="753"/>
      <c r="J450" s="753"/>
      <c r="K450" s="753"/>
      <c r="L450" s="1308"/>
      <c r="M450" s="546"/>
      <c r="N450" s="232"/>
    </row>
    <row r="451" spans="2:14" ht="18.75" hidden="1" customHeight="1" x14ac:dyDescent="0.25">
      <c r="B451" s="319"/>
      <c r="C451" s="4766" t="s">
        <v>4265</v>
      </c>
      <c r="D451" s="4666">
        <v>70000000</v>
      </c>
      <c r="E451" s="4847">
        <f t="shared" si="15"/>
        <v>4.736613020577031E-2</v>
      </c>
      <c r="F451" s="881"/>
      <c r="G451" s="755"/>
      <c r="H451" s="755"/>
      <c r="I451" s="755"/>
      <c r="J451" s="881"/>
      <c r="K451" s="881"/>
      <c r="L451" s="1310"/>
      <c r="M451" s="357"/>
      <c r="N451" s="232"/>
    </row>
    <row r="452" spans="2:14" ht="19.5" hidden="1" customHeight="1" x14ac:dyDescent="0.25">
      <c r="B452" s="319"/>
      <c r="C452" s="4668" t="s">
        <v>4266</v>
      </c>
      <c r="D452" s="4669">
        <v>100000000</v>
      </c>
      <c r="E452" s="4847">
        <f t="shared" si="15"/>
        <v>6.7665900293957595E-2</v>
      </c>
      <c r="F452" s="755"/>
      <c r="G452" s="755"/>
      <c r="H452" s="755"/>
      <c r="I452" s="755"/>
      <c r="J452" s="755"/>
      <c r="K452" s="1716"/>
      <c r="L452" s="2386"/>
      <c r="M452" s="557"/>
      <c r="N452" s="232"/>
    </row>
    <row r="453" spans="2:14" ht="38.25" hidden="1" customHeight="1" x14ac:dyDescent="0.25">
      <c r="B453" s="319"/>
      <c r="C453" s="4668" t="s">
        <v>4210</v>
      </c>
      <c r="D453" s="4669">
        <v>355000000</v>
      </c>
      <c r="E453" s="4847">
        <f t="shared" si="15"/>
        <v>0.24021394604354943</v>
      </c>
      <c r="F453" s="753"/>
      <c r="G453" s="753"/>
      <c r="H453" s="753"/>
      <c r="I453" s="753"/>
      <c r="J453" s="753"/>
      <c r="K453" s="753"/>
      <c r="L453" s="1308"/>
      <c r="M453" s="546"/>
      <c r="N453" s="232"/>
    </row>
    <row r="454" spans="2:14" ht="22.5" hidden="1" customHeight="1" x14ac:dyDescent="0.25">
      <c r="B454" s="319"/>
      <c r="C454" s="4766" t="s">
        <v>4267</v>
      </c>
      <c r="D454" s="4666">
        <v>70000000</v>
      </c>
      <c r="E454" s="4847">
        <f t="shared" si="15"/>
        <v>4.736613020577031E-2</v>
      </c>
      <c r="F454" s="881"/>
      <c r="G454" s="755"/>
      <c r="H454" s="755"/>
      <c r="I454" s="755"/>
      <c r="J454" s="881"/>
      <c r="K454" s="881"/>
      <c r="L454" s="1310"/>
      <c r="M454" s="357"/>
      <c r="N454" s="232"/>
    </row>
    <row r="455" spans="2:14" ht="21.75" hidden="1" customHeight="1" x14ac:dyDescent="0.25">
      <c r="B455" s="319"/>
      <c r="C455" s="4766" t="s">
        <v>4268</v>
      </c>
      <c r="D455" s="4666">
        <v>70000000</v>
      </c>
      <c r="E455" s="4847">
        <f t="shared" si="15"/>
        <v>4.736613020577031E-2</v>
      </c>
      <c r="F455" s="881"/>
      <c r="G455" s="755"/>
      <c r="H455" s="755"/>
      <c r="I455" s="755"/>
      <c r="J455" s="881"/>
      <c r="K455" s="881"/>
      <c r="L455" s="1310"/>
      <c r="M455" s="357"/>
      <c r="N455" s="232"/>
    </row>
    <row r="456" spans="2:14" ht="28.5" hidden="1" customHeight="1" x14ac:dyDescent="0.25">
      <c r="B456" s="319"/>
      <c r="C456" s="4668" t="s">
        <v>4269</v>
      </c>
      <c r="D456" s="4669">
        <v>70000000</v>
      </c>
      <c r="E456" s="4847">
        <f t="shared" si="15"/>
        <v>4.736613020577031E-2</v>
      </c>
      <c r="F456" s="755"/>
      <c r="G456" s="755"/>
      <c r="H456" s="755"/>
      <c r="I456" s="755"/>
      <c r="J456" s="755"/>
      <c r="K456" s="1716"/>
      <c r="L456" s="2386"/>
      <c r="M456" s="557"/>
      <c r="N456" s="232"/>
    </row>
    <row r="457" spans="2:14" ht="11.25" hidden="1" customHeight="1" x14ac:dyDescent="0.25">
      <c r="B457" s="319"/>
      <c r="C457" s="4723"/>
      <c r="D457" s="4687"/>
      <c r="E457" s="4847"/>
      <c r="F457" s="1772"/>
      <c r="G457" s="753"/>
      <c r="H457" s="3116"/>
      <c r="I457" s="2394"/>
      <c r="J457" s="1772"/>
      <c r="K457" s="753"/>
      <c r="L457" s="1308"/>
      <c r="M457" s="1349"/>
      <c r="N457" s="232"/>
    </row>
    <row r="458" spans="2:14" ht="21.75" hidden="1" customHeight="1" x14ac:dyDescent="0.25">
      <c r="B458" s="319"/>
      <c r="C458" s="4768" t="s">
        <v>611</v>
      </c>
      <c r="D458" s="4769">
        <v>650000000</v>
      </c>
      <c r="E458" s="4846">
        <f t="shared" si="15"/>
        <v>0.43982835191072434</v>
      </c>
      <c r="F458" s="881"/>
      <c r="G458" s="755"/>
      <c r="H458" s="1472"/>
      <c r="I458" s="755"/>
      <c r="J458" s="881"/>
      <c r="K458" s="1354"/>
      <c r="L458" s="1310"/>
      <c r="M458" s="357"/>
      <c r="N458" s="232"/>
    </row>
    <row r="459" spans="2:14" ht="21.75" hidden="1" customHeight="1" x14ac:dyDescent="0.25">
      <c r="B459" s="319"/>
      <c r="C459" s="4766" t="s">
        <v>4285</v>
      </c>
      <c r="D459" s="4666">
        <v>500000000</v>
      </c>
      <c r="E459" s="4847">
        <f t="shared" si="15"/>
        <v>0.33832950146978791</v>
      </c>
      <c r="F459" s="881"/>
      <c r="G459" s="755"/>
      <c r="H459" s="755"/>
      <c r="I459" s="755"/>
      <c r="J459" s="881"/>
      <c r="K459" s="1354"/>
      <c r="L459" s="1310"/>
      <c r="M459" s="357"/>
      <c r="N459" s="232"/>
    </row>
    <row r="460" spans="2:14" ht="20.25" hidden="1" customHeight="1" x14ac:dyDescent="0.25">
      <c r="B460" s="319"/>
      <c r="C460" s="4668" t="s">
        <v>284</v>
      </c>
      <c r="D460" s="4669">
        <v>50000000</v>
      </c>
      <c r="E460" s="4847">
        <f t="shared" si="15"/>
        <v>3.3832950146978798E-2</v>
      </c>
      <c r="F460" s="755"/>
      <c r="G460" s="1772"/>
      <c r="H460" s="768"/>
      <c r="I460" s="673"/>
      <c r="J460" s="755"/>
      <c r="K460" s="1716"/>
      <c r="L460" s="2386"/>
      <c r="M460" s="557"/>
      <c r="N460" s="232"/>
    </row>
    <row r="461" spans="2:14" ht="21.75" hidden="1" customHeight="1" x14ac:dyDescent="0.25">
      <c r="B461" s="319"/>
      <c r="C461" s="4668" t="s">
        <v>4286</v>
      </c>
      <c r="D461" s="4669">
        <v>50000000</v>
      </c>
      <c r="E461" s="4847">
        <f t="shared" si="15"/>
        <v>3.3832950146978798E-2</v>
      </c>
      <c r="F461" s="753"/>
      <c r="G461" s="753"/>
      <c r="H461" s="3116"/>
      <c r="I461" s="1316"/>
      <c r="J461" s="753"/>
      <c r="K461" s="753"/>
      <c r="L461" s="1308"/>
      <c r="M461" s="552"/>
      <c r="N461" s="232"/>
    </row>
    <row r="462" spans="2:14" ht="18.75" hidden="1" customHeight="1" x14ac:dyDescent="0.25">
      <c r="B462" s="319"/>
      <c r="C462" s="4766" t="s">
        <v>4287</v>
      </c>
      <c r="D462" s="4666">
        <v>50000000</v>
      </c>
      <c r="E462" s="4847">
        <f t="shared" si="15"/>
        <v>3.3832950146978798E-2</v>
      </c>
      <c r="F462" s="881"/>
      <c r="G462" s="755"/>
      <c r="H462" s="1472"/>
      <c r="I462" s="1111"/>
      <c r="J462" s="881"/>
      <c r="K462" s="1354"/>
      <c r="L462" s="1310"/>
      <c r="M462" s="385"/>
      <c r="N462" s="232"/>
    </row>
    <row r="463" spans="2:14" ht="12" hidden="1" customHeight="1" x14ac:dyDescent="0.25">
      <c r="B463" s="319"/>
      <c r="C463" s="4766"/>
      <c r="D463" s="4666"/>
      <c r="E463" s="4847"/>
      <c r="F463" s="881"/>
      <c r="G463" s="755"/>
      <c r="H463" s="1472"/>
      <c r="I463" s="1111"/>
      <c r="J463" s="881"/>
      <c r="K463" s="1354"/>
      <c r="L463" s="1310"/>
      <c r="M463" s="385"/>
      <c r="N463" s="232"/>
    </row>
    <row r="464" spans="2:14" ht="21" hidden="1" customHeight="1" x14ac:dyDescent="0.25">
      <c r="B464" s="319"/>
      <c r="C464" s="4768" t="s">
        <v>4211</v>
      </c>
      <c r="D464" s="4769">
        <v>370000000</v>
      </c>
      <c r="E464" s="4846">
        <f t="shared" si="15"/>
        <v>0.2503638310876431</v>
      </c>
      <c r="F464" s="881"/>
      <c r="G464" s="755"/>
      <c r="H464" s="1472"/>
      <c r="I464" s="1111"/>
      <c r="J464" s="881"/>
      <c r="K464" s="1354"/>
      <c r="L464" s="1310"/>
      <c r="M464" s="385"/>
      <c r="N464" s="232"/>
    </row>
    <row r="465" spans="2:17" ht="22.5" hidden="1" customHeight="1" x14ac:dyDescent="0.25">
      <c r="B465" s="319"/>
      <c r="C465" s="4766" t="s">
        <v>4288</v>
      </c>
      <c r="D465" s="4666">
        <v>250000000</v>
      </c>
      <c r="E465" s="4847">
        <f t="shared" si="15"/>
        <v>0.16916475073489395</v>
      </c>
      <c r="F465" s="1009"/>
      <c r="G465" s="755"/>
      <c r="H465" s="1472"/>
      <c r="I465" s="1314"/>
      <c r="J465" s="1009"/>
      <c r="K465" s="1716"/>
      <c r="L465" s="2386"/>
      <c r="M465" s="557"/>
      <c r="N465" s="232"/>
    </row>
    <row r="466" spans="2:17" ht="21" hidden="1" customHeight="1" x14ac:dyDescent="0.25">
      <c r="B466" s="319"/>
      <c r="C466" s="4668" t="s">
        <v>4289</v>
      </c>
      <c r="D466" s="4669">
        <v>50000000</v>
      </c>
      <c r="E466" s="4847">
        <f t="shared" si="15"/>
        <v>3.3832950146978798E-2</v>
      </c>
      <c r="F466" s="753"/>
      <c r="G466" s="753"/>
      <c r="H466" s="3116"/>
      <c r="I466" s="1316"/>
      <c r="J466" s="753"/>
      <c r="K466" s="753"/>
      <c r="L466" s="1308"/>
      <c r="M466" s="552"/>
      <c r="N466" s="232"/>
    </row>
    <row r="467" spans="2:17" ht="24" hidden="1" customHeight="1" x14ac:dyDescent="0.25">
      <c r="B467" s="319"/>
      <c r="C467" s="4766" t="s">
        <v>4212</v>
      </c>
      <c r="D467" s="4666">
        <v>70000000</v>
      </c>
      <c r="E467" s="4847">
        <f t="shared" si="15"/>
        <v>4.736613020577031E-2</v>
      </c>
      <c r="F467" s="881"/>
      <c r="G467" s="755"/>
      <c r="H467" s="1472"/>
      <c r="I467" s="755"/>
      <c r="J467" s="881"/>
      <c r="K467" s="3117"/>
      <c r="L467" s="1310"/>
      <c r="M467" s="357"/>
      <c r="N467" s="232"/>
    </row>
    <row r="468" spans="2:17" ht="12" hidden="1" customHeight="1" x14ac:dyDescent="0.25">
      <c r="B468" s="319"/>
      <c r="C468" s="4770"/>
      <c r="D468" s="4771"/>
      <c r="E468" s="4847"/>
      <c r="F468" s="1010"/>
      <c r="G468" s="798"/>
      <c r="H468" s="804"/>
      <c r="I468" s="805"/>
      <c r="J468" s="1010"/>
      <c r="K468" s="1722"/>
      <c r="L468" s="1649"/>
      <c r="M468" s="379"/>
      <c r="N468" s="232"/>
    </row>
    <row r="469" spans="2:17" ht="21" hidden="1" customHeight="1" x14ac:dyDescent="0.25">
      <c r="B469" s="319"/>
      <c r="C469" s="4772" t="s">
        <v>4213</v>
      </c>
      <c r="D469" s="4773">
        <v>1080000000</v>
      </c>
      <c r="E469" s="4846">
        <f t="shared" si="15"/>
        <v>0.73079172317474195</v>
      </c>
      <c r="F469" s="1011"/>
      <c r="G469" s="857"/>
      <c r="H469" s="857"/>
      <c r="I469" s="857"/>
      <c r="J469" s="1011"/>
      <c r="K469" s="1011"/>
      <c r="L469" s="1415"/>
      <c r="M469" s="583"/>
      <c r="N469" s="232"/>
    </row>
    <row r="470" spans="2:17" ht="23.25" hidden="1" customHeight="1" x14ac:dyDescent="0.25">
      <c r="B470" s="319"/>
      <c r="C470" s="4766" t="s">
        <v>4290</v>
      </c>
      <c r="D470" s="4774">
        <v>140000000</v>
      </c>
      <c r="E470" s="4847">
        <f t="shared" si="15"/>
        <v>9.473226041154062E-2</v>
      </c>
      <c r="F470" s="3118"/>
      <c r="G470" s="798"/>
      <c r="H470" s="798"/>
      <c r="I470" s="798"/>
      <c r="J470" s="3118"/>
      <c r="K470" s="881"/>
      <c r="L470" s="1310"/>
      <c r="M470" s="379"/>
      <c r="N470" s="232"/>
    </row>
    <row r="471" spans="2:17" ht="21" hidden="1" customHeight="1" x14ac:dyDescent="0.25">
      <c r="B471" s="319"/>
      <c r="C471" s="4770" t="s">
        <v>4291</v>
      </c>
      <c r="D471" s="4666">
        <v>120000000</v>
      </c>
      <c r="E471" s="4847">
        <f t="shared" si="15"/>
        <v>8.1199080352749101E-2</v>
      </c>
      <c r="F471" s="1008"/>
      <c r="G471" s="864"/>
      <c r="H471" s="2284"/>
      <c r="I471" s="1651"/>
      <c r="J471" s="1008"/>
      <c r="K471" s="864"/>
      <c r="L471" s="2389"/>
      <c r="M471" s="358"/>
      <c r="N471" s="281"/>
    </row>
    <row r="472" spans="2:17" s="3627" customFormat="1" ht="18.75" hidden="1" customHeight="1" x14ac:dyDescent="0.25">
      <c r="B472" s="319"/>
      <c r="C472" s="4770" t="s">
        <v>4292</v>
      </c>
      <c r="D472" s="4666">
        <v>500000000</v>
      </c>
      <c r="E472" s="4847">
        <f t="shared" si="15"/>
        <v>0.33832950146978791</v>
      </c>
      <c r="F472" s="3650"/>
      <c r="G472" s="1126"/>
      <c r="H472" s="1126"/>
      <c r="I472" s="894"/>
      <c r="J472" s="3650"/>
      <c r="K472" s="1126"/>
      <c r="L472" s="1507"/>
      <c r="M472" s="372"/>
      <c r="N472" s="112"/>
      <c r="P472" s="522"/>
      <c r="Q472" s="522"/>
    </row>
    <row r="473" spans="2:17" s="3627" customFormat="1" ht="26.25" hidden="1" customHeight="1" x14ac:dyDescent="0.25">
      <c r="B473" s="319"/>
      <c r="C473" s="4770" t="s">
        <v>4293</v>
      </c>
      <c r="D473" s="4666">
        <v>120000000</v>
      </c>
      <c r="E473" s="4847">
        <f t="shared" si="15"/>
        <v>8.1199080352749101E-2</v>
      </c>
      <c r="F473" s="3650"/>
      <c r="G473" s="1126"/>
      <c r="H473" s="1126"/>
      <c r="I473" s="894"/>
      <c r="J473" s="3650"/>
      <c r="K473" s="1126"/>
      <c r="L473" s="1507"/>
      <c r="M473" s="372"/>
      <c r="N473" s="112"/>
      <c r="P473" s="522"/>
      <c r="Q473" s="522"/>
    </row>
    <row r="474" spans="2:17" s="3627" customFormat="1" ht="19.5" hidden="1" customHeight="1" x14ac:dyDescent="0.25">
      <c r="B474" s="319"/>
      <c r="C474" s="4770" t="s">
        <v>4294</v>
      </c>
      <c r="D474" s="4666">
        <v>200000000</v>
      </c>
      <c r="E474" s="4847">
        <f t="shared" si="15"/>
        <v>0.13533180058791519</v>
      </c>
      <c r="F474" s="3650"/>
      <c r="G474" s="1126"/>
      <c r="H474" s="1126"/>
      <c r="I474" s="894"/>
      <c r="J474" s="3650"/>
      <c r="K474" s="1126"/>
      <c r="L474" s="1507"/>
      <c r="M474" s="372"/>
      <c r="N474" s="112"/>
      <c r="P474" s="522"/>
      <c r="Q474" s="522"/>
    </row>
    <row r="475" spans="2:17" s="3627" customFormat="1" ht="12" hidden="1" customHeight="1" x14ac:dyDescent="0.25">
      <c r="B475" s="319"/>
      <c r="C475" s="4770"/>
      <c r="D475" s="4666"/>
      <c r="E475" s="4847"/>
      <c r="F475" s="3650"/>
      <c r="G475" s="1126"/>
      <c r="H475" s="1126"/>
      <c r="I475" s="894"/>
      <c r="J475" s="3650"/>
      <c r="K475" s="1126"/>
      <c r="L475" s="1507"/>
      <c r="M475" s="372"/>
      <c r="N475" s="112"/>
      <c r="P475" s="522"/>
      <c r="Q475" s="522"/>
    </row>
    <row r="476" spans="2:17" s="3627" customFormat="1" ht="24.75" hidden="1" customHeight="1" x14ac:dyDescent="0.25">
      <c r="B476" s="319"/>
      <c r="C476" s="4772" t="s">
        <v>4214</v>
      </c>
      <c r="D476" s="4769">
        <v>790000000</v>
      </c>
      <c r="E476" s="4846">
        <f t="shared" si="15"/>
        <v>0.53456061232226493</v>
      </c>
      <c r="F476" s="3650"/>
      <c r="G476" s="1126"/>
      <c r="H476" s="1126"/>
      <c r="I476" s="894"/>
      <c r="J476" s="3650"/>
      <c r="K476" s="1126"/>
      <c r="L476" s="1507"/>
      <c r="M476" s="372"/>
      <c r="N476" s="112"/>
      <c r="P476" s="522"/>
      <c r="Q476" s="522"/>
    </row>
    <row r="477" spans="2:17" s="3627" customFormat="1" ht="21.75" hidden="1" customHeight="1" x14ac:dyDescent="0.25">
      <c r="B477" s="319"/>
      <c r="C477" s="4770" t="s">
        <v>4299</v>
      </c>
      <c r="D477" s="4666">
        <v>100000000</v>
      </c>
      <c r="E477" s="4847">
        <f t="shared" si="15"/>
        <v>6.7665900293957595E-2</v>
      </c>
      <c r="F477" s="3650"/>
      <c r="G477" s="1126"/>
      <c r="H477" s="1126"/>
      <c r="I477" s="894"/>
      <c r="J477" s="3650"/>
      <c r="K477" s="1126"/>
      <c r="L477" s="1507"/>
      <c r="M477" s="372"/>
      <c r="N477" s="112"/>
      <c r="P477" s="522"/>
      <c r="Q477" s="522"/>
    </row>
    <row r="478" spans="2:17" s="3627" customFormat="1" ht="33" hidden="1" customHeight="1" x14ac:dyDescent="0.25">
      <c r="B478" s="319"/>
      <c r="C478" s="4770" t="s">
        <v>4298</v>
      </c>
      <c r="D478" s="4666">
        <v>198000000</v>
      </c>
      <c r="E478" s="4847">
        <f t="shared" si="15"/>
        <v>0.13397848258203601</v>
      </c>
      <c r="F478" s="3650"/>
      <c r="G478" s="1126"/>
      <c r="H478" s="1126"/>
      <c r="I478" s="894"/>
      <c r="J478" s="3650"/>
      <c r="K478" s="1126"/>
      <c r="L478" s="1507"/>
      <c r="M478" s="372"/>
      <c r="N478" s="112"/>
      <c r="P478" s="522"/>
      <c r="Q478" s="522"/>
    </row>
    <row r="479" spans="2:17" s="3627" customFormat="1" ht="18" hidden="1" customHeight="1" x14ac:dyDescent="0.25">
      <c r="B479" s="319"/>
      <c r="C479" s="4770" t="s">
        <v>4297</v>
      </c>
      <c r="D479" s="4666">
        <v>150000000</v>
      </c>
      <c r="E479" s="4847">
        <f t="shared" si="15"/>
        <v>0.10149885044093637</v>
      </c>
      <c r="F479" s="3650"/>
      <c r="G479" s="1126"/>
      <c r="H479" s="1126"/>
      <c r="I479" s="894"/>
      <c r="J479" s="3650"/>
      <c r="K479" s="1126"/>
      <c r="L479" s="1507"/>
      <c r="M479" s="372"/>
      <c r="N479" s="112"/>
      <c r="P479" s="522"/>
      <c r="Q479" s="522"/>
    </row>
    <row r="480" spans="2:17" s="3627" customFormat="1" ht="18" hidden="1" customHeight="1" x14ac:dyDescent="0.25">
      <c r="B480" s="319"/>
      <c r="C480" s="4770" t="s">
        <v>4296</v>
      </c>
      <c r="D480" s="4666">
        <v>152000000</v>
      </c>
      <c r="E480" s="4847">
        <f t="shared" si="15"/>
        <v>0.10285216844681552</v>
      </c>
      <c r="F480" s="3650"/>
      <c r="G480" s="1126"/>
      <c r="H480" s="1126"/>
      <c r="I480" s="894"/>
      <c r="J480" s="3650"/>
      <c r="K480" s="1126"/>
      <c r="L480" s="1507"/>
      <c r="M480" s="372"/>
      <c r="N480" s="112"/>
      <c r="P480" s="522"/>
      <c r="Q480" s="522"/>
    </row>
    <row r="481" spans="2:17" s="3627" customFormat="1" ht="21.75" hidden="1" customHeight="1" x14ac:dyDescent="0.25">
      <c r="B481" s="319"/>
      <c r="C481" s="4770" t="s">
        <v>4295</v>
      </c>
      <c r="D481" s="4666">
        <v>190000000</v>
      </c>
      <c r="E481" s="4847">
        <f t="shared" si="15"/>
        <v>0.12856521055851941</v>
      </c>
      <c r="F481" s="3650"/>
      <c r="G481" s="1126"/>
      <c r="H481" s="1126"/>
      <c r="I481" s="894"/>
      <c r="J481" s="3650"/>
      <c r="K481" s="1126"/>
      <c r="L481" s="1507"/>
      <c r="M481" s="372"/>
      <c r="N481" s="112"/>
      <c r="P481" s="522"/>
      <c r="Q481" s="522"/>
    </row>
    <row r="482" spans="2:17" s="3627" customFormat="1" ht="12" hidden="1" customHeight="1" x14ac:dyDescent="0.25">
      <c r="B482" s="319"/>
      <c r="C482" s="4770"/>
      <c r="D482" s="4666"/>
      <c r="E482" s="4847"/>
      <c r="F482" s="3650"/>
      <c r="G482" s="1126"/>
      <c r="H482" s="1126"/>
      <c r="I482" s="894"/>
      <c r="J482" s="3650"/>
      <c r="K482" s="1126"/>
      <c r="L482" s="1507"/>
      <c r="M482" s="372"/>
      <c r="N482" s="112"/>
      <c r="P482" s="522"/>
      <c r="Q482" s="522"/>
    </row>
    <row r="483" spans="2:17" s="3627" customFormat="1" ht="33" hidden="1" customHeight="1" x14ac:dyDescent="0.25">
      <c r="B483" s="319"/>
      <c r="C483" s="4772" t="s">
        <v>4215</v>
      </c>
      <c r="D483" s="4769">
        <v>3496000000</v>
      </c>
      <c r="E483" s="4846">
        <f t="shared" si="15"/>
        <v>2.3655998742767572</v>
      </c>
      <c r="F483" s="3650"/>
      <c r="G483" s="1126"/>
      <c r="H483" s="1126"/>
      <c r="I483" s="894"/>
      <c r="J483" s="3650"/>
      <c r="K483" s="1126"/>
      <c r="L483" s="1507"/>
      <c r="M483" s="372"/>
      <c r="N483" s="112"/>
      <c r="P483" s="522"/>
      <c r="Q483" s="522"/>
    </row>
    <row r="484" spans="2:17" s="3627" customFormat="1" ht="18.75" hidden="1" customHeight="1" x14ac:dyDescent="0.25">
      <c r="B484" s="319"/>
      <c r="C484" s="4770" t="s">
        <v>4300</v>
      </c>
      <c r="D484" s="4666">
        <v>100000000</v>
      </c>
      <c r="E484" s="4847">
        <f t="shared" si="15"/>
        <v>6.7665900293957595E-2</v>
      </c>
      <c r="F484" s="3650"/>
      <c r="G484" s="1126"/>
      <c r="H484" s="1126"/>
      <c r="I484" s="894"/>
      <c r="J484" s="3650"/>
      <c r="K484" s="1126"/>
      <c r="L484" s="1507"/>
      <c r="M484" s="372"/>
      <c r="N484" s="112"/>
      <c r="P484" s="522"/>
      <c r="Q484" s="522"/>
    </row>
    <row r="485" spans="2:17" s="3627" customFormat="1" ht="21" hidden="1" customHeight="1" x14ac:dyDescent="0.25">
      <c r="B485" s="319"/>
      <c r="C485" s="4770" t="s">
        <v>4301</v>
      </c>
      <c r="D485" s="4666">
        <v>1271566000</v>
      </c>
      <c r="E485" s="4847">
        <f t="shared" si="15"/>
        <v>0.86041658173186475</v>
      </c>
      <c r="F485" s="3650"/>
      <c r="G485" s="1126"/>
      <c r="H485" s="1126"/>
      <c r="I485" s="894"/>
      <c r="J485" s="3650"/>
      <c r="K485" s="1126"/>
      <c r="L485" s="1507"/>
      <c r="M485" s="372"/>
      <c r="N485" s="112"/>
      <c r="P485" s="522"/>
      <c r="Q485" s="522"/>
    </row>
    <row r="486" spans="2:17" s="3627" customFormat="1" ht="24" hidden="1" customHeight="1" x14ac:dyDescent="0.25">
      <c r="B486" s="319"/>
      <c r="C486" s="4770" t="s">
        <v>4302</v>
      </c>
      <c r="D486" s="4666">
        <v>950000000</v>
      </c>
      <c r="E486" s="4847">
        <f t="shared" si="15"/>
        <v>0.64282605279259708</v>
      </c>
      <c r="F486" s="3650"/>
      <c r="G486" s="1126"/>
      <c r="H486" s="1126"/>
      <c r="I486" s="894"/>
      <c r="J486" s="3650"/>
      <c r="K486" s="1126"/>
      <c r="L486" s="1507"/>
      <c r="M486" s="372"/>
      <c r="N486" s="112"/>
      <c r="P486" s="522"/>
      <c r="Q486" s="522"/>
    </row>
    <row r="487" spans="2:17" s="3627" customFormat="1" ht="29.25" hidden="1" customHeight="1" x14ac:dyDescent="0.25">
      <c r="B487" s="319"/>
      <c r="C487" s="4770" t="s">
        <v>4217</v>
      </c>
      <c r="D487" s="4666">
        <v>350000000</v>
      </c>
      <c r="E487" s="4847">
        <f t="shared" si="15"/>
        <v>0.23683065102885156</v>
      </c>
      <c r="F487" s="3650"/>
      <c r="G487" s="1126"/>
      <c r="H487" s="1126"/>
      <c r="I487" s="894"/>
      <c r="J487" s="3650"/>
      <c r="K487" s="1126"/>
      <c r="L487" s="1507"/>
      <c r="M487" s="372"/>
      <c r="N487" s="112"/>
      <c r="P487" s="522"/>
      <c r="Q487" s="522"/>
    </row>
    <row r="488" spans="2:17" s="3627" customFormat="1" ht="21.75" hidden="1" customHeight="1" x14ac:dyDescent="0.25">
      <c r="B488" s="319"/>
      <c r="C488" s="4770" t="s">
        <v>4303</v>
      </c>
      <c r="D488" s="4666">
        <v>475000000</v>
      </c>
      <c r="E488" s="4847">
        <f t="shared" si="15"/>
        <v>0.32141302639629854</v>
      </c>
      <c r="F488" s="3650"/>
      <c r="G488" s="1126"/>
      <c r="H488" s="1126"/>
      <c r="I488" s="894"/>
      <c r="J488" s="3650"/>
      <c r="K488" s="1126"/>
      <c r="L488" s="1507"/>
      <c r="M488" s="372"/>
      <c r="N488" s="112"/>
      <c r="P488" s="522"/>
      <c r="Q488" s="522"/>
    </row>
    <row r="489" spans="2:17" s="3627" customFormat="1" ht="19.5" hidden="1" customHeight="1" x14ac:dyDescent="0.25">
      <c r="B489" s="319"/>
      <c r="C489" s="4770" t="s">
        <v>4304</v>
      </c>
      <c r="D489" s="4666">
        <v>200000000</v>
      </c>
      <c r="E489" s="4847">
        <f t="shared" si="15"/>
        <v>0.13533180058791519</v>
      </c>
      <c r="F489" s="3650"/>
      <c r="G489" s="1126"/>
      <c r="H489" s="1126"/>
      <c r="I489" s="894"/>
      <c r="J489" s="3650"/>
      <c r="K489" s="1126"/>
      <c r="L489" s="1507"/>
      <c r="M489" s="372"/>
      <c r="N489" s="112"/>
      <c r="P489" s="522"/>
      <c r="Q489" s="522"/>
    </row>
    <row r="490" spans="2:17" s="3627" customFormat="1" ht="17.25" hidden="1" customHeight="1" x14ac:dyDescent="0.25">
      <c r="B490" s="319"/>
      <c r="C490" s="4770" t="s">
        <v>4305</v>
      </c>
      <c r="D490" s="4666">
        <v>37365250</v>
      </c>
      <c r="E490" s="4847">
        <f t="shared" si="15"/>
        <v>2.5283532809587988E-2</v>
      </c>
      <c r="F490" s="3650"/>
      <c r="G490" s="1126"/>
      <c r="H490" s="1126"/>
      <c r="I490" s="894"/>
      <c r="J490" s="3650"/>
      <c r="K490" s="1126"/>
      <c r="L490" s="1507"/>
      <c r="M490" s="372"/>
      <c r="N490" s="112"/>
      <c r="P490" s="522"/>
      <c r="Q490" s="522"/>
    </row>
    <row r="491" spans="2:17" s="3627" customFormat="1" ht="18" hidden="1" customHeight="1" x14ac:dyDescent="0.25">
      <c r="B491" s="319"/>
      <c r="C491" s="4770" t="s">
        <v>4306</v>
      </c>
      <c r="D491" s="4666">
        <v>52298750</v>
      </c>
      <c r="E491" s="4847">
        <f t="shared" si="15"/>
        <v>3.5388420029986142E-2</v>
      </c>
      <c r="F491" s="3650"/>
      <c r="G491" s="1126"/>
      <c r="H491" s="1126"/>
      <c r="I491" s="894"/>
      <c r="J491" s="3650"/>
      <c r="K491" s="1126"/>
      <c r="L491" s="1507"/>
      <c r="M491" s="372"/>
      <c r="N491" s="112"/>
      <c r="P491" s="522"/>
      <c r="Q491" s="522"/>
    </row>
    <row r="492" spans="2:17" s="3627" customFormat="1" ht="21" hidden="1" customHeight="1" x14ac:dyDescent="0.25">
      <c r="B492" s="319"/>
      <c r="C492" s="4770" t="s">
        <v>4307</v>
      </c>
      <c r="D492" s="4666">
        <v>59770000</v>
      </c>
      <c r="E492" s="4847">
        <f t="shared" si="15"/>
        <v>4.044390860569845E-2</v>
      </c>
      <c r="F492" s="3650"/>
      <c r="G492" s="1126"/>
      <c r="H492" s="1126"/>
      <c r="I492" s="894"/>
      <c r="J492" s="3650"/>
      <c r="K492" s="1126"/>
      <c r="L492" s="1507"/>
      <c r="M492" s="372"/>
      <c r="N492" s="112"/>
      <c r="P492" s="522"/>
      <c r="Q492" s="522"/>
    </row>
    <row r="493" spans="2:17" s="3627" customFormat="1" ht="12" hidden="1" customHeight="1" x14ac:dyDescent="0.25">
      <c r="B493" s="319"/>
      <c r="C493" s="4770"/>
      <c r="D493" s="4666"/>
      <c r="E493" s="4847"/>
      <c r="F493" s="3650"/>
      <c r="G493" s="1126"/>
      <c r="H493" s="1126"/>
      <c r="I493" s="894"/>
      <c r="J493" s="3650"/>
      <c r="K493" s="1126"/>
      <c r="L493" s="1507"/>
      <c r="M493" s="372"/>
      <c r="N493" s="112"/>
      <c r="P493" s="522"/>
      <c r="Q493" s="522"/>
    </row>
    <row r="494" spans="2:17" s="3627" customFormat="1" ht="20.25" hidden="1" customHeight="1" x14ac:dyDescent="0.25">
      <c r="B494" s="319"/>
      <c r="C494" s="4772" t="s">
        <v>4216</v>
      </c>
      <c r="D494" s="4769">
        <v>1750000000</v>
      </c>
      <c r="E494" s="4846">
        <f t="shared" si="15"/>
        <v>1.1841532551442577</v>
      </c>
      <c r="F494" s="3650"/>
      <c r="G494" s="1126"/>
      <c r="H494" s="1126"/>
      <c r="I494" s="894"/>
      <c r="J494" s="3650"/>
      <c r="K494" s="1126"/>
      <c r="L494" s="1507"/>
      <c r="M494" s="372"/>
      <c r="N494" s="112"/>
      <c r="P494" s="522"/>
      <c r="Q494" s="522"/>
    </row>
    <row r="495" spans="2:17" s="3627" customFormat="1" ht="19.5" hidden="1" customHeight="1" x14ac:dyDescent="0.25">
      <c r="B495" s="319"/>
      <c r="C495" s="4697" t="s">
        <v>4308</v>
      </c>
      <c r="D495" s="4669">
        <v>200000000</v>
      </c>
      <c r="E495" s="4847">
        <f t="shared" si="15"/>
        <v>0.13533180058791519</v>
      </c>
      <c r="F495" s="3650"/>
      <c r="G495" s="1126"/>
      <c r="H495" s="1126"/>
      <c r="I495" s="894"/>
      <c r="J495" s="3650"/>
      <c r="K495" s="1126"/>
      <c r="L495" s="1507"/>
      <c r="M495" s="372"/>
      <c r="N495" s="112"/>
      <c r="P495" s="522"/>
      <c r="Q495" s="522"/>
    </row>
    <row r="496" spans="2:17" s="3627" customFormat="1" ht="23.25" hidden="1" customHeight="1" x14ac:dyDescent="0.25">
      <c r="B496" s="319"/>
      <c r="C496" s="4668" t="s">
        <v>4309</v>
      </c>
      <c r="D496" s="4669">
        <v>200000000</v>
      </c>
      <c r="E496" s="4847">
        <f t="shared" si="15"/>
        <v>0.13533180058791519</v>
      </c>
      <c r="F496" s="3650"/>
      <c r="G496" s="1126"/>
      <c r="H496" s="1126"/>
      <c r="I496" s="894"/>
      <c r="J496" s="3650"/>
      <c r="K496" s="1126"/>
      <c r="L496" s="1507"/>
      <c r="M496" s="372"/>
      <c r="N496" s="112"/>
      <c r="P496" s="522"/>
      <c r="Q496" s="522"/>
    </row>
    <row r="497" spans="2:17" s="3627" customFormat="1" ht="19.5" hidden="1" customHeight="1" x14ac:dyDescent="0.25">
      <c r="B497" s="319"/>
      <c r="C497" s="4668" t="s">
        <v>4310</v>
      </c>
      <c r="D497" s="4669">
        <v>200000000</v>
      </c>
      <c r="E497" s="4847">
        <f t="shared" si="15"/>
        <v>0.13533180058791519</v>
      </c>
      <c r="F497" s="3650"/>
      <c r="G497" s="1126"/>
      <c r="H497" s="1126"/>
      <c r="I497" s="894"/>
      <c r="J497" s="3650"/>
      <c r="K497" s="1126"/>
      <c r="L497" s="1507"/>
      <c r="M497" s="372"/>
      <c r="N497" s="112"/>
      <c r="P497" s="522"/>
      <c r="Q497" s="522"/>
    </row>
    <row r="498" spans="2:17" s="3627" customFormat="1" ht="21.75" hidden="1" customHeight="1" x14ac:dyDescent="0.25">
      <c r="B498" s="319"/>
      <c r="C498" s="4668" t="s">
        <v>4311</v>
      </c>
      <c r="D498" s="4669">
        <v>200000000</v>
      </c>
      <c r="E498" s="4847">
        <f t="shared" si="15"/>
        <v>0.13533180058791519</v>
      </c>
      <c r="F498" s="3650"/>
      <c r="G498" s="1126"/>
      <c r="H498" s="1126"/>
      <c r="I498" s="894"/>
      <c r="J498" s="3650"/>
      <c r="K498" s="1126"/>
      <c r="L498" s="1507"/>
      <c r="M498" s="372"/>
      <c r="N498" s="112"/>
      <c r="P498" s="522"/>
      <c r="Q498" s="522"/>
    </row>
    <row r="499" spans="2:17" s="3627" customFormat="1" ht="17.25" hidden="1" customHeight="1" x14ac:dyDescent="0.25">
      <c r="B499" s="319"/>
      <c r="C499" s="4668" t="s">
        <v>4312</v>
      </c>
      <c r="D499" s="4669">
        <v>250000000</v>
      </c>
      <c r="E499" s="4847">
        <f t="shared" si="15"/>
        <v>0.16916475073489395</v>
      </c>
      <c r="F499" s="3650"/>
      <c r="G499" s="1126"/>
      <c r="H499" s="1126"/>
      <c r="I499" s="894"/>
      <c r="J499" s="3650"/>
      <c r="K499" s="1126"/>
      <c r="L499" s="1507"/>
      <c r="M499" s="372"/>
      <c r="N499" s="112"/>
      <c r="P499" s="522"/>
      <c r="Q499" s="522"/>
    </row>
    <row r="500" spans="2:17" s="3627" customFormat="1" ht="19.5" hidden="1" customHeight="1" x14ac:dyDescent="0.25">
      <c r="B500" s="319"/>
      <c r="C500" s="4668" t="s">
        <v>4313</v>
      </c>
      <c r="D500" s="4669">
        <v>100000000</v>
      </c>
      <c r="E500" s="4847">
        <f t="shared" si="15"/>
        <v>6.7665900293957595E-2</v>
      </c>
      <c r="F500" s="3650"/>
      <c r="G500" s="1126"/>
      <c r="H500" s="1126"/>
      <c r="I500" s="894"/>
      <c r="J500" s="3650"/>
      <c r="K500" s="1126"/>
      <c r="L500" s="1507"/>
      <c r="M500" s="372"/>
      <c r="N500" s="112"/>
      <c r="P500" s="522"/>
      <c r="Q500" s="522"/>
    </row>
    <row r="501" spans="2:17" s="3627" customFormat="1" ht="18" hidden="1" customHeight="1" x14ac:dyDescent="0.25">
      <c r="B501" s="319"/>
      <c r="C501" s="4668" t="s">
        <v>4314</v>
      </c>
      <c r="D501" s="4669">
        <v>100000000</v>
      </c>
      <c r="E501" s="4847">
        <f t="shared" si="15"/>
        <v>6.7665900293957595E-2</v>
      </c>
      <c r="F501" s="3650"/>
      <c r="G501" s="1126"/>
      <c r="H501" s="1126"/>
      <c r="I501" s="894"/>
      <c r="J501" s="3650"/>
      <c r="K501" s="1126"/>
      <c r="L501" s="1507"/>
      <c r="M501" s="372"/>
      <c r="N501" s="112"/>
      <c r="P501" s="522"/>
      <c r="Q501" s="522"/>
    </row>
    <row r="502" spans="2:17" s="3627" customFormat="1" ht="17.25" hidden="1" customHeight="1" x14ac:dyDescent="0.25">
      <c r="B502" s="319"/>
      <c r="C502" s="4668" t="s">
        <v>4227</v>
      </c>
      <c r="D502" s="4669">
        <v>100000000</v>
      </c>
      <c r="E502" s="4847">
        <f t="shared" si="15"/>
        <v>6.7665900293957595E-2</v>
      </c>
      <c r="F502" s="3650"/>
      <c r="G502" s="1126"/>
      <c r="H502" s="1126"/>
      <c r="I502" s="894"/>
      <c r="J502" s="3650"/>
      <c r="K502" s="1126"/>
      <c r="L502" s="1507"/>
      <c r="M502" s="372"/>
      <c r="N502" s="112"/>
      <c r="P502" s="522"/>
      <c r="Q502" s="522"/>
    </row>
    <row r="503" spans="2:17" s="3627" customFormat="1" ht="20.25" hidden="1" customHeight="1" x14ac:dyDescent="0.25">
      <c r="B503" s="319"/>
      <c r="C503" s="4668" t="s">
        <v>4226</v>
      </c>
      <c r="D503" s="4669">
        <v>200000000</v>
      </c>
      <c r="E503" s="4847">
        <f t="shared" si="15"/>
        <v>0.13533180058791519</v>
      </c>
      <c r="F503" s="3650"/>
      <c r="G503" s="1126"/>
      <c r="H503" s="1126"/>
      <c r="I503" s="894"/>
      <c r="J503" s="3650"/>
      <c r="K503" s="1126"/>
      <c r="L503" s="1507"/>
      <c r="M503" s="372"/>
      <c r="N503" s="112"/>
      <c r="P503" s="522"/>
      <c r="Q503" s="522"/>
    </row>
    <row r="504" spans="2:17" s="3627" customFormat="1" ht="20.25" hidden="1" customHeight="1" x14ac:dyDescent="0.25">
      <c r="B504" s="319"/>
      <c r="C504" s="4668" t="s">
        <v>4225</v>
      </c>
      <c r="D504" s="4669">
        <v>100000000</v>
      </c>
      <c r="E504" s="4847">
        <f t="shared" si="15"/>
        <v>6.7665900293957595E-2</v>
      </c>
      <c r="F504" s="3650"/>
      <c r="G504" s="1126"/>
      <c r="H504" s="1126"/>
      <c r="I504" s="894"/>
      <c r="J504" s="3650"/>
      <c r="K504" s="1126"/>
      <c r="L504" s="1507"/>
      <c r="M504" s="372"/>
      <c r="N504" s="112"/>
      <c r="P504" s="522"/>
      <c r="Q504" s="522"/>
    </row>
    <row r="505" spans="2:17" s="3627" customFormat="1" ht="16.5" hidden="1" customHeight="1" x14ac:dyDescent="0.25">
      <c r="B505" s="319"/>
      <c r="C505" s="4668" t="s">
        <v>4224</v>
      </c>
      <c r="D505" s="4669">
        <v>100000000</v>
      </c>
      <c r="E505" s="4847">
        <f t="shared" si="15"/>
        <v>6.7665900293957595E-2</v>
      </c>
      <c r="F505" s="3650"/>
      <c r="G505" s="1126"/>
      <c r="H505" s="1126"/>
      <c r="I505" s="894"/>
      <c r="J505" s="3650"/>
      <c r="K505" s="1126"/>
      <c r="L505" s="1507"/>
      <c r="M505" s="372"/>
      <c r="N505" s="112"/>
      <c r="P505" s="522"/>
      <c r="Q505" s="522"/>
    </row>
    <row r="506" spans="2:17" s="3627" customFormat="1" ht="12" hidden="1" customHeight="1" x14ac:dyDescent="0.25">
      <c r="B506" s="319"/>
      <c r="C506" s="4705"/>
      <c r="D506" s="4998"/>
      <c r="E506" s="4667"/>
      <c r="F506" s="3640"/>
      <c r="G506" s="1450"/>
      <c r="H506" s="2284"/>
      <c r="I506" s="791"/>
      <c r="J506" s="3640"/>
      <c r="K506" s="1450"/>
      <c r="L506" s="2389"/>
      <c r="M506" s="363"/>
      <c r="N506" s="3566"/>
      <c r="P506" s="522"/>
      <c r="Q506" s="522"/>
    </row>
    <row r="507" spans="2:17" s="4099" customFormat="1" ht="23.25" hidden="1" customHeight="1" x14ac:dyDescent="0.25">
      <c r="B507" s="312"/>
      <c r="C507" s="4684" t="s">
        <v>270</v>
      </c>
      <c r="D507" s="5000">
        <f>D508</f>
        <v>1450000000</v>
      </c>
      <c r="E507" s="4845">
        <f>D507/147784925000*100</f>
        <v>0.98115555426238499</v>
      </c>
      <c r="F507" s="3585"/>
      <c r="G507" s="3605"/>
      <c r="H507" s="3605"/>
      <c r="I507" s="2845"/>
      <c r="J507" s="3585"/>
      <c r="K507" s="3605"/>
      <c r="L507" s="3569"/>
      <c r="M507" s="3571"/>
      <c r="N507" s="3565"/>
      <c r="P507" s="522"/>
      <c r="Q507" s="522"/>
    </row>
    <row r="508" spans="2:17" s="4099" customFormat="1" ht="19.5" hidden="1" customHeight="1" x14ac:dyDescent="0.25">
      <c r="B508" s="319"/>
      <c r="C508" s="4723" t="s">
        <v>4231</v>
      </c>
      <c r="D508" s="5345">
        <v>1450000000</v>
      </c>
      <c r="E508" s="4846">
        <f>D508/147784925000*100</f>
        <v>0.98115555426238499</v>
      </c>
      <c r="F508" s="3640"/>
      <c r="G508" s="1450"/>
      <c r="H508" s="2284"/>
      <c r="I508" s="791"/>
      <c r="J508" s="3640"/>
      <c r="K508" s="1450"/>
      <c r="L508" s="2389"/>
      <c r="M508" s="363"/>
      <c r="N508" s="3566"/>
      <c r="P508" s="522"/>
      <c r="Q508" s="522"/>
    </row>
    <row r="509" spans="2:17" s="4099" customFormat="1" ht="18" hidden="1" customHeight="1" x14ac:dyDescent="0.25">
      <c r="B509" s="319"/>
      <c r="C509" s="4766" t="s">
        <v>4232</v>
      </c>
      <c r="D509" s="4666">
        <v>1450000000</v>
      </c>
      <c r="E509" s="4847">
        <f>D509/147784925000*100</f>
        <v>0.98115555426238499</v>
      </c>
      <c r="F509" s="3650"/>
      <c r="G509" s="1126"/>
      <c r="H509" s="1126"/>
      <c r="I509" s="894"/>
      <c r="J509" s="3650"/>
      <c r="K509" s="1126"/>
      <c r="L509" s="1507"/>
      <c r="M509" s="372"/>
      <c r="N509" s="112"/>
      <c r="P509" s="522"/>
      <c r="Q509" s="522"/>
    </row>
    <row r="510" spans="2:17" s="4099" customFormat="1" ht="12" hidden="1" customHeight="1" x14ac:dyDescent="0.25">
      <c r="B510" s="319"/>
      <c r="C510" s="4705"/>
      <c r="D510" s="4998"/>
      <c r="E510" s="4667"/>
      <c r="F510" s="3640"/>
      <c r="G510" s="1450"/>
      <c r="H510" s="2284"/>
      <c r="I510" s="791"/>
      <c r="J510" s="3640"/>
      <c r="K510" s="1450"/>
      <c r="L510" s="2389"/>
      <c r="M510" s="363"/>
      <c r="N510" s="3566"/>
      <c r="P510" s="522"/>
      <c r="Q510" s="522"/>
    </row>
    <row r="511" spans="2:17" s="3627" customFormat="1" ht="17.25" hidden="1" customHeight="1" x14ac:dyDescent="0.25">
      <c r="B511" s="312"/>
      <c r="C511" s="4684" t="s">
        <v>4248</v>
      </c>
      <c r="D511" s="5000">
        <f>D512</f>
        <v>200000000</v>
      </c>
      <c r="E511" s="4845">
        <f>D511/147784925000*100</f>
        <v>0.13533180058791519</v>
      </c>
      <c r="F511" s="3585"/>
      <c r="G511" s="3605"/>
      <c r="H511" s="3605"/>
      <c r="I511" s="2845"/>
      <c r="J511" s="3585"/>
      <c r="K511" s="3605"/>
      <c r="L511" s="3569"/>
      <c r="M511" s="3571"/>
      <c r="N511" s="3565"/>
      <c r="O511" s="3646"/>
      <c r="P511" s="3568"/>
      <c r="Q511" s="522"/>
    </row>
    <row r="512" spans="2:17" s="3627" customFormat="1" ht="21" hidden="1" customHeight="1" x14ac:dyDescent="0.25">
      <c r="B512" s="319"/>
      <c r="C512" s="4657" t="s">
        <v>4254</v>
      </c>
      <c r="D512" s="5001">
        <f>D513</f>
        <v>200000000</v>
      </c>
      <c r="E512" s="4846">
        <f>D512/147784925000*100</f>
        <v>0.13533180058791519</v>
      </c>
      <c r="F512" s="3640"/>
      <c r="G512" s="1450"/>
      <c r="H512" s="2284"/>
      <c r="I512" s="791"/>
      <c r="J512" s="3640"/>
      <c r="K512" s="1450"/>
      <c r="L512" s="2389"/>
      <c r="M512" s="363"/>
      <c r="N512" s="3566"/>
      <c r="P512" s="522"/>
      <c r="Q512" s="522"/>
    </row>
    <row r="513" spans="2:17" s="3627" customFormat="1" ht="21" hidden="1" customHeight="1" x14ac:dyDescent="0.25">
      <c r="B513" s="319"/>
      <c r="C513" s="4668" t="s">
        <v>4256</v>
      </c>
      <c r="D513" s="5002">
        <v>200000000</v>
      </c>
      <c r="E513" s="4847">
        <f>D513/147784925000*100</f>
        <v>0.13533180058791519</v>
      </c>
      <c r="F513" s="3650"/>
      <c r="G513" s="1126"/>
      <c r="H513" s="1126"/>
      <c r="I513" s="894"/>
      <c r="J513" s="3650"/>
      <c r="K513" s="1126"/>
      <c r="L513" s="1507"/>
      <c r="M513" s="372"/>
      <c r="N513" s="112"/>
      <c r="P513" s="522"/>
      <c r="Q513" s="522"/>
    </row>
    <row r="514" spans="2:17" s="3627" customFormat="1" ht="12" hidden="1" customHeight="1" x14ac:dyDescent="0.25">
      <c r="B514" s="319"/>
      <c r="C514" s="4705"/>
      <c r="D514" s="4998"/>
      <c r="E514" s="4667"/>
      <c r="F514" s="3640"/>
      <c r="G514" s="1450"/>
      <c r="H514" s="2284"/>
      <c r="I514" s="791"/>
      <c r="J514" s="3640"/>
      <c r="K514" s="1450"/>
      <c r="L514" s="2389"/>
      <c r="M514" s="363"/>
      <c r="N514" s="639"/>
      <c r="P514" s="522"/>
      <c r="Q514" s="522"/>
    </row>
    <row r="515" spans="2:17" ht="20.25" hidden="1" customHeight="1" x14ac:dyDescent="0.25">
      <c r="B515" s="312"/>
      <c r="C515" s="4684" t="s">
        <v>994</v>
      </c>
      <c r="D515" s="4714">
        <f>SUM(D516)</f>
        <v>1674076000</v>
      </c>
      <c r="E515" s="4845">
        <f>D515/147784925000*100</f>
        <v>1.1327785970050734</v>
      </c>
      <c r="F515" s="765"/>
      <c r="G515" s="765"/>
      <c r="H515" s="807"/>
      <c r="I515" s="807"/>
      <c r="J515" s="765"/>
      <c r="K515" s="765"/>
      <c r="L515" s="1656"/>
      <c r="M515" s="364"/>
      <c r="N515" s="232"/>
    </row>
    <row r="516" spans="2:17" ht="19.5" hidden="1" customHeight="1" x14ac:dyDescent="0.25">
      <c r="B516" s="503"/>
      <c r="C516" s="4752" t="s">
        <v>995</v>
      </c>
      <c r="D516" s="4775">
        <f>SUM(D517:D517)</f>
        <v>1674076000</v>
      </c>
      <c r="E516" s="4846">
        <f>D516/147784925000*100</f>
        <v>1.1327785970050734</v>
      </c>
      <c r="F516" s="1012"/>
      <c r="G516" s="1012"/>
      <c r="H516" s="1012"/>
      <c r="I516" s="1012"/>
      <c r="J516" s="1012"/>
      <c r="K516" s="1012"/>
      <c r="L516" s="2448"/>
      <c r="M516" s="382"/>
      <c r="N516" s="232"/>
    </row>
    <row r="517" spans="2:17" ht="22.5" hidden="1" customHeight="1" x14ac:dyDescent="0.25">
      <c r="B517" s="319"/>
      <c r="C517" s="4770" t="s">
        <v>4259</v>
      </c>
      <c r="D517" s="4774">
        <f>1000000000+674076000</f>
        <v>1674076000</v>
      </c>
      <c r="E517" s="4847">
        <f>D517/147784925000*100</f>
        <v>1.1327785970050734</v>
      </c>
      <c r="F517" s="891"/>
      <c r="G517" s="805"/>
      <c r="H517" s="805"/>
      <c r="I517" s="805"/>
      <c r="J517" s="891"/>
      <c r="K517" s="1355"/>
      <c r="L517" s="1310"/>
      <c r="M517" s="379"/>
      <c r="N517" s="232"/>
    </row>
    <row r="518" spans="2:17" ht="12" hidden="1" customHeight="1" x14ac:dyDescent="0.25">
      <c r="B518" s="319"/>
      <c r="C518" s="4710"/>
      <c r="D518" s="4776"/>
      <c r="E518" s="4667"/>
      <c r="F518" s="1382"/>
      <c r="G518" s="853"/>
      <c r="H518" s="940"/>
      <c r="I518" s="940"/>
      <c r="J518" s="2368"/>
      <c r="K518" s="2368"/>
      <c r="L518" s="2332"/>
      <c r="M518" s="565"/>
      <c r="N518" s="232"/>
    </row>
    <row r="519" spans="2:17" s="269" customFormat="1" ht="20.25" customHeight="1" x14ac:dyDescent="0.25">
      <c r="B519" s="616"/>
      <c r="C519" s="4655" t="s">
        <v>617</v>
      </c>
      <c r="D519" s="5003">
        <f>SUM(D521+D587+D591+D597+D601)</f>
        <v>18536772733</v>
      </c>
      <c r="E519" s="4889">
        <f>D519/D45*100</f>
        <v>4.953305485702578</v>
      </c>
      <c r="F519" s="3660"/>
      <c r="G519" s="3119"/>
      <c r="H519" s="2505"/>
      <c r="I519" s="2506"/>
      <c r="J519" s="2765"/>
      <c r="K519" s="3119"/>
      <c r="L519" s="1471"/>
      <c r="M519" s="617"/>
      <c r="N519" s="268"/>
      <c r="P519" s="2069"/>
      <c r="Q519" s="2069"/>
    </row>
    <row r="520" spans="2:17" ht="8.25" hidden="1" customHeight="1" x14ac:dyDescent="0.25">
      <c r="B520" s="314"/>
      <c r="C520" s="4650"/>
      <c r="D520" s="5004"/>
      <c r="E520" s="4777"/>
      <c r="F520" s="3661"/>
      <c r="G520" s="886"/>
      <c r="H520" s="1928"/>
      <c r="I520" s="791"/>
      <c r="J520" s="1651"/>
      <c r="K520" s="1651"/>
      <c r="L520" s="2182"/>
      <c r="M520" s="363"/>
      <c r="N520" s="232"/>
    </row>
    <row r="521" spans="2:17" ht="18.75" hidden="1" customHeight="1" x14ac:dyDescent="0.25">
      <c r="B521" s="312"/>
      <c r="C521" s="4778" t="s">
        <v>357</v>
      </c>
      <c r="D521" s="4779">
        <f>SUM(D522+D528+D531+D534+D537+D541+D550+D553+D567+D571+D574+D580+D584)</f>
        <v>12573300000</v>
      </c>
      <c r="E521" s="4780">
        <f>D521/146478382000*100</f>
        <v>8.5837239791466295</v>
      </c>
      <c r="F521" s="3662"/>
      <c r="G521" s="1030"/>
      <c r="H521" s="1913"/>
      <c r="I521" s="1645"/>
      <c r="J521" s="1030"/>
      <c r="K521" s="1030"/>
      <c r="L521" s="1913"/>
      <c r="M521" s="555"/>
      <c r="N521" s="232"/>
    </row>
    <row r="522" spans="2:17" ht="21" hidden="1" customHeight="1" x14ac:dyDescent="0.25">
      <c r="B522" s="319"/>
      <c r="C522" s="4781" t="s">
        <v>3846</v>
      </c>
      <c r="D522" s="4782">
        <f>SUM(D523:D526)</f>
        <v>6850000000</v>
      </c>
      <c r="E522" s="4783">
        <f>D522/146478382000*100</f>
        <v>4.6764579909136348</v>
      </c>
      <c r="F522" s="1033"/>
      <c r="G522" s="966"/>
      <c r="H522" s="1023"/>
      <c r="I522" s="2418"/>
      <c r="J522" s="1033"/>
      <c r="K522" s="1033"/>
      <c r="L522" s="2410"/>
      <c r="M522" s="552"/>
      <c r="N522" s="232"/>
    </row>
    <row r="523" spans="2:17" ht="26.25" hidden="1" customHeight="1" x14ac:dyDescent="0.25">
      <c r="B523" s="319"/>
      <c r="C523" s="4784" t="s">
        <v>3847</v>
      </c>
      <c r="D523" s="4648">
        <v>1000000000</v>
      </c>
      <c r="E523" s="4785">
        <f>D523/146478382000*100</f>
        <v>0.68269459721366943</v>
      </c>
      <c r="F523" s="939"/>
      <c r="G523" s="967"/>
      <c r="H523" s="1070"/>
      <c r="I523" s="967"/>
      <c r="J523" s="939"/>
      <c r="K523" s="1312"/>
      <c r="L523" s="1310"/>
      <c r="M523" s="385"/>
      <c r="N523" s="232"/>
    </row>
    <row r="524" spans="2:17" ht="24" hidden="1" customHeight="1" x14ac:dyDescent="0.25">
      <c r="B524" s="319"/>
      <c r="C524" s="4786" t="s">
        <v>4110</v>
      </c>
      <c r="D524" s="4648">
        <v>5000000000</v>
      </c>
      <c r="E524" s="4785">
        <f t="shared" ref="E524:E601" si="16">D524/146478382000*100</f>
        <v>3.413472986068347</v>
      </c>
      <c r="F524" s="939"/>
      <c r="G524" s="1034"/>
      <c r="H524" s="1310"/>
      <c r="I524" s="1314"/>
      <c r="J524" s="1651"/>
      <c r="K524" s="1651"/>
      <c r="L524" s="2416"/>
      <c r="M524" s="358"/>
      <c r="N524" s="232"/>
    </row>
    <row r="525" spans="2:17" ht="21.75" hidden="1" customHeight="1" x14ac:dyDescent="0.25">
      <c r="B525" s="319"/>
      <c r="C525" s="4786" t="s">
        <v>3849</v>
      </c>
      <c r="D525" s="4648">
        <v>500000000</v>
      </c>
      <c r="E525" s="4785">
        <f t="shared" si="16"/>
        <v>0.34134729860683471</v>
      </c>
      <c r="F525" s="1033"/>
      <c r="G525" s="1035"/>
      <c r="H525" s="1023"/>
      <c r="I525" s="966"/>
      <c r="J525" s="1033"/>
      <c r="K525" s="1033"/>
      <c r="L525" s="2410"/>
      <c r="M525" s="552"/>
      <c r="N525" s="232"/>
    </row>
    <row r="526" spans="2:17" ht="24.75" hidden="1" customHeight="1" x14ac:dyDescent="0.25">
      <c r="B526" s="319"/>
      <c r="C526" s="4786" t="s">
        <v>3850</v>
      </c>
      <c r="D526" s="4648">
        <v>350000000</v>
      </c>
      <c r="E526" s="4785">
        <f t="shared" si="16"/>
        <v>0.23894310902478427</v>
      </c>
      <c r="F526" s="939"/>
      <c r="G526" s="1036"/>
      <c r="H526" s="1070"/>
      <c r="I526" s="967"/>
      <c r="J526" s="939"/>
      <c r="K526" s="1312"/>
      <c r="L526" s="1310"/>
      <c r="M526" s="385"/>
      <c r="N526" s="232"/>
    </row>
    <row r="527" spans="2:17" ht="15" hidden="1" customHeight="1" x14ac:dyDescent="0.25">
      <c r="B527" s="319"/>
      <c r="C527" s="4786"/>
      <c r="D527" s="4648"/>
      <c r="E527" s="4785"/>
      <c r="F527" s="939"/>
      <c r="G527" s="1034"/>
      <c r="H527" s="1310"/>
      <c r="I527" s="1314"/>
      <c r="J527" s="666"/>
      <c r="K527" s="1111"/>
      <c r="L527" s="2411"/>
      <c r="M527" s="385"/>
      <c r="N527" s="232"/>
    </row>
    <row r="528" spans="2:17" ht="20.25" hidden="1" customHeight="1" x14ac:dyDescent="0.25">
      <c r="B528" s="319"/>
      <c r="C528" s="4787" t="s">
        <v>3851</v>
      </c>
      <c r="D528" s="4782">
        <f>SUM(D529)</f>
        <v>100000000</v>
      </c>
      <c r="E528" s="4783">
        <f t="shared" si="16"/>
        <v>6.8269459721366943E-2</v>
      </c>
      <c r="F528" s="1033"/>
      <c r="G528" s="1033"/>
      <c r="H528" s="1023"/>
      <c r="I528" s="1316"/>
      <c r="J528" s="1033"/>
      <c r="K528" s="1033"/>
      <c r="L528" s="2410"/>
      <c r="M528" s="552"/>
      <c r="N528" s="232"/>
    </row>
    <row r="529" spans="2:14" ht="27.75" hidden="1" customHeight="1" x14ac:dyDescent="0.25">
      <c r="B529" s="319"/>
      <c r="C529" s="4784" t="s">
        <v>3852</v>
      </c>
      <c r="D529" s="4648">
        <v>100000000</v>
      </c>
      <c r="E529" s="4785">
        <f t="shared" si="16"/>
        <v>6.8269459721366943E-2</v>
      </c>
      <c r="F529" s="939"/>
      <c r="G529" s="963"/>
      <c r="H529" s="1070"/>
      <c r="I529" s="1111"/>
      <c r="J529" s="1312"/>
      <c r="K529" s="1312"/>
      <c r="L529" s="1310"/>
      <c r="M529" s="385"/>
      <c r="N529" s="232"/>
    </row>
    <row r="530" spans="2:14" ht="12.75" hidden="1" customHeight="1" x14ac:dyDescent="0.25">
      <c r="B530" s="319"/>
      <c r="C530" s="4786"/>
      <c r="D530" s="4648"/>
      <c r="E530" s="4785"/>
      <c r="F530" s="939"/>
      <c r="G530" s="1034"/>
      <c r="H530" s="1310"/>
      <c r="I530" s="1314"/>
      <c r="J530" s="666"/>
      <c r="K530" s="1111"/>
      <c r="L530" s="2411"/>
      <c r="M530" s="385"/>
      <c r="N530" s="232"/>
    </row>
    <row r="531" spans="2:14" ht="23.25" hidden="1" customHeight="1" x14ac:dyDescent="0.25">
      <c r="B531" s="319"/>
      <c r="C531" s="4787" t="s">
        <v>565</v>
      </c>
      <c r="D531" s="4782">
        <f>SUM(D532)</f>
        <v>100000000</v>
      </c>
      <c r="E531" s="4783">
        <f t="shared" si="16"/>
        <v>6.8269459721366943E-2</v>
      </c>
      <c r="F531" s="1033"/>
      <c r="G531" s="966"/>
      <c r="H531" s="966"/>
      <c r="I531" s="966"/>
      <c r="J531" s="1033"/>
      <c r="K531" s="1033"/>
      <c r="L531" s="2410"/>
      <c r="M531" s="552"/>
      <c r="N531" s="232"/>
    </row>
    <row r="532" spans="2:14" ht="33.75" hidden="1" customHeight="1" x14ac:dyDescent="0.25">
      <c r="B532" s="319"/>
      <c r="C532" s="4784" t="s">
        <v>3854</v>
      </c>
      <c r="D532" s="4648">
        <v>100000000</v>
      </c>
      <c r="E532" s="4785">
        <f t="shared" si="16"/>
        <v>6.8269459721366943E-2</v>
      </c>
      <c r="F532" s="939"/>
      <c r="G532" s="967"/>
      <c r="H532" s="967"/>
      <c r="I532" s="967"/>
      <c r="J532" s="939"/>
      <c r="K532" s="971"/>
      <c r="L532" s="971"/>
      <c r="M532" s="684"/>
      <c r="N532" s="232"/>
    </row>
    <row r="533" spans="2:14" ht="15" hidden="1" customHeight="1" x14ac:dyDescent="0.25">
      <c r="B533" s="319"/>
      <c r="C533" s="4786"/>
      <c r="D533" s="4648"/>
      <c r="E533" s="4785"/>
      <c r="F533" s="939"/>
      <c r="G533" s="971"/>
      <c r="H533" s="971"/>
      <c r="I533" s="971"/>
      <c r="J533" s="939"/>
      <c r="K533" s="1312"/>
      <c r="L533" s="1310"/>
      <c r="M533" s="385"/>
      <c r="N533" s="232"/>
    </row>
    <row r="534" spans="2:14" ht="20.25" hidden="1" customHeight="1" x14ac:dyDescent="0.25">
      <c r="B534" s="319"/>
      <c r="C534" s="4787" t="s">
        <v>273</v>
      </c>
      <c r="D534" s="4782">
        <f>SUM(D535:D535)</f>
        <v>200000000</v>
      </c>
      <c r="E534" s="4783">
        <f t="shared" si="16"/>
        <v>0.13653891944273389</v>
      </c>
      <c r="F534" s="939"/>
      <c r="G534" s="967"/>
      <c r="H534" s="967"/>
      <c r="I534" s="967"/>
      <c r="J534" s="666"/>
      <c r="K534" s="755"/>
      <c r="L534" s="1716"/>
      <c r="M534" s="357"/>
      <c r="N534" s="232"/>
    </row>
    <row r="535" spans="2:14" ht="17.25" hidden="1" customHeight="1" x14ac:dyDescent="0.25">
      <c r="B535" s="319"/>
      <c r="C535" s="4784" t="s">
        <v>345</v>
      </c>
      <c r="D535" s="4648">
        <v>200000000</v>
      </c>
      <c r="E535" s="4785">
        <f t="shared" si="16"/>
        <v>0.13653891944273389</v>
      </c>
      <c r="F535" s="1033"/>
      <c r="G535" s="966"/>
      <c r="H535" s="966"/>
      <c r="I535" s="966"/>
      <c r="J535" s="1033"/>
      <c r="K535" s="1033"/>
      <c r="L535" s="2410"/>
      <c r="M535" s="552"/>
      <c r="N535" s="232"/>
    </row>
    <row r="536" spans="2:14" ht="15.75" hidden="1" customHeight="1" x14ac:dyDescent="0.25">
      <c r="B536" s="319"/>
      <c r="C536" s="4786"/>
      <c r="D536" s="4648"/>
      <c r="E536" s="4785"/>
      <c r="F536" s="939"/>
      <c r="G536" s="971"/>
      <c r="H536" s="971"/>
      <c r="I536" s="971"/>
      <c r="J536" s="939"/>
      <c r="K536" s="1312"/>
      <c r="L536" s="1310"/>
      <c r="M536" s="385"/>
      <c r="N536" s="232"/>
    </row>
    <row r="537" spans="2:14" ht="26.25" hidden="1" customHeight="1" x14ac:dyDescent="0.25">
      <c r="B537" s="319"/>
      <c r="C537" s="4787" t="s">
        <v>3855</v>
      </c>
      <c r="D537" s="4782">
        <f>SUM(D538:D539)</f>
        <v>200000000</v>
      </c>
      <c r="E537" s="4783">
        <f t="shared" si="16"/>
        <v>0.13653891944273389</v>
      </c>
      <c r="F537" s="939"/>
      <c r="G537" s="971"/>
      <c r="H537" s="971"/>
      <c r="I537" s="971"/>
      <c r="J537" s="939"/>
      <c r="K537" s="971"/>
      <c r="L537" s="971"/>
      <c r="M537" s="684"/>
      <c r="N537" s="232"/>
    </row>
    <row r="538" spans="2:14" ht="25.5" hidden="1" customHeight="1" x14ac:dyDescent="0.25">
      <c r="B538" s="319"/>
      <c r="C538" s="4784" t="s">
        <v>3856</v>
      </c>
      <c r="D538" s="4648">
        <v>100000000</v>
      </c>
      <c r="E538" s="4785">
        <f t="shared" si="16"/>
        <v>6.8269459721366943E-2</v>
      </c>
      <c r="F538" s="939"/>
      <c r="G538" s="1037"/>
      <c r="H538" s="1037"/>
      <c r="I538" s="1037"/>
      <c r="J538" s="939"/>
      <c r="K538" s="1111"/>
      <c r="L538" s="2411"/>
      <c r="M538" s="385"/>
      <c r="N538" s="232"/>
    </row>
    <row r="539" spans="2:14" ht="21" hidden="1" customHeight="1" x14ac:dyDescent="0.25">
      <c r="B539" s="319"/>
      <c r="C539" s="4786" t="s">
        <v>4109</v>
      </c>
      <c r="D539" s="4648">
        <v>100000000</v>
      </c>
      <c r="E539" s="4785">
        <f t="shared" si="16"/>
        <v>6.8269459721366943E-2</v>
      </c>
      <c r="F539" s="1033"/>
      <c r="G539" s="966"/>
      <c r="H539" s="966"/>
      <c r="I539" s="966"/>
      <c r="J539" s="1033"/>
      <c r="K539" s="966"/>
      <c r="L539" s="966"/>
      <c r="M539" s="728"/>
      <c r="N539" s="232"/>
    </row>
    <row r="540" spans="2:14" ht="14.25" hidden="1" customHeight="1" x14ac:dyDescent="0.25">
      <c r="B540" s="319"/>
      <c r="C540" s="4786"/>
      <c r="D540" s="4648"/>
      <c r="E540" s="4785"/>
      <c r="F540" s="939"/>
      <c r="G540" s="967"/>
      <c r="H540" s="967"/>
      <c r="I540" s="967"/>
      <c r="J540" s="939"/>
      <c r="K540" s="967"/>
      <c r="L540" s="967"/>
      <c r="M540" s="618"/>
      <c r="N540" s="232"/>
    </row>
    <row r="541" spans="2:14" ht="21" hidden="1" customHeight="1" x14ac:dyDescent="0.25">
      <c r="B541" s="319"/>
      <c r="C541" s="4787" t="s">
        <v>1564</v>
      </c>
      <c r="D541" s="4782">
        <f>SUM(D542:D548)</f>
        <v>700000000</v>
      </c>
      <c r="E541" s="4783">
        <f t="shared" si="16"/>
        <v>0.47788621804956855</v>
      </c>
      <c r="F541" s="939"/>
      <c r="G541" s="1037"/>
      <c r="H541" s="1037"/>
      <c r="I541" s="1037"/>
      <c r="J541" s="939"/>
      <c r="K541" s="1111"/>
      <c r="L541" s="2411"/>
      <c r="M541" s="385"/>
      <c r="N541" s="232"/>
    </row>
    <row r="542" spans="2:14" ht="20.25" hidden="1" customHeight="1" x14ac:dyDescent="0.25">
      <c r="B542" s="319"/>
      <c r="C542" s="4784" t="s">
        <v>3858</v>
      </c>
      <c r="D542" s="4648">
        <v>100000000</v>
      </c>
      <c r="E542" s="4785">
        <f t="shared" si="16"/>
        <v>6.8269459721366943E-2</v>
      </c>
      <c r="F542" s="1033"/>
      <c r="G542" s="966"/>
      <c r="H542" s="966"/>
      <c r="I542" s="966"/>
      <c r="J542" s="1033"/>
      <c r="K542" s="1033"/>
      <c r="L542" s="2410"/>
      <c r="M542" s="552"/>
      <c r="N542" s="232"/>
    </row>
    <row r="543" spans="2:14" ht="20.25" hidden="1" customHeight="1" x14ac:dyDescent="0.25">
      <c r="B543" s="319"/>
      <c r="C543" s="4786" t="s">
        <v>3859</v>
      </c>
      <c r="D543" s="4648">
        <v>100000000</v>
      </c>
      <c r="E543" s="4785">
        <f t="shared" si="16"/>
        <v>6.8269459721366943E-2</v>
      </c>
      <c r="F543" s="939"/>
      <c r="G543" s="967"/>
      <c r="H543" s="967"/>
      <c r="I543" s="967"/>
      <c r="J543" s="939"/>
      <c r="K543" s="1312"/>
      <c r="L543" s="1310"/>
      <c r="M543" s="557"/>
      <c r="N543" s="232"/>
    </row>
    <row r="544" spans="2:14" ht="21" hidden="1" customHeight="1" x14ac:dyDescent="0.25">
      <c r="B544" s="319"/>
      <c r="C544" s="4786" t="s">
        <v>3860</v>
      </c>
      <c r="D544" s="4648">
        <v>100000000</v>
      </c>
      <c r="E544" s="4785">
        <f t="shared" si="16"/>
        <v>6.8269459721366943E-2</v>
      </c>
      <c r="F544" s="939"/>
      <c r="G544" s="1037"/>
      <c r="H544" s="1310"/>
      <c r="I544" s="1314"/>
      <c r="J544" s="3120"/>
      <c r="K544" s="894"/>
      <c r="L544" s="1312"/>
      <c r="M544" s="557"/>
      <c r="N544" s="232"/>
    </row>
    <row r="545" spans="2:17" ht="27" hidden="1" customHeight="1" x14ac:dyDescent="0.25">
      <c r="B545" s="319"/>
      <c r="C545" s="4786" t="s">
        <v>3861</v>
      </c>
      <c r="D545" s="4648">
        <v>100000000</v>
      </c>
      <c r="E545" s="4785">
        <f t="shared" si="16"/>
        <v>6.8269459721366943E-2</v>
      </c>
      <c r="F545" s="1033"/>
      <c r="G545" s="1379"/>
      <c r="H545" s="1379"/>
      <c r="I545" s="1379"/>
      <c r="J545" s="1033"/>
      <c r="K545" s="1033"/>
      <c r="L545" s="2410"/>
      <c r="M545" s="552"/>
      <c r="N545" s="232"/>
    </row>
    <row r="546" spans="2:17" ht="29.25" hidden="1" customHeight="1" x14ac:dyDescent="0.25">
      <c r="B546" s="319"/>
      <c r="C546" s="4786" t="s">
        <v>3862</v>
      </c>
      <c r="D546" s="4648">
        <v>100000000</v>
      </c>
      <c r="E546" s="4785">
        <f t="shared" si="16"/>
        <v>6.8269459721366943E-2</v>
      </c>
      <c r="F546" s="939"/>
      <c r="G546" s="967"/>
      <c r="H546" s="967"/>
      <c r="I546" s="967"/>
      <c r="J546" s="1312"/>
      <c r="K546" s="1312"/>
      <c r="L546" s="1310"/>
      <c r="M546" s="385"/>
      <c r="N546" s="232"/>
    </row>
    <row r="547" spans="2:17" ht="27.75" hidden="1" customHeight="1" x14ac:dyDescent="0.25">
      <c r="B547" s="319"/>
      <c r="C547" s="4786" t="s">
        <v>3863</v>
      </c>
      <c r="D547" s="4648">
        <v>100000000</v>
      </c>
      <c r="E547" s="4785">
        <f t="shared" si="16"/>
        <v>6.8269459721366943E-2</v>
      </c>
      <c r="F547" s="939"/>
      <c r="G547" s="967"/>
      <c r="H547" s="967"/>
      <c r="I547" s="967"/>
      <c r="J547" s="1312"/>
      <c r="K547" s="1312"/>
      <c r="L547" s="1310"/>
      <c r="M547" s="385"/>
      <c r="N547" s="232"/>
    </row>
    <row r="548" spans="2:17" ht="20.25" hidden="1" customHeight="1" x14ac:dyDescent="0.25">
      <c r="B548" s="319"/>
      <c r="C548" s="4786" t="s">
        <v>3864</v>
      </c>
      <c r="D548" s="4648">
        <v>100000000</v>
      </c>
      <c r="E548" s="4785">
        <f t="shared" si="16"/>
        <v>6.8269459721366943E-2</v>
      </c>
      <c r="F548" s="939"/>
      <c r="G548" s="967"/>
      <c r="H548" s="967"/>
      <c r="I548" s="967"/>
      <c r="J548" s="1312"/>
      <c r="K548" s="1312"/>
      <c r="L548" s="1310"/>
      <c r="M548" s="385"/>
      <c r="N548" s="232"/>
    </row>
    <row r="549" spans="2:17" ht="16.5" hidden="1" customHeight="1" x14ac:dyDescent="0.25">
      <c r="B549" s="319"/>
      <c r="C549" s="4786"/>
      <c r="D549" s="4648"/>
      <c r="E549" s="4785"/>
      <c r="F549" s="939"/>
      <c r="G549" s="967"/>
      <c r="H549" s="967"/>
      <c r="I549" s="967"/>
      <c r="J549" s="1312"/>
      <c r="K549" s="1312"/>
      <c r="L549" s="1310"/>
      <c r="M549" s="385"/>
      <c r="N549" s="232"/>
    </row>
    <row r="550" spans="2:17" ht="22.5" hidden="1" customHeight="1" x14ac:dyDescent="0.25">
      <c r="B550" s="319"/>
      <c r="C550" s="4787" t="s">
        <v>1567</v>
      </c>
      <c r="D550" s="4782">
        <f>SUM(D551)</f>
        <v>100000000</v>
      </c>
      <c r="E550" s="4783">
        <f t="shared" si="16"/>
        <v>6.8269459721366943E-2</v>
      </c>
      <c r="F550" s="939"/>
      <c r="G550" s="1037"/>
      <c r="H550" s="1037"/>
      <c r="I550" s="1037"/>
      <c r="J550" s="3120"/>
      <c r="K550" s="894"/>
      <c r="L550" s="1312"/>
      <c r="M550" s="557"/>
      <c r="N550" s="232"/>
    </row>
    <row r="551" spans="2:17" ht="22.5" hidden="1" customHeight="1" x14ac:dyDescent="0.25">
      <c r="B551" s="319"/>
      <c r="C551" s="4784" t="s">
        <v>3865</v>
      </c>
      <c r="D551" s="4648">
        <v>100000000</v>
      </c>
      <c r="E551" s="4785">
        <f t="shared" si="16"/>
        <v>6.8269459721366943E-2</v>
      </c>
      <c r="F551" s="1033"/>
      <c r="G551" s="966"/>
      <c r="H551" s="966"/>
      <c r="I551" s="966"/>
      <c r="J551" s="1033"/>
      <c r="K551" s="1033"/>
      <c r="L551" s="2410"/>
      <c r="M551" s="552"/>
      <c r="N551" s="232"/>
    </row>
    <row r="552" spans="2:17" ht="14.25" hidden="1" customHeight="1" x14ac:dyDescent="0.25">
      <c r="B552" s="319"/>
      <c r="C552" s="4786"/>
      <c r="D552" s="4648"/>
      <c r="E552" s="4785"/>
      <c r="F552" s="939"/>
      <c r="G552" s="967"/>
      <c r="H552" s="967"/>
      <c r="I552" s="967"/>
      <c r="J552" s="939"/>
      <c r="K552" s="1312"/>
      <c r="L552" s="1310"/>
      <c r="M552" s="385"/>
      <c r="N552" s="232"/>
    </row>
    <row r="553" spans="2:17" ht="33.75" hidden="1" customHeight="1" x14ac:dyDescent="0.25">
      <c r="B553" s="319"/>
      <c r="C553" s="4787" t="s">
        <v>3866</v>
      </c>
      <c r="D553" s="4782">
        <f>SUM(D554:D565)</f>
        <v>1978000000</v>
      </c>
      <c r="E553" s="4783">
        <f t="shared" si="16"/>
        <v>1.350369913288638</v>
      </c>
      <c r="F553" s="939"/>
      <c r="G553" s="1037"/>
      <c r="H553" s="1037"/>
      <c r="I553" s="1037"/>
      <c r="J553" s="3120"/>
      <c r="K553" s="894"/>
      <c r="L553" s="1312"/>
      <c r="M553" s="557"/>
      <c r="N553" s="232"/>
    </row>
    <row r="554" spans="2:17" ht="21" hidden="1" customHeight="1" x14ac:dyDescent="0.25">
      <c r="B554" s="319"/>
      <c r="C554" s="4784" t="s">
        <v>3867</v>
      </c>
      <c r="D554" s="4648">
        <v>200000000</v>
      </c>
      <c r="E554" s="4785">
        <f t="shared" si="16"/>
        <v>0.13653891944273389</v>
      </c>
      <c r="F554" s="1033"/>
      <c r="G554" s="966"/>
      <c r="H554" s="966"/>
      <c r="I554" s="966"/>
      <c r="J554" s="1033"/>
      <c r="K554" s="966"/>
      <c r="L554" s="966"/>
      <c r="M554" s="728"/>
      <c r="N554" s="232"/>
    </row>
    <row r="555" spans="2:17" ht="20.25" hidden="1" customHeight="1" x14ac:dyDescent="0.25">
      <c r="B555" s="319"/>
      <c r="C555" s="4784" t="s">
        <v>7127</v>
      </c>
      <c r="D555" s="4648">
        <v>350000000</v>
      </c>
      <c r="E555" s="4785">
        <f t="shared" si="16"/>
        <v>0.23894310902478427</v>
      </c>
      <c r="F555" s="939"/>
      <c r="G555" s="967"/>
      <c r="H555" s="967"/>
      <c r="I555" s="967"/>
      <c r="J555" s="939"/>
      <c r="K555" s="967"/>
      <c r="L555" s="967"/>
      <c r="M555" s="618"/>
      <c r="N555" s="232"/>
    </row>
    <row r="556" spans="2:17" ht="20.25" hidden="1" customHeight="1" x14ac:dyDescent="0.25">
      <c r="B556" s="319"/>
      <c r="C556" s="4784" t="s">
        <v>3869</v>
      </c>
      <c r="D556" s="4648">
        <v>550000000</v>
      </c>
      <c r="E556" s="4785">
        <f t="shared" si="16"/>
        <v>0.37548202846751816</v>
      </c>
      <c r="F556" s="939"/>
      <c r="G556" s="967"/>
      <c r="H556" s="967"/>
      <c r="I556" s="967"/>
      <c r="J556" s="939"/>
      <c r="K556" s="967"/>
      <c r="L556" s="967"/>
      <c r="M556" s="618"/>
      <c r="N556" s="232"/>
    </row>
    <row r="557" spans="2:17" ht="21.75" hidden="1" customHeight="1" x14ac:dyDescent="0.25">
      <c r="B557" s="319"/>
      <c r="C557" s="4784" t="s">
        <v>3870</v>
      </c>
      <c r="D557" s="4648">
        <v>150000000</v>
      </c>
      <c r="E557" s="4785">
        <f t="shared" si="16"/>
        <v>0.1024041895820504</v>
      </c>
      <c r="F557" s="939"/>
      <c r="G557" s="755"/>
      <c r="H557" s="755"/>
      <c r="I557" s="755"/>
      <c r="J557" s="894"/>
      <c r="K557" s="894"/>
      <c r="L557" s="1717"/>
      <c r="M557" s="372"/>
      <c r="N557" s="232"/>
    </row>
    <row r="558" spans="2:17" s="3504" customFormat="1" ht="22.5" hidden="1" customHeight="1" x14ac:dyDescent="0.25">
      <c r="B558" s="319"/>
      <c r="C558" s="4786" t="s">
        <v>3871</v>
      </c>
      <c r="D558" s="4648">
        <v>300000000</v>
      </c>
      <c r="E558" s="4785">
        <f t="shared" si="16"/>
        <v>0.2048083791641008</v>
      </c>
      <c r="F558" s="939"/>
      <c r="G558" s="755"/>
      <c r="H558" s="755"/>
      <c r="I558" s="755"/>
      <c r="J558" s="894"/>
      <c r="K558" s="894"/>
      <c r="L558" s="1717"/>
      <c r="M558" s="372"/>
      <c r="N558" s="232"/>
      <c r="P558" s="522"/>
      <c r="Q558" s="522"/>
    </row>
    <row r="559" spans="2:17" s="3504" customFormat="1" ht="20.25" hidden="1" customHeight="1" x14ac:dyDescent="0.25">
      <c r="B559" s="319"/>
      <c r="C559" s="4786" t="s">
        <v>3872</v>
      </c>
      <c r="D559" s="4648">
        <v>100000000</v>
      </c>
      <c r="E559" s="4785">
        <f t="shared" si="16"/>
        <v>6.8269459721366943E-2</v>
      </c>
      <c r="F559" s="939"/>
      <c r="G559" s="755"/>
      <c r="H559" s="755"/>
      <c r="I559" s="755"/>
      <c r="J559" s="894"/>
      <c r="K559" s="894"/>
      <c r="L559" s="1717"/>
      <c r="M559" s="372"/>
      <c r="N559" s="232"/>
      <c r="P559" s="522"/>
      <c r="Q559" s="522"/>
    </row>
    <row r="560" spans="2:17" s="3504" customFormat="1" ht="17.25" hidden="1" customHeight="1" x14ac:dyDescent="0.25">
      <c r="B560" s="319"/>
      <c r="C560" s="4786" t="s">
        <v>3873</v>
      </c>
      <c r="D560" s="4648">
        <v>150000000</v>
      </c>
      <c r="E560" s="4785">
        <f t="shared" si="16"/>
        <v>0.1024041895820504</v>
      </c>
      <c r="F560" s="939"/>
      <c r="G560" s="755"/>
      <c r="H560" s="755"/>
      <c r="I560" s="755"/>
      <c r="J560" s="894"/>
      <c r="K560" s="894"/>
      <c r="L560" s="1717"/>
      <c r="M560" s="372"/>
      <c r="N560" s="232"/>
      <c r="P560" s="522"/>
      <c r="Q560" s="522"/>
    </row>
    <row r="561" spans="2:17" s="3504" customFormat="1" ht="22.5" hidden="1" customHeight="1" x14ac:dyDescent="0.25">
      <c r="B561" s="319"/>
      <c r="C561" s="4786" t="s">
        <v>3874</v>
      </c>
      <c r="D561" s="4648">
        <v>25422000</v>
      </c>
      <c r="E561" s="4785">
        <f t="shared" si="16"/>
        <v>1.7355462050365904E-2</v>
      </c>
      <c r="F561" s="939"/>
      <c r="G561" s="755"/>
      <c r="H561" s="755"/>
      <c r="I561" s="755"/>
      <c r="J561" s="894"/>
      <c r="K561" s="894"/>
      <c r="L561" s="1717"/>
      <c r="M561" s="372"/>
      <c r="N561" s="232"/>
      <c r="P561" s="522"/>
      <c r="Q561" s="522"/>
    </row>
    <row r="562" spans="2:17" s="3504" customFormat="1" ht="20.25" hidden="1" customHeight="1" x14ac:dyDescent="0.25">
      <c r="B562" s="319"/>
      <c r="C562" s="4786" t="s">
        <v>3875</v>
      </c>
      <c r="D562" s="4648">
        <v>35655000</v>
      </c>
      <c r="E562" s="4785">
        <f t="shared" si="16"/>
        <v>2.4341475863653383E-2</v>
      </c>
      <c r="F562" s="939"/>
      <c r="G562" s="755"/>
      <c r="H562" s="755"/>
      <c r="I562" s="755"/>
      <c r="J562" s="894"/>
      <c r="K562" s="894"/>
      <c r="L562" s="1717"/>
      <c r="M562" s="372"/>
      <c r="N562" s="232"/>
      <c r="P562" s="522"/>
      <c r="Q562" s="522"/>
    </row>
    <row r="563" spans="2:17" s="3504" customFormat="1" ht="20.25" hidden="1" customHeight="1" x14ac:dyDescent="0.25">
      <c r="B563" s="319"/>
      <c r="C563" s="4786" t="s">
        <v>3876</v>
      </c>
      <c r="D563" s="4648">
        <v>56410000</v>
      </c>
      <c r="E563" s="4785">
        <f t="shared" si="16"/>
        <v>3.8510802228823089E-2</v>
      </c>
      <c r="F563" s="939"/>
      <c r="G563" s="755"/>
      <c r="H563" s="755"/>
      <c r="I563" s="755"/>
      <c r="J563" s="894"/>
      <c r="K563" s="894"/>
      <c r="L563" s="1717"/>
      <c r="M563" s="372"/>
      <c r="N563" s="232"/>
      <c r="P563" s="522"/>
      <c r="Q563" s="522"/>
    </row>
    <row r="564" spans="2:17" s="3504" customFormat="1" ht="20.25" hidden="1" customHeight="1" x14ac:dyDescent="0.25">
      <c r="B564" s="319"/>
      <c r="C564" s="4788" t="s">
        <v>3877</v>
      </c>
      <c r="D564" s="4789">
        <v>21325000</v>
      </c>
      <c r="E564" s="4785">
        <f t="shared" si="16"/>
        <v>1.4558462285581501E-2</v>
      </c>
      <c r="F564" s="939"/>
      <c r="G564" s="755"/>
      <c r="H564" s="755"/>
      <c r="I564" s="755"/>
      <c r="J564" s="894"/>
      <c r="K564" s="894"/>
      <c r="L564" s="1717"/>
      <c r="M564" s="372"/>
      <c r="N564" s="232"/>
      <c r="P564" s="522"/>
      <c r="Q564" s="522"/>
    </row>
    <row r="565" spans="2:17" s="3504" customFormat="1" ht="24" hidden="1" customHeight="1" x14ac:dyDescent="0.25">
      <c r="B565" s="319"/>
      <c r="C565" s="4784" t="s">
        <v>3878</v>
      </c>
      <c r="D565" s="4648">
        <v>39188000</v>
      </c>
      <c r="E565" s="4785">
        <f t="shared" si="16"/>
        <v>2.6753435875609275E-2</v>
      </c>
      <c r="F565" s="939"/>
      <c r="G565" s="755"/>
      <c r="H565" s="755"/>
      <c r="I565" s="755"/>
      <c r="J565" s="894"/>
      <c r="K565" s="894"/>
      <c r="L565" s="1717"/>
      <c r="M565" s="372"/>
      <c r="N565" s="232"/>
      <c r="P565" s="522"/>
      <c r="Q565" s="522"/>
    </row>
    <row r="566" spans="2:17" s="3504" customFormat="1" ht="12.75" hidden="1" customHeight="1" x14ac:dyDescent="0.25">
      <c r="B566" s="319"/>
      <c r="C566" s="4786"/>
      <c r="D566" s="4648"/>
      <c r="E566" s="4785"/>
      <c r="F566" s="939"/>
      <c r="G566" s="755"/>
      <c r="H566" s="755"/>
      <c r="I566" s="755"/>
      <c r="J566" s="894"/>
      <c r="K566" s="894"/>
      <c r="L566" s="1717"/>
      <c r="M566" s="372"/>
      <c r="N566" s="232"/>
      <c r="P566" s="522"/>
      <c r="Q566" s="522"/>
    </row>
    <row r="567" spans="2:17" s="3504" customFormat="1" ht="21" hidden="1" customHeight="1" x14ac:dyDescent="0.25">
      <c r="B567" s="319"/>
      <c r="C567" s="4787" t="s">
        <v>3879</v>
      </c>
      <c r="D567" s="4782">
        <f>SUM(D568:D569)</f>
        <v>300000000</v>
      </c>
      <c r="E567" s="4783">
        <f t="shared" si="16"/>
        <v>0.2048083791641008</v>
      </c>
      <c r="F567" s="939"/>
      <c r="G567" s="755"/>
      <c r="H567" s="755"/>
      <c r="I567" s="755"/>
      <c r="J567" s="894"/>
      <c r="K567" s="894"/>
      <c r="L567" s="1717"/>
      <c r="M567" s="372"/>
      <c r="N567" s="232"/>
      <c r="P567" s="522"/>
      <c r="Q567" s="522"/>
    </row>
    <row r="568" spans="2:17" s="3504" customFormat="1" ht="20.25" hidden="1" customHeight="1" x14ac:dyDescent="0.25">
      <c r="B568" s="319"/>
      <c r="C568" s="4784" t="s">
        <v>3880</v>
      </c>
      <c r="D568" s="4648">
        <v>100000000</v>
      </c>
      <c r="E568" s="4785">
        <f t="shared" si="16"/>
        <v>6.8269459721366943E-2</v>
      </c>
      <c r="F568" s="939"/>
      <c r="G568" s="755"/>
      <c r="H568" s="755"/>
      <c r="I568" s="755"/>
      <c r="J568" s="894"/>
      <c r="K568" s="894"/>
      <c r="L568" s="1717"/>
      <c r="M568" s="372"/>
      <c r="N568" s="232"/>
      <c r="P568" s="522"/>
      <c r="Q568" s="522"/>
    </row>
    <row r="569" spans="2:17" s="3504" customFormat="1" ht="24.75" hidden="1" customHeight="1" x14ac:dyDescent="0.25">
      <c r="B569" s="319"/>
      <c r="C569" s="4784" t="s">
        <v>3881</v>
      </c>
      <c r="D569" s="4648">
        <v>200000000</v>
      </c>
      <c r="E569" s="4785">
        <f t="shared" si="16"/>
        <v>0.13653891944273389</v>
      </c>
      <c r="F569" s="939"/>
      <c r="G569" s="755"/>
      <c r="H569" s="755"/>
      <c r="I569" s="755"/>
      <c r="J569" s="894"/>
      <c r="K569" s="894"/>
      <c r="L569" s="1717"/>
      <c r="M569" s="372"/>
      <c r="N569" s="232"/>
      <c r="P569" s="522"/>
      <c r="Q569" s="522"/>
    </row>
    <row r="570" spans="2:17" s="3504" customFormat="1" ht="11.25" hidden="1" customHeight="1" x14ac:dyDescent="0.25">
      <c r="B570" s="319"/>
      <c r="C570" s="4790"/>
      <c r="D570" s="4777"/>
      <c r="E570" s="4785"/>
      <c r="F570" s="939"/>
      <c r="G570" s="755"/>
      <c r="H570" s="755"/>
      <c r="I570" s="755"/>
      <c r="J570" s="894"/>
      <c r="K570" s="894"/>
      <c r="L570" s="1717"/>
      <c r="M570" s="372"/>
      <c r="N570" s="232"/>
      <c r="P570" s="522"/>
      <c r="Q570" s="522"/>
    </row>
    <row r="571" spans="2:17" s="3504" customFormat="1" ht="21.75" hidden="1" customHeight="1" x14ac:dyDescent="0.25">
      <c r="B571" s="319"/>
      <c r="C571" s="4791" t="s">
        <v>3882</v>
      </c>
      <c r="D571" s="4646">
        <f>D572</f>
        <v>990000000</v>
      </c>
      <c r="E571" s="4783">
        <f t="shared" si="16"/>
        <v>0.6758676512415327</v>
      </c>
      <c r="F571" s="939"/>
      <c r="G571" s="755"/>
      <c r="H571" s="755"/>
      <c r="I571" s="755"/>
      <c r="J571" s="894"/>
      <c r="K571" s="894"/>
      <c r="L571" s="1717"/>
      <c r="M571" s="372"/>
      <c r="N571" s="232"/>
      <c r="P571" s="522"/>
      <c r="Q571" s="522"/>
    </row>
    <row r="572" spans="2:17" s="3504" customFormat="1" ht="19.5" hidden="1" customHeight="1" x14ac:dyDescent="0.25">
      <c r="B572" s="319"/>
      <c r="C572" s="4784" t="s">
        <v>3883</v>
      </c>
      <c r="D572" s="4648">
        <v>990000000</v>
      </c>
      <c r="E572" s="4785">
        <f t="shared" si="16"/>
        <v>0.6758676512415327</v>
      </c>
      <c r="F572" s="939"/>
      <c r="G572" s="755"/>
      <c r="H572" s="755"/>
      <c r="I572" s="755"/>
      <c r="J572" s="894"/>
      <c r="K572" s="894"/>
      <c r="L572" s="1717"/>
      <c r="M572" s="372"/>
      <c r="N572" s="232"/>
      <c r="P572" s="522"/>
      <c r="Q572" s="522"/>
    </row>
    <row r="573" spans="2:17" s="3504" customFormat="1" ht="11.25" hidden="1" customHeight="1" x14ac:dyDescent="0.25">
      <c r="B573" s="319"/>
      <c r="C573" s="4784"/>
      <c r="D573" s="4648"/>
      <c r="E573" s="4785"/>
      <c r="F573" s="939"/>
      <c r="G573" s="755"/>
      <c r="H573" s="755"/>
      <c r="I573" s="755"/>
      <c r="J573" s="894"/>
      <c r="K573" s="894"/>
      <c r="L573" s="1717"/>
      <c r="M573" s="372"/>
      <c r="N573" s="232"/>
      <c r="P573" s="522"/>
      <c r="Q573" s="522"/>
    </row>
    <row r="574" spans="2:17" s="3504" customFormat="1" ht="24" hidden="1" customHeight="1" x14ac:dyDescent="0.25">
      <c r="B574" s="319"/>
      <c r="C574" s="4791" t="s">
        <v>3884</v>
      </c>
      <c r="D574" s="4646">
        <f>SUM(D575:D578)</f>
        <v>455300000</v>
      </c>
      <c r="E574" s="4785">
        <f t="shared" si="16"/>
        <v>0.31083085011138367</v>
      </c>
      <c r="F574" s="939"/>
      <c r="G574" s="755"/>
      <c r="H574" s="755"/>
      <c r="I574" s="755"/>
      <c r="J574" s="894"/>
      <c r="K574" s="894"/>
      <c r="L574" s="1717"/>
      <c r="M574" s="372"/>
      <c r="N574" s="232"/>
      <c r="P574" s="522"/>
      <c r="Q574" s="522"/>
    </row>
    <row r="575" spans="2:17" s="3504" customFormat="1" ht="24" hidden="1" customHeight="1" x14ac:dyDescent="0.25">
      <c r="B575" s="319"/>
      <c r="C575" s="4784" t="s">
        <v>3885</v>
      </c>
      <c r="D575" s="4648">
        <v>100000000</v>
      </c>
      <c r="E575" s="4785">
        <f t="shared" si="16"/>
        <v>6.8269459721366943E-2</v>
      </c>
      <c r="F575" s="939"/>
      <c r="G575" s="755"/>
      <c r="H575" s="755"/>
      <c r="I575" s="755"/>
      <c r="J575" s="894"/>
      <c r="K575" s="894"/>
      <c r="L575" s="1717"/>
      <c r="M575" s="372"/>
      <c r="N575" s="232"/>
      <c r="P575" s="522"/>
      <c r="Q575" s="522"/>
    </row>
    <row r="576" spans="2:17" s="3504" customFormat="1" ht="20.25" hidden="1" customHeight="1" x14ac:dyDescent="0.25">
      <c r="B576" s="319"/>
      <c r="C576" s="4784" t="s">
        <v>3886</v>
      </c>
      <c r="D576" s="4648">
        <v>100000000</v>
      </c>
      <c r="E576" s="4785">
        <f t="shared" si="16"/>
        <v>6.8269459721366943E-2</v>
      </c>
      <c r="F576" s="939"/>
      <c r="G576" s="755"/>
      <c r="H576" s="755"/>
      <c r="I576" s="755"/>
      <c r="J576" s="894"/>
      <c r="K576" s="894"/>
      <c r="L576" s="1717"/>
      <c r="M576" s="372"/>
      <c r="N576" s="232"/>
      <c r="P576" s="522"/>
      <c r="Q576" s="522"/>
    </row>
    <row r="577" spans="2:17" s="3504" customFormat="1" ht="18.75" hidden="1" customHeight="1" x14ac:dyDescent="0.25">
      <c r="B577" s="319"/>
      <c r="C577" s="4784" t="s">
        <v>3887</v>
      </c>
      <c r="D577" s="4648">
        <v>100000000</v>
      </c>
      <c r="E577" s="4785">
        <f t="shared" si="16"/>
        <v>6.8269459721366943E-2</v>
      </c>
      <c r="F577" s="939"/>
      <c r="G577" s="755"/>
      <c r="H577" s="755"/>
      <c r="I577" s="755"/>
      <c r="J577" s="894"/>
      <c r="K577" s="894"/>
      <c r="L577" s="1717"/>
      <c r="M577" s="372"/>
      <c r="N577" s="232"/>
      <c r="P577" s="522"/>
      <c r="Q577" s="522"/>
    </row>
    <row r="578" spans="2:17" s="3504" customFormat="1" ht="19.5" hidden="1" customHeight="1" x14ac:dyDescent="0.25">
      <c r="B578" s="319"/>
      <c r="C578" s="4784" t="s">
        <v>7258</v>
      </c>
      <c r="D578" s="4648">
        <v>155300000</v>
      </c>
      <c r="E578" s="4785">
        <f t="shared" si="16"/>
        <v>0.10602247094728286</v>
      </c>
      <c r="F578" s="939"/>
      <c r="G578" s="755"/>
      <c r="H578" s="755"/>
      <c r="I578" s="755"/>
      <c r="J578" s="894"/>
      <c r="K578" s="894"/>
      <c r="L578" s="1717"/>
      <c r="M578" s="372"/>
      <c r="N578" s="232"/>
      <c r="P578" s="522"/>
      <c r="Q578" s="522"/>
    </row>
    <row r="579" spans="2:17" s="3504" customFormat="1" ht="18.75" hidden="1" customHeight="1" x14ac:dyDescent="0.25">
      <c r="B579" s="319"/>
      <c r="C579" s="4784"/>
      <c r="D579" s="4648"/>
      <c r="E579" s="4785"/>
      <c r="F579" s="939"/>
      <c r="G579" s="755"/>
      <c r="H579" s="755"/>
      <c r="I579" s="755"/>
      <c r="J579" s="894"/>
      <c r="K579" s="894"/>
      <c r="L579" s="1717"/>
      <c r="M579" s="372"/>
      <c r="N579" s="232"/>
      <c r="P579" s="522"/>
      <c r="Q579" s="522"/>
    </row>
    <row r="580" spans="2:17" s="3504" customFormat="1" ht="19.5" hidden="1" customHeight="1" x14ac:dyDescent="0.25">
      <c r="B580" s="319"/>
      <c r="C580" s="4791" t="s">
        <v>3889</v>
      </c>
      <c r="D580" s="4646">
        <f>SUM(D581:D582)</f>
        <v>500000000</v>
      </c>
      <c r="E580" s="4783">
        <f t="shared" si="16"/>
        <v>0.34134729860683471</v>
      </c>
      <c r="F580" s="939"/>
      <c r="G580" s="755"/>
      <c r="H580" s="755"/>
      <c r="I580" s="755"/>
      <c r="J580" s="894"/>
      <c r="K580" s="894"/>
      <c r="L580" s="1717"/>
      <c r="M580" s="372"/>
      <c r="N580" s="232"/>
      <c r="P580" s="522"/>
      <c r="Q580" s="522"/>
    </row>
    <row r="581" spans="2:17" s="3504" customFormat="1" ht="32.25" hidden="1" customHeight="1" x14ac:dyDescent="0.25">
      <c r="B581" s="319"/>
      <c r="C581" s="4784" t="s">
        <v>3890</v>
      </c>
      <c r="D581" s="4648">
        <v>200000000</v>
      </c>
      <c r="E581" s="4785">
        <f t="shared" si="16"/>
        <v>0.13653891944273389</v>
      </c>
      <c r="F581" s="939"/>
      <c r="G581" s="755"/>
      <c r="H581" s="755"/>
      <c r="I581" s="755"/>
      <c r="J581" s="894"/>
      <c r="K581" s="894"/>
      <c r="L581" s="1717"/>
      <c r="M581" s="372"/>
      <c r="N581" s="232"/>
      <c r="P581" s="522"/>
      <c r="Q581" s="522"/>
    </row>
    <row r="582" spans="2:17" s="3504" customFormat="1" ht="27" hidden="1" customHeight="1" x14ac:dyDescent="0.25">
      <c r="B582" s="319"/>
      <c r="C582" s="4784" t="s">
        <v>3891</v>
      </c>
      <c r="D582" s="4648">
        <v>300000000</v>
      </c>
      <c r="E582" s="4785">
        <f t="shared" si="16"/>
        <v>0.2048083791641008</v>
      </c>
      <c r="F582" s="939"/>
      <c r="G582" s="755"/>
      <c r="H582" s="755"/>
      <c r="I582" s="755"/>
      <c r="J582" s="894"/>
      <c r="K582" s="894"/>
      <c r="L582" s="1717"/>
      <c r="M582" s="372"/>
      <c r="N582" s="232"/>
      <c r="P582" s="522"/>
      <c r="Q582" s="522"/>
    </row>
    <row r="583" spans="2:17" s="3504" customFormat="1" ht="10.5" hidden="1" customHeight="1" x14ac:dyDescent="0.25">
      <c r="B583" s="319"/>
      <c r="C583" s="4784"/>
      <c r="D583" s="4648"/>
      <c r="E583" s="4785"/>
      <c r="F583" s="939"/>
      <c r="G583" s="755"/>
      <c r="H583" s="755"/>
      <c r="I583" s="755"/>
      <c r="J583" s="894"/>
      <c r="K583" s="894"/>
      <c r="L583" s="1717"/>
      <c r="M583" s="372"/>
      <c r="N583" s="232"/>
      <c r="P583" s="522"/>
      <c r="Q583" s="522"/>
    </row>
    <row r="584" spans="2:17" s="3504" customFormat="1" ht="24" hidden="1" customHeight="1" x14ac:dyDescent="0.25">
      <c r="B584" s="319"/>
      <c r="C584" s="4791" t="s">
        <v>3892</v>
      </c>
      <c r="D584" s="4646">
        <f>D585</f>
        <v>100000000</v>
      </c>
      <c r="E584" s="4783">
        <f t="shared" si="16"/>
        <v>6.8269459721366943E-2</v>
      </c>
      <c r="F584" s="939"/>
      <c r="G584" s="755"/>
      <c r="H584" s="755"/>
      <c r="I584" s="755"/>
      <c r="J584" s="894"/>
      <c r="K584" s="894"/>
      <c r="L584" s="1717"/>
      <c r="M584" s="372"/>
      <c r="N584" s="232"/>
      <c r="P584" s="522"/>
      <c r="Q584" s="522"/>
    </row>
    <row r="585" spans="2:17" s="3504" customFormat="1" ht="36.75" hidden="1" customHeight="1" x14ac:dyDescent="0.25">
      <c r="B585" s="319"/>
      <c r="C585" s="4784" t="s">
        <v>4108</v>
      </c>
      <c r="D585" s="4648">
        <v>100000000</v>
      </c>
      <c r="E585" s="4785">
        <f t="shared" si="16"/>
        <v>6.8269459721366943E-2</v>
      </c>
      <c r="F585" s="939"/>
      <c r="G585" s="755"/>
      <c r="H585" s="755"/>
      <c r="I585" s="755"/>
      <c r="J585" s="894"/>
      <c r="K585" s="894"/>
      <c r="L585" s="1717"/>
      <c r="M585" s="372"/>
      <c r="N585" s="232"/>
      <c r="P585" s="522"/>
      <c r="Q585" s="522"/>
    </row>
    <row r="586" spans="2:17" s="3504" customFormat="1" ht="16.5" hidden="1" customHeight="1" x14ac:dyDescent="0.25">
      <c r="B586" s="319"/>
      <c r="C586" s="4792"/>
      <c r="D586" s="4793"/>
      <c r="E586" s="4667"/>
      <c r="F586" s="3121"/>
      <c r="G586" s="827"/>
      <c r="H586" s="804"/>
      <c r="I586" s="804"/>
      <c r="J586" s="3122"/>
      <c r="K586" s="969"/>
      <c r="L586" s="1703"/>
      <c r="M586" s="363"/>
      <c r="N586" s="281"/>
      <c r="P586" s="522"/>
      <c r="Q586" s="522"/>
    </row>
    <row r="587" spans="2:17" s="4099" customFormat="1" ht="19.5" hidden="1" customHeight="1" x14ac:dyDescent="0.25">
      <c r="B587" s="312"/>
      <c r="C587" s="4794" t="s">
        <v>358</v>
      </c>
      <c r="D587" s="4795">
        <f>SUM(D588)</f>
        <v>5000000000</v>
      </c>
      <c r="E587" s="4780">
        <f t="shared" ref="E587:E589" si="17">D587/146478382000*100</f>
        <v>3.413472986068347</v>
      </c>
      <c r="F587" s="669"/>
      <c r="G587" s="669"/>
      <c r="H587" s="1306"/>
      <c r="I587" s="1645"/>
      <c r="J587" s="669"/>
      <c r="K587" s="669"/>
      <c r="L587" s="2417"/>
      <c r="M587" s="555"/>
      <c r="N587" s="3565"/>
      <c r="P587" s="522"/>
      <c r="Q587" s="522"/>
    </row>
    <row r="588" spans="2:17" s="4099" customFormat="1" ht="21.75" hidden="1" customHeight="1" x14ac:dyDescent="0.25">
      <c r="B588" s="319"/>
      <c r="C588" s="4791" t="s">
        <v>3647</v>
      </c>
      <c r="D588" s="4646">
        <f>SUM(D589)</f>
        <v>5000000000</v>
      </c>
      <c r="E588" s="4783">
        <f t="shared" si="17"/>
        <v>3.413472986068347</v>
      </c>
      <c r="F588" s="4114"/>
      <c r="G588" s="1379"/>
      <c r="H588" s="1379"/>
      <c r="I588" s="1379"/>
      <c r="J588" s="4114"/>
      <c r="K588" s="1379"/>
      <c r="L588" s="1379"/>
      <c r="M588" s="735"/>
      <c r="N588" s="639"/>
      <c r="P588" s="522"/>
      <c r="Q588" s="522"/>
    </row>
    <row r="589" spans="2:17" s="4099" customFormat="1" ht="21" hidden="1" customHeight="1" x14ac:dyDescent="0.25">
      <c r="B589" s="319"/>
      <c r="C589" s="4784" t="s">
        <v>3894</v>
      </c>
      <c r="D589" s="4648">
        <v>5000000000</v>
      </c>
      <c r="E589" s="4785">
        <f t="shared" si="17"/>
        <v>3.413472986068347</v>
      </c>
      <c r="F589" s="4113"/>
      <c r="G589" s="3770"/>
      <c r="H589" s="3770"/>
      <c r="I589" s="3770"/>
      <c r="J589" s="4113"/>
      <c r="K589" s="3770"/>
      <c r="L589" s="3770"/>
      <c r="M589" s="618"/>
      <c r="N589" s="232"/>
      <c r="P589" s="522"/>
      <c r="Q589" s="522"/>
    </row>
    <row r="590" spans="2:17" s="4099" customFormat="1" ht="16.5" hidden="1" customHeight="1" x14ac:dyDescent="0.25">
      <c r="B590" s="319"/>
      <c r="C590" s="4792"/>
      <c r="D590" s="4793"/>
      <c r="E590" s="4667"/>
      <c r="F590" s="3121"/>
      <c r="G590" s="827"/>
      <c r="H590" s="804"/>
      <c r="I590" s="804"/>
      <c r="J590" s="3122"/>
      <c r="K590" s="969"/>
      <c r="L590" s="1703"/>
      <c r="M590" s="363"/>
      <c r="N590" s="3566"/>
      <c r="P590" s="522"/>
      <c r="Q590" s="522"/>
    </row>
    <row r="591" spans="2:17" s="4099" customFormat="1" ht="19.5" hidden="1" customHeight="1" x14ac:dyDescent="0.25">
      <c r="B591" s="312"/>
      <c r="C591" s="4794" t="s">
        <v>2395</v>
      </c>
      <c r="D591" s="4780">
        <f>D592</f>
        <v>500000000</v>
      </c>
      <c r="E591" s="4780">
        <f t="shared" si="16"/>
        <v>0.34134729860683471</v>
      </c>
      <c r="F591" s="3545"/>
      <c r="G591" s="2226"/>
      <c r="H591" s="2226"/>
      <c r="I591" s="2226"/>
      <c r="J591" s="2845"/>
      <c r="K591" s="2845"/>
      <c r="L591" s="3471"/>
      <c r="M591" s="3571"/>
      <c r="N591" s="3565"/>
      <c r="P591" s="522"/>
      <c r="Q591" s="522"/>
    </row>
    <row r="592" spans="2:17" s="4099" customFormat="1" ht="16.5" hidden="1" customHeight="1" x14ac:dyDescent="0.25">
      <c r="B592" s="319"/>
      <c r="C592" s="4791" t="s">
        <v>3930</v>
      </c>
      <c r="D592" s="4769">
        <f>SUM(D593:D595)</f>
        <v>500000000</v>
      </c>
      <c r="E592" s="4783">
        <f t="shared" si="16"/>
        <v>0.34134729860683471</v>
      </c>
      <c r="F592" s="3121"/>
      <c r="G592" s="827"/>
      <c r="H592" s="804"/>
      <c r="I592" s="804"/>
      <c r="J592" s="3122"/>
      <c r="K592" s="969"/>
      <c r="L592" s="1703"/>
      <c r="M592" s="363"/>
      <c r="N592" s="3566"/>
      <c r="P592" s="522"/>
      <c r="Q592" s="522"/>
    </row>
    <row r="593" spans="2:17" s="4099" customFormat="1" ht="19.5" hidden="1" customHeight="1" x14ac:dyDescent="0.25">
      <c r="B593" s="319"/>
      <c r="C593" s="4784" t="s">
        <v>3931</v>
      </c>
      <c r="D593" s="4666">
        <v>150000000</v>
      </c>
      <c r="E593" s="4785">
        <f t="shared" si="16"/>
        <v>0.1024041895820504</v>
      </c>
      <c r="F593" s="4113"/>
      <c r="G593" s="3630"/>
      <c r="H593" s="3630"/>
      <c r="I593" s="3630"/>
      <c r="J593" s="894"/>
      <c r="K593" s="894"/>
      <c r="L593" s="1717"/>
      <c r="M593" s="372"/>
      <c r="N593" s="112"/>
      <c r="P593" s="522"/>
      <c r="Q593" s="522"/>
    </row>
    <row r="594" spans="2:17" s="4099" customFormat="1" ht="16.5" hidden="1" customHeight="1" x14ac:dyDescent="0.25">
      <c r="B594" s="319"/>
      <c r="C594" s="4784" t="s">
        <v>3932</v>
      </c>
      <c r="D594" s="4666">
        <v>100000000</v>
      </c>
      <c r="E594" s="4785">
        <f t="shared" si="16"/>
        <v>6.8269459721366943E-2</v>
      </c>
      <c r="F594" s="4113"/>
      <c r="G594" s="3630"/>
      <c r="H594" s="3630"/>
      <c r="I594" s="3630"/>
      <c r="J594" s="894"/>
      <c r="K594" s="894"/>
      <c r="L594" s="1717"/>
      <c r="M594" s="372"/>
      <c r="N594" s="112"/>
      <c r="P594" s="522"/>
      <c r="Q594" s="522"/>
    </row>
    <row r="595" spans="2:17" s="4099" customFormat="1" ht="16.5" hidden="1" customHeight="1" x14ac:dyDescent="0.25">
      <c r="B595" s="319"/>
      <c r="C595" s="4784" t="s">
        <v>3933</v>
      </c>
      <c r="D595" s="4666">
        <v>250000000</v>
      </c>
      <c r="E595" s="4785">
        <f t="shared" si="16"/>
        <v>0.17067364930341736</v>
      </c>
      <c r="F595" s="4113"/>
      <c r="G595" s="3630"/>
      <c r="H595" s="3630"/>
      <c r="I595" s="3630"/>
      <c r="J595" s="894"/>
      <c r="K595" s="894"/>
      <c r="L595" s="1717"/>
      <c r="M595" s="372"/>
      <c r="N595" s="112"/>
      <c r="P595" s="522"/>
      <c r="Q595" s="522"/>
    </row>
    <row r="596" spans="2:17" s="3504" customFormat="1" ht="15.75" hidden="1" customHeight="1" x14ac:dyDescent="0.25">
      <c r="B596" s="319"/>
      <c r="C596" s="4790"/>
      <c r="D596" s="4796"/>
      <c r="E596" s="4796"/>
      <c r="F596" s="1201"/>
      <c r="G596" s="3538"/>
      <c r="H596" s="3542"/>
      <c r="I596" s="868"/>
      <c r="J596" s="1201"/>
      <c r="K596" s="2281"/>
      <c r="L596" s="995"/>
      <c r="M596" s="3543"/>
      <c r="N596" s="281"/>
      <c r="P596" s="522"/>
      <c r="Q596" s="522"/>
    </row>
    <row r="597" spans="2:17" s="4099" customFormat="1" ht="21" hidden="1" customHeight="1" x14ac:dyDescent="0.25">
      <c r="B597" s="312"/>
      <c r="C597" s="4794" t="s">
        <v>1929</v>
      </c>
      <c r="D597" s="4780">
        <f>D598</f>
        <v>150000000</v>
      </c>
      <c r="E597" s="4780">
        <f t="shared" si="16"/>
        <v>0.1024041895820504</v>
      </c>
      <c r="F597" s="3545"/>
      <c r="G597" s="3546"/>
      <c r="H597" s="3547"/>
      <c r="I597" s="3548"/>
      <c r="J597" s="3545"/>
      <c r="K597" s="3471"/>
      <c r="L597" s="3470"/>
      <c r="M597" s="3549"/>
      <c r="N597" s="3565"/>
      <c r="P597" s="522"/>
      <c r="Q597" s="522"/>
    </row>
    <row r="598" spans="2:17" s="4099" customFormat="1" ht="22.5" hidden="1" customHeight="1" x14ac:dyDescent="0.25">
      <c r="B598" s="319"/>
      <c r="C598" s="4791" t="s">
        <v>3972</v>
      </c>
      <c r="D598" s="5333">
        <f>D599</f>
        <v>150000000</v>
      </c>
      <c r="E598" s="4783">
        <f t="shared" si="16"/>
        <v>0.1024041895820504</v>
      </c>
      <c r="F598" s="1038"/>
      <c r="G598" s="5133"/>
      <c r="H598" s="4361"/>
      <c r="I598" s="671"/>
      <c r="J598" s="1038"/>
      <c r="K598" s="2265"/>
      <c r="L598" s="886"/>
      <c r="M598" s="5330"/>
      <c r="N598" s="3566"/>
      <c r="P598" s="522"/>
      <c r="Q598" s="522"/>
    </row>
    <row r="599" spans="2:17" s="4099" customFormat="1" ht="24.75" hidden="1" customHeight="1" x14ac:dyDescent="0.25">
      <c r="B599" s="319"/>
      <c r="C599" s="5331" t="s">
        <v>3977</v>
      </c>
      <c r="D599" s="5332">
        <v>150000000</v>
      </c>
      <c r="E599" s="4785">
        <f t="shared" si="16"/>
        <v>0.1024041895820504</v>
      </c>
      <c r="F599" s="4113"/>
      <c r="G599" s="971"/>
      <c r="H599" s="4051"/>
      <c r="I599" s="666"/>
      <c r="J599" s="4113"/>
      <c r="K599" s="1717"/>
      <c r="L599" s="880"/>
      <c r="M599" s="371"/>
      <c r="N599" s="112"/>
      <c r="P599" s="522"/>
      <c r="Q599" s="522"/>
    </row>
    <row r="600" spans="2:17" s="4099" customFormat="1" ht="15.75" hidden="1" customHeight="1" x14ac:dyDescent="0.25">
      <c r="B600" s="319"/>
      <c r="C600" s="4792"/>
      <c r="D600" s="4777"/>
      <c r="E600" s="4777"/>
      <c r="F600" s="1038"/>
      <c r="G600" s="5133"/>
      <c r="H600" s="4361"/>
      <c r="I600" s="671"/>
      <c r="J600" s="1038"/>
      <c r="K600" s="2265"/>
      <c r="L600" s="886"/>
      <c r="M600" s="5330"/>
      <c r="N600" s="3566"/>
      <c r="P600" s="522"/>
      <c r="Q600" s="522"/>
    </row>
    <row r="601" spans="2:17" s="3504" customFormat="1" ht="24.75" hidden="1" customHeight="1" x14ac:dyDescent="0.25">
      <c r="B601" s="312"/>
      <c r="C601" s="4794" t="s">
        <v>4105</v>
      </c>
      <c r="D601" s="4780">
        <f>D602</f>
        <v>313472733</v>
      </c>
      <c r="E601" s="4780">
        <f t="shared" si="16"/>
        <v>0.21400614119290312</v>
      </c>
      <c r="F601" s="3545"/>
      <c r="G601" s="3546"/>
      <c r="H601" s="3547"/>
      <c r="I601" s="3548"/>
      <c r="J601" s="3545"/>
      <c r="K601" s="3471"/>
      <c r="L601" s="3470"/>
      <c r="M601" s="3549"/>
      <c r="N601" s="3565"/>
      <c r="P601" s="522"/>
      <c r="Q601" s="522"/>
    </row>
    <row r="602" spans="2:17" s="3504" customFormat="1" ht="22.5" hidden="1" customHeight="1" x14ac:dyDescent="0.25">
      <c r="B602" s="319"/>
      <c r="C602" s="4797" t="s">
        <v>4119</v>
      </c>
      <c r="D602" s="4783">
        <v>313472733</v>
      </c>
      <c r="E602" s="4783">
        <f t="shared" ref="E602:E603" si="18">D602/146478382000*100</f>
        <v>0.21400614119290312</v>
      </c>
      <c r="F602" s="1070"/>
      <c r="G602" s="3512"/>
      <c r="H602" s="2419"/>
      <c r="I602" s="1855"/>
      <c r="J602" s="1070"/>
      <c r="K602" s="2373"/>
      <c r="L602" s="885"/>
      <c r="M602" s="3544"/>
      <c r="N602" s="639"/>
      <c r="P602" s="522"/>
      <c r="Q602" s="522"/>
    </row>
    <row r="603" spans="2:17" s="3504" customFormat="1" ht="18.75" hidden="1" customHeight="1" x14ac:dyDescent="0.25">
      <c r="B603" s="319"/>
      <c r="C603" s="4784" t="s">
        <v>4120</v>
      </c>
      <c r="D603" s="4648">
        <v>313472733</v>
      </c>
      <c r="E603" s="4783">
        <f t="shared" si="18"/>
        <v>0.21400614119290312</v>
      </c>
      <c r="F603" s="939"/>
      <c r="G603" s="971"/>
      <c r="H603" s="3541"/>
      <c r="I603" s="666"/>
      <c r="J603" s="939"/>
      <c r="K603" s="1717"/>
      <c r="L603" s="880"/>
      <c r="M603" s="371"/>
      <c r="N603" s="232"/>
      <c r="P603" s="522"/>
      <c r="Q603" s="522"/>
    </row>
    <row r="604" spans="2:17" ht="12" hidden="1" customHeight="1" x14ac:dyDescent="0.25">
      <c r="B604" s="319"/>
      <c r="C604" s="4798"/>
      <c r="D604" s="4799"/>
      <c r="E604" s="4899"/>
      <c r="F604" s="3539"/>
      <c r="G604" s="1065"/>
      <c r="H604" s="804"/>
      <c r="I604" s="804"/>
      <c r="J604" s="3122"/>
      <c r="K604" s="969"/>
      <c r="L604" s="1703"/>
      <c r="M604" s="363"/>
      <c r="N604" s="232"/>
    </row>
    <row r="605" spans="2:17" s="2058" customFormat="1" ht="23.25" customHeight="1" x14ac:dyDescent="0.25">
      <c r="B605" s="616"/>
      <c r="C605" s="4808" t="s">
        <v>7103</v>
      </c>
      <c r="D605" s="5006">
        <f>D607+D648</f>
        <v>37853320093</v>
      </c>
      <c r="E605" s="4901">
        <f>D605/D45*100</f>
        <v>10.11497852238962</v>
      </c>
      <c r="F605" s="4363"/>
      <c r="G605" s="4422"/>
      <c r="H605" s="4422"/>
      <c r="I605" s="4422"/>
      <c r="J605" s="4423"/>
      <c r="K605" s="4423"/>
      <c r="L605" s="4424"/>
      <c r="M605" s="4425"/>
      <c r="N605" s="4426"/>
      <c r="P605" s="2151"/>
      <c r="Q605" s="2151"/>
    </row>
    <row r="606" spans="2:17" ht="8.25" hidden="1" customHeight="1" x14ac:dyDescent="0.25">
      <c r="B606" s="314"/>
      <c r="C606" s="4809"/>
      <c r="D606" s="5007"/>
      <c r="E606" s="4810"/>
      <c r="F606" s="1114"/>
      <c r="G606" s="868"/>
      <c r="H606" s="3126"/>
      <c r="I606" s="2478"/>
      <c r="J606" s="872"/>
      <c r="K606" s="868"/>
      <c r="L606" s="2479"/>
      <c r="M606" s="582"/>
      <c r="N606" s="281"/>
    </row>
    <row r="607" spans="2:17" ht="19.5" hidden="1" customHeight="1" x14ac:dyDescent="0.25">
      <c r="B607" s="312"/>
      <c r="C607" s="4811" t="s">
        <v>379</v>
      </c>
      <c r="D607" s="4795">
        <f>D608+D611+D616+D620+D623+D626+D629+D645+D638+D633+D642</f>
        <v>4798320093</v>
      </c>
      <c r="E607" s="4812">
        <f>D607/144432461000*100</f>
        <v>3.3221895270482165</v>
      </c>
      <c r="F607" s="669"/>
      <c r="G607" s="980"/>
      <c r="H607" s="980"/>
      <c r="I607" s="980"/>
      <c r="J607" s="847"/>
      <c r="K607" s="847"/>
      <c r="L607" s="1307"/>
      <c r="M607" s="374"/>
      <c r="N607" s="3565"/>
    </row>
    <row r="608" spans="2:17" ht="17.25" hidden="1" customHeight="1" x14ac:dyDescent="0.25">
      <c r="B608" s="319"/>
      <c r="C608" s="4813" t="s">
        <v>262</v>
      </c>
      <c r="D608" s="5008">
        <f>SUM(D609:D609)</f>
        <v>1545600000</v>
      </c>
      <c r="E608" s="4814">
        <f>D608/144432461000*100</f>
        <v>1.0701195488180457</v>
      </c>
      <c r="F608" s="682"/>
      <c r="G608" s="994"/>
      <c r="H608" s="994"/>
      <c r="I608" s="994"/>
      <c r="J608" s="682"/>
      <c r="K608" s="1385"/>
      <c r="L608" s="1415"/>
      <c r="M608" s="498"/>
      <c r="N608" s="639"/>
    </row>
    <row r="609" spans="2:14" ht="17.25" hidden="1" customHeight="1" x14ac:dyDescent="0.25">
      <c r="B609" s="319"/>
      <c r="C609" s="4815" t="s">
        <v>5727</v>
      </c>
      <c r="D609" s="4816">
        <v>1545600000</v>
      </c>
      <c r="E609" s="4817">
        <f>D609/144432461000*100</f>
        <v>1.0701195488180457</v>
      </c>
      <c r="F609" s="1081"/>
      <c r="G609" s="963"/>
      <c r="H609" s="963"/>
      <c r="I609" s="963"/>
      <c r="J609" s="2807"/>
      <c r="K609" s="2807"/>
      <c r="L609" s="880"/>
      <c r="M609" s="348"/>
      <c r="N609" s="232"/>
    </row>
    <row r="610" spans="2:14" ht="10.5" hidden="1" customHeight="1" x14ac:dyDescent="0.25">
      <c r="B610" s="319"/>
      <c r="C610" s="4762"/>
      <c r="D610" s="4666"/>
      <c r="E610" s="4817"/>
      <c r="F610" s="1081"/>
      <c r="G610" s="963"/>
      <c r="H610" s="963"/>
      <c r="I610" s="963"/>
      <c r="J610" s="2807"/>
      <c r="K610" s="963"/>
      <c r="L610" s="967"/>
      <c r="M610" s="515"/>
      <c r="N610" s="232"/>
    </row>
    <row r="611" spans="2:14" ht="20.25" hidden="1" customHeight="1" x14ac:dyDescent="0.25">
      <c r="B611" s="319"/>
      <c r="C611" s="4813" t="s">
        <v>5728</v>
      </c>
      <c r="D611" s="4818">
        <f>SUM(D612:D614)</f>
        <v>481762773</v>
      </c>
      <c r="E611" s="4644">
        <f t="shared" ref="E611:E646" si="19">D611/144432461000*100</f>
        <v>0.33355574616983086</v>
      </c>
      <c r="F611" s="4364"/>
      <c r="G611" s="963"/>
      <c r="H611" s="963"/>
      <c r="I611" s="963"/>
      <c r="J611" s="2807"/>
      <c r="K611" s="963"/>
      <c r="L611" s="967"/>
      <c r="M611" s="515"/>
      <c r="N611" s="232"/>
    </row>
    <row r="612" spans="2:14" ht="17.25" hidden="1" customHeight="1" x14ac:dyDescent="0.25">
      <c r="B612" s="319"/>
      <c r="C612" s="4815" t="s">
        <v>5729</v>
      </c>
      <c r="D612" s="4820">
        <v>106762773</v>
      </c>
      <c r="E612" s="4819">
        <f t="shared" si="19"/>
        <v>7.3918821476011545E-2</v>
      </c>
      <c r="F612" s="4364"/>
      <c r="G612" s="963"/>
      <c r="H612" s="963"/>
      <c r="I612" s="963"/>
      <c r="J612" s="2807"/>
      <c r="K612" s="2807"/>
      <c r="L612" s="880"/>
      <c r="M612" s="348"/>
      <c r="N612" s="232"/>
    </row>
    <row r="613" spans="2:14" ht="22.5" hidden="1" customHeight="1" x14ac:dyDescent="0.25">
      <c r="B613" s="319"/>
      <c r="C613" s="4815" t="s">
        <v>5730</v>
      </c>
      <c r="D613" s="4820">
        <v>187500000</v>
      </c>
      <c r="E613" s="4819">
        <f t="shared" si="19"/>
        <v>0.12981846234690969</v>
      </c>
      <c r="F613" s="4364"/>
      <c r="G613" s="963"/>
      <c r="H613" s="963"/>
      <c r="I613" s="963"/>
      <c r="J613" s="2807"/>
      <c r="K613" s="2807"/>
      <c r="L613" s="880"/>
      <c r="M613" s="348"/>
      <c r="N613" s="232"/>
    </row>
    <row r="614" spans="2:14" ht="22.5" hidden="1" customHeight="1" x14ac:dyDescent="0.25">
      <c r="B614" s="319"/>
      <c r="C614" s="4815" t="s">
        <v>5731</v>
      </c>
      <c r="D614" s="4820">
        <v>187500000</v>
      </c>
      <c r="E614" s="4819">
        <f t="shared" si="19"/>
        <v>0.12981846234690969</v>
      </c>
      <c r="F614" s="848"/>
      <c r="G614" s="541"/>
      <c r="H614" s="1316"/>
      <c r="I614" s="541"/>
      <c r="J614" s="541"/>
      <c r="K614" s="541"/>
      <c r="L614" s="1650"/>
      <c r="M614" s="375"/>
      <c r="N614" s="232"/>
    </row>
    <row r="615" spans="2:14" ht="13.5" hidden="1" customHeight="1" x14ac:dyDescent="0.25">
      <c r="B615" s="319"/>
      <c r="C615" s="4815"/>
      <c r="D615" s="4820"/>
      <c r="E615" s="4819"/>
      <c r="F615" s="4879"/>
      <c r="G615" s="994"/>
      <c r="H615" s="994"/>
      <c r="I615" s="994"/>
      <c r="J615" s="1082"/>
      <c r="K615" s="1082"/>
      <c r="L615" s="1415"/>
      <c r="M615" s="349"/>
      <c r="N615" s="232"/>
    </row>
    <row r="616" spans="2:14" ht="19.5" hidden="1" customHeight="1" x14ac:dyDescent="0.25">
      <c r="B616" s="319"/>
      <c r="C616" s="4813" t="s">
        <v>5732</v>
      </c>
      <c r="D616" s="4818">
        <f>SUM(D617:D618)</f>
        <v>450000000</v>
      </c>
      <c r="E616" s="4644">
        <f t="shared" si="19"/>
        <v>0.31156430963258325</v>
      </c>
      <c r="F616" s="4880"/>
      <c r="G616" s="963"/>
      <c r="H616" s="963"/>
      <c r="I616" s="963"/>
      <c r="J616" s="2807"/>
      <c r="K616" s="963"/>
      <c r="L616" s="967"/>
      <c r="M616" s="515"/>
      <c r="N616" s="232"/>
    </row>
    <row r="617" spans="2:14" ht="24.75" hidden="1" customHeight="1" x14ac:dyDescent="0.25">
      <c r="B617" s="319"/>
      <c r="C617" s="4815" t="s">
        <v>5733</v>
      </c>
      <c r="D617" s="4820">
        <v>222137500</v>
      </c>
      <c r="E617" s="4819">
        <f t="shared" si="19"/>
        <v>0.15380025962446212</v>
      </c>
      <c r="F617" s="4880"/>
      <c r="G617" s="963"/>
      <c r="H617" s="963"/>
      <c r="I617" s="963"/>
      <c r="J617" s="2807"/>
      <c r="K617" s="2807"/>
      <c r="L617" s="880"/>
      <c r="M617" s="581"/>
      <c r="N617" s="232"/>
    </row>
    <row r="618" spans="2:14" ht="20.25" hidden="1" customHeight="1" x14ac:dyDescent="0.25">
      <c r="B618" s="319"/>
      <c r="C618" s="4815" t="s">
        <v>5734</v>
      </c>
      <c r="D618" s="4820">
        <v>227862500</v>
      </c>
      <c r="E618" s="4819">
        <f t="shared" si="19"/>
        <v>0.1577640500081211</v>
      </c>
      <c r="F618" s="4880"/>
      <c r="G618" s="541"/>
      <c r="H618" s="1316"/>
      <c r="I618" s="541"/>
      <c r="J618" s="2452"/>
      <c r="K618" s="1717"/>
      <c r="L618" s="2467"/>
      <c r="M618" s="581"/>
      <c r="N618" s="232"/>
    </row>
    <row r="619" spans="2:14" ht="15" hidden="1" customHeight="1" x14ac:dyDescent="0.25">
      <c r="B619" s="319"/>
      <c r="C619" s="4821"/>
      <c r="D619" s="4822"/>
      <c r="E619" s="4819"/>
      <c r="F619" s="4879"/>
      <c r="G619" s="994"/>
      <c r="H619" s="994"/>
      <c r="I619" s="994"/>
      <c r="J619" s="1082"/>
      <c r="K619" s="1082"/>
      <c r="L619" s="1415"/>
      <c r="M619" s="349"/>
      <c r="N619" s="232"/>
    </row>
    <row r="620" spans="2:14" ht="24.75" hidden="1" customHeight="1" x14ac:dyDescent="0.25">
      <c r="B620" s="319"/>
      <c r="C620" s="4813" t="s">
        <v>5735</v>
      </c>
      <c r="D620" s="4818">
        <f>D621</f>
        <v>187500000</v>
      </c>
      <c r="E620" s="4644">
        <f t="shared" si="19"/>
        <v>0.12981846234690969</v>
      </c>
      <c r="F620" s="4880"/>
      <c r="G620" s="963"/>
      <c r="H620" s="963"/>
      <c r="I620" s="963"/>
      <c r="J620" s="2807"/>
      <c r="K620" s="2807"/>
      <c r="L620" s="880"/>
      <c r="M620" s="348"/>
      <c r="N620" s="232"/>
    </row>
    <row r="621" spans="2:14" ht="18.75" hidden="1" customHeight="1" x14ac:dyDescent="0.25">
      <c r="B621" s="319"/>
      <c r="C621" s="4815" t="s">
        <v>5736</v>
      </c>
      <c r="D621" s="4820">
        <v>187500000</v>
      </c>
      <c r="E621" s="4819">
        <f t="shared" si="19"/>
        <v>0.12981846234690969</v>
      </c>
      <c r="F621" s="4881"/>
      <c r="G621" s="541"/>
      <c r="H621" s="1316"/>
      <c r="I621" s="541"/>
      <c r="J621" s="2452"/>
      <c r="K621" s="1717"/>
      <c r="L621" s="2467"/>
      <c r="M621" s="581"/>
      <c r="N621" s="232"/>
    </row>
    <row r="622" spans="2:14" ht="15" hidden="1" customHeight="1" x14ac:dyDescent="0.25">
      <c r="B622" s="319"/>
      <c r="C622" s="4762"/>
      <c r="D622" s="4822"/>
      <c r="E622" s="4819"/>
      <c r="F622" s="4879"/>
      <c r="G622" s="994"/>
      <c r="H622" s="994"/>
      <c r="I622" s="994"/>
      <c r="J622" s="1082"/>
      <c r="K622" s="1082"/>
      <c r="L622" s="1415"/>
      <c r="M622" s="349"/>
      <c r="N622" s="232"/>
    </row>
    <row r="623" spans="2:14" ht="23.25" hidden="1" customHeight="1" x14ac:dyDescent="0.25">
      <c r="B623" s="319"/>
      <c r="C623" s="4813" t="s">
        <v>5737</v>
      </c>
      <c r="D623" s="4773">
        <f>SUM(D624:D624)</f>
        <v>187500000</v>
      </c>
      <c r="E623" s="4644">
        <f t="shared" si="19"/>
        <v>0.12981846234690969</v>
      </c>
      <c r="F623" s="4880"/>
      <c r="G623" s="963"/>
      <c r="H623" s="963"/>
      <c r="I623" s="963"/>
      <c r="J623" s="2807"/>
      <c r="K623" s="2807"/>
      <c r="L623" s="880"/>
      <c r="M623" s="348"/>
      <c r="N623" s="232"/>
    </row>
    <row r="624" spans="2:14" ht="21" hidden="1" customHeight="1" x14ac:dyDescent="0.25">
      <c r="B624" s="319"/>
      <c r="C624" s="4815" t="s">
        <v>5738</v>
      </c>
      <c r="D624" s="4820">
        <v>187500000</v>
      </c>
      <c r="E624" s="4819">
        <f t="shared" si="19"/>
        <v>0.12981846234690969</v>
      </c>
      <c r="F624" s="4882"/>
      <c r="G624" s="541"/>
      <c r="H624" s="1316"/>
      <c r="I624" s="541"/>
      <c r="J624" s="2452"/>
      <c r="K624" s="1717"/>
      <c r="L624" s="2467"/>
      <c r="M624" s="581"/>
      <c r="N624" s="232"/>
    </row>
    <row r="625" spans="2:14" ht="13.5" hidden="1" customHeight="1" x14ac:dyDescent="0.25">
      <c r="B625" s="319"/>
      <c r="C625" s="4762"/>
      <c r="D625" s="4823"/>
      <c r="E625" s="4819"/>
      <c r="F625" s="1721"/>
      <c r="G625" s="994"/>
      <c r="H625" s="994"/>
      <c r="I625" s="994"/>
      <c r="J625" s="1086"/>
      <c r="K625" s="1086"/>
      <c r="L625" s="1415"/>
      <c r="M625" s="349"/>
      <c r="N625" s="232"/>
    </row>
    <row r="626" spans="2:14" ht="24" hidden="1" customHeight="1" x14ac:dyDescent="0.25">
      <c r="B626" s="319"/>
      <c r="C626" s="4813" t="s">
        <v>5739</v>
      </c>
      <c r="D626" s="4877">
        <f>D627</f>
        <v>187500000</v>
      </c>
      <c r="E626" s="4644">
        <f t="shared" si="19"/>
        <v>0.12981846234690969</v>
      </c>
      <c r="F626" s="4883"/>
      <c r="G626" s="971"/>
      <c r="H626" s="971"/>
      <c r="I626" s="971"/>
      <c r="J626" s="3089"/>
      <c r="K626" s="2035"/>
      <c r="L626" s="880"/>
      <c r="M626" s="348"/>
      <c r="N626" s="232"/>
    </row>
    <row r="627" spans="2:14" ht="21" hidden="1" customHeight="1" x14ac:dyDescent="0.25">
      <c r="B627" s="319"/>
      <c r="C627" s="4815" t="s">
        <v>5740</v>
      </c>
      <c r="D627" s="4820">
        <v>187500000</v>
      </c>
      <c r="E627" s="4819">
        <f t="shared" si="19"/>
        <v>0.12981846234690969</v>
      </c>
      <c r="F627" s="4317"/>
      <c r="G627" s="963"/>
      <c r="H627" s="963"/>
      <c r="I627" s="963"/>
      <c r="J627" s="2453"/>
      <c r="K627" s="1238"/>
      <c r="L627" s="971"/>
      <c r="M627" s="1328"/>
      <c r="N627" s="232"/>
    </row>
    <row r="628" spans="2:14" ht="12.75" hidden="1" customHeight="1" x14ac:dyDescent="0.25">
      <c r="B628" s="319"/>
      <c r="C628" s="4762"/>
      <c r="D628" s="4823"/>
      <c r="E628" s="4819"/>
      <c r="F628" s="1719"/>
      <c r="G628" s="541"/>
      <c r="H628" s="1316"/>
      <c r="I628" s="541"/>
      <c r="J628" s="2452"/>
      <c r="K628" s="1717"/>
      <c r="L628" s="2467"/>
      <c r="M628" s="581"/>
      <c r="N628" s="232"/>
    </row>
    <row r="629" spans="2:14" ht="22.5" hidden="1" customHeight="1" x14ac:dyDescent="0.25">
      <c r="B629" s="319"/>
      <c r="C629" s="4824" t="s">
        <v>1101</v>
      </c>
      <c r="D629" s="4773">
        <f>SUM(D630:D631)</f>
        <v>440567320</v>
      </c>
      <c r="E629" s="4644">
        <f t="shared" si="19"/>
        <v>0.30503345089439415</v>
      </c>
      <c r="F629" s="1721"/>
      <c r="G629" s="994"/>
      <c r="H629" s="994"/>
      <c r="I629" s="994"/>
      <c r="J629" s="1090"/>
      <c r="K629" s="1090"/>
      <c r="L629" s="1415"/>
      <c r="M629" s="349"/>
      <c r="N629" s="232"/>
    </row>
    <row r="630" spans="2:14" ht="30" hidden="1" customHeight="1" x14ac:dyDescent="0.25">
      <c r="B630" s="319"/>
      <c r="C630" s="4825" t="s">
        <v>5741</v>
      </c>
      <c r="D630" s="4820">
        <v>253067320</v>
      </c>
      <c r="E630" s="4819">
        <f t="shared" si="19"/>
        <v>0.17521498854748449</v>
      </c>
      <c r="F630" s="4317"/>
      <c r="G630" s="971"/>
      <c r="H630" s="971"/>
      <c r="I630" s="971"/>
      <c r="J630" s="2453"/>
      <c r="K630" s="2035"/>
      <c r="L630" s="880"/>
      <c r="M630" s="348"/>
      <c r="N630" s="232"/>
    </row>
    <row r="631" spans="2:14" ht="23.25" hidden="1" customHeight="1" x14ac:dyDescent="0.25">
      <c r="B631" s="319"/>
      <c r="C631" s="4825" t="s">
        <v>5742</v>
      </c>
      <c r="D631" s="4820">
        <v>187500000</v>
      </c>
      <c r="E631" s="4819">
        <f t="shared" si="19"/>
        <v>0.12981846234690969</v>
      </c>
      <c r="F631" s="1719"/>
      <c r="G631" s="541"/>
      <c r="H631" s="1316"/>
      <c r="I631" s="541"/>
      <c r="J631" s="2452"/>
      <c r="K631" s="1717"/>
      <c r="L631" s="2467"/>
      <c r="M631" s="581"/>
      <c r="N631" s="232"/>
    </row>
    <row r="632" spans="2:14" ht="15.75" hidden="1" customHeight="1" x14ac:dyDescent="0.25">
      <c r="B632" s="319"/>
      <c r="C632" s="4762"/>
      <c r="D632" s="4823"/>
      <c r="E632" s="4819"/>
      <c r="F632" s="1721"/>
      <c r="G632" s="994"/>
      <c r="H632" s="994"/>
      <c r="I632" s="994"/>
      <c r="J632" s="1086"/>
      <c r="K632" s="1086"/>
      <c r="L632" s="1415"/>
      <c r="M632" s="349"/>
      <c r="N632" s="232"/>
    </row>
    <row r="633" spans="2:14" ht="23.25" hidden="1" customHeight="1" x14ac:dyDescent="0.25">
      <c r="B633" s="319"/>
      <c r="C633" s="4824" t="s">
        <v>1015</v>
      </c>
      <c r="D633" s="4773">
        <f>SUM(D634:D636)</f>
        <v>705400000</v>
      </c>
      <c r="E633" s="4644">
        <f t="shared" si="19"/>
        <v>0.48839436447738716</v>
      </c>
      <c r="F633" s="4317"/>
      <c r="G633" s="963"/>
      <c r="H633" s="963"/>
      <c r="I633" s="963"/>
      <c r="J633" s="2453"/>
      <c r="K633" s="2035"/>
      <c r="L633" s="880"/>
      <c r="M633" s="348"/>
      <c r="N633" s="232"/>
    </row>
    <row r="634" spans="2:14" ht="22.5" hidden="1" customHeight="1" x14ac:dyDescent="0.25">
      <c r="B634" s="319"/>
      <c r="C634" s="4825" t="s">
        <v>5743</v>
      </c>
      <c r="D634" s="4820">
        <v>205400000</v>
      </c>
      <c r="E634" s="4819">
        <f t="shared" si="19"/>
        <v>0.14221179821896132</v>
      </c>
      <c r="F634" s="4317"/>
      <c r="G634" s="963"/>
      <c r="H634" s="963"/>
      <c r="I634" s="963"/>
      <c r="J634" s="2453"/>
      <c r="K634" s="2035"/>
      <c r="L634" s="880"/>
      <c r="M634" s="348"/>
      <c r="N634" s="232"/>
    </row>
    <row r="635" spans="2:14" ht="22.5" hidden="1" customHeight="1" x14ac:dyDescent="0.25">
      <c r="B635" s="319"/>
      <c r="C635" s="4674" t="s">
        <v>5744</v>
      </c>
      <c r="D635" s="4878">
        <v>250000000</v>
      </c>
      <c r="E635" s="4819">
        <f t="shared" si="19"/>
        <v>0.1730912831292129</v>
      </c>
      <c r="F635" s="4317"/>
      <c r="G635" s="963"/>
      <c r="H635" s="963"/>
      <c r="I635" s="963"/>
      <c r="J635" s="2453"/>
      <c r="K635" s="963"/>
      <c r="L635" s="967"/>
      <c r="M635" s="515"/>
      <c r="N635" s="232"/>
    </row>
    <row r="636" spans="2:14" ht="30.75" hidden="1" customHeight="1" x14ac:dyDescent="0.25">
      <c r="B636" s="319"/>
      <c r="C636" s="4674" t="s">
        <v>5745</v>
      </c>
      <c r="D636" s="4878">
        <v>250000000</v>
      </c>
      <c r="E636" s="4819">
        <f t="shared" si="19"/>
        <v>0.1730912831292129</v>
      </c>
      <c r="F636" s="1719"/>
      <c r="G636" s="541"/>
      <c r="H636" s="1316"/>
      <c r="I636" s="541"/>
      <c r="J636" s="2452"/>
      <c r="K636" s="1717"/>
      <c r="L636" s="2467"/>
      <c r="M636" s="581"/>
      <c r="N636" s="232"/>
    </row>
    <row r="637" spans="2:14" ht="12.75" hidden="1" customHeight="1" x14ac:dyDescent="0.25">
      <c r="B637" s="319"/>
      <c r="C637" s="4674"/>
      <c r="D637" s="4878"/>
      <c r="E637" s="4819"/>
      <c r="F637" s="1721"/>
      <c r="G637" s="994"/>
      <c r="H637" s="994"/>
      <c r="I637" s="994"/>
      <c r="J637" s="1086"/>
      <c r="K637" s="1086"/>
      <c r="L637" s="1415"/>
      <c r="M637" s="531"/>
      <c r="N637" s="232"/>
    </row>
    <row r="638" spans="2:14" ht="21" hidden="1" customHeight="1" x14ac:dyDescent="0.25">
      <c r="B638" s="319"/>
      <c r="C638" s="4760" t="s">
        <v>5746</v>
      </c>
      <c r="D638" s="4773">
        <f>SUM(D639:D640)</f>
        <v>487500000</v>
      </c>
      <c r="E638" s="4644">
        <f t="shared" si="19"/>
        <v>0.33752800210196515</v>
      </c>
      <c r="F638" s="4317"/>
      <c r="G638" s="3127"/>
      <c r="H638" s="3127"/>
      <c r="I638" s="3127"/>
      <c r="J638" s="2453"/>
      <c r="K638" s="2035"/>
      <c r="L638" s="880"/>
      <c r="M638" s="518"/>
      <c r="N638" s="232"/>
    </row>
    <row r="639" spans="2:14" ht="20.25" hidden="1" customHeight="1" x14ac:dyDescent="0.25">
      <c r="B639" s="319"/>
      <c r="C639" s="4762" t="s">
        <v>5747</v>
      </c>
      <c r="D639" s="4823">
        <v>300000000</v>
      </c>
      <c r="E639" s="4819">
        <f t="shared" si="19"/>
        <v>0.20770953975505546</v>
      </c>
      <c r="F639" s="1719"/>
      <c r="G639" s="541"/>
      <c r="H639" s="1316"/>
      <c r="I639" s="541"/>
      <c r="J639" s="2452"/>
      <c r="K639" s="1717"/>
      <c r="L639" s="2467"/>
      <c r="M639" s="581"/>
      <c r="N639" s="232"/>
    </row>
    <row r="640" spans="2:14" ht="38.25" hidden="1" customHeight="1" x14ac:dyDescent="0.25">
      <c r="B640" s="319"/>
      <c r="C640" s="4762" t="s">
        <v>5748</v>
      </c>
      <c r="D640" s="4823">
        <v>187500000</v>
      </c>
      <c r="E640" s="4819">
        <f t="shared" si="19"/>
        <v>0.12981846234690969</v>
      </c>
      <c r="F640" s="1721"/>
      <c r="G640" s="3128"/>
      <c r="H640" s="3128"/>
      <c r="I640" s="3128"/>
      <c r="J640" s="1086"/>
      <c r="K640" s="1086"/>
      <c r="L640" s="1415"/>
      <c r="M640" s="349"/>
      <c r="N640" s="232"/>
    </row>
    <row r="641" spans="1:17" ht="13.5" hidden="1" customHeight="1" x14ac:dyDescent="0.25">
      <c r="B641" s="319"/>
      <c r="C641" s="4762"/>
      <c r="D641" s="4823"/>
      <c r="E641" s="4819"/>
      <c r="F641" s="4880"/>
      <c r="G641" s="971"/>
      <c r="H641" s="971"/>
      <c r="I641" s="971"/>
      <c r="J641" s="2807"/>
      <c r="K641" s="3129"/>
      <c r="L641" s="880"/>
      <c r="M641" s="348"/>
      <c r="N641" s="232"/>
    </row>
    <row r="642" spans="1:17" ht="21" hidden="1" customHeight="1" x14ac:dyDescent="0.25">
      <c r="B642" s="319"/>
      <c r="C642" s="4760" t="s">
        <v>5750</v>
      </c>
      <c r="D642" s="4773">
        <f>D643</f>
        <v>62490000</v>
      </c>
      <c r="E642" s="4644">
        <f t="shared" si="19"/>
        <v>4.3265897130978059E-2</v>
      </c>
      <c r="F642" s="990"/>
      <c r="G642" s="886"/>
      <c r="H642" s="2255"/>
      <c r="I642" s="791"/>
      <c r="J642" s="1651"/>
      <c r="K642" s="1651"/>
      <c r="L642" s="2416"/>
      <c r="M642" s="358"/>
      <c r="N642" s="281"/>
    </row>
    <row r="643" spans="1:17" s="4099" customFormat="1" ht="21" hidden="1" customHeight="1" x14ac:dyDescent="0.25">
      <c r="B643" s="319"/>
      <c r="C643" s="4762" t="s">
        <v>5749</v>
      </c>
      <c r="D643" s="4823">
        <v>62490000</v>
      </c>
      <c r="E643" s="4819">
        <f t="shared" si="19"/>
        <v>4.3265897130978059E-2</v>
      </c>
      <c r="F643" s="3786"/>
      <c r="G643" s="880"/>
      <c r="H643" s="880"/>
      <c r="I643" s="894"/>
      <c r="J643" s="894"/>
      <c r="K643" s="894"/>
      <c r="L643" s="2415"/>
      <c r="M643" s="372"/>
      <c r="N643" s="112"/>
      <c r="P643" s="522"/>
      <c r="Q643" s="522"/>
    </row>
    <row r="644" spans="1:17" s="4099" customFormat="1" ht="14.25" hidden="1" customHeight="1" x14ac:dyDescent="0.25">
      <c r="B644" s="319"/>
      <c r="C644" s="4762"/>
      <c r="D644" s="4823"/>
      <c r="E644" s="4819"/>
      <c r="F644" s="3786"/>
      <c r="G644" s="880"/>
      <c r="H644" s="880"/>
      <c r="I644" s="894"/>
      <c r="J644" s="894"/>
      <c r="K644" s="894"/>
      <c r="L644" s="2415"/>
      <c r="M644" s="372"/>
      <c r="N644" s="112"/>
      <c r="P644" s="522"/>
      <c r="Q644" s="522"/>
    </row>
    <row r="645" spans="1:17" s="4099" customFormat="1" ht="18.75" hidden="1" customHeight="1" x14ac:dyDescent="0.25">
      <c r="B645" s="319"/>
      <c r="C645" s="4824" t="s">
        <v>5751</v>
      </c>
      <c r="D645" s="4773">
        <f>D646</f>
        <v>62500000</v>
      </c>
      <c r="E645" s="4644">
        <f t="shared" si="19"/>
        <v>4.3272820782303226E-2</v>
      </c>
      <c r="F645" s="3786"/>
      <c r="G645" s="880"/>
      <c r="H645" s="880"/>
      <c r="I645" s="894"/>
      <c r="J645" s="894"/>
      <c r="K645" s="894"/>
      <c r="L645" s="2415"/>
      <c r="M645" s="372"/>
      <c r="N645" s="112"/>
      <c r="P645" s="522"/>
      <c r="Q645" s="522"/>
    </row>
    <row r="646" spans="1:17" s="4099" customFormat="1" ht="21" hidden="1" customHeight="1" x14ac:dyDescent="0.25">
      <c r="B646" s="319"/>
      <c r="C646" s="4825" t="s">
        <v>5752</v>
      </c>
      <c r="D646" s="4820">
        <v>62500000</v>
      </c>
      <c r="E646" s="4819">
        <f t="shared" si="19"/>
        <v>4.3272820782303226E-2</v>
      </c>
      <c r="F646" s="3786"/>
      <c r="G646" s="880"/>
      <c r="H646" s="880"/>
      <c r="I646" s="894"/>
      <c r="J646" s="894"/>
      <c r="K646" s="894"/>
      <c r="L646" s="2415"/>
      <c r="M646" s="372"/>
      <c r="N646" s="112"/>
      <c r="P646" s="522"/>
      <c r="Q646" s="522"/>
    </row>
    <row r="647" spans="1:17" s="4099" customFormat="1" ht="12" hidden="1" customHeight="1" x14ac:dyDescent="0.25">
      <c r="B647" s="319"/>
      <c r="C647" s="4705"/>
      <c r="D647" s="4801"/>
      <c r="E647" s="4667"/>
      <c r="F647" s="1007"/>
      <c r="G647" s="827"/>
      <c r="H647" s="804"/>
      <c r="I647" s="804"/>
      <c r="J647" s="3122"/>
      <c r="K647" s="969"/>
      <c r="L647" s="1703"/>
      <c r="M647" s="363"/>
      <c r="N647" s="281"/>
      <c r="P647" s="522"/>
      <c r="Q647" s="522"/>
    </row>
    <row r="648" spans="1:17" s="4099" customFormat="1" ht="19.5" hidden="1" customHeight="1" x14ac:dyDescent="0.25">
      <c r="A648" s="3646"/>
      <c r="B648" s="312"/>
      <c r="C648" s="4643" t="s">
        <v>381</v>
      </c>
      <c r="D648" s="4714">
        <f>D649</f>
        <v>33055000000</v>
      </c>
      <c r="E648" s="4812">
        <f>D648/144432461000*100</f>
        <v>22.886129455344527</v>
      </c>
      <c r="F648" s="5335"/>
      <c r="G648" s="2226"/>
      <c r="H648" s="2226"/>
      <c r="I648" s="2226"/>
      <c r="J648" s="2845"/>
      <c r="K648" s="2845"/>
      <c r="L648" s="3471"/>
      <c r="M648" s="3571"/>
      <c r="N648" s="3565"/>
      <c r="P648" s="522"/>
      <c r="Q648" s="522"/>
    </row>
    <row r="649" spans="1:17" s="4099" customFormat="1" ht="23.25" hidden="1" customHeight="1" x14ac:dyDescent="0.25">
      <c r="B649" s="319"/>
      <c r="C649" s="5336" t="s">
        <v>275</v>
      </c>
      <c r="D649" s="4842">
        <f>D650</f>
        <v>33055000000</v>
      </c>
      <c r="E649" s="4814">
        <f>D649/144432461000*100</f>
        <v>22.886129455344527</v>
      </c>
      <c r="F649" s="5339"/>
      <c r="G649" s="5340"/>
      <c r="H649" s="5340"/>
      <c r="I649" s="5340"/>
      <c r="J649" s="5341"/>
      <c r="K649" s="5341"/>
      <c r="L649" s="4631"/>
      <c r="M649" s="5342"/>
      <c r="N649" s="5343"/>
      <c r="P649" s="522"/>
      <c r="Q649" s="522"/>
    </row>
    <row r="650" spans="1:17" s="4099" customFormat="1" ht="29.25" hidden="1" customHeight="1" x14ac:dyDescent="0.25">
      <c r="B650" s="319"/>
      <c r="C650" s="5337" t="s">
        <v>7328</v>
      </c>
      <c r="D650" s="5338">
        <v>33055000000</v>
      </c>
      <c r="E650" s="4817">
        <f>D650/144432461000*100</f>
        <v>22.886129455344527</v>
      </c>
      <c r="F650" s="4732"/>
      <c r="G650" s="3630"/>
      <c r="H650" s="3630"/>
      <c r="I650" s="3630"/>
      <c r="J650" s="894"/>
      <c r="K650" s="894"/>
      <c r="L650" s="1717"/>
      <c r="M650" s="372"/>
      <c r="N650" s="112"/>
      <c r="P650" s="522"/>
      <c r="Q650" s="522"/>
    </row>
    <row r="651" spans="1:17" s="4099" customFormat="1" ht="14.25" hidden="1" customHeight="1" x14ac:dyDescent="0.25">
      <c r="B651" s="319"/>
      <c r="C651" s="5334"/>
      <c r="D651" s="5344"/>
      <c r="E651" s="4899"/>
      <c r="F651" s="3539"/>
      <c r="G651" s="1065"/>
      <c r="H651" s="804"/>
      <c r="I651" s="804"/>
      <c r="J651" s="3122"/>
      <c r="K651" s="969"/>
      <c r="L651" s="1703"/>
      <c r="M651" s="363"/>
      <c r="N651" s="639"/>
      <c r="P651" s="522"/>
      <c r="Q651" s="522"/>
    </row>
    <row r="652" spans="1:17" s="2058" customFormat="1" ht="22.5" customHeight="1" x14ac:dyDescent="0.25">
      <c r="B652" s="616"/>
      <c r="C652" s="4827" t="s">
        <v>7104</v>
      </c>
      <c r="D652" s="4656">
        <f>D654+D718+D726+D730+D734+D739+D760</f>
        <v>27987580000</v>
      </c>
      <c r="E652" s="4889">
        <f>D652/D45*100</f>
        <v>7.4787038467997471</v>
      </c>
      <c r="F652" s="4130"/>
      <c r="G652" s="2530"/>
      <c r="H652" s="2506"/>
      <c r="I652" s="2506"/>
      <c r="J652" s="2530"/>
      <c r="K652" s="2530"/>
      <c r="L652" s="2506"/>
      <c r="M652" s="617"/>
      <c r="N652" s="2059"/>
      <c r="P652" s="2151"/>
      <c r="Q652" s="2151"/>
    </row>
    <row r="653" spans="1:17" ht="8.25" hidden="1" customHeight="1" x14ac:dyDescent="0.25">
      <c r="B653" s="319"/>
      <c r="C653" s="4927"/>
      <c r="D653" s="5009"/>
      <c r="E653" s="4828"/>
      <c r="F653" s="4138"/>
      <c r="G653" s="1105"/>
      <c r="H653" s="3133"/>
      <c r="I653" s="2409"/>
      <c r="J653" s="3132"/>
      <c r="K653" s="1105"/>
      <c r="L653" s="2470"/>
      <c r="M653" s="558"/>
      <c r="N653" s="232"/>
    </row>
    <row r="654" spans="1:17" s="269" customFormat="1" ht="24.75" hidden="1" customHeight="1" x14ac:dyDescent="0.25">
      <c r="B654" s="312"/>
      <c r="C654" s="4811" t="s">
        <v>379</v>
      </c>
      <c r="D654" s="5010">
        <f>D655+D664+D667+D671+D678+D687+D692+D696+D699+D702</f>
        <v>2952580000</v>
      </c>
      <c r="E654" s="4829">
        <f>D654/138203382000*100</f>
        <v>2.1364021323298732</v>
      </c>
      <c r="F654" s="847"/>
      <c r="G654" s="847"/>
      <c r="H654" s="1911"/>
      <c r="I654" s="2298"/>
      <c r="J654" s="847"/>
      <c r="K654" s="847"/>
      <c r="L654" s="1030"/>
      <c r="M654" s="359"/>
      <c r="N654" s="268"/>
      <c r="P654" s="2069"/>
      <c r="Q654" s="2069"/>
    </row>
    <row r="655" spans="1:17" ht="21" hidden="1" customHeight="1" x14ac:dyDescent="0.25">
      <c r="B655" s="319"/>
      <c r="C655" s="4928" t="s">
        <v>4879</v>
      </c>
      <c r="D655" s="4908">
        <f>SUM(D656:D657)</f>
        <v>890000000</v>
      </c>
      <c r="E655" s="4830">
        <f>D655/138203382000*100</f>
        <v>0.64397845198896797</v>
      </c>
      <c r="F655" s="867"/>
      <c r="G655" s="965"/>
      <c r="H655" s="965"/>
      <c r="I655" s="965"/>
      <c r="J655" s="541"/>
      <c r="K655" s="541"/>
      <c r="L655" s="2494"/>
      <c r="M655" s="349"/>
      <c r="N655" s="232"/>
    </row>
    <row r="656" spans="1:17" ht="22.5" hidden="1" customHeight="1" x14ac:dyDescent="0.25">
      <c r="B656" s="319"/>
      <c r="C656" s="4929" t="s">
        <v>4880</v>
      </c>
      <c r="D656" s="4831">
        <v>490000000</v>
      </c>
      <c r="E656" s="4817">
        <f>D656/138203382000*100</f>
        <v>0.35454993424111719</v>
      </c>
      <c r="F656" s="542"/>
      <c r="G656" s="963"/>
      <c r="H656" s="963"/>
      <c r="I656" s="963"/>
      <c r="J656" s="542"/>
      <c r="K656" s="1233"/>
      <c r="L656" s="2435"/>
      <c r="M656" s="348"/>
      <c r="N656" s="232"/>
    </row>
    <row r="657" spans="2:14" ht="21" hidden="1" customHeight="1" x14ac:dyDescent="0.25">
      <c r="B657" s="319"/>
      <c r="C657" s="4884" t="s">
        <v>4881</v>
      </c>
      <c r="D657" s="4831">
        <v>400000000</v>
      </c>
      <c r="E657" s="4817">
        <f t="shared" ref="E657:E716" si="20">D657/138203382000*100</f>
        <v>0.28942851774785078</v>
      </c>
      <c r="F657" s="542"/>
      <c r="G657" s="963"/>
      <c r="H657" s="963"/>
      <c r="I657" s="963"/>
      <c r="J657" s="542"/>
      <c r="K657" s="1230"/>
      <c r="L657" s="2435"/>
      <c r="M657" s="348"/>
      <c r="N657" s="232"/>
    </row>
    <row r="658" spans="2:14" ht="12.75" hidden="1" customHeight="1" x14ac:dyDescent="0.25">
      <c r="B658" s="319"/>
      <c r="C658" s="4762"/>
      <c r="D658" s="4832"/>
      <c r="E658" s="4817"/>
      <c r="F658" s="542"/>
      <c r="G658" s="963"/>
      <c r="H658" s="963"/>
      <c r="I658" s="963"/>
      <c r="J658" s="542"/>
      <c r="K658" s="1230"/>
      <c r="L658" s="2435"/>
      <c r="M658" s="348"/>
      <c r="N658" s="232"/>
    </row>
    <row r="659" spans="2:14" ht="24" hidden="1" customHeight="1" x14ac:dyDescent="0.25">
      <c r="B659" s="319"/>
      <c r="C659" s="4917" t="s">
        <v>4882</v>
      </c>
      <c r="D659" s="4833">
        <f>SUM(D660:D672)</f>
        <v>2530570000</v>
      </c>
      <c r="E659" s="4830">
        <f t="shared" si="20"/>
        <v>1.8310478103929468</v>
      </c>
      <c r="F659" s="542"/>
      <c r="G659" s="963"/>
      <c r="H659" s="963"/>
      <c r="I659" s="963"/>
      <c r="J659" s="542"/>
      <c r="K659" s="1230"/>
      <c r="L659" s="2435"/>
      <c r="M659" s="348"/>
      <c r="N659" s="232"/>
    </row>
    <row r="660" spans="2:14" ht="22.5" hidden="1" customHeight="1" x14ac:dyDescent="0.25">
      <c r="B660" s="319"/>
      <c r="C660" s="4884" t="s">
        <v>4883</v>
      </c>
      <c r="D660" s="4831">
        <v>259100000</v>
      </c>
      <c r="E660" s="4817">
        <f t="shared" si="20"/>
        <v>0.18747732237117035</v>
      </c>
      <c r="F660" s="542"/>
      <c r="G660" s="963"/>
      <c r="H660" s="963"/>
      <c r="I660" s="963"/>
      <c r="J660" s="542"/>
      <c r="K660" s="1230"/>
      <c r="L660" s="2435"/>
      <c r="M660" s="348"/>
      <c r="N660" s="232"/>
    </row>
    <row r="661" spans="2:14" ht="19.5" hidden="1" customHeight="1" x14ac:dyDescent="0.25">
      <c r="B661" s="319"/>
      <c r="C661" s="4884" t="s">
        <v>4884</v>
      </c>
      <c r="D661" s="4831">
        <v>121070000</v>
      </c>
      <c r="E661" s="4817">
        <f t="shared" si="20"/>
        <v>8.7602776609330732E-2</v>
      </c>
      <c r="F661" s="542"/>
      <c r="G661" s="963"/>
      <c r="H661" s="963"/>
      <c r="I661" s="963"/>
      <c r="J661" s="542"/>
      <c r="K661" s="1233"/>
      <c r="L661" s="2435"/>
      <c r="M661" s="348"/>
      <c r="N661" s="232"/>
    </row>
    <row r="662" spans="2:14" ht="19.5" hidden="1" customHeight="1" x14ac:dyDescent="0.25">
      <c r="B662" s="319"/>
      <c r="C662" s="4884" t="s">
        <v>4885</v>
      </c>
      <c r="D662" s="4831">
        <v>118900000</v>
      </c>
      <c r="E662" s="4817">
        <f t="shared" si="20"/>
        <v>8.6032626900548637E-2</v>
      </c>
      <c r="F662" s="542"/>
      <c r="G662" s="963"/>
      <c r="H662" s="963"/>
      <c r="I662" s="963"/>
      <c r="J662" s="542"/>
      <c r="K662" s="1230"/>
      <c r="L662" s="2435"/>
      <c r="M662" s="348"/>
      <c r="N662" s="232"/>
    </row>
    <row r="663" spans="2:14" ht="21.75" hidden="1" customHeight="1" x14ac:dyDescent="0.25">
      <c r="B663" s="319"/>
      <c r="C663" s="4884" t="s">
        <v>4886</v>
      </c>
      <c r="D663" s="4831">
        <v>129020000</v>
      </c>
      <c r="E663" s="4817">
        <f t="shared" si="20"/>
        <v>9.3355168399569269E-2</v>
      </c>
      <c r="F663" s="542"/>
      <c r="G663" s="666"/>
      <c r="H663" s="1111"/>
      <c r="I663" s="1109"/>
      <c r="J663" s="1106"/>
      <c r="K663" s="1315"/>
      <c r="L663" s="2435"/>
      <c r="M663" s="348"/>
      <c r="N663" s="232"/>
    </row>
    <row r="664" spans="2:14" ht="18.75" hidden="1" customHeight="1" x14ac:dyDescent="0.25">
      <c r="B664" s="319"/>
      <c r="C664" s="4884" t="s">
        <v>4887</v>
      </c>
      <c r="D664" s="4831">
        <v>80750000</v>
      </c>
      <c r="E664" s="4817">
        <f t="shared" si="20"/>
        <v>5.8428382020347371E-2</v>
      </c>
      <c r="F664" s="541"/>
      <c r="G664" s="965"/>
      <c r="H664" s="965"/>
      <c r="I664" s="965"/>
      <c r="J664" s="541"/>
      <c r="K664" s="541"/>
      <c r="L664" s="2494"/>
      <c r="M664" s="567"/>
      <c r="N664" s="232"/>
    </row>
    <row r="665" spans="2:14" ht="19.5" hidden="1" customHeight="1" x14ac:dyDescent="0.25">
      <c r="B665" s="319"/>
      <c r="C665" s="4884" t="s">
        <v>4888</v>
      </c>
      <c r="D665" s="4831">
        <v>94250000</v>
      </c>
      <c r="E665" s="4817">
        <f t="shared" si="20"/>
        <v>6.8196594494337348E-2</v>
      </c>
      <c r="F665" s="542"/>
      <c r="G665" s="963"/>
      <c r="H665" s="963"/>
      <c r="I665" s="963"/>
      <c r="J665" s="542"/>
      <c r="K665" s="1233"/>
      <c r="L665" s="2435"/>
      <c r="M665" s="568"/>
      <c r="N665" s="232"/>
    </row>
    <row r="666" spans="2:14" ht="19.5" hidden="1" customHeight="1" x14ac:dyDescent="0.25">
      <c r="B666" s="319"/>
      <c r="C666" s="4884" t="s">
        <v>4889</v>
      </c>
      <c r="D666" s="4831">
        <v>69800000</v>
      </c>
      <c r="E666" s="4817">
        <f t="shared" si="20"/>
        <v>5.0505276346999965E-2</v>
      </c>
      <c r="F666" s="542"/>
      <c r="G666" s="755"/>
      <c r="H666" s="755"/>
      <c r="I666" s="755"/>
      <c r="J666" s="663"/>
      <c r="K666" s="1717"/>
      <c r="L666" s="1312"/>
      <c r="M666" s="385"/>
      <c r="N666" s="232"/>
    </row>
    <row r="667" spans="2:14" ht="33.75" hidden="1" customHeight="1" x14ac:dyDescent="0.25">
      <c r="B667" s="319"/>
      <c r="C667" s="4884" t="s">
        <v>4890</v>
      </c>
      <c r="D667" s="4831">
        <v>129600000</v>
      </c>
      <c r="E667" s="4817">
        <f t="shared" si="20"/>
        <v>9.3774839750303651E-2</v>
      </c>
      <c r="F667" s="541"/>
      <c r="G667" s="541"/>
      <c r="H667" s="1912"/>
      <c r="I667" s="541"/>
      <c r="J667" s="541"/>
      <c r="K667" s="541"/>
      <c r="L667" s="2494"/>
      <c r="M667" s="567"/>
      <c r="N667" s="232"/>
    </row>
    <row r="668" spans="2:14" ht="21.75" hidden="1" customHeight="1" x14ac:dyDescent="0.25">
      <c r="B668" s="319"/>
      <c r="C668" s="4884" t="s">
        <v>4891</v>
      </c>
      <c r="D668" s="4831">
        <v>209200000</v>
      </c>
      <c r="E668" s="4885">
        <f t="shared" si="20"/>
        <v>0.15137111478212595</v>
      </c>
      <c r="F668" s="542"/>
      <c r="G668" s="963"/>
      <c r="H668" s="963"/>
      <c r="I668" s="963"/>
      <c r="J668" s="542"/>
      <c r="K668" s="1233"/>
      <c r="L668" s="2435"/>
      <c r="M668" s="568"/>
      <c r="N668" s="232"/>
    </row>
    <row r="669" spans="2:14" ht="19.5" hidden="1" customHeight="1" x14ac:dyDescent="0.25">
      <c r="B669" s="319"/>
      <c r="C669" s="4884" t="s">
        <v>4892</v>
      </c>
      <c r="D669" s="4831">
        <v>102200000</v>
      </c>
      <c r="E669" s="4817">
        <f t="shared" si="20"/>
        <v>7.3948986284575871E-2</v>
      </c>
      <c r="F669" s="542"/>
      <c r="G669" s="963"/>
      <c r="H669" s="1914"/>
      <c r="I669" s="1109"/>
      <c r="J669" s="542"/>
      <c r="K669" s="1233"/>
      <c r="L669" s="2435"/>
      <c r="M669" s="568"/>
      <c r="N669" s="232"/>
    </row>
    <row r="670" spans="2:14" ht="20.25" hidden="1" customHeight="1" x14ac:dyDescent="0.25">
      <c r="B670" s="319"/>
      <c r="C670" s="4884" t="s">
        <v>4893</v>
      </c>
      <c r="D670" s="4831">
        <v>1000000000</v>
      </c>
      <c r="E670" s="4817">
        <f t="shared" si="20"/>
        <v>0.72357129436962697</v>
      </c>
      <c r="F670" s="542"/>
      <c r="G670" s="666"/>
      <c r="H670" s="1111"/>
      <c r="I670" s="1109"/>
      <c r="J670" s="663"/>
      <c r="K670" s="1717"/>
      <c r="L670" s="1312"/>
      <c r="M670" s="348"/>
      <c r="N670" s="232"/>
    </row>
    <row r="671" spans="2:14" ht="20.25" hidden="1" customHeight="1" x14ac:dyDescent="0.25">
      <c r="B671" s="319"/>
      <c r="C671" s="4884" t="s">
        <v>4894</v>
      </c>
      <c r="D671" s="4831">
        <v>90080000</v>
      </c>
      <c r="E671" s="4817">
        <f t="shared" si="20"/>
        <v>6.5179302196815989E-2</v>
      </c>
      <c r="F671" s="541"/>
      <c r="G671" s="541"/>
      <c r="H671" s="1912"/>
      <c r="I671" s="541"/>
      <c r="J671" s="541"/>
      <c r="K671" s="541"/>
      <c r="L671" s="2494"/>
      <c r="M671" s="376"/>
      <c r="N671" s="232"/>
    </row>
    <row r="672" spans="2:14" ht="24.75" hidden="1" customHeight="1" x14ac:dyDescent="0.25">
      <c r="B672" s="319"/>
      <c r="C672" s="4884" t="s">
        <v>4895</v>
      </c>
      <c r="D672" s="4831">
        <v>126600000</v>
      </c>
      <c r="E672" s="4885">
        <f t="shared" si="20"/>
        <v>9.1604125867194769E-2</v>
      </c>
      <c r="F672" s="542"/>
      <c r="G672" s="963"/>
      <c r="H672" s="1914"/>
      <c r="I672" s="963"/>
      <c r="J672" s="542"/>
      <c r="K672" s="1233"/>
      <c r="L672" s="2435"/>
      <c r="M672" s="348"/>
      <c r="N672" s="232"/>
    </row>
    <row r="673" spans="2:14" ht="12.75" hidden="1" customHeight="1" x14ac:dyDescent="0.25">
      <c r="B673" s="319"/>
      <c r="C673" s="4930"/>
      <c r="D673" s="5011"/>
      <c r="E673" s="4817"/>
      <c r="F673" s="542"/>
      <c r="G673" s="963"/>
      <c r="H673" s="1914"/>
      <c r="I673" s="963"/>
      <c r="J673" s="542"/>
      <c r="K673" s="1231"/>
      <c r="L673" s="2435"/>
      <c r="M673" s="348"/>
      <c r="N673" s="232"/>
    </row>
    <row r="674" spans="2:14" ht="22.5" hidden="1" customHeight="1" x14ac:dyDescent="0.25">
      <c r="B674" s="319"/>
      <c r="C674" s="4907" t="s">
        <v>4896</v>
      </c>
      <c r="D674" s="4908">
        <f>SUM(D675:D677)</f>
        <v>263700000</v>
      </c>
      <c r="E674" s="4830">
        <f t="shared" si="20"/>
        <v>0.19080575032527061</v>
      </c>
      <c r="F674" s="542"/>
      <c r="G674" s="963"/>
      <c r="H674" s="1914"/>
      <c r="I674" s="963"/>
      <c r="J674" s="542"/>
      <c r="K674" s="1232"/>
      <c r="L674" s="2435"/>
      <c r="M674" s="348"/>
      <c r="N674" s="232"/>
    </row>
    <row r="675" spans="2:14" ht="19.5" hidden="1" customHeight="1" x14ac:dyDescent="0.25">
      <c r="B675" s="319"/>
      <c r="C675" s="4884" t="s">
        <v>4897</v>
      </c>
      <c r="D675" s="4831">
        <v>87640000</v>
      </c>
      <c r="E675" s="4817">
        <f t="shared" si="20"/>
        <v>6.3413788238554106E-2</v>
      </c>
      <c r="F675" s="542"/>
      <c r="G675" s="542"/>
      <c r="H675" s="1914"/>
      <c r="I675" s="1109"/>
      <c r="J675" s="542"/>
      <c r="K675" s="1232"/>
      <c r="L675" s="2435"/>
      <c r="M675" s="348"/>
      <c r="N675" s="232"/>
    </row>
    <row r="676" spans="2:14" ht="33.75" hidden="1" customHeight="1" x14ac:dyDescent="0.25">
      <c r="B676" s="319"/>
      <c r="C676" s="4884" t="s">
        <v>4898</v>
      </c>
      <c r="D676" s="4831">
        <v>131360000</v>
      </c>
      <c r="E676" s="4817">
        <f t="shared" si="20"/>
        <v>9.5048325228394195E-2</v>
      </c>
      <c r="F676" s="542"/>
      <c r="G676" s="963"/>
      <c r="H676" s="1914"/>
      <c r="I676" s="963"/>
      <c r="J676" s="542"/>
      <c r="K676" s="1232"/>
      <c r="L676" s="2435"/>
      <c r="M676" s="348"/>
      <c r="N676" s="232"/>
    </row>
    <row r="677" spans="2:14" ht="27.75" hidden="1" customHeight="1" x14ac:dyDescent="0.25">
      <c r="B677" s="319"/>
      <c r="C677" s="4884" t="s">
        <v>4899</v>
      </c>
      <c r="D677" s="4831">
        <v>44700000</v>
      </c>
      <c r="E677" s="4817">
        <f t="shared" si="20"/>
        <v>3.2343636858322318E-2</v>
      </c>
      <c r="F677" s="542"/>
      <c r="G677" s="666"/>
      <c r="H677" s="3134"/>
      <c r="I677" s="1109"/>
      <c r="J677" s="1106"/>
      <c r="K677" s="1315"/>
      <c r="L677" s="1311"/>
      <c r="M677" s="581"/>
      <c r="N677" s="232"/>
    </row>
    <row r="678" spans="2:14" ht="12.75" hidden="1" customHeight="1" x14ac:dyDescent="0.25">
      <c r="B678" s="319"/>
      <c r="C678" s="4762"/>
      <c r="D678" s="4832"/>
      <c r="E678" s="4817"/>
      <c r="F678" s="541"/>
      <c r="G678" s="541"/>
      <c r="H678" s="1912"/>
      <c r="I678" s="541"/>
      <c r="J678" s="541"/>
      <c r="K678" s="541"/>
      <c r="L678" s="2494"/>
      <c r="M678" s="376"/>
      <c r="N678" s="232"/>
    </row>
    <row r="679" spans="2:14" ht="24" hidden="1" customHeight="1" x14ac:dyDescent="0.25">
      <c r="B679" s="319"/>
      <c r="C679" s="4917" t="s">
        <v>453</v>
      </c>
      <c r="D679" s="4833">
        <v>2985000000</v>
      </c>
      <c r="E679" s="4830">
        <f t="shared" si="20"/>
        <v>2.1598603136933363</v>
      </c>
      <c r="F679" s="542"/>
      <c r="G679" s="666"/>
      <c r="H679" s="1914"/>
      <c r="I679" s="1109"/>
      <c r="J679" s="542"/>
      <c r="K679" s="1717"/>
      <c r="L679" s="2435"/>
      <c r="M679" s="348"/>
      <c r="N679" s="232"/>
    </row>
    <row r="680" spans="2:14" ht="20.25" hidden="1" customHeight="1" x14ac:dyDescent="0.25">
      <c r="B680" s="319"/>
      <c r="C680" s="4884" t="s">
        <v>4900</v>
      </c>
      <c r="D680" s="4831">
        <v>392500000</v>
      </c>
      <c r="E680" s="4817">
        <f t="shared" si="20"/>
        <v>0.28400173304007853</v>
      </c>
      <c r="F680" s="542"/>
      <c r="G680" s="666"/>
      <c r="H680" s="1914"/>
      <c r="I680" s="1109"/>
      <c r="J680" s="542"/>
      <c r="K680" s="1717"/>
      <c r="L680" s="2435"/>
      <c r="M680" s="348"/>
      <c r="N680" s="232"/>
    </row>
    <row r="681" spans="2:14" ht="18.75" hidden="1" customHeight="1" x14ac:dyDescent="0.25">
      <c r="B681" s="319"/>
      <c r="C681" s="4884" t="s">
        <v>4901</v>
      </c>
      <c r="D681" s="4831">
        <v>400000000</v>
      </c>
      <c r="E681" s="4817">
        <f t="shared" si="20"/>
        <v>0.28942851774785078</v>
      </c>
      <c r="F681" s="542"/>
      <c r="G681" s="963"/>
      <c r="H681" s="1914"/>
      <c r="I681" s="963"/>
      <c r="J681" s="542"/>
      <c r="K681" s="1717"/>
      <c r="L681" s="2435"/>
      <c r="M681" s="348"/>
      <c r="N681" s="232"/>
    </row>
    <row r="682" spans="2:14" ht="22.5" hidden="1" customHeight="1" x14ac:dyDescent="0.25">
      <c r="B682" s="319"/>
      <c r="C682" s="4884" t="s">
        <v>4902</v>
      </c>
      <c r="D682" s="4831">
        <v>400000000</v>
      </c>
      <c r="E682" s="4817">
        <f t="shared" si="20"/>
        <v>0.28942851774785078</v>
      </c>
      <c r="F682" s="542"/>
      <c r="G682" s="963"/>
      <c r="H682" s="1914"/>
      <c r="I682" s="963"/>
      <c r="J682" s="542"/>
      <c r="K682" s="1717"/>
      <c r="L682" s="2435"/>
      <c r="M682" s="348"/>
      <c r="N682" s="232"/>
    </row>
    <row r="683" spans="2:14" ht="18" hidden="1" customHeight="1" x14ac:dyDescent="0.25">
      <c r="B683" s="319"/>
      <c r="C683" s="4884" t="s">
        <v>4903</v>
      </c>
      <c r="D683" s="4831">
        <v>350000000</v>
      </c>
      <c r="E683" s="4817">
        <f t="shared" si="20"/>
        <v>0.25324995302936942</v>
      </c>
      <c r="F683" s="542"/>
      <c r="G683" s="963"/>
      <c r="H683" s="1914"/>
      <c r="I683" s="963"/>
      <c r="J683" s="542"/>
      <c r="K683" s="1717"/>
      <c r="L683" s="2435"/>
      <c r="M683" s="348"/>
      <c r="N683" s="232"/>
    </row>
    <row r="684" spans="2:14" ht="19.5" hidden="1" customHeight="1" x14ac:dyDescent="0.25">
      <c r="B684" s="319"/>
      <c r="C684" s="4884" t="s">
        <v>4904</v>
      </c>
      <c r="D684" s="4831">
        <v>350000000</v>
      </c>
      <c r="E684" s="4817">
        <f t="shared" si="20"/>
        <v>0.25324995302936942</v>
      </c>
      <c r="F684" s="542"/>
      <c r="G684" s="666"/>
      <c r="H684" s="1914"/>
      <c r="I684" s="1109"/>
      <c r="J684" s="542"/>
      <c r="K684" s="1717"/>
      <c r="L684" s="2435"/>
      <c r="M684" s="348"/>
      <c r="N684" s="232"/>
    </row>
    <row r="685" spans="2:14" ht="18" hidden="1" customHeight="1" x14ac:dyDescent="0.25">
      <c r="B685" s="319"/>
      <c r="C685" s="4884" t="s">
        <v>4905</v>
      </c>
      <c r="D685" s="4831">
        <v>350000000</v>
      </c>
      <c r="E685" s="4817">
        <f t="shared" si="20"/>
        <v>0.25324995302936942</v>
      </c>
      <c r="F685" s="542"/>
      <c r="G685" s="666"/>
      <c r="H685" s="1914"/>
      <c r="I685" s="1109"/>
      <c r="J685" s="542"/>
      <c r="K685" s="1717"/>
      <c r="L685" s="2435"/>
      <c r="M685" s="348"/>
      <c r="N685" s="232"/>
    </row>
    <row r="686" spans="2:14" ht="19.5" hidden="1" customHeight="1" x14ac:dyDescent="0.25">
      <c r="B686" s="319"/>
      <c r="C686" s="4884" t="s">
        <v>4906</v>
      </c>
      <c r="D686" s="4831">
        <v>300000000</v>
      </c>
      <c r="E686" s="4817">
        <f t="shared" si="20"/>
        <v>0.21707138831088807</v>
      </c>
      <c r="F686" s="542"/>
      <c r="G686" s="755"/>
      <c r="H686" s="755"/>
      <c r="I686" s="1109"/>
      <c r="J686" s="1106"/>
      <c r="K686" s="1315"/>
      <c r="L686" s="1311"/>
      <c r="M686" s="348"/>
      <c r="N686" s="232"/>
    </row>
    <row r="687" spans="2:14" ht="18.75" hidden="1" customHeight="1" x14ac:dyDescent="0.25">
      <c r="B687" s="319"/>
      <c r="C687" s="4884" t="s">
        <v>4907</v>
      </c>
      <c r="D687" s="4831">
        <v>292500000</v>
      </c>
      <c r="E687" s="4817">
        <f t="shared" si="20"/>
        <v>0.21164460360311588</v>
      </c>
      <c r="F687" s="541"/>
      <c r="G687" s="541"/>
      <c r="H687" s="1912"/>
      <c r="I687" s="541"/>
      <c r="J687" s="541"/>
      <c r="K687" s="541"/>
      <c r="L687" s="2494"/>
      <c r="M687" s="376"/>
      <c r="N687" s="232"/>
    </row>
    <row r="688" spans="2:14" ht="22.5" hidden="1" customHeight="1" x14ac:dyDescent="0.25">
      <c r="B688" s="319"/>
      <c r="C688" s="4884" t="s">
        <v>4908</v>
      </c>
      <c r="D688" s="4831">
        <v>150000000</v>
      </c>
      <c r="E688" s="4817">
        <f t="shared" si="20"/>
        <v>0.10853569415544403</v>
      </c>
      <c r="F688" s="542"/>
      <c r="G688" s="963"/>
      <c r="H688" s="1914"/>
      <c r="I688" s="1109"/>
      <c r="J688" s="542"/>
      <c r="K688" s="1230"/>
      <c r="L688" s="2435"/>
      <c r="M688" s="348"/>
      <c r="N688" s="232"/>
    </row>
    <row r="689" spans="2:14" ht="13.5" hidden="1" customHeight="1" x14ac:dyDescent="0.25">
      <c r="B689" s="319"/>
      <c r="C689" s="4762"/>
      <c r="D689" s="4832"/>
      <c r="E689" s="4817"/>
      <c r="F689" s="542"/>
      <c r="G689" s="963"/>
      <c r="H689" s="1914"/>
      <c r="I689" s="963"/>
      <c r="J689" s="542"/>
      <c r="K689" s="1230"/>
      <c r="L689" s="2435"/>
      <c r="M689" s="348"/>
      <c r="N689" s="232"/>
    </row>
    <row r="690" spans="2:14" ht="19.5" hidden="1" customHeight="1" x14ac:dyDescent="0.25">
      <c r="B690" s="319"/>
      <c r="C690" s="4917" t="s">
        <v>4909</v>
      </c>
      <c r="D690" s="4833">
        <f>SUM(D691:D696)</f>
        <v>3714600000</v>
      </c>
      <c r="E690" s="4830">
        <f t="shared" si="20"/>
        <v>2.6877779300654163</v>
      </c>
      <c r="F690" s="542"/>
      <c r="G690" s="666"/>
      <c r="H690" s="1914"/>
      <c r="I690" s="1109"/>
      <c r="J690" s="542"/>
      <c r="K690" s="1230"/>
      <c r="L690" s="2435"/>
      <c r="M690" s="348"/>
      <c r="N690" s="232"/>
    </row>
    <row r="691" spans="2:14" ht="23.25" hidden="1" customHeight="1" x14ac:dyDescent="0.25">
      <c r="B691" s="319"/>
      <c r="C691" s="4884" t="s">
        <v>4910</v>
      </c>
      <c r="D691" s="4831">
        <v>500000000</v>
      </c>
      <c r="E691" s="4817">
        <f t="shared" si="20"/>
        <v>0.36178564718481349</v>
      </c>
      <c r="F691" s="542"/>
      <c r="G691" s="666"/>
      <c r="H691" s="1111"/>
      <c r="I691" s="1109"/>
      <c r="J691" s="663"/>
      <c r="K691" s="1717"/>
      <c r="L691" s="2467"/>
      <c r="M691" s="348"/>
      <c r="N691" s="232"/>
    </row>
    <row r="692" spans="2:14" ht="18" hidden="1" customHeight="1" x14ac:dyDescent="0.25">
      <c r="B692" s="319"/>
      <c r="C692" s="4884" t="s">
        <v>4911</v>
      </c>
      <c r="D692" s="4831">
        <v>1100000000</v>
      </c>
      <c r="E692" s="4817">
        <f t="shared" si="20"/>
        <v>0.79592842380658957</v>
      </c>
      <c r="F692" s="541"/>
      <c r="G692" s="541"/>
      <c r="H692" s="1912"/>
      <c r="I692" s="541"/>
      <c r="J692" s="541"/>
      <c r="K692" s="541"/>
      <c r="L692" s="2494"/>
      <c r="M692" s="376"/>
      <c r="N692" s="232"/>
    </row>
    <row r="693" spans="2:14" ht="25.5" hidden="1" customHeight="1" x14ac:dyDescent="0.25">
      <c r="B693" s="319"/>
      <c r="C693" s="4884" t="s">
        <v>4912</v>
      </c>
      <c r="D693" s="4831">
        <v>700000000</v>
      </c>
      <c r="E693" s="4817">
        <f t="shared" si="20"/>
        <v>0.50649990605873885</v>
      </c>
      <c r="F693" s="542"/>
      <c r="G693" s="666"/>
      <c r="H693" s="1914"/>
      <c r="I693" s="1109"/>
      <c r="J693" s="542"/>
      <c r="K693" s="1230"/>
      <c r="L693" s="2435"/>
      <c r="M693" s="348"/>
      <c r="N693" s="232"/>
    </row>
    <row r="694" spans="2:14" ht="21" hidden="1" customHeight="1" x14ac:dyDescent="0.25">
      <c r="B694" s="319"/>
      <c r="C694" s="4884" t="s">
        <v>4913</v>
      </c>
      <c r="D694" s="4831">
        <v>500000000</v>
      </c>
      <c r="E694" s="4817">
        <f t="shared" si="20"/>
        <v>0.36178564718481349</v>
      </c>
      <c r="F694" s="542"/>
      <c r="G694" s="963"/>
      <c r="H694" s="1914"/>
      <c r="I694" s="963"/>
      <c r="J694" s="542"/>
      <c r="K694" s="1230"/>
      <c r="L694" s="2435"/>
      <c r="M694" s="348"/>
      <c r="N694" s="232"/>
    </row>
    <row r="695" spans="2:14" ht="24.75" hidden="1" customHeight="1" x14ac:dyDescent="0.25">
      <c r="B695" s="319"/>
      <c r="C695" s="4884" t="s">
        <v>4914</v>
      </c>
      <c r="D695" s="4831">
        <v>700000000</v>
      </c>
      <c r="E695" s="4817">
        <f t="shared" si="20"/>
        <v>0.50649990605873885</v>
      </c>
      <c r="F695" s="869"/>
      <c r="G695" s="666"/>
      <c r="H695" s="1111"/>
      <c r="I695" s="1109"/>
      <c r="J695" s="663"/>
      <c r="K695" s="1315"/>
      <c r="L695" s="1311"/>
      <c r="M695" s="581"/>
      <c r="N695" s="232"/>
    </row>
    <row r="696" spans="2:14" ht="22.5" hidden="1" customHeight="1" x14ac:dyDescent="0.25">
      <c r="B696" s="319"/>
      <c r="C696" s="4884" t="s">
        <v>4915</v>
      </c>
      <c r="D696" s="4831">
        <v>214600000</v>
      </c>
      <c r="E696" s="4817">
        <f t="shared" si="20"/>
        <v>0.15527839977172195</v>
      </c>
      <c r="F696" s="541"/>
      <c r="G696" s="541"/>
      <c r="H696" s="1316"/>
      <c r="I696" s="541"/>
      <c r="J696" s="541"/>
      <c r="K696" s="541"/>
      <c r="L696" s="2494"/>
      <c r="M696" s="376"/>
      <c r="N696" s="232"/>
    </row>
    <row r="697" spans="2:14" ht="17.25" hidden="1" customHeight="1" x14ac:dyDescent="0.25">
      <c r="B697" s="319"/>
      <c r="C697" s="4762"/>
      <c r="D697" s="4832"/>
      <c r="E697" s="4817"/>
      <c r="F697" s="542"/>
      <c r="G697" s="542"/>
      <c r="H697" s="1111"/>
      <c r="I697" s="1109"/>
      <c r="J697" s="542"/>
      <c r="K697" s="1233"/>
      <c r="L697" s="2435"/>
      <c r="M697" s="348"/>
      <c r="N697" s="232"/>
    </row>
    <row r="698" spans="2:14" ht="23.25" hidden="1" customHeight="1" x14ac:dyDescent="0.25">
      <c r="B698" s="319"/>
      <c r="C698" s="4917" t="s">
        <v>4916</v>
      </c>
      <c r="D698" s="4833">
        <f>SUM(D699:D716)</f>
        <v>2788428000</v>
      </c>
      <c r="E698" s="4830">
        <f t="shared" si="20"/>
        <v>2.0176264572165099</v>
      </c>
      <c r="F698" s="542"/>
      <c r="G698" s="666"/>
      <c r="H698" s="1111"/>
      <c r="I698" s="1109"/>
      <c r="J698" s="663"/>
      <c r="K698" s="1717"/>
      <c r="L698" s="1312"/>
      <c r="M698" s="348"/>
      <c r="N698" s="232"/>
    </row>
    <row r="699" spans="2:14" ht="23.25" hidden="1" customHeight="1" x14ac:dyDescent="0.25">
      <c r="B699" s="319"/>
      <c r="C699" s="4884" t="s">
        <v>4917</v>
      </c>
      <c r="D699" s="4831">
        <v>66200000</v>
      </c>
      <c r="E699" s="4817">
        <f t="shared" si="20"/>
        <v>4.7900419687269304E-2</v>
      </c>
      <c r="F699" s="541"/>
      <c r="G699" s="541"/>
      <c r="H699" s="1316"/>
      <c r="I699" s="541"/>
      <c r="J699" s="541"/>
      <c r="K699" s="541"/>
      <c r="L699" s="2494"/>
      <c r="M699" s="376"/>
      <c r="N699" s="232"/>
    </row>
    <row r="700" spans="2:14" ht="20.25" hidden="1" customHeight="1" x14ac:dyDescent="0.25">
      <c r="B700" s="319"/>
      <c r="C700" s="4884" t="s">
        <v>4918</v>
      </c>
      <c r="D700" s="4831">
        <v>69050000</v>
      </c>
      <c r="E700" s="4817">
        <f t="shared" si="20"/>
        <v>4.9962597876222738E-2</v>
      </c>
      <c r="F700" s="542"/>
      <c r="G700" s="542"/>
      <c r="H700" s="1111"/>
      <c r="I700" s="1109"/>
      <c r="J700" s="542"/>
      <c r="K700" s="1233"/>
      <c r="L700" s="2435"/>
      <c r="M700" s="348"/>
      <c r="N700" s="232"/>
    </row>
    <row r="701" spans="2:14" ht="23.25" hidden="1" customHeight="1" x14ac:dyDescent="0.25">
      <c r="B701" s="319"/>
      <c r="C701" s="4884" t="s">
        <v>4919</v>
      </c>
      <c r="D701" s="4831">
        <v>88850000</v>
      </c>
      <c r="E701" s="4817">
        <f t="shared" si="20"/>
        <v>6.4289309504741349E-2</v>
      </c>
      <c r="F701" s="542"/>
      <c r="G701" s="663"/>
      <c r="H701" s="1111"/>
      <c r="I701" s="1109"/>
      <c r="J701" s="663"/>
      <c r="K701" s="1717"/>
      <c r="L701" s="1312"/>
      <c r="M701" s="348"/>
      <c r="N701" s="232"/>
    </row>
    <row r="702" spans="2:14" ht="18.75" hidden="1" customHeight="1" x14ac:dyDescent="0.25">
      <c r="B702" s="319"/>
      <c r="C702" s="4884" t="s">
        <v>4920</v>
      </c>
      <c r="D702" s="4831">
        <v>88850000</v>
      </c>
      <c r="E702" s="4817">
        <f t="shared" si="20"/>
        <v>6.4289309504741349E-2</v>
      </c>
      <c r="F702" s="541"/>
      <c r="G702" s="541"/>
      <c r="H702" s="1316"/>
      <c r="I702" s="541"/>
      <c r="J702" s="541"/>
      <c r="K702" s="541"/>
      <c r="L702" s="2494"/>
      <c r="M702" s="376"/>
      <c r="N702" s="232"/>
    </row>
    <row r="703" spans="2:14" ht="21.75" hidden="1" customHeight="1" x14ac:dyDescent="0.25">
      <c r="B703" s="319"/>
      <c r="C703" s="4884" t="s">
        <v>4921</v>
      </c>
      <c r="D703" s="4831">
        <v>64050000</v>
      </c>
      <c r="E703" s="4817">
        <f t="shared" si="20"/>
        <v>4.6344741404374605E-2</v>
      </c>
      <c r="F703" s="542"/>
      <c r="G703" s="542"/>
      <c r="H703" s="1111"/>
      <c r="I703" s="1109"/>
      <c r="J703" s="542"/>
      <c r="K703" s="542"/>
      <c r="L703" s="2435"/>
      <c r="M703" s="348"/>
      <c r="N703" s="232"/>
    </row>
    <row r="704" spans="2:14" ht="20.25" hidden="1" customHeight="1" x14ac:dyDescent="0.25">
      <c r="B704" s="319"/>
      <c r="C704" s="4884" t="s">
        <v>4922</v>
      </c>
      <c r="D704" s="4831">
        <v>377148000</v>
      </c>
      <c r="E704" s="4817">
        <f t="shared" si="20"/>
        <v>0.27289346652891605</v>
      </c>
      <c r="F704" s="872"/>
      <c r="G704" s="868"/>
      <c r="H704" s="868"/>
      <c r="I704" s="1916"/>
      <c r="J704" s="868"/>
      <c r="K704" s="868"/>
      <c r="L704" s="2281"/>
      <c r="M704" s="4418"/>
      <c r="N704" s="232"/>
    </row>
    <row r="705" spans="2:17" s="4099" customFormat="1" ht="27.75" hidden="1" customHeight="1" x14ac:dyDescent="0.25">
      <c r="B705" s="319"/>
      <c r="C705" s="4884" t="s">
        <v>4923</v>
      </c>
      <c r="D705" s="4831">
        <v>155400000</v>
      </c>
      <c r="E705" s="4817">
        <f t="shared" si="20"/>
        <v>0.11244297914504002</v>
      </c>
      <c r="F705" s="663"/>
      <c r="G705" s="666"/>
      <c r="H705" s="666"/>
      <c r="I705" s="1121"/>
      <c r="J705" s="666"/>
      <c r="K705" s="666"/>
      <c r="L705" s="1717"/>
      <c r="M705" s="4420"/>
      <c r="N705" s="232"/>
      <c r="P705" s="522"/>
      <c r="Q705" s="522"/>
    </row>
    <row r="706" spans="2:17" s="4099" customFormat="1" ht="30.75" hidden="1" customHeight="1" x14ac:dyDescent="0.25">
      <c r="B706" s="319"/>
      <c r="C706" s="4931" t="s">
        <v>4933</v>
      </c>
      <c r="D706" s="4831">
        <v>207375000</v>
      </c>
      <c r="E706" s="4817">
        <f t="shared" si="20"/>
        <v>0.15005059716990138</v>
      </c>
      <c r="F706" s="663"/>
      <c r="G706" s="666"/>
      <c r="H706" s="666"/>
      <c r="I706" s="1121"/>
      <c r="J706" s="666"/>
      <c r="K706" s="666"/>
      <c r="L706" s="1717"/>
      <c r="M706" s="4420"/>
      <c r="N706" s="232"/>
      <c r="P706" s="522"/>
      <c r="Q706" s="522"/>
    </row>
    <row r="707" spans="2:17" s="4099" customFormat="1" ht="33" hidden="1" customHeight="1" x14ac:dyDescent="0.25">
      <c r="B707" s="319"/>
      <c r="C707" s="4931" t="s">
        <v>4934</v>
      </c>
      <c r="D707" s="4831">
        <v>276010000</v>
      </c>
      <c r="E707" s="4817">
        <f t="shared" si="20"/>
        <v>0.19971291295896071</v>
      </c>
      <c r="F707" s="663"/>
      <c r="G707" s="666"/>
      <c r="H707" s="666"/>
      <c r="I707" s="1121"/>
      <c r="J707" s="666"/>
      <c r="K707" s="666"/>
      <c r="L707" s="1717"/>
      <c r="M707" s="4420"/>
      <c r="N707" s="232"/>
      <c r="P707" s="522"/>
      <c r="Q707" s="522"/>
    </row>
    <row r="708" spans="2:17" s="4099" customFormat="1" ht="24.75" hidden="1" customHeight="1" x14ac:dyDescent="0.25">
      <c r="B708" s="319"/>
      <c r="C708" s="4931" t="s">
        <v>4924</v>
      </c>
      <c r="D708" s="4831">
        <v>258825000</v>
      </c>
      <c r="E708" s="4817">
        <f t="shared" si="20"/>
        <v>0.18727834026521867</v>
      </c>
      <c r="F708" s="663"/>
      <c r="G708" s="666"/>
      <c r="H708" s="666"/>
      <c r="I708" s="1121"/>
      <c r="J708" s="666"/>
      <c r="K708" s="666"/>
      <c r="L708" s="1717"/>
      <c r="M708" s="4420"/>
      <c r="N708" s="232"/>
      <c r="P708" s="522"/>
      <c r="Q708" s="522"/>
    </row>
    <row r="709" spans="2:17" s="4099" customFormat="1" ht="22.5" hidden="1" customHeight="1" x14ac:dyDescent="0.25">
      <c r="B709" s="319"/>
      <c r="C709" s="4931" t="s">
        <v>4925</v>
      </c>
      <c r="D709" s="4831">
        <v>318900000</v>
      </c>
      <c r="E709" s="4817">
        <f t="shared" si="20"/>
        <v>0.23074688577447403</v>
      </c>
      <c r="F709" s="663"/>
      <c r="G709" s="666"/>
      <c r="H709" s="666"/>
      <c r="I709" s="1121"/>
      <c r="J709" s="666"/>
      <c r="K709" s="666"/>
      <c r="L709" s="1717"/>
      <c r="M709" s="4420"/>
      <c r="N709" s="232"/>
      <c r="P709" s="522"/>
      <c r="Q709" s="522"/>
    </row>
    <row r="710" spans="2:17" s="4099" customFormat="1" ht="24" hidden="1" customHeight="1" x14ac:dyDescent="0.25">
      <c r="B710" s="319"/>
      <c r="C710" s="4931" t="s">
        <v>4926</v>
      </c>
      <c r="D710" s="4831">
        <v>200250000</v>
      </c>
      <c r="E710" s="4817">
        <f t="shared" si="20"/>
        <v>0.14489515169751779</v>
      </c>
      <c r="F710" s="663"/>
      <c r="G710" s="666"/>
      <c r="H710" s="666"/>
      <c r="I710" s="1121"/>
      <c r="J710" s="666"/>
      <c r="K710" s="666"/>
      <c r="L710" s="1717"/>
      <c r="M710" s="4420"/>
      <c r="N710" s="232"/>
      <c r="P710" s="522"/>
      <c r="Q710" s="522"/>
    </row>
    <row r="711" spans="2:17" s="4099" customFormat="1" ht="19.5" hidden="1" customHeight="1" x14ac:dyDescent="0.25">
      <c r="B711" s="319"/>
      <c r="C711" s="4931" t="s">
        <v>4927</v>
      </c>
      <c r="D711" s="4831">
        <v>143600000</v>
      </c>
      <c r="E711" s="4817">
        <f t="shared" si="20"/>
        <v>0.10390483787147842</v>
      </c>
      <c r="F711" s="663"/>
      <c r="G711" s="666"/>
      <c r="H711" s="666"/>
      <c r="I711" s="1121"/>
      <c r="J711" s="666"/>
      <c r="K711" s="666"/>
      <c r="L711" s="1717"/>
      <c r="M711" s="4420"/>
      <c r="N711" s="232"/>
      <c r="P711" s="522"/>
      <c r="Q711" s="522"/>
    </row>
    <row r="712" spans="2:17" s="4099" customFormat="1" ht="26.25" hidden="1" customHeight="1" x14ac:dyDescent="0.25">
      <c r="B712" s="319"/>
      <c r="C712" s="4931" t="s">
        <v>4928</v>
      </c>
      <c r="D712" s="4831">
        <v>136720000</v>
      </c>
      <c r="E712" s="4817">
        <f t="shared" si="20"/>
        <v>9.8926667366215401E-2</v>
      </c>
      <c r="F712" s="663"/>
      <c r="G712" s="666"/>
      <c r="H712" s="666"/>
      <c r="I712" s="1121"/>
      <c r="J712" s="666"/>
      <c r="K712" s="666"/>
      <c r="L712" s="1717"/>
      <c r="M712" s="4420"/>
      <c r="N712" s="232"/>
      <c r="P712" s="522"/>
      <c r="Q712" s="522"/>
    </row>
    <row r="713" spans="2:17" s="4099" customFormat="1" ht="21" hidden="1" customHeight="1" x14ac:dyDescent="0.25">
      <c r="B713" s="319"/>
      <c r="C713" s="4931" t="s">
        <v>4929</v>
      </c>
      <c r="D713" s="4831">
        <v>84750000</v>
      </c>
      <c r="E713" s="4817">
        <f t="shared" si="20"/>
        <v>6.1322667197825885E-2</v>
      </c>
      <c r="F713" s="663"/>
      <c r="G713" s="666"/>
      <c r="H713" s="666"/>
      <c r="I713" s="1121"/>
      <c r="J713" s="666"/>
      <c r="K713" s="666"/>
      <c r="L713" s="1717"/>
      <c r="M713" s="4420"/>
      <c r="N713" s="232"/>
      <c r="P713" s="522"/>
      <c r="Q713" s="522"/>
    </row>
    <row r="714" spans="2:17" s="4099" customFormat="1" ht="21" hidden="1" customHeight="1" x14ac:dyDescent="0.25">
      <c r="B714" s="319"/>
      <c r="C714" s="4931" t="s">
        <v>4930</v>
      </c>
      <c r="D714" s="4831">
        <v>84150000</v>
      </c>
      <c r="E714" s="4817">
        <f t="shared" si="20"/>
        <v>6.0888524421204106E-2</v>
      </c>
      <c r="F714" s="663"/>
      <c r="G714" s="666"/>
      <c r="H714" s="666"/>
      <c r="I714" s="1121"/>
      <c r="J714" s="666"/>
      <c r="K714" s="666"/>
      <c r="L714" s="1717"/>
      <c r="M714" s="4420"/>
      <c r="N714" s="232"/>
      <c r="P714" s="522"/>
      <c r="Q714" s="522"/>
    </row>
    <row r="715" spans="2:17" s="4099" customFormat="1" ht="18.75" hidden="1" customHeight="1" x14ac:dyDescent="0.25">
      <c r="B715" s="319"/>
      <c r="C715" s="4931" t="s">
        <v>4931</v>
      </c>
      <c r="D715" s="4831">
        <v>84150000</v>
      </c>
      <c r="E715" s="4817">
        <f t="shared" si="20"/>
        <v>6.0888524421204106E-2</v>
      </c>
      <c r="F715" s="663"/>
      <c r="G715" s="666"/>
      <c r="H715" s="666"/>
      <c r="I715" s="1121"/>
      <c r="J715" s="666"/>
      <c r="K715" s="666"/>
      <c r="L715" s="1717"/>
      <c r="M715" s="4420"/>
      <c r="N715" s="232"/>
      <c r="P715" s="522"/>
      <c r="Q715" s="522"/>
    </row>
    <row r="716" spans="2:17" s="4099" customFormat="1" ht="25.5" hidden="1" customHeight="1" x14ac:dyDescent="0.25">
      <c r="B716" s="319"/>
      <c r="C716" s="4931" t="s">
        <v>4932</v>
      </c>
      <c r="D716" s="4831">
        <v>84150000</v>
      </c>
      <c r="E716" s="4817">
        <f t="shared" si="20"/>
        <v>6.0888524421204106E-2</v>
      </c>
      <c r="F716" s="1843"/>
      <c r="G716" s="1855"/>
      <c r="H716" s="1855"/>
      <c r="I716" s="3685"/>
      <c r="J716" s="1855"/>
      <c r="K716" s="1855"/>
      <c r="L716" s="2373"/>
      <c r="M716" s="4419"/>
      <c r="N716" s="232"/>
      <c r="P716" s="522"/>
      <c r="Q716" s="522"/>
    </row>
    <row r="717" spans="2:17" s="4099" customFormat="1" ht="12" hidden="1" customHeight="1" x14ac:dyDescent="0.25">
      <c r="B717" s="319"/>
      <c r="C717" s="4807"/>
      <c r="D717" s="5012"/>
      <c r="E717" s="4834"/>
      <c r="F717" s="1841"/>
      <c r="G717" s="671"/>
      <c r="H717" s="2181"/>
      <c r="I717" s="2339"/>
      <c r="J717" s="671"/>
      <c r="K717" s="671"/>
      <c r="L717" s="1703"/>
      <c r="M717" s="4137"/>
      <c r="N717" s="232"/>
      <c r="P717" s="522"/>
      <c r="Q717" s="522"/>
    </row>
    <row r="718" spans="2:17" ht="27.75" hidden="1" customHeight="1" x14ac:dyDescent="0.25">
      <c r="B718" s="312"/>
      <c r="C718" s="4684" t="s">
        <v>4935</v>
      </c>
      <c r="D718" s="4835">
        <f>SUM(D719+D722)</f>
        <v>3295000000</v>
      </c>
      <c r="E718" s="4829">
        <f>D718/138203382000*100</f>
        <v>2.3841674149479206</v>
      </c>
      <c r="F718" s="847"/>
      <c r="G718" s="1107"/>
      <c r="H718" s="1107"/>
      <c r="I718" s="1107"/>
      <c r="J718" s="847"/>
      <c r="K718" s="847"/>
      <c r="L718" s="1030"/>
      <c r="M718" s="359"/>
      <c r="N718" s="232"/>
    </row>
    <row r="719" spans="2:17" ht="23.25" hidden="1" customHeight="1" x14ac:dyDescent="0.25">
      <c r="B719" s="319"/>
      <c r="C719" s="4917" t="s">
        <v>1573</v>
      </c>
      <c r="D719" s="4836">
        <f>D720</f>
        <v>150000000</v>
      </c>
      <c r="E719" s="4830">
        <f>D719/138203382000*100</f>
        <v>0.10853569415544403</v>
      </c>
      <c r="F719" s="874"/>
      <c r="G719" s="1120"/>
      <c r="H719" s="1120"/>
      <c r="I719" s="1120"/>
      <c r="J719" s="502"/>
      <c r="K719" s="502"/>
      <c r="L719" s="2434"/>
      <c r="M719" s="360"/>
      <c r="N719" s="232"/>
    </row>
    <row r="720" spans="2:17" ht="24.75" hidden="1" customHeight="1" x14ac:dyDescent="0.25">
      <c r="B720" s="319"/>
      <c r="C720" s="4762" t="s">
        <v>4936</v>
      </c>
      <c r="D720" s="4837">
        <v>150000000</v>
      </c>
      <c r="E720" s="4817">
        <f>D720/138203382000*100</f>
        <v>0.10853569415544403</v>
      </c>
      <c r="F720" s="542"/>
      <c r="G720" s="1109"/>
      <c r="H720" s="1109"/>
      <c r="I720" s="1109"/>
      <c r="J720" s="542"/>
      <c r="K720" s="1109"/>
      <c r="L720" s="1162"/>
      <c r="M720" s="525"/>
      <c r="N720" s="232"/>
    </row>
    <row r="721" spans="2:17" ht="12" hidden="1" customHeight="1" x14ac:dyDescent="0.25">
      <c r="B721" s="319"/>
      <c r="C721" s="4762"/>
      <c r="D721" s="4837"/>
      <c r="E721" s="4817"/>
      <c r="F721" s="542"/>
      <c r="G721" s="1109"/>
      <c r="H721" s="1109"/>
      <c r="I721" s="1109"/>
      <c r="J721" s="542"/>
      <c r="K721" s="1234"/>
      <c r="L721" s="2435"/>
      <c r="M721" s="348"/>
      <c r="N721" s="232"/>
    </row>
    <row r="722" spans="2:17" ht="24" hidden="1" customHeight="1" x14ac:dyDescent="0.25">
      <c r="B722" s="319"/>
      <c r="C722" s="4838" t="s">
        <v>4937</v>
      </c>
      <c r="D722" s="4839">
        <f>SUM(D723:D724)</f>
        <v>3145000000</v>
      </c>
      <c r="E722" s="4830">
        <f t="shared" ref="E722:E724" si="21">D722/138203382000*100</f>
        <v>2.2756317207924766</v>
      </c>
      <c r="F722" s="1841"/>
      <c r="G722" s="2295"/>
      <c r="H722" s="2295"/>
      <c r="I722" s="2295"/>
      <c r="J722" s="1651"/>
      <c r="K722" s="1651"/>
      <c r="L722" s="2416"/>
      <c r="M722" s="358"/>
      <c r="N722" s="232"/>
    </row>
    <row r="723" spans="2:17" s="4099" customFormat="1" ht="21" hidden="1" customHeight="1" x14ac:dyDescent="0.25">
      <c r="B723" s="319"/>
      <c r="C723" s="4840" t="s">
        <v>4938</v>
      </c>
      <c r="D723" s="4837">
        <v>1145000000</v>
      </c>
      <c r="E723" s="4817">
        <f t="shared" si="21"/>
        <v>0.82848913205322283</v>
      </c>
      <c r="F723" s="663"/>
      <c r="G723" s="1121"/>
      <c r="H723" s="1121"/>
      <c r="I723" s="1121"/>
      <c r="J723" s="894"/>
      <c r="K723" s="894"/>
      <c r="L723" s="2415"/>
      <c r="M723" s="372"/>
      <c r="N723" s="232"/>
      <c r="P723" s="522"/>
      <c r="Q723" s="522"/>
    </row>
    <row r="724" spans="2:17" s="4099" customFormat="1" ht="23.25" hidden="1" customHeight="1" x14ac:dyDescent="0.25">
      <c r="B724" s="319"/>
      <c r="C724" s="4762" t="s">
        <v>4939</v>
      </c>
      <c r="D724" s="4837">
        <v>2000000000</v>
      </c>
      <c r="E724" s="4817">
        <f t="shared" si="21"/>
        <v>1.4471425887392539</v>
      </c>
      <c r="F724" s="663"/>
      <c r="G724" s="1121"/>
      <c r="H724" s="1121"/>
      <c r="I724" s="1121"/>
      <c r="J724" s="894"/>
      <c r="K724" s="894"/>
      <c r="L724" s="2415"/>
      <c r="M724" s="372"/>
      <c r="N724" s="232"/>
      <c r="P724" s="522"/>
      <c r="Q724" s="522"/>
    </row>
    <row r="725" spans="2:17" s="4099" customFormat="1" ht="12" hidden="1" customHeight="1" x14ac:dyDescent="0.25">
      <c r="B725" s="319"/>
      <c r="C725" s="4807"/>
      <c r="D725" s="5012"/>
      <c r="E725" s="4834"/>
      <c r="F725" s="1841"/>
      <c r="G725" s="2339"/>
      <c r="H725" s="2339"/>
      <c r="I725" s="2339"/>
      <c r="J725" s="791"/>
      <c r="K725" s="791"/>
      <c r="L725" s="3130"/>
      <c r="M725" s="363"/>
      <c r="N725" s="232"/>
      <c r="P725" s="522"/>
      <c r="Q725" s="522"/>
    </row>
    <row r="726" spans="2:17" s="4099" customFormat="1" ht="19.5" hidden="1" customHeight="1" x14ac:dyDescent="0.25">
      <c r="B726" s="312"/>
      <c r="C726" s="5346" t="s">
        <v>2333</v>
      </c>
      <c r="D726" s="4661">
        <f>SUM(D727)</f>
        <v>5000000000</v>
      </c>
      <c r="E726" s="4829">
        <f>D726/138203382000*100</f>
        <v>3.6178564718481345</v>
      </c>
      <c r="F726" s="3821"/>
      <c r="G726" s="3839"/>
      <c r="H726" s="3839"/>
      <c r="I726" s="3839"/>
      <c r="J726" s="2845"/>
      <c r="K726" s="2845"/>
      <c r="L726" s="4139"/>
      <c r="M726" s="3571"/>
      <c r="N726" s="232"/>
      <c r="P726" s="522"/>
      <c r="Q726" s="522"/>
    </row>
    <row r="727" spans="2:17" s="4099" customFormat="1" ht="17.25" hidden="1" customHeight="1" x14ac:dyDescent="0.25">
      <c r="B727" s="319"/>
      <c r="C727" s="5347" t="s">
        <v>4940</v>
      </c>
      <c r="D727" s="4706">
        <f>D728</f>
        <v>5000000000</v>
      </c>
      <c r="E727" s="4830">
        <f>D727/138203382000*100</f>
        <v>3.6178564718481345</v>
      </c>
      <c r="F727" s="1841"/>
      <c r="G727" s="2339"/>
      <c r="H727" s="2339"/>
      <c r="I727" s="2339"/>
      <c r="J727" s="791"/>
      <c r="K727" s="791"/>
      <c r="L727" s="3130"/>
      <c r="M727" s="363"/>
      <c r="N727" s="232"/>
      <c r="P727" s="522"/>
      <c r="Q727" s="522"/>
    </row>
    <row r="728" spans="2:17" s="4099" customFormat="1" ht="18" hidden="1" customHeight="1" x14ac:dyDescent="0.25">
      <c r="B728" s="319"/>
      <c r="C728" s="4674" t="s">
        <v>4941</v>
      </c>
      <c r="D728" s="4669">
        <v>5000000000</v>
      </c>
      <c r="E728" s="4817">
        <f>D728/138203382000*100</f>
        <v>3.6178564718481345</v>
      </c>
      <c r="F728" s="663"/>
      <c r="G728" s="1121"/>
      <c r="H728" s="1121"/>
      <c r="I728" s="1121"/>
      <c r="J728" s="894"/>
      <c r="K728" s="894"/>
      <c r="L728" s="2415"/>
      <c r="M728" s="372"/>
      <c r="N728" s="232"/>
      <c r="P728" s="522"/>
      <c r="Q728" s="522"/>
    </row>
    <row r="729" spans="2:17" s="4099" customFormat="1" ht="12" hidden="1" customHeight="1" x14ac:dyDescent="0.25">
      <c r="B729" s="319"/>
      <c r="C729" s="4807"/>
      <c r="D729" s="5012"/>
      <c r="E729" s="4834"/>
      <c r="F729" s="1841"/>
      <c r="G729" s="2339"/>
      <c r="H729" s="2339"/>
      <c r="I729" s="2339"/>
      <c r="J729" s="791"/>
      <c r="K729" s="791"/>
      <c r="L729" s="3130"/>
      <c r="M729" s="363"/>
      <c r="N729" s="232"/>
      <c r="P729" s="522"/>
      <c r="Q729" s="522"/>
    </row>
    <row r="730" spans="2:17" s="4099" customFormat="1" ht="20.25" hidden="1" customHeight="1" x14ac:dyDescent="0.25">
      <c r="B730" s="312"/>
      <c r="C730" s="5346" t="s">
        <v>2334</v>
      </c>
      <c r="D730" s="5010">
        <f>D731</f>
        <v>260000000</v>
      </c>
      <c r="E730" s="4829">
        <f>D730/138203382000*100</f>
        <v>0.18812853653610301</v>
      </c>
      <c r="F730" s="3821"/>
      <c r="G730" s="3839"/>
      <c r="H730" s="3839"/>
      <c r="I730" s="3839"/>
      <c r="J730" s="2845"/>
      <c r="K730" s="2845"/>
      <c r="L730" s="4139"/>
      <c r="M730" s="3571"/>
      <c r="N730" s="232"/>
      <c r="P730" s="522"/>
      <c r="Q730" s="522"/>
    </row>
    <row r="731" spans="2:17" s="4099" customFormat="1" ht="19.5" hidden="1" customHeight="1" x14ac:dyDescent="0.25">
      <c r="B731" s="319"/>
      <c r="C731" s="5348" t="s">
        <v>4944</v>
      </c>
      <c r="D731" s="5013">
        <f>D732</f>
        <v>260000000</v>
      </c>
      <c r="E731" s="4830">
        <f>D731/138203382000*100</f>
        <v>0.18812853653610301</v>
      </c>
      <c r="F731" s="1841"/>
      <c r="G731" s="2339"/>
      <c r="H731" s="2339"/>
      <c r="I731" s="2339"/>
      <c r="J731" s="791"/>
      <c r="K731" s="791"/>
      <c r="L731" s="3130"/>
      <c r="M731" s="363"/>
      <c r="N731" s="232"/>
      <c r="P731" s="522"/>
      <c r="Q731" s="522"/>
    </row>
    <row r="732" spans="2:17" s="4099" customFormat="1" ht="15.75" hidden="1" customHeight="1" x14ac:dyDescent="0.25">
      <c r="B732" s="319"/>
      <c r="C732" s="4668" t="s">
        <v>4946</v>
      </c>
      <c r="D732" s="4669">
        <v>260000000</v>
      </c>
      <c r="E732" s="4817">
        <f>D732/138203382000*100</f>
        <v>0.18812853653610301</v>
      </c>
      <c r="F732" s="663"/>
      <c r="G732" s="1121"/>
      <c r="H732" s="1121"/>
      <c r="I732" s="1121"/>
      <c r="J732" s="894"/>
      <c r="K732" s="894"/>
      <c r="L732" s="2415"/>
      <c r="M732" s="372"/>
      <c r="N732" s="232"/>
      <c r="P732" s="522"/>
      <c r="Q732" s="522"/>
    </row>
    <row r="733" spans="2:17" s="4099" customFormat="1" ht="12" hidden="1" customHeight="1" x14ac:dyDescent="0.25">
      <c r="B733" s="319"/>
      <c r="C733" s="4807"/>
      <c r="D733" s="5012"/>
      <c r="E733" s="4834"/>
      <c r="F733" s="1841"/>
      <c r="G733" s="2339"/>
      <c r="H733" s="2339"/>
      <c r="I733" s="2339"/>
      <c r="J733" s="791"/>
      <c r="K733" s="791"/>
      <c r="L733" s="3130"/>
      <c r="M733" s="363"/>
      <c r="N733" s="232"/>
      <c r="P733" s="522"/>
      <c r="Q733" s="522"/>
    </row>
    <row r="734" spans="2:17" s="4099" customFormat="1" ht="21" hidden="1" customHeight="1" x14ac:dyDescent="0.25">
      <c r="B734" s="312"/>
      <c r="C734" s="5349" t="s">
        <v>4997</v>
      </c>
      <c r="D734" s="5010">
        <f>D735</f>
        <v>700000000</v>
      </c>
      <c r="E734" s="4829">
        <f>D734/138203382000*100</f>
        <v>0.50649990605873885</v>
      </c>
      <c r="F734" s="3821"/>
      <c r="G734" s="3839"/>
      <c r="H734" s="3839"/>
      <c r="I734" s="3839"/>
      <c r="J734" s="2845"/>
      <c r="K734" s="2845"/>
      <c r="L734" s="4139"/>
      <c r="M734" s="3571"/>
      <c r="N734" s="232"/>
      <c r="P734" s="522"/>
      <c r="Q734" s="522"/>
    </row>
    <row r="735" spans="2:17" s="4099" customFormat="1" ht="20.25" hidden="1" customHeight="1" x14ac:dyDescent="0.25">
      <c r="B735" s="319"/>
      <c r="C735" s="5350" t="s">
        <v>4998</v>
      </c>
      <c r="D735" s="5013">
        <f>SUM(D736:D737)</f>
        <v>700000000</v>
      </c>
      <c r="E735" s="4830">
        <f>D735/138203382000*100</f>
        <v>0.50649990605873885</v>
      </c>
      <c r="F735" s="1841"/>
      <c r="G735" s="2339"/>
      <c r="H735" s="2339"/>
      <c r="I735" s="2339"/>
      <c r="J735" s="791"/>
      <c r="K735" s="791"/>
      <c r="L735" s="3130"/>
      <c r="M735" s="363"/>
      <c r="N735" s="232"/>
      <c r="P735" s="522"/>
      <c r="Q735" s="522"/>
    </row>
    <row r="736" spans="2:17" s="4099" customFormat="1" ht="30.75" hidden="1" customHeight="1" x14ac:dyDescent="0.25">
      <c r="B736" s="319"/>
      <c r="C736" s="4807" t="s">
        <v>5000</v>
      </c>
      <c r="D736" s="4803">
        <v>400000000</v>
      </c>
      <c r="E736" s="4817">
        <f>D736/138203382000*100</f>
        <v>0.28942851774785078</v>
      </c>
      <c r="F736" s="663"/>
      <c r="G736" s="1121"/>
      <c r="H736" s="1121"/>
      <c r="I736" s="1121"/>
      <c r="J736" s="894"/>
      <c r="K736" s="894"/>
      <c r="L736" s="2415"/>
      <c r="M736" s="372"/>
      <c r="N736" s="232"/>
      <c r="P736" s="522"/>
      <c r="Q736" s="522"/>
    </row>
    <row r="737" spans="2:17" s="4099" customFormat="1" ht="15.75" hidden="1" customHeight="1" x14ac:dyDescent="0.25">
      <c r="B737" s="319"/>
      <c r="C737" s="4762" t="s">
        <v>5003</v>
      </c>
      <c r="D737" s="4666">
        <v>300000000</v>
      </c>
      <c r="E737" s="4834"/>
      <c r="F737" s="663"/>
      <c r="G737" s="1121"/>
      <c r="H737" s="1121"/>
      <c r="I737" s="1121"/>
      <c r="J737" s="894"/>
      <c r="K737" s="894"/>
      <c r="L737" s="2415"/>
      <c r="M737" s="372"/>
      <c r="N737" s="232"/>
      <c r="P737" s="522"/>
      <c r="Q737" s="522"/>
    </row>
    <row r="738" spans="2:17" s="4099" customFormat="1" ht="12" hidden="1" customHeight="1" x14ac:dyDescent="0.25">
      <c r="B738" s="319"/>
      <c r="C738" s="4807"/>
      <c r="D738" s="4803"/>
      <c r="E738" s="4834"/>
      <c r="F738" s="872"/>
      <c r="G738" s="1916"/>
      <c r="H738" s="1916"/>
      <c r="I738" s="1916"/>
      <c r="J738" s="788"/>
      <c r="K738" s="788"/>
      <c r="L738" s="5351"/>
      <c r="M738" s="5352"/>
      <c r="N738" s="232"/>
      <c r="P738" s="522"/>
      <c r="Q738" s="522"/>
    </row>
    <row r="739" spans="2:17" s="4099" customFormat="1" ht="17.25" hidden="1" customHeight="1" x14ac:dyDescent="0.25">
      <c r="B739" s="312"/>
      <c r="C739" s="5349" t="s">
        <v>5029</v>
      </c>
      <c r="D739" s="4795">
        <f>D740+D751+D757</f>
        <v>12780000000</v>
      </c>
      <c r="E739" s="4829">
        <f>D739/138203382000*100</f>
        <v>9.2472411420438334</v>
      </c>
      <c r="F739" s="3821"/>
      <c r="G739" s="3839"/>
      <c r="H739" s="3839"/>
      <c r="I739" s="3839"/>
      <c r="J739" s="2845"/>
      <c r="K739" s="2845"/>
      <c r="L739" s="4139"/>
      <c r="M739" s="3571"/>
      <c r="N739" s="232"/>
      <c r="P739" s="522"/>
      <c r="Q739" s="522"/>
    </row>
    <row r="740" spans="2:17" s="4099" customFormat="1" ht="22.5" hidden="1" customHeight="1" x14ac:dyDescent="0.25">
      <c r="B740" s="319"/>
      <c r="C740" s="4649" t="s">
        <v>5037</v>
      </c>
      <c r="D740" s="4769">
        <f>SUM(D741:D749)</f>
        <v>9780000000</v>
      </c>
      <c r="E740" s="4830">
        <f>D740/138203382000*100</f>
        <v>7.0765272589349522</v>
      </c>
      <c r="F740" s="1841"/>
      <c r="G740" s="2339"/>
      <c r="H740" s="2339"/>
      <c r="I740" s="2339"/>
      <c r="J740" s="791"/>
      <c r="K740" s="791"/>
      <c r="L740" s="3130"/>
      <c r="M740" s="363"/>
      <c r="N740" s="232"/>
      <c r="P740" s="522"/>
      <c r="Q740" s="522"/>
    </row>
    <row r="741" spans="2:17" s="4099" customFormat="1" ht="27.75" hidden="1" customHeight="1" x14ac:dyDescent="0.25">
      <c r="B741" s="319"/>
      <c r="C741" s="4647" t="s">
        <v>5038</v>
      </c>
      <c r="D741" s="4666">
        <v>1100000000</v>
      </c>
      <c r="E741" s="4817">
        <f>D741/138203382000*100</f>
        <v>0.79592842380658957</v>
      </c>
      <c r="F741" s="663"/>
      <c r="G741" s="1121"/>
      <c r="H741" s="1121"/>
      <c r="I741" s="1121"/>
      <c r="J741" s="894"/>
      <c r="K741" s="894"/>
      <c r="L741" s="2415"/>
      <c r="M741" s="372"/>
      <c r="N741" s="232"/>
      <c r="P741" s="522"/>
      <c r="Q741" s="522"/>
    </row>
    <row r="742" spans="2:17" s="4099" customFormat="1" ht="17.25" hidden="1" customHeight="1" x14ac:dyDescent="0.25">
      <c r="B742" s="319"/>
      <c r="C742" s="4647" t="s">
        <v>5039</v>
      </c>
      <c r="D742" s="4666">
        <v>1200000000</v>
      </c>
      <c r="E742" s="4817">
        <f t="shared" ref="E742:E749" si="22">D742/138203382000*100</f>
        <v>0.86828555324355228</v>
      </c>
      <c r="F742" s="663"/>
      <c r="G742" s="1121"/>
      <c r="H742" s="1121"/>
      <c r="I742" s="1121"/>
      <c r="J742" s="894"/>
      <c r="K742" s="894"/>
      <c r="L742" s="2415"/>
      <c r="M742" s="372"/>
      <c r="N742" s="232"/>
      <c r="P742" s="522"/>
      <c r="Q742" s="522"/>
    </row>
    <row r="743" spans="2:17" s="4099" customFormat="1" ht="17.25" hidden="1" customHeight="1" x14ac:dyDescent="0.25">
      <c r="B743" s="319"/>
      <c r="C743" s="4647" t="s">
        <v>5040</v>
      </c>
      <c r="D743" s="4666">
        <v>1000000000</v>
      </c>
      <c r="E743" s="4817">
        <f t="shared" si="22"/>
        <v>0.72357129436962697</v>
      </c>
      <c r="F743" s="663"/>
      <c r="G743" s="1121"/>
      <c r="H743" s="1121"/>
      <c r="I743" s="1121"/>
      <c r="J743" s="894"/>
      <c r="K743" s="894"/>
      <c r="L743" s="2415"/>
      <c r="M743" s="372"/>
      <c r="N743" s="232"/>
      <c r="P743" s="522"/>
      <c r="Q743" s="522"/>
    </row>
    <row r="744" spans="2:17" s="4099" customFormat="1" ht="17.25" hidden="1" customHeight="1" x14ac:dyDescent="0.25">
      <c r="B744" s="319"/>
      <c r="C744" s="4647" t="s">
        <v>5041</v>
      </c>
      <c r="D744" s="4666">
        <v>1200000000</v>
      </c>
      <c r="E744" s="4817">
        <f t="shared" si="22"/>
        <v>0.86828555324355228</v>
      </c>
      <c r="F744" s="663"/>
      <c r="G744" s="1121"/>
      <c r="H744" s="1121"/>
      <c r="I744" s="1121"/>
      <c r="J744" s="894"/>
      <c r="K744" s="894"/>
      <c r="L744" s="2415"/>
      <c r="M744" s="372"/>
      <c r="N744" s="232"/>
      <c r="P744" s="522"/>
      <c r="Q744" s="522"/>
    </row>
    <row r="745" spans="2:17" s="4099" customFormat="1" ht="17.25" hidden="1" customHeight="1" x14ac:dyDescent="0.25">
      <c r="B745" s="319"/>
      <c r="C745" s="4647" t="s">
        <v>5042</v>
      </c>
      <c r="D745" s="4666">
        <v>1400000000</v>
      </c>
      <c r="E745" s="4817">
        <f t="shared" si="22"/>
        <v>1.0129998121174777</v>
      </c>
      <c r="F745" s="663"/>
      <c r="G745" s="1121"/>
      <c r="H745" s="1121"/>
      <c r="I745" s="1121"/>
      <c r="J745" s="894"/>
      <c r="K745" s="894"/>
      <c r="L745" s="2415"/>
      <c r="M745" s="372"/>
      <c r="N745" s="232"/>
      <c r="P745" s="522"/>
      <c r="Q745" s="522"/>
    </row>
    <row r="746" spans="2:17" s="4099" customFormat="1" ht="17.25" hidden="1" customHeight="1" x14ac:dyDescent="0.25">
      <c r="B746" s="319"/>
      <c r="C746" s="4647" t="s">
        <v>5043</v>
      </c>
      <c r="D746" s="4666">
        <v>1200000000</v>
      </c>
      <c r="E746" s="4817">
        <f t="shared" si="22"/>
        <v>0.86828555324355228</v>
      </c>
      <c r="F746" s="663"/>
      <c r="G746" s="1121"/>
      <c r="H746" s="1121"/>
      <c r="I746" s="1121"/>
      <c r="J746" s="894"/>
      <c r="K746" s="894"/>
      <c r="L746" s="2415"/>
      <c r="M746" s="372"/>
      <c r="N746" s="232"/>
      <c r="P746" s="522"/>
      <c r="Q746" s="522"/>
    </row>
    <row r="747" spans="2:17" s="4099" customFormat="1" ht="17.25" hidden="1" customHeight="1" x14ac:dyDescent="0.25">
      <c r="B747" s="319"/>
      <c r="C747" s="4647" t="s">
        <v>5044</v>
      </c>
      <c r="D747" s="4666">
        <v>880000000</v>
      </c>
      <c r="E747" s="4817">
        <f t="shared" si="22"/>
        <v>0.63674273904527168</v>
      </c>
      <c r="F747" s="663"/>
      <c r="G747" s="1121"/>
      <c r="H747" s="1121"/>
      <c r="I747" s="1121"/>
      <c r="J747" s="894"/>
      <c r="K747" s="894"/>
      <c r="L747" s="2415"/>
      <c r="M747" s="372"/>
      <c r="N747" s="232"/>
      <c r="P747" s="522"/>
      <c r="Q747" s="522"/>
    </row>
    <row r="748" spans="2:17" s="4099" customFormat="1" ht="17.25" hidden="1" customHeight="1" x14ac:dyDescent="0.25">
      <c r="B748" s="319"/>
      <c r="C748" s="4647" t="s">
        <v>5045</v>
      </c>
      <c r="D748" s="4666">
        <v>600000000</v>
      </c>
      <c r="E748" s="4817">
        <f t="shared" si="22"/>
        <v>0.43414277662177614</v>
      </c>
      <c r="F748" s="663"/>
      <c r="G748" s="1121"/>
      <c r="H748" s="1121"/>
      <c r="I748" s="1121"/>
      <c r="J748" s="894"/>
      <c r="K748" s="894"/>
      <c r="L748" s="2415"/>
      <c r="M748" s="372"/>
      <c r="N748" s="232"/>
      <c r="P748" s="522"/>
      <c r="Q748" s="522"/>
    </row>
    <row r="749" spans="2:17" s="4099" customFormat="1" ht="36" hidden="1" customHeight="1" x14ac:dyDescent="0.25">
      <c r="B749" s="319"/>
      <c r="C749" s="4647" t="s">
        <v>5046</v>
      </c>
      <c r="D749" s="4666">
        <v>1200000000</v>
      </c>
      <c r="E749" s="4817">
        <f t="shared" si="22"/>
        <v>0.86828555324355228</v>
      </c>
      <c r="F749" s="663"/>
      <c r="G749" s="1121"/>
      <c r="H749" s="1121"/>
      <c r="I749" s="1121"/>
      <c r="J749" s="894"/>
      <c r="K749" s="894"/>
      <c r="L749" s="2415"/>
      <c r="M749" s="372"/>
      <c r="N749" s="232"/>
      <c r="P749" s="522"/>
      <c r="Q749" s="522"/>
    </row>
    <row r="750" spans="2:17" s="4099" customFormat="1" ht="14.25" hidden="1" customHeight="1" x14ac:dyDescent="0.25">
      <c r="B750" s="319"/>
      <c r="C750" s="4807"/>
      <c r="D750" s="4803"/>
      <c r="E750" s="4834"/>
      <c r="F750" s="663"/>
      <c r="G750" s="1121"/>
      <c r="H750" s="1121"/>
      <c r="I750" s="1121"/>
      <c r="J750" s="894"/>
      <c r="K750" s="894"/>
      <c r="L750" s="2415"/>
      <c r="M750" s="372"/>
      <c r="N750" s="232"/>
      <c r="P750" s="522"/>
      <c r="Q750" s="522"/>
    </row>
    <row r="751" spans="2:17" s="4099" customFormat="1" ht="21.75" hidden="1" customHeight="1" x14ac:dyDescent="0.25">
      <c r="B751" s="319"/>
      <c r="C751" s="4649" t="s">
        <v>5047</v>
      </c>
      <c r="D751" s="4769">
        <f>SUM(D752:D755)</f>
        <v>2500000000</v>
      </c>
      <c r="E751" s="4830">
        <f>D751/138203382000*100</f>
        <v>1.8089282359240673</v>
      </c>
      <c r="F751" s="663"/>
      <c r="G751" s="1121"/>
      <c r="H751" s="1121"/>
      <c r="I751" s="1121"/>
      <c r="J751" s="894"/>
      <c r="K751" s="894"/>
      <c r="L751" s="2415"/>
      <c r="M751" s="372"/>
      <c r="N751" s="232"/>
      <c r="P751" s="522"/>
      <c r="Q751" s="522"/>
    </row>
    <row r="752" spans="2:17" s="4099" customFormat="1" ht="17.25" hidden="1" customHeight="1" x14ac:dyDescent="0.25">
      <c r="B752" s="319"/>
      <c r="C752" s="4647" t="s">
        <v>5048</v>
      </c>
      <c r="D752" s="4666">
        <v>500000000</v>
      </c>
      <c r="E752" s="4817">
        <f>D752/138203382000*100</f>
        <v>0.36178564718481349</v>
      </c>
      <c r="F752" s="663"/>
      <c r="G752" s="1121"/>
      <c r="H752" s="1121"/>
      <c r="I752" s="1121"/>
      <c r="J752" s="894"/>
      <c r="K752" s="894"/>
      <c r="L752" s="2415"/>
      <c r="M752" s="372"/>
      <c r="N752" s="232"/>
      <c r="P752" s="522"/>
      <c r="Q752" s="522"/>
    </row>
    <row r="753" spans="2:17" s="4099" customFormat="1" ht="19.5" hidden="1" customHeight="1" x14ac:dyDescent="0.25">
      <c r="B753" s="319"/>
      <c r="C753" s="4647" t="s">
        <v>5049</v>
      </c>
      <c r="D753" s="4666">
        <v>500000000</v>
      </c>
      <c r="E753" s="4817">
        <f t="shared" ref="E753:E755" si="23">D753/138203382000*100</f>
        <v>0.36178564718481349</v>
      </c>
      <c r="F753" s="663"/>
      <c r="G753" s="1121"/>
      <c r="H753" s="1121"/>
      <c r="I753" s="1121"/>
      <c r="J753" s="894"/>
      <c r="K753" s="894"/>
      <c r="L753" s="2415"/>
      <c r="M753" s="372"/>
      <c r="N753" s="232"/>
      <c r="P753" s="522"/>
      <c r="Q753" s="522"/>
    </row>
    <row r="754" spans="2:17" s="4099" customFormat="1" ht="18.75" hidden="1" customHeight="1" x14ac:dyDescent="0.25">
      <c r="B754" s="319"/>
      <c r="C754" s="4647" t="s">
        <v>5050</v>
      </c>
      <c r="D754" s="4666">
        <v>1000000000</v>
      </c>
      <c r="E754" s="4817">
        <f t="shared" si="23"/>
        <v>0.72357129436962697</v>
      </c>
      <c r="F754" s="663"/>
      <c r="G754" s="1121"/>
      <c r="H754" s="1121"/>
      <c r="I754" s="1121"/>
      <c r="J754" s="894"/>
      <c r="K754" s="894"/>
      <c r="L754" s="2415"/>
      <c r="M754" s="372"/>
      <c r="N754" s="232"/>
      <c r="P754" s="522"/>
      <c r="Q754" s="522"/>
    </row>
    <row r="755" spans="2:17" s="4099" customFormat="1" ht="20.25" hidden="1" customHeight="1" x14ac:dyDescent="0.25">
      <c r="B755" s="319"/>
      <c r="C755" s="4647" t="s">
        <v>5051</v>
      </c>
      <c r="D755" s="4666">
        <v>500000000</v>
      </c>
      <c r="E755" s="4817">
        <f t="shared" si="23"/>
        <v>0.36178564718481349</v>
      </c>
      <c r="F755" s="663"/>
      <c r="G755" s="1121"/>
      <c r="H755" s="1121"/>
      <c r="I755" s="1121"/>
      <c r="J755" s="894"/>
      <c r="K755" s="894"/>
      <c r="L755" s="2415"/>
      <c r="M755" s="372"/>
      <c r="N755" s="232"/>
      <c r="P755" s="522"/>
      <c r="Q755" s="522"/>
    </row>
    <row r="756" spans="2:17" s="4099" customFormat="1" ht="9.75" hidden="1" customHeight="1" x14ac:dyDescent="0.25">
      <c r="B756" s="319"/>
      <c r="C756" s="4647"/>
      <c r="D756" s="4666"/>
      <c r="E756" s="4834"/>
      <c r="F756" s="663"/>
      <c r="G756" s="1121"/>
      <c r="H756" s="1121"/>
      <c r="I756" s="1121"/>
      <c r="J756" s="894"/>
      <c r="K756" s="894"/>
      <c r="L756" s="2415"/>
      <c r="M756" s="372"/>
      <c r="N756" s="232"/>
      <c r="P756" s="522"/>
      <c r="Q756" s="522"/>
    </row>
    <row r="757" spans="2:17" s="4099" customFormat="1" ht="22.5" hidden="1" customHeight="1" x14ac:dyDescent="0.25">
      <c r="B757" s="319"/>
      <c r="C757" s="5353" t="s">
        <v>5052</v>
      </c>
      <c r="D757" s="4769">
        <f>D758</f>
        <v>500000000</v>
      </c>
      <c r="E757" s="4830">
        <f>D757/138203382000*100</f>
        <v>0.36178564718481349</v>
      </c>
      <c r="F757" s="663"/>
      <c r="G757" s="1121"/>
      <c r="H757" s="1121"/>
      <c r="I757" s="1121"/>
      <c r="J757" s="894"/>
      <c r="K757" s="894"/>
      <c r="L757" s="2415"/>
      <c r="M757" s="372"/>
      <c r="N757" s="232"/>
      <c r="P757" s="522"/>
      <c r="Q757" s="522"/>
    </row>
    <row r="758" spans="2:17" s="4099" customFormat="1" ht="24.75" hidden="1" customHeight="1" x14ac:dyDescent="0.25">
      <c r="B758" s="319"/>
      <c r="C758" s="4647" t="s">
        <v>5053</v>
      </c>
      <c r="D758" s="4666">
        <v>500000000</v>
      </c>
      <c r="E758" s="4817">
        <f>D758/138203382000*100</f>
        <v>0.36178564718481349</v>
      </c>
      <c r="F758" s="663"/>
      <c r="G758" s="1121"/>
      <c r="H758" s="1121"/>
      <c r="I758" s="1121"/>
      <c r="J758" s="894"/>
      <c r="K758" s="894"/>
      <c r="L758" s="2415"/>
      <c r="M758" s="372"/>
      <c r="N758" s="232"/>
      <c r="P758" s="522"/>
      <c r="Q758" s="522"/>
    </row>
    <row r="759" spans="2:17" s="4099" customFormat="1" ht="12" hidden="1" customHeight="1" x14ac:dyDescent="0.25">
      <c r="B759" s="319"/>
      <c r="C759" s="4807"/>
      <c r="D759" s="5012"/>
      <c r="E759" s="4834"/>
      <c r="F759" s="1841"/>
      <c r="G759" s="2339"/>
      <c r="H759" s="2339"/>
      <c r="I759" s="2339"/>
      <c r="J759" s="791"/>
      <c r="K759" s="791"/>
      <c r="L759" s="3130"/>
      <c r="M759" s="363"/>
      <c r="N759" s="232"/>
      <c r="P759" s="522"/>
      <c r="Q759" s="522"/>
    </row>
    <row r="760" spans="2:17" s="4099" customFormat="1" ht="21" hidden="1" customHeight="1" x14ac:dyDescent="0.25">
      <c r="B760" s="312"/>
      <c r="C760" s="4643" t="s">
        <v>5071</v>
      </c>
      <c r="D760" s="5010">
        <f>D761</f>
        <v>3000000000</v>
      </c>
      <c r="E760" s="4829">
        <f>D760/138203382000*100</f>
        <v>2.1707138831088808</v>
      </c>
      <c r="F760" s="3821"/>
      <c r="G760" s="3839"/>
      <c r="H760" s="3839"/>
      <c r="I760" s="3839"/>
      <c r="J760" s="2845"/>
      <c r="K760" s="2845"/>
      <c r="L760" s="4139"/>
      <c r="M760" s="3571"/>
      <c r="N760" s="232"/>
      <c r="P760" s="522"/>
      <c r="Q760" s="522"/>
    </row>
    <row r="761" spans="2:17" s="4099" customFormat="1" ht="21.75" hidden="1" customHeight="1" x14ac:dyDescent="0.25">
      <c r="B761" s="319"/>
      <c r="C761" s="4758" t="s">
        <v>5074</v>
      </c>
      <c r="D761" s="5013">
        <v>3000000000</v>
      </c>
      <c r="E761" s="4830">
        <f>D761/138203382000*100</f>
        <v>2.1707138831088808</v>
      </c>
      <c r="F761" s="1841"/>
      <c r="G761" s="2339"/>
      <c r="H761" s="2339"/>
      <c r="I761" s="2339"/>
      <c r="J761" s="791"/>
      <c r="K761" s="791"/>
      <c r="L761" s="3130"/>
      <c r="M761" s="363"/>
      <c r="N761" s="232"/>
      <c r="P761" s="522"/>
      <c r="Q761" s="522"/>
    </row>
    <row r="762" spans="2:17" s="4099" customFormat="1" ht="26.25" hidden="1" customHeight="1" x14ac:dyDescent="0.25">
      <c r="B762" s="319"/>
      <c r="C762" s="4647" t="s">
        <v>5075</v>
      </c>
      <c r="D762" s="5014">
        <v>3000000000</v>
      </c>
      <c r="E762" s="4817">
        <f>D762/138203382000*100</f>
        <v>2.1707138831088808</v>
      </c>
      <c r="F762" s="663"/>
      <c r="G762" s="1121"/>
      <c r="H762" s="1121"/>
      <c r="I762" s="1121"/>
      <c r="J762" s="894"/>
      <c r="K762" s="894"/>
      <c r="L762" s="2415"/>
      <c r="M762" s="372"/>
      <c r="N762" s="232"/>
      <c r="P762" s="522"/>
      <c r="Q762" s="522"/>
    </row>
    <row r="763" spans="2:17" s="4099" customFormat="1" ht="12" hidden="1" customHeight="1" x14ac:dyDescent="0.25">
      <c r="B763" s="319"/>
      <c r="C763" s="4798"/>
      <c r="D763" s="4799"/>
      <c r="E763" s="4899"/>
      <c r="F763" s="3539"/>
      <c r="G763" s="1065"/>
      <c r="H763" s="804"/>
      <c r="I763" s="804"/>
      <c r="J763" s="3122"/>
      <c r="K763" s="969"/>
      <c r="L763" s="1703"/>
      <c r="M763" s="363"/>
      <c r="N763" s="232"/>
      <c r="P763" s="522"/>
      <c r="Q763" s="522"/>
    </row>
    <row r="764" spans="2:17" s="2058" customFormat="1" ht="16.5" customHeight="1" x14ac:dyDescent="0.25">
      <c r="B764" s="616"/>
      <c r="C764" s="4655" t="s">
        <v>867</v>
      </c>
      <c r="D764" s="4800">
        <f>SUM(D766)</f>
        <v>23002600000</v>
      </c>
      <c r="E764" s="4889">
        <f>D764/D45*100</f>
        <v>6.1466419428330665</v>
      </c>
      <c r="F764" s="4410"/>
      <c r="G764" s="1067"/>
      <c r="H764" s="3123"/>
      <c r="I764" s="3123"/>
      <c r="J764" s="1066"/>
      <c r="K764" s="1067"/>
      <c r="L764" s="3123"/>
      <c r="M764" s="619"/>
      <c r="N764" s="2059"/>
      <c r="P764" s="2151"/>
      <c r="Q764" s="2151"/>
    </row>
    <row r="765" spans="2:17" ht="8.25" hidden="1" customHeight="1" x14ac:dyDescent="0.25">
      <c r="B765" s="314"/>
      <c r="C765" s="4790"/>
      <c r="D765" s="4801"/>
      <c r="E765" s="4848"/>
      <c r="F765" s="1007"/>
      <c r="G765" s="798"/>
      <c r="H765" s="804"/>
      <c r="I765" s="804"/>
      <c r="J765" s="1007"/>
      <c r="K765" s="798"/>
      <c r="L765" s="1649"/>
      <c r="M765" s="369"/>
      <c r="N765" s="232"/>
    </row>
    <row r="766" spans="2:17" ht="18.75" hidden="1" customHeight="1" x14ac:dyDescent="0.25">
      <c r="B766" s="312"/>
      <c r="C766" s="4802" t="s">
        <v>248</v>
      </c>
      <c r="D766" s="4661">
        <f>SUM(D767+D773+D789+D805+D813+D833+D841+D845+D849)</f>
        <v>23002600000</v>
      </c>
      <c r="E766" s="4845">
        <f>D766/137286690000*100</f>
        <v>16.755156672507727</v>
      </c>
      <c r="F766" s="765"/>
      <c r="G766" s="765"/>
      <c r="H766" s="765"/>
      <c r="I766" s="765"/>
      <c r="J766" s="765"/>
      <c r="K766" s="765"/>
      <c r="L766" s="765"/>
      <c r="M766" s="355"/>
      <c r="N766" s="232"/>
    </row>
    <row r="767" spans="2:17" ht="20.25" hidden="1" customHeight="1" x14ac:dyDescent="0.25">
      <c r="B767" s="319"/>
      <c r="C767" s="4924" t="s">
        <v>242</v>
      </c>
      <c r="D767" s="5005">
        <f>SUM(D768:D771)</f>
        <v>474537900</v>
      </c>
      <c r="E767" s="4898">
        <f>D767/137286690000*100</f>
        <v>0.34565470257896086</v>
      </c>
      <c r="F767" s="975"/>
      <c r="G767" s="986"/>
      <c r="H767" s="2442"/>
      <c r="I767" s="793"/>
      <c r="J767" s="975"/>
      <c r="K767" s="975"/>
      <c r="L767" s="2442"/>
      <c r="M767" s="570"/>
      <c r="N767" s="232"/>
    </row>
    <row r="768" spans="2:17" ht="18.75" hidden="1" customHeight="1" x14ac:dyDescent="0.25">
      <c r="B768" s="319"/>
      <c r="C768" s="4726" t="s">
        <v>6049</v>
      </c>
      <c r="D768" s="4666">
        <v>109038700</v>
      </c>
      <c r="E768" s="4651">
        <f>D768/137286690000*100</f>
        <v>7.9424086923502932E-2</v>
      </c>
      <c r="F768" s="963"/>
      <c r="G768" s="1073"/>
      <c r="H768" s="1074"/>
      <c r="I768" s="802"/>
      <c r="J768" s="963"/>
      <c r="K768" s="1073"/>
      <c r="L768" s="1074"/>
      <c r="M768" s="367"/>
      <c r="N768" s="232"/>
    </row>
    <row r="769" spans="2:14" ht="15" hidden="1" customHeight="1" x14ac:dyDescent="0.25">
      <c r="B769" s="319"/>
      <c r="C769" s="4792" t="s">
        <v>6050</v>
      </c>
      <c r="D769" s="4803">
        <v>100814750</v>
      </c>
      <c r="E769" s="4651">
        <f t="shared" ref="E769:E831" si="24">D769/137286690000*100</f>
        <v>7.3433739279459648E-2</v>
      </c>
      <c r="F769" s="1038"/>
      <c r="G769" s="1028"/>
      <c r="H769" s="804"/>
      <c r="I769" s="804"/>
      <c r="J769" s="1038"/>
      <c r="K769" s="2446"/>
      <c r="L769" s="1649"/>
      <c r="M769" s="369"/>
      <c r="N769" s="232"/>
    </row>
    <row r="770" spans="2:14" ht="18" hidden="1" customHeight="1" x14ac:dyDescent="0.25">
      <c r="B770" s="319"/>
      <c r="C770" s="4784" t="s">
        <v>6051</v>
      </c>
      <c r="D770" s="4666">
        <v>158645750</v>
      </c>
      <c r="E770" s="4651">
        <f t="shared" si="24"/>
        <v>0.1155579976471135</v>
      </c>
      <c r="F770" s="965"/>
      <c r="G770" s="965"/>
      <c r="H770" s="2442"/>
      <c r="I770" s="803"/>
      <c r="J770" s="965"/>
      <c r="K770" s="965"/>
      <c r="L770" s="2442"/>
      <c r="M770" s="368"/>
      <c r="N770" s="232"/>
    </row>
    <row r="771" spans="2:14" ht="15" hidden="1" customHeight="1" x14ac:dyDescent="0.25">
      <c r="B771" s="319"/>
      <c r="C771" s="4784" t="s">
        <v>6052</v>
      </c>
      <c r="D771" s="4666">
        <v>106038700</v>
      </c>
      <c r="E771" s="4651">
        <f t="shared" si="24"/>
        <v>7.7238878728884783E-2</v>
      </c>
      <c r="F771" s="963"/>
      <c r="G771" s="1074"/>
      <c r="H771" s="1074"/>
      <c r="I771" s="802"/>
      <c r="J771" s="963"/>
      <c r="K771" s="1074"/>
      <c r="L771" s="1074"/>
      <c r="M771" s="367"/>
      <c r="N771" s="232"/>
    </row>
    <row r="772" spans="2:14" ht="11.25" hidden="1" customHeight="1" x14ac:dyDescent="0.25">
      <c r="B772" s="319"/>
      <c r="C772" s="4792"/>
      <c r="D772" s="4803"/>
      <c r="E772" s="4651"/>
      <c r="F772" s="963"/>
      <c r="G772" s="1074"/>
      <c r="H772" s="1074"/>
      <c r="I772" s="802"/>
      <c r="J772" s="963"/>
      <c r="K772" s="1074"/>
      <c r="L772" s="1074"/>
      <c r="M772" s="367"/>
      <c r="N772" s="232"/>
    </row>
    <row r="773" spans="2:14" ht="18" hidden="1" customHeight="1" x14ac:dyDescent="0.25">
      <c r="B773" s="319"/>
      <c r="C773" s="4730" t="s">
        <v>283</v>
      </c>
      <c r="D773" s="4769">
        <f>SUM(D774:D787)</f>
        <v>6286792100</v>
      </c>
      <c r="E773" s="4672">
        <f t="shared" si="24"/>
        <v>4.5793165382601915</v>
      </c>
      <c r="F773" s="963"/>
      <c r="G773" s="937"/>
      <c r="H773" s="937"/>
      <c r="I773" s="937"/>
      <c r="J773" s="963"/>
      <c r="K773" s="937"/>
      <c r="L773" s="937"/>
      <c r="M773" s="528"/>
      <c r="N773" s="232"/>
    </row>
    <row r="774" spans="2:14" ht="18.75" hidden="1" customHeight="1" x14ac:dyDescent="0.25">
      <c r="B774" s="319"/>
      <c r="C774" s="4719" t="s">
        <v>6053</v>
      </c>
      <c r="D774" s="4666">
        <v>225000000</v>
      </c>
      <c r="E774" s="4651">
        <f t="shared" si="24"/>
        <v>0.16389061459636037</v>
      </c>
      <c r="F774" s="963"/>
      <c r="G774" s="1074"/>
      <c r="H774" s="1074"/>
      <c r="I774" s="802"/>
      <c r="J774" s="963"/>
      <c r="K774" s="1074"/>
      <c r="L774" s="1074"/>
      <c r="M774" s="367"/>
      <c r="N774" s="232"/>
    </row>
    <row r="775" spans="2:14" ht="18" hidden="1" customHeight="1" x14ac:dyDescent="0.25">
      <c r="B775" s="319"/>
      <c r="C775" s="4719" t="s">
        <v>6054</v>
      </c>
      <c r="D775" s="4666">
        <v>150000000</v>
      </c>
      <c r="E775" s="4651">
        <f t="shared" si="24"/>
        <v>0.10926040973090691</v>
      </c>
      <c r="F775" s="963"/>
      <c r="G775" s="1074"/>
      <c r="H775" s="1074"/>
      <c r="I775" s="802"/>
      <c r="J775" s="963"/>
      <c r="K775" s="1074"/>
      <c r="L775" s="1074"/>
      <c r="M775" s="367"/>
      <c r="N775" s="232"/>
    </row>
    <row r="776" spans="2:14" ht="15" hidden="1" customHeight="1" x14ac:dyDescent="0.25">
      <c r="B776" s="319"/>
      <c r="C776" s="4719" t="s">
        <v>6055</v>
      </c>
      <c r="D776" s="4666">
        <v>125000000</v>
      </c>
      <c r="E776" s="4651">
        <f t="shared" si="24"/>
        <v>9.1050341442422425E-2</v>
      </c>
      <c r="F776" s="963"/>
      <c r="G776" s="1074"/>
      <c r="H776" s="1074"/>
      <c r="I776" s="802"/>
      <c r="J776" s="963"/>
      <c r="K776" s="1074"/>
      <c r="L776" s="1074"/>
      <c r="M776" s="367"/>
      <c r="N776" s="232"/>
    </row>
    <row r="777" spans="2:14" ht="17.25" hidden="1" customHeight="1" x14ac:dyDescent="0.25">
      <c r="B777" s="319"/>
      <c r="C777" s="4719" t="s">
        <v>6056</v>
      </c>
      <c r="D777" s="4666">
        <v>100000000</v>
      </c>
      <c r="E777" s="4651">
        <f t="shared" si="24"/>
        <v>7.2840273153937943E-2</v>
      </c>
      <c r="F777" s="963"/>
      <c r="G777" s="1074"/>
      <c r="H777" s="1074"/>
      <c r="I777" s="802"/>
      <c r="J777" s="963"/>
      <c r="K777" s="1074"/>
      <c r="L777" s="1074"/>
      <c r="M777" s="367"/>
      <c r="N777" s="232"/>
    </row>
    <row r="778" spans="2:14" ht="15.75" hidden="1" customHeight="1" x14ac:dyDescent="0.25">
      <c r="B778" s="319"/>
      <c r="C778" s="4719" t="s">
        <v>6057</v>
      </c>
      <c r="D778" s="4666">
        <v>1150000000</v>
      </c>
      <c r="E778" s="4651">
        <f t="shared" si="24"/>
        <v>0.83766314127028618</v>
      </c>
      <c r="F778" s="963"/>
      <c r="G778" s="1074"/>
      <c r="H778" s="1074"/>
      <c r="I778" s="802"/>
      <c r="J778" s="963"/>
      <c r="K778" s="1074"/>
      <c r="L778" s="1074"/>
      <c r="M778" s="367"/>
      <c r="N778" s="232"/>
    </row>
    <row r="779" spans="2:14" ht="17.25" hidden="1" customHeight="1" x14ac:dyDescent="0.25">
      <c r="B779" s="319"/>
      <c r="C779" s="4719" t="s">
        <v>6058</v>
      </c>
      <c r="D779" s="4666">
        <v>300000000</v>
      </c>
      <c r="E779" s="4651">
        <f t="shared" si="24"/>
        <v>0.21852081946181381</v>
      </c>
      <c r="F779" s="963"/>
      <c r="G779" s="1074"/>
      <c r="H779" s="1074"/>
      <c r="I779" s="802"/>
      <c r="J779" s="963"/>
      <c r="K779" s="1074"/>
      <c r="L779" s="1074"/>
      <c r="M779" s="367"/>
      <c r="N779" s="232"/>
    </row>
    <row r="780" spans="2:14" ht="19.5" hidden="1" customHeight="1" x14ac:dyDescent="0.25">
      <c r="B780" s="319"/>
      <c r="C780" s="4719" t="s">
        <v>6059</v>
      </c>
      <c r="D780" s="4666">
        <v>1302230000</v>
      </c>
      <c r="E780" s="4651">
        <f t="shared" si="24"/>
        <v>0.94854788909252608</v>
      </c>
      <c r="F780" s="963"/>
      <c r="G780" s="1074"/>
      <c r="H780" s="1074"/>
      <c r="I780" s="802"/>
      <c r="J780" s="963"/>
      <c r="K780" s="2420"/>
      <c r="L780" s="1074"/>
      <c r="M780" s="367"/>
      <c r="N780" s="232"/>
    </row>
    <row r="781" spans="2:14" ht="19.5" hidden="1" customHeight="1" x14ac:dyDescent="0.25">
      <c r="B781" s="319"/>
      <c r="C781" s="4719" t="s">
        <v>6060</v>
      </c>
      <c r="D781" s="4666">
        <v>200000000</v>
      </c>
      <c r="E781" s="4651">
        <f t="shared" si="24"/>
        <v>0.14568054630787589</v>
      </c>
      <c r="F781" s="963"/>
      <c r="G781" s="1074"/>
      <c r="H781" s="1074"/>
      <c r="I781" s="802"/>
      <c r="J781" s="963"/>
      <c r="K781" s="1074"/>
      <c r="L781" s="1074"/>
      <c r="M781" s="367"/>
      <c r="N781" s="232"/>
    </row>
    <row r="782" spans="2:14" ht="18" hidden="1" customHeight="1" x14ac:dyDescent="0.25">
      <c r="B782" s="319"/>
      <c r="C782" s="4719" t="s">
        <v>6061</v>
      </c>
      <c r="D782" s="4666">
        <v>180300000</v>
      </c>
      <c r="E782" s="4651">
        <f t="shared" si="24"/>
        <v>0.1313310124965501</v>
      </c>
      <c r="F782" s="963"/>
      <c r="G782" s="937"/>
      <c r="H782" s="937"/>
      <c r="I782" s="937"/>
      <c r="J782" s="963"/>
      <c r="K782" s="937"/>
      <c r="L782" s="937"/>
      <c r="M782" s="528"/>
      <c r="N782" s="232"/>
    </row>
    <row r="783" spans="2:14" ht="30" hidden="1" customHeight="1" x14ac:dyDescent="0.25">
      <c r="B783" s="319"/>
      <c r="C783" s="4719" t="s">
        <v>6062</v>
      </c>
      <c r="D783" s="4666">
        <v>140820000</v>
      </c>
      <c r="E783" s="4651">
        <f t="shared" si="24"/>
        <v>0.1025736726553754</v>
      </c>
      <c r="F783" s="1038"/>
      <c r="G783" s="1024"/>
      <c r="H783" s="755"/>
      <c r="I783" s="802"/>
      <c r="J783" s="1038"/>
      <c r="K783" s="2420"/>
      <c r="L783" s="1716"/>
      <c r="M783" s="367"/>
      <c r="N783" s="232"/>
    </row>
    <row r="784" spans="2:14" ht="19.5" hidden="1" customHeight="1" x14ac:dyDescent="0.25">
      <c r="B784" s="319"/>
      <c r="C784" s="4719" t="s">
        <v>6063</v>
      </c>
      <c r="D784" s="4666">
        <v>355742100</v>
      </c>
      <c r="E784" s="4651">
        <f t="shared" si="24"/>
        <v>0.25912351736355504</v>
      </c>
      <c r="F784" s="965"/>
      <c r="G784" s="793"/>
      <c r="H784" s="753"/>
      <c r="I784" s="753"/>
      <c r="J784" s="965"/>
      <c r="K784" s="793"/>
      <c r="L784" s="753"/>
      <c r="M784" s="1350"/>
      <c r="N784" s="232"/>
    </row>
    <row r="785" spans="2:14" ht="15.75" hidden="1" customHeight="1" x14ac:dyDescent="0.25">
      <c r="B785" s="319"/>
      <c r="C785" s="4719" t="s">
        <v>6064</v>
      </c>
      <c r="D785" s="4666">
        <v>500000000</v>
      </c>
      <c r="E785" s="4651">
        <f t="shared" si="24"/>
        <v>0.3642013657696897</v>
      </c>
      <c r="F785" s="963"/>
      <c r="G785" s="755"/>
      <c r="H785" s="755"/>
      <c r="I785" s="755"/>
      <c r="J785" s="963"/>
      <c r="K785" s="755"/>
      <c r="L785" s="755"/>
      <c r="M785" s="512"/>
      <c r="N785" s="232"/>
    </row>
    <row r="786" spans="2:14" ht="17.25" hidden="1" customHeight="1" x14ac:dyDescent="0.25">
      <c r="B786" s="319"/>
      <c r="C786" s="4784" t="s">
        <v>6065</v>
      </c>
      <c r="D786" s="4666">
        <v>143600000</v>
      </c>
      <c r="E786" s="4651">
        <f t="shared" si="24"/>
        <v>0.10459863224905488</v>
      </c>
      <c r="F786" s="963"/>
      <c r="G786" s="755"/>
      <c r="H786" s="755"/>
      <c r="I786" s="755"/>
      <c r="J786" s="963"/>
      <c r="K786" s="755"/>
      <c r="L786" s="755"/>
      <c r="M786" s="512"/>
      <c r="N786" s="232"/>
    </row>
    <row r="787" spans="2:14" ht="18" hidden="1" customHeight="1" x14ac:dyDescent="0.25">
      <c r="B787" s="319"/>
      <c r="C787" s="4784" t="s">
        <v>6066</v>
      </c>
      <c r="D787" s="4666">
        <v>1414100000</v>
      </c>
      <c r="E787" s="4651">
        <f t="shared" si="24"/>
        <v>1.0300343026698364</v>
      </c>
      <c r="F787" s="963"/>
      <c r="G787" s="755"/>
      <c r="H787" s="755"/>
      <c r="I787" s="755"/>
      <c r="J787" s="963"/>
      <c r="K787" s="1716"/>
      <c r="L787" s="1716"/>
      <c r="M787" s="367"/>
      <c r="N787" s="232"/>
    </row>
    <row r="788" spans="2:14" ht="14.25" hidden="1" customHeight="1" x14ac:dyDescent="0.25">
      <c r="B788" s="319"/>
      <c r="C788" s="4792"/>
      <c r="D788" s="4803"/>
      <c r="E788" s="4651"/>
      <c r="F788" s="965"/>
      <c r="G788" s="753"/>
      <c r="H788" s="753"/>
      <c r="I788" s="753"/>
      <c r="J788" s="965"/>
      <c r="K788" s="753"/>
      <c r="L788" s="753"/>
      <c r="M788" s="1350"/>
      <c r="N788" s="232"/>
    </row>
    <row r="789" spans="2:14" ht="18" hidden="1" customHeight="1" x14ac:dyDescent="0.25">
      <c r="B789" s="319"/>
      <c r="C789" s="4730" t="s">
        <v>565</v>
      </c>
      <c r="D789" s="4769">
        <f>SUM(D790:D803)</f>
        <v>3079120000</v>
      </c>
      <c r="E789" s="4672">
        <f t="shared" si="24"/>
        <v>2.242839418737534</v>
      </c>
      <c r="F789" s="963"/>
      <c r="G789" s="755"/>
      <c r="H789" s="755"/>
      <c r="I789" s="755"/>
      <c r="J789" s="963"/>
      <c r="K789" s="755"/>
      <c r="L789" s="755"/>
      <c r="M789" s="512"/>
      <c r="N789" s="232"/>
    </row>
    <row r="790" spans="2:14" ht="20.25" hidden="1" customHeight="1" x14ac:dyDescent="0.25">
      <c r="B790" s="319"/>
      <c r="C790" s="4719" t="s">
        <v>6069</v>
      </c>
      <c r="D790" s="4666">
        <v>700000000</v>
      </c>
      <c r="E790" s="4651">
        <f t="shared" si="24"/>
        <v>0.50988191207756561</v>
      </c>
      <c r="F790" s="963"/>
      <c r="G790" s="755"/>
      <c r="H790" s="755"/>
      <c r="I790" s="755"/>
      <c r="J790" s="963"/>
      <c r="K790" s="755"/>
      <c r="L790" s="755"/>
      <c r="M790" s="512"/>
      <c r="N790" s="232"/>
    </row>
    <row r="791" spans="2:14" ht="18" hidden="1" customHeight="1" x14ac:dyDescent="0.25">
      <c r="B791" s="319"/>
      <c r="C791" s="4719" t="s">
        <v>6067</v>
      </c>
      <c r="D791" s="4666">
        <v>50000000</v>
      </c>
      <c r="E791" s="4651">
        <f t="shared" si="24"/>
        <v>3.6420136576968971E-2</v>
      </c>
      <c r="F791" s="963"/>
      <c r="G791" s="755"/>
      <c r="H791" s="755"/>
      <c r="I791" s="755"/>
      <c r="J791" s="963"/>
      <c r="K791" s="755"/>
      <c r="L791" s="755"/>
      <c r="M791" s="512"/>
      <c r="N791" s="232"/>
    </row>
    <row r="792" spans="2:14" ht="18" hidden="1" customHeight="1" x14ac:dyDescent="0.25">
      <c r="B792" s="319"/>
      <c r="C792" s="4719" t="s">
        <v>6068</v>
      </c>
      <c r="D792" s="4666">
        <v>100000000</v>
      </c>
      <c r="E792" s="4651">
        <f t="shared" si="24"/>
        <v>7.2840273153937943E-2</v>
      </c>
      <c r="F792" s="963"/>
      <c r="G792" s="755"/>
      <c r="H792" s="755"/>
      <c r="I792" s="755"/>
      <c r="J792" s="963"/>
      <c r="K792" s="755"/>
      <c r="L792" s="755"/>
      <c r="M792" s="512"/>
      <c r="N792" s="232"/>
    </row>
    <row r="793" spans="2:14" ht="18" hidden="1" customHeight="1" x14ac:dyDescent="0.25">
      <c r="B793" s="319"/>
      <c r="C793" s="4719" t="s">
        <v>6070</v>
      </c>
      <c r="D793" s="4666">
        <v>44500000</v>
      </c>
      <c r="E793" s="4651">
        <f t="shared" si="24"/>
        <v>3.2413921553502381E-2</v>
      </c>
      <c r="F793" s="1023"/>
      <c r="G793" s="755"/>
      <c r="H793" s="755"/>
      <c r="I793" s="755"/>
      <c r="J793" s="1023"/>
      <c r="K793" s="2264"/>
      <c r="L793" s="2264"/>
      <c r="M793" s="366"/>
      <c r="N793" s="232"/>
    </row>
    <row r="794" spans="2:14" ht="18.75" hidden="1" customHeight="1" x14ac:dyDescent="0.25">
      <c r="B794" s="319"/>
      <c r="C794" s="4719" t="s">
        <v>6071</v>
      </c>
      <c r="D794" s="4666">
        <v>55500000</v>
      </c>
      <c r="E794" s="4651">
        <f t="shared" si="24"/>
        <v>4.0426351600435555E-2</v>
      </c>
      <c r="F794" s="965"/>
      <c r="G794" s="753"/>
      <c r="H794" s="753"/>
      <c r="I794" s="753"/>
      <c r="J794" s="965"/>
      <c r="K794" s="753"/>
      <c r="L794" s="753"/>
      <c r="M794" s="1350"/>
      <c r="N794" s="232"/>
    </row>
    <row r="795" spans="2:14" ht="19.5" hidden="1" customHeight="1" x14ac:dyDescent="0.25">
      <c r="B795" s="319"/>
      <c r="C795" s="4719" t="s">
        <v>6072</v>
      </c>
      <c r="D795" s="4666">
        <v>100000000</v>
      </c>
      <c r="E795" s="4651">
        <f t="shared" si="24"/>
        <v>7.2840273153937943E-2</v>
      </c>
      <c r="F795" s="963"/>
      <c r="G795" s="755"/>
      <c r="H795" s="755"/>
      <c r="I795" s="755"/>
      <c r="J795" s="963"/>
      <c r="K795" s="755"/>
      <c r="L795" s="755"/>
      <c r="M795" s="512"/>
      <c r="N795" s="232"/>
    </row>
    <row r="796" spans="2:14" ht="17.25" hidden="1" customHeight="1" x14ac:dyDescent="0.25">
      <c r="B796" s="319"/>
      <c r="C796" s="4719" t="s">
        <v>6073</v>
      </c>
      <c r="D796" s="4666">
        <v>100000000</v>
      </c>
      <c r="E796" s="4651">
        <f t="shared" si="24"/>
        <v>7.2840273153937943E-2</v>
      </c>
      <c r="F796" s="963"/>
      <c r="G796" s="755"/>
      <c r="H796" s="755"/>
      <c r="I796" s="755"/>
      <c r="J796" s="963"/>
      <c r="K796" s="755"/>
      <c r="L796" s="755"/>
      <c r="M796" s="512"/>
      <c r="N796" s="232"/>
    </row>
    <row r="797" spans="2:14" ht="18.75" hidden="1" customHeight="1" x14ac:dyDescent="0.25">
      <c r="B797" s="319"/>
      <c r="C797" s="4719" t="s">
        <v>6074</v>
      </c>
      <c r="D797" s="4666">
        <v>100000000</v>
      </c>
      <c r="E797" s="4651">
        <f t="shared" si="24"/>
        <v>7.2840273153937943E-2</v>
      </c>
      <c r="F797" s="963"/>
      <c r="G797" s="755"/>
      <c r="H797" s="755"/>
      <c r="I797" s="755"/>
      <c r="J797" s="963"/>
      <c r="K797" s="755"/>
      <c r="L797" s="755"/>
      <c r="M797" s="512"/>
      <c r="N797" s="232"/>
    </row>
    <row r="798" spans="2:14" ht="19.5" hidden="1" customHeight="1" x14ac:dyDescent="0.25">
      <c r="B798" s="319"/>
      <c r="C798" s="4719" t="s">
        <v>6075</v>
      </c>
      <c r="D798" s="4666">
        <v>250000000</v>
      </c>
      <c r="E798" s="4651">
        <f t="shared" si="24"/>
        <v>0.18210068288484485</v>
      </c>
      <c r="F798" s="963"/>
      <c r="G798" s="755"/>
      <c r="H798" s="755"/>
      <c r="I798" s="755"/>
      <c r="J798" s="963"/>
      <c r="K798" s="755"/>
      <c r="L798" s="755"/>
      <c r="M798" s="512"/>
      <c r="N798" s="232"/>
    </row>
    <row r="799" spans="2:14" ht="20.25" hidden="1" customHeight="1" x14ac:dyDescent="0.25">
      <c r="B799" s="319"/>
      <c r="C799" s="4719" t="s">
        <v>6076</v>
      </c>
      <c r="D799" s="4666">
        <v>959120000</v>
      </c>
      <c r="E799" s="4651">
        <f t="shared" si="24"/>
        <v>0.69862562787404958</v>
      </c>
      <c r="F799" s="963"/>
      <c r="G799" s="755"/>
      <c r="H799" s="755"/>
      <c r="I799" s="755"/>
      <c r="J799" s="963"/>
      <c r="K799" s="755"/>
      <c r="L799" s="755"/>
      <c r="M799" s="512"/>
      <c r="N799" s="232"/>
    </row>
    <row r="800" spans="2:14" ht="14.25" hidden="1" customHeight="1" x14ac:dyDescent="0.25">
      <c r="B800" s="319"/>
      <c r="C800" s="4719" t="s">
        <v>6077</v>
      </c>
      <c r="D800" s="4666">
        <v>150000000</v>
      </c>
      <c r="E800" s="4651">
        <f t="shared" si="24"/>
        <v>0.10926040973090691</v>
      </c>
      <c r="F800" s="963"/>
      <c r="G800" s="755"/>
      <c r="H800" s="755"/>
      <c r="I800" s="755"/>
      <c r="J800" s="963"/>
      <c r="K800" s="755"/>
      <c r="L800" s="755"/>
      <c r="M800" s="512"/>
      <c r="N800" s="232"/>
    </row>
    <row r="801" spans="2:14" ht="21" hidden="1" customHeight="1" x14ac:dyDescent="0.25">
      <c r="B801" s="319"/>
      <c r="C801" s="4719" t="s">
        <v>6078</v>
      </c>
      <c r="D801" s="4666">
        <v>250000000</v>
      </c>
      <c r="E801" s="4651">
        <f t="shared" si="24"/>
        <v>0.18210068288484485</v>
      </c>
      <c r="F801" s="971"/>
      <c r="G801" s="755"/>
      <c r="H801" s="755"/>
      <c r="I801" s="755"/>
      <c r="J801" s="971"/>
      <c r="K801" s="755"/>
      <c r="L801" s="755"/>
      <c r="M801" s="512"/>
      <c r="N801" s="232"/>
    </row>
    <row r="802" spans="2:14" ht="21" hidden="1" customHeight="1" x14ac:dyDescent="0.25">
      <c r="B802" s="319"/>
      <c r="C802" s="4719" t="s">
        <v>6079</v>
      </c>
      <c r="D802" s="4666">
        <v>150000000</v>
      </c>
      <c r="E802" s="4651">
        <f t="shared" si="24"/>
        <v>0.10926040973090691</v>
      </c>
      <c r="F802" s="963"/>
      <c r="G802" s="755"/>
      <c r="H802" s="755"/>
      <c r="I802" s="755"/>
      <c r="J802" s="963"/>
      <c r="K802" s="755"/>
      <c r="L802" s="755"/>
      <c r="M802" s="512"/>
      <c r="N802" s="232"/>
    </row>
    <row r="803" spans="2:14" ht="19.5" hidden="1" customHeight="1" x14ac:dyDescent="0.25">
      <c r="B803" s="319"/>
      <c r="C803" s="4719" t="s">
        <v>6080</v>
      </c>
      <c r="D803" s="4666">
        <v>70000000</v>
      </c>
      <c r="E803" s="4651">
        <f t="shared" si="24"/>
        <v>5.0988191207756564E-2</v>
      </c>
      <c r="F803" s="1038"/>
      <c r="G803" s="1024"/>
      <c r="H803" s="755"/>
      <c r="I803" s="802"/>
      <c r="J803" s="1038"/>
      <c r="K803" s="2420"/>
      <c r="L803" s="1716"/>
      <c r="M803" s="367"/>
      <c r="N803" s="232"/>
    </row>
    <row r="804" spans="2:14" ht="15.75" hidden="1" customHeight="1" x14ac:dyDescent="0.25">
      <c r="B804" s="319"/>
      <c r="C804" s="4719"/>
      <c r="D804" s="4666"/>
      <c r="E804" s="4651"/>
      <c r="F804" s="1379"/>
      <c r="G804" s="723"/>
      <c r="H804" s="753"/>
      <c r="I804" s="803"/>
      <c r="J804" s="673"/>
      <c r="K804" s="673"/>
      <c r="L804" s="753"/>
      <c r="M804" s="368"/>
      <c r="N804" s="232"/>
    </row>
    <row r="805" spans="2:14" ht="19.5" hidden="1" customHeight="1" x14ac:dyDescent="0.25">
      <c r="B805" s="319"/>
      <c r="C805" s="4730" t="s">
        <v>273</v>
      </c>
      <c r="D805" s="4769">
        <f>SUM(D806:D811)</f>
        <v>830000000</v>
      </c>
      <c r="E805" s="4672">
        <f t="shared" si="24"/>
        <v>0.60457426717768492</v>
      </c>
      <c r="F805" s="963"/>
      <c r="G805" s="755"/>
      <c r="H805" s="755"/>
      <c r="I805" s="755"/>
      <c r="J805" s="963"/>
      <c r="K805" s="755"/>
      <c r="L805" s="755"/>
      <c r="M805" s="512"/>
      <c r="N805" s="232"/>
    </row>
    <row r="806" spans="2:14" ht="17.25" hidden="1" customHeight="1" x14ac:dyDescent="0.25">
      <c r="B806" s="319"/>
      <c r="C806" s="4719" t="s">
        <v>6081</v>
      </c>
      <c r="D806" s="4666">
        <v>80000000</v>
      </c>
      <c r="E806" s="4651">
        <f t="shared" si="24"/>
        <v>5.8272218523150343E-2</v>
      </c>
      <c r="F806" s="963"/>
      <c r="G806" s="755"/>
      <c r="H806" s="755"/>
      <c r="I806" s="755"/>
      <c r="J806" s="963"/>
      <c r="K806" s="2420"/>
      <c r="L806" s="1074"/>
      <c r="M806" s="367"/>
      <c r="N806" s="232"/>
    </row>
    <row r="807" spans="2:14" ht="18.75" hidden="1" customHeight="1" x14ac:dyDescent="0.25">
      <c r="B807" s="319"/>
      <c r="C807" s="4719" t="s">
        <v>6082</v>
      </c>
      <c r="D807" s="4666">
        <v>70000000</v>
      </c>
      <c r="E807" s="4651">
        <f t="shared" si="24"/>
        <v>5.0988191207756564E-2</v>
      </c>
      <c r="F807" s="963"/>
      <c r="G807" s="755"/>
      <c r="H807" s="755"/>
      <c r="I807" s="755"/>
      <c r="J807" s="963"/>
      <c r="K807" s="755"/>
      <c r="L807" s="755"/>
      <c r="M807" s="512"/>
      <c r="N807" s="232"/>
    </row>
    <row r="808" spans="2:14" hidden="1" x14ac:dyDescent="0.25">
      <c r="B808" s="319"/>
      <c r="C808" s="4719" t="s">
        <v>6083</v>
      </c>
      <c r="D808" s="4666">
        <v>300000000</v>
      </c>
      <c r="E808" s="4651">
        <f t="shared" si="24"/>
        <v>0.21852081946181381</v>
      </c>
      <c r="F808" s="963"/>
      <c r="G808" s="755"/>
      <c r="H808" s="755"/>
      <c r="I808" s="755"/>
      <c r="J808" s="963"/>
      <c r="K808" s="755"/>
      <c r="L808" s="755"/>
      <c r="M808" s="512"/>
      <c r="N808" s="232"/>
    </row>
    <row r="809" spans="2:14" ht="17.25" hidden="1" customHeight="1" x14ac:dyDescent="0.25">
      <c r="B809" s="319"/>
      <c r="C809" s="4719" t="s">
        <v>6084</v>
      </c>
      <c r="D809" s="4666">
        <v>150000000</v>
      </c>
      <c r="E809" s="4651">
        <f t="shared" si="24"/>
        <v>0.10926040973090691</v>
      </c>
      <c r="F809" s="963"/>
      <c r="G809" s="755"/>
      <c r="H809" s="755"/>
      <c r="I809" s="755"/>
      <c r="J809" s="963"/>
      <c r="K809" s="755"/>
      <c r="L809" s="755"/>
      <c r="M809" s="512"/>
      <c r="N809" s="232"/>
    </row>
    <row r="810" spans="2:14" ht="17.25" hidden="1" customHeight="1" x14ac:dyDescent="0.25">
      <c r="B810" s="319"/>
      <c r="C810" s="4786" t="s">
        <v>6085</v>
      </c>
      <c r="D810" s="4804">
        <v>130000000</v>
      </c>
      <c r="E810" s="4651">
        <f t="shared" si="24"/>
        <v>9.4692355100119308E-2</v>
      </c>
      <c r="F810" s="963"/>
      <c r="G810" s="1069"/>
      <c r="H810" s="1074"/>
      <c r="I810" s="802"/>
      <c r="J810" s="963"/>
      <c r="K810" s="2420"/>
      <c r="L810" s="1074"/>
      <c r="M810" s="367"/>
      <c r="N810" s="232"/>
    </row>
    <row r="811" spans="2:14" ht="18.75" hidden="1" customHeight="1" x14ac:dyDescent="0.25">
      <c r="B811" s="319"/>
      <c r="C811" s="4786" t="s">
        <v>6086</v>
      </c>
      <c r="D811" s="4804">
        <v>100000000</v>
      </c>
      <c r="E811" s="4651">
        <f t="shared" si="24"/>
        <v>7.2840273153937943E-2</v>
      </c>
      <c r="F811" s="963"/>
      <c r="G811" s="755"/>
      <c r="H811" s="755"/>
      <c r="I811" s="755"/>
      <c r="J811" s="963"/>
      <c r="K811" s="755"/>
      <c r="L811" s="755"/>
      <c r="M811" s="512"/>
      <c r="N811" s="232"/>
    </row>
    <row r="812" spans="2:14" ht="15" hidden="1" customHeight="1" x14ac:dyDescent="0.25">
      <c r="B812" s="319"/>
      <c r="C812" s="4797"/>
      <c r="D812" s="4805"/>
      <c r="E812" s="4651"/>
      <c r="F812" s="963"/>
      <c r="G812" s="755"/>
      <c r="H812" s="755"/>
      <c r="I812" s="755"/>
      <c r="J812" s="963"/>
      <c r="K812" s="755"/>
      <c r="L812" s="755"/>
      <c r="M812" s="512"/>
      <c r="N812" s="232"/>
    </row>
    <row r="813" spans="2:14" ht="21" hidden="1" customHeight="1" x14ac:dyDescent="0.25">
      <c r="B813" s="319"/>
      <c r="C813" s="4730" t="s">
        <v>6087</v>
      </c>
      <c r="D813" s="4769">
        <f>SUM(D814:D831)</f>
        <v>2350000000</v>
      </c>
      <c r="E813" s="4672">
        <f t="shared" si="24"/>
        <v>1.7117464191175416</v>
      </c>
      <c r="F813" s="963"/>
      <c r="G813" s="755"/>
      <c r="H813" s="755"/>
      <c r="I813" s="755"/>
      <c r="J813" s="963"/>
      <c r="K813" s="755"/>
      <c r="L813" s="755"/>
      <c r="M813" s="512"/>
      <c r="N813" s="232"/>
    </row>
    <row r="814" spans="2:14" ht="17.25" hidden="1" customHeight="1" x14ac:dyDescent="0.25">
      <c r="B814" s="319"/>
      <c r="C814" s="4719" t="s">
        <v>6088</v>
      </c>
      <c r="D814" s="4666">
        <v>50000000</v>
      </c>
      <c r="E814" s="4651">
        <f t="shared" si="24"/>
        <v>3.6420136576968971E-2</v>
      </c>
      <c r="F814" s="1038"/>
      <c r="G814" s="1024"/>
      <c r="H814" s="755"/>
      <c r="I814" s="802"/>
      <c r="J814" s="1038"/>
      <c r="K814" s="2420"/>
      <c r="L814" s="1716"/>
      <c r="M814" s="367"/>
      <c r="N814" s="232"/>
    </row>
    <row r="815" spans="2:14" ht="21" hidden="1" customHeight="1" x14ac:dyDescent="0.25">
      <c r="B815" s="319"/>
      <c r="C815" s="4719" t="s">
        <v>6089</v>
      </c>
      <c r="D815" s="4666">
        <v>150000000</v>
      </c>
      <c r="E815" s="4651">
        <f t="shared" si="24"/>
        <v>0.10926040973090691</v>
      </c>
      <c r="F815" s="965"/>
      <c r="G815" s="753"/>
      <c r="H815" s="753"/>
      <c r="I815" s="753"/>
      <c r="J815" s="965"/>
      <c r="K815" s="753"/>
      <c r="L815" s="753"/>
      <c r="M815" s="1350"/>
      <c r="N815" s="232"/>
    </row>
    <row r="816" spans="2:14" ht="18.75" hidden="1" customHeight="1" x14ac:dyDescent="0.25">
      <c r="B816" s="319"/>
      <c r="C816" s="4719" t="s">
        <v>6090</v>
      </c>
      <c r="D816" s="4666">
        <v>50000000</v>
      </c>
      <c r="E816" s="4651">
        <f t="shared" si="24"/>
        <v>3.6420136576968971E-2</v>
      </c>
      <c r="F816" s="963"/>
      <c r="G816" s="755"/>
      <c r="H816" s="755"/>
      <c r="I816" s="755"/>
      <c r="J816" s="963"/>
      <c r="K816" s="755"/>
      <c r="L816" s="755"/>
      <c r="M816" s="512"/>
      <c r="N816" s="232"/>
    </row>
    <row r="817" spans="2:17" ht="18.75" hidden="1" customHeight="1" x14ac:dyDescent="0.25">
      <c r="B817" s="319"/>
      <c r="C817" s="4719" t="s">
        <v>6091</v>
      </c>
      <c r="D817" s="4666">
        <v>150000000</v>
      </c>
      <c r="E817" s="4651">
        <f t="shared" si="24"/>
        <v>0.10926040973090691</v>
      </c>
      <c r="F817" s="963"/>
      <c r="G817" s="1024"/>
      <c r="H817" s="755"/>
      <c r="I817" s="802"/>
      <c r="J817" s="963"/>
      <c r="K817" s="2420"/>
      <c r="L817" s="1716"/>
      <c r="M817" s="367"/>
      <c r="N817" s="232"/>
    </row>
    <row r="818" spans="2:17" ht="19.5" hidden="1" customHeight="1" x14ac:dyDescent="0.25">
      <c r="B818" s="319"/>
      <c r="C818" s="4719" t="s">
        <v>6092</v>
      </c>
      <c r="D818" s="4666">
        <v>150000000</v>
      </c>
      <c r="E818" s="4651">
        <f t="shared" si="24"/>
        <v>0.10926040973090691</v>
      </c>
      <c r="F818" s="965"/>
      <c r="G818" s="965"/>
      <c r="H818" s="2442"/>
      <c r="I818" s="803"/>
      <c r="J818" s="965"/>
      <c r="K818" s="965"/>
      <c r="L818" s="753"/>
      <c r="M818" s="368"/>
      <c r="N818" s="232"/>
    </row>
    <row r="819" spans="2:17" ht="17.25" hidden="1" customHeight="1" x14ac:dyDescent="0.25">
      <c r="B819" s="319"/>
      <c r="C819" s="4719" t="s">
        <v>6093</v>
      </c>
      <c r="D819" s="4666">
        <v>120000000</v>
      </c>
      <c r="E819" s="4651">
        <f t="shared" si="24"/>
        <v>8.7408327784725529E-2</v>
      </c>
      <c r="F819" s="963"/>
      <c r="G819" s="1069"/>
      <c r="H819" s="1074"/>
      <c r="I819" s="802"/>
      <c r="J819" s="963"/>
      <c r="K819" s="1649"/>
      <c r="L819" s="1074"/>
      <c r="M819" s="367"/>
      <c r="N819" s="232"/>
    </row>
    <row r="820" spans="2:17" ht="18.75" hidden="1" customHeight="1" x14ac:dyDescent="0.25">
      <c r="B820" s="319"/>
      <c r="C820" s="4719" t="s">
        <v>6094</v>
      </c>
      <c r="D820" s="4666">
        <v>80000000</v>
      </c>
      <c r="E820" s="4651">
        <f t="shared" si="24"/>
        <v>5.8272218523150343E-2</v>
      </c>
      <c r="F820" s="963"/>
      <c r="G820" s="1069"/>
      <c r="H820" s="1074"/>
      <c r="I820" s="802"/>
      <c r="J820" s="963"/>
      <c r="K820" s="1716"/>
      <c r="L820" s="1074"/>
      <c r="M820" s="367"/>
      <c r="N820" s="232"/>
    </row>
    <row r="821" spans="2:17" ht="18" hidden="1" customHeight="1" x14ac:dyDescent="0.25">
      <c r="B821" s="319"/>
      <c r="C821" s="4719" t="s">
        <v>6095</v>
      </c>
      <c r="D821" s="4666">
        <v>100000000</v>
      </c>
      <c r="E821" s="4651">
        <f t="shared" si="24"/>
        <v>7.2840273153937943E-2</v>
      </c>
      <c r="F821" s="990"/>
      <c r="G821" s="886"/>
      <c r="H821" s="2255"/>
      <c r="I821" s="791"/>
      <c r="J821" s="1651"/>
      <c r="K821" s="1651"/>
      <c r="L821" s="1323"/>
      <c r="M821" s="358"/>
      <c r="N821" s="232"/>
    </row>
    <row r="822" spans="2:17" ht="20.25" hidden="1" customHeight="1" x14ac:dyDescent="0.25">
      <c r="B822" s="319"/>
      <c r="C822" s="4792" t="s">
        <v>6096</v>
      </c>
      <c r="D822" s="4803">
        <v>80000000</v>
      </c>
      <c r="E822" s="4651">
        <f t="shared" si="24"/>
        <v>5.8272218523150343E-2</v>
      </c>
      <c r="F822" s="3769"/>
      <c r="G822" s="1052"/>
      <c r="H822" s="3629"/>
      <c r="I822" s="673"/>
      <c r="J822" s="1052"/>
      <c r="K822" s="1052"/>
      <c r="L822" s="3629"/>
      <c r="M822" s="4427"/>
      <c r="N822" s="232"/>
    </row>
    <row r="823" spans="2:17" ht="15.75" hidden="1" customHeight="1" x14ac:dyDescent="0.25">
      <c r="B823" s="319"/>
      <c r="C823" s="4784" t="s">
        <v>6097</v>
      </c>
      <c r="D823" s="4666">
        <v>80000000</v>
      </c>
      <c r="E823" s="4651">
        <f t="shared" si="24"/>
        <v>5.8272218523150343E-2</v>
      </c>
      <c r="F823" s="1159"/>
      <c r="G823" s="1051"/>
      <c r="H823" s="2441"/>
      <c r="I823" s="1309"/>
      <c r="J823" s="1051"/>
      <c r="K823" s="1051"/>
      <c r="L823" s="2441"/>
      <c r="M823" s="556"/>
      <c r="N823" s="232"/>
    </row>
    <row r="824" spans="2:17" ht="16.5" hidden="1" customHeight="1" x14ac:dyDescent="0.25">
      <c r="B824" s="319"/>
      <c r="C824" s="4784" t="s">
        <v>6098</v>
      </c>
      <c r="D824" s="4666">
        <v>100000000</v>
      </c>
      <c r="E824" s="4651">
        <f t="shared" si="24"/>
        <v>7.2840273153937943E-2</v>
      </c>
      <c r="F824" s="1053"/>
      <c r="G824" s="4375"/>
      <c r="H824" s="4375"/>
      <c r="I824" s="1324"/>
      <c r="J824" s="1053"/>
      <c r="K824" s="3124"/>
      <c r="L824" s="4375"/>
      <c r="M824" s="4421"/>
      <c r="N824" s="232"/>
    </row>
    <row r="825" spans="2:17" ht="15" hidden="1" customHeight="1" x14ac:dyDescent="0.25">
      <c r="B825" s="319"/>
      <c r="C825" s="4784" t="s">
        <v>6143</v>
      </c>
      <c r="D825" s="4666">
        <v>160000000</v>
      </c>
      <c r="E825" s="4651">
        <f t="shared" si="24"/>
        <v>0.11654443704630069</v>
      </c>
      <c r="F825" s="3768"/>
      <c r="G825" s="880"/>
      <c r="H825" s="880"/>
      <c r="I825" s="894"/>
      <c r="J825" s="894"/>
      <c r="K825" s="894"/>
      <c r="L825" s="1717"/>
      <c r="M825" s="372"/>
      <c r="N825" s="232"/>
    </row>
    <row r="826" spans="2:17" s="4099" customFormat="1" ht="15.75" hidden="1" customHeight="1" x14ac:dyDescent="0.25">
      <c r="B826" s="319"/>
      <c r="C826" s="4784" t="s">
        <v>6101</v>
      </c>
      <c r="D826" s="4666">
        <v>100000000</v>
      </c>
      <c r="E826" s="4651">
        <f t="shared" si="24"/>
        <v>7.2840273153937943E-2</v>
      </c>
      <c r="F826" s="3768"/>
      <c r="G826" s="880"/>
      <c r="H826" s="880"/>
      <c r="I826" s="894"/>
      <c r="J826" s="894"/>
      <c r="K826" s="894"/>
      <c r="L826" s="1717"/>
      <c r="M826" s="372"/>
      <c r="N826" s="232"/>
      <c r="P826" s="522"/>
      <c r="Q826" s="522"/>
    </row>
    <row r="827" spans="2:17" s="4099" customFormat="1" ht="15.75" hidden="1" customHeight="1" x14ac:dyDescent="0.25">
      <c r="B827" s="319"/>
      <c r="C827" s="4784" t="s">
        <v>6099</v>
      </c>
      <c r="D827" s="4666">
        <v>250000000</v>
      </c>
      <c r="E827" s="4651">
        <f t="shared" si="24"/>
        <v>0.18210068288484485</v>
      </c>
      <c r="F827" s="3768"/>
      <c r="G827" s="880"/>
      <c r="H827" s="880"/>
      <c r="I827" s="894"/>
      <c r="J827" s="894"/>
      <c r="K827" s="894"/>
      <c r="L827" s="1717"/>
      <c r="M827" s="372"/>
      <c r="N827" s="232"/>
      <c r="P827" s="522"/>
      <c r="Q827" s="522"/>
    </row>
    <row r="828" spans="2:17" s="4099" customFormat="1" ht="14.25" hidden="1" customHeight="1" x14ac:dyDescent="0.25">
      <c r="B828" s="319"/>
      <c r="C828" s="4784" t="s">
        <v>6102</v>
      </c>
      <c r="D828" s="4666">
        <v>150000000</v>
      </c>
      <c r="E828" s="4651">
        <f t="shared" si="24"/>
        <v>0.10926040973090691</v>
      </c>
      <c r="F828" s="3768"/>
      <c r="G828" s="880"/>
      <c r="H828" s="880"/>
      <c r="I828" s="894"/>
      <c r="J828" s="894"/>
      <c r="K828" s="894"/>
      <c r="L828" s="1717"/>
      <c r="M828" s="372"/>
      <c r="N828" s="232"/>
      <c r="P828" s="522"/>
      <c r="Q828" s="522"/>
    </row>
    <row r="829" spans="2:17" s="4099" customFormat="1" ht="15.75" hidden="1" customHeight="1" x14ac:dyDescent="0.25">
      <c r="B829" s="319"/>
      <c r="C829" s="4784" t="s">
        <v>6103</v>
      </c>
      <c r="D829" s="4666">
        <v>80000000</v>
      </c>
      <c r="E829" s="4651">
        <f t="shared" si="24"/>
        <v>5.8272218523150343E-2</v>
      </c>
      <c r="F829" s="3768"/>
      <c r="G829" s="880"/>
      <c r="H829" s="880"/>
      <c r="I829" s="894"/>
      <c r="J829" s="894"/>
      <c r="K829" s="894"/>
      <c r="L829" s="1717"/>
      <c r="M829" s="372"/>
      <c r="N829" s="232"/>
      <c r="P829" s="522"/>
      <c r="Q829" s="522"/>
    </row>
    <row r="830" spans="2:17" s="4099" customFormat="1" ht="17.25" hidden="1" customHeight="1" x14ac:dyDescent="0.25">
      <c r="B830" s="319"/>
      <c r="C830" s="4784" t="s">
        <v>6104</v>
      </c>
      <c r="D830" s="4666">
        <v>250000000</v>
      </c>
      <c r="E830" s="4651">
        <f t="shared" si="24"/>
        <v>0.18210068288484485</v>
      </c>
      <c r="F830" s="3768"/>
      <c r="G830" s="880"/>
      <c r="H830" s="880"/>
      <c r="I830" s="894"/>
      <c r="J830" s="894"/>
      <c r="K830" s="894"/>
      <c r="L830" s="1717"/>
      <c r="M830" s="372"/>
      <c r="N830" s="232"/>
      <c r="P830" s="522"/>
      <c r="Q830" s="522"/>
    </row>
    <row r="831" spans="2:17" s="4099" customFormat="1" ht="17.25" hidden="1" customHeight="1" x14ac:dyDescent="0.25">
      <c r="B831" s="319"/>
      <c r="C831" s="4784" t="s">
        <v>6105</v>
      </c>
      <c r="D831" s="4666">
        <v>250000000</v>
      </c>
      <c r="E831" s="4651">
        <f t="shared" si="24"/>
        <v>0.18210068288484485</v>
      </c>
      <c r="F831" s="3768"/>
      <c r="G831" s="880"/>
      <c r="H831" s="880"/>
      <c r="I831" s="894"/>
      <c r="J831" s="894"/>
      <c r="K831" s="894"/>
      <c r="L831" s="1717"/>
      <c r="M831" s="372"/>
      <c r="N831" s="232"/>
      <c r="P831" s="522"/>
      <c r="Q831" s="522"/>
    </row>
    <row r="832" spans="2:17" s="4099" customFormat="1" ht="12" hidden="1" customHeight="1" x14ac:dyDescent="0.25">
      <c r="B832" s="319"/>
      <c r="C832" s="4784"/>
      <c r="D832" s="4666"/>
      <c r="E832" s="4651"/>
      <c r="F832" s="3768"/>
      <c r="G832" s="880"/>
      <c r="H832" s="880"/>
      <c r="I832" s="894"/>
      <c r="J832" s="894"/>
      <c r="K832" s="894"/>
      <c r="L832" s="1717"/>
      <c r="M832" s="372"/>
      <c r="N832" s="232"/>
      <c r="P832" s="522"/>
      <c r="Q832" s="522"/>
    </row>
    <row r="833" spans="2:17" s="4099" customFormat="1" ht="34.5" hidden="1" customHeight="1" x14ac:dyDescent="0.25">
      <c r="B833" s="319"/>
      <c r="C833" s="4925" t="s">
        <v>571</v>
      </c>
      <c r="D833" s="4806">
        <f>SUM(D834:D839)</f>
        <v>3566550000</v>
      </c>
      <c r="E833" s="4672">
        <f t="shared" ref="E833:E851" si="25">D833/137286690000*100</f>
        <v>2.5978847621717738</v>
      </c>
      <c r="F833" s="3768"/>
      <c r="G833" s="880"/>
      <c r="H833" s="880"/>
      <c r="I833" s="894"/>
      <c r="J833" s="894"/>
      <c r="K833" s="894"/>
      <c r="L833" s="1717"/>
      <c r="M833" s="372"/>
      <c r="N833" s="232"/>
      <c r="P833" s="522"/>
      <c r="Q833" s="522"/>
    </row>
    <row r="834" spans="2:17" s="4099" customFormat="1" ht="15" hidden="1" customHeight="1" x14ac:dyDescent="0.25">
      <c r="B834" s="319"/>
      <c r="C834" s="4719" t="s">
        <v>6106</v>
      </c>
      <c r="D834" s="4666">
        <v>500000000</v>
      </c>
      <c r="E834" s="4651">
        <f t="shared" si="25"/>
        <v>0.3642013657696897</v>
      </c>
      <c r="F834" s="3768"/>
      <c r="G834" s="880"/>
      <c r="H834" s="880"/>
      <c r="I834" s="894"/>
      <c r="J834" s="894"/>
      <c r="K834" s="894"/>
      <c r="L834" s="1717"/>
      <c r="M834" s="372"/>
      <c r="N834" s="232"/>
      <c r="P834" s="522"/>
      <c r="Q834" s="522"/>
    </row>
    <row r="835" spans="2:17" s="4099" customFormat="1" ht="15" hidden="1" customHeight="1" x14ac:dyDescent="0.25">
      <c r="B835" s="319"/>
      <c r="C835" s="4719" t="s">
        <v>6107</v>
      </c>
      <c r="D835" s="4666">
        <v>167950000</v>
      </c>
      <c r="E835" s="4651">
        <f t="shared" si="25"/>
        <v>0.12233523876203876</v>
      </c>
      <c r="F835" s="3768"/>
      <c r="G835" s="880"/>
      <c r="H835" s="880"/>
      <c r="I835" s="894"/>
      <c r="J835" s="894"/>
      <c r="K835" s="894"/>
      <c r="L835" s="1717"/>
      <c r="M835" s="372"/>
      <c r="N835" s="232"/>
      <c r="P835" s="522"/>
      <c r="Q835" s="522"/>
    </row>
    <row r="836" spans="2:17" s="4099" customFormat="1" ht="17.25" hidden="1" customHeight="1" x14ac:dyDescent="0.25">
      <c r="B836" s="319"/>
      <c r="C836" s="4719" t="s">
        <v>6108</v>
      </c>
      <c r="D836" s="4666">
        <v>167950000</v>
      </c>
      <c r="E836" s="4651">
        <f t="shared" si="25"/>
        <v>0.12233523876203876</v>
      </c>
      <c r="F836" s="3768"/>
      <c r="G836" s="880"/>
      <c r="H836" s="880"/>
      <c r="I836" s="894"/>
      <c r="J836" s="894"/>
      <c r="K836" s="894"/>
      <c r="L836" s="1717"/>
      <c r="M836" s="372"/>
      <c r="N836" s="232"/>
      <c r="P836" s="522"/>
      <c r="Q836" s="522"/>
    </row>
    <row r="837" spans="2:17" s="4099" customFormat="1" ht="18" hidden="1" customHeight="1" x14ac:dyDescent="0.25">
      <c r="B837" s="319"/>
      <c r="C837" s="4719" t="s">
        <v>6109</v>
      </c>
      <c r="D837" s="4666">
        <v>337950000</v>
      </c>
      <c r="E837" s="4651">
        <f t="shared" si="25"/>
        <v>0.24616370312373326</v>
      </c>
      <c r="F837" s="3768"/>
      <c r="G837" s="880"/>
      <c r="H837" s="880"/>
      <c r="I837" s="894"/>
      <c r="J837" s="894"/>
      <c r="K837" s="894"/>
      <c r="L837" s="1717"/>
      <c r="M837" s="372"/>
      <c r="N837" s="232"/>
      <c r="P837" s="522"/>
      <c r="Q837" s="522"/>
    </row>
    <row r="838" spans="2:17" s="4099" customFormat="1" ht="15.75" hidden="1" customHeight="1" x14ac:dyDescent="0.25">
      <c r="B838" s="319"/>
      <c r="C838" s="4719" t="s">
        <v>6110</v>
      </c>
      <c r="D838" s="4666">
        <v>1272700000</v>
      </c>
      <c r="E838" s="4651">
        <f t="shared" si="25"/>
        <v>0.92703815643016807</v>
      </c>
      <c r="F838" s="3768"/>
      <c r="G838" s="880"/>
      <c r="H838" s="880"/>
      <c r="I838" s="894"/>
      <c r="J838" s="894"/>
      <c r="K838" s="894"/>
      <c r="L838" s="1717"/>
      <c r="M838" s="372"/>
      <c r="N838" s="232"/>
      <c r="P838" s="522"/>
      <c r="Q838" s="522"/>
    </row>
    <row r="839" spans="2:17" s="4099" customFormat="1" ht="18.75" hidden="1" customHeight="1" x14ac:dyDescent="0.25">
      <c r="B839" s="319"/>
      <c r="C839" s="4719" t="s">
        <v>6111</v>
      </c>
      <c r="D839" s="4666">
        <v>1120000000</v>
      </c>
      <c r="E839" s="4651">
        <f t="shared" si="25"/>
        <v>0.81581105932410503</v>
      </c>
      <c r="F839" s="3768"/>
      <c r="G839" s="880"/>
      <c r="H839" s="880"/>
      <c r="I839" s="894"/>
      <c r="J839" s="894"/>
      <c r="K839" s="894"/>
      <c r="L839" s="1717"/>
      <c r="M839" s="372"/>
      <c r="N839" s="232"/>
      <c r="P839" s="522"/>
      <c r="Q839" s="522"/>
    </row>
    <row r="840" spans="2:17" s="4099" customFormat="1" ht="12" hidden="1" customHeight="1" x14ac:dyDescent="0.25">
      <c r="B840" s="319"/>
      <c r="C840" s="4792"/>
      <c r="D840" s="4803"/>
      <c r="E840" s="4651"/>
      <c r="F840" s="3768"/>
      <c r="G840" s="880"/>
      <c r="H840" s="880"/>
      <c r="I840" s="894"/>
      <c r="J840" s="894"/>
      <c r="K840" s="894"/>
      <c r="L840" s="1717"/>
      <c r="M840" s="372"/>
      <c r="N840" s="232"/>
      <c r="P840" s="522"/>
      <c r="Q840" s="522"/>
    </row>
    <row r="841" spans="2:17" s="4099" customFormat="1" ht="22.5" hidden="1" customHeight="1" x14ac:dyDescent="0.25">
      <c r="B841" s="319"/>
      <c r="C841" s="4730" t="s">
        <v>6112</v>
      </c>
      <c r="D841" s="4769">
        <f>SUM(D842:D843)</f>
        <v>5660600000</v>
      </c>
      <c r="E841" s="4672">
        <f t="shared" si="25"/>
        <v>4.1231965021518109</v>
      </c>
      <c r="F841" s="3768"/>
      <c r="G841" s="880"/>
      <c r="H841" s="880"/>
      <c r="I841" s="894"/>
      <c r="J841" s="894"/>
      <c r="K841" s="894"/>
      <c r="L841" s="1717"/>
      <c r="M841" s="372"/>
      <c r="N841" s="232"/>
      <c r="P841" s="522"/>
      <c r="Q841" s="522"/>
    </row>
    <row r="842" spans="2:17" s="3387" customFormat="1" ht="18" hidden="1" customHeight="1" x14ac:dyDescent="0.25">
      <c r="B842" s="4428"/>
      <c r="C842" s="4719" t="s">
        <v>6113</v>
      </c>
      <c r="D842" s="4666">
        <v>4575250000</v>
      </c>
      <c r="E842" s="4651">
        <f t="shared" si="25"/>
        <v>3.3326245974755455</v>
      </c>
      <c r="F842" s="3768"/>
      <c r="G842" s="880"/>
      <c r="H842" s="880"/>
      <c r="I842" s="666"/>
      <c r="J842" s="666"/>
      <c r="K842" s="666"/>
      <c r="L842" s="1717"/>
      <c r="M842" s="371"/>
      <c r="N842" s="3699"/>
      <c r="P842" s="3700"/>
      <c r="Q842" s="3700"/>
    </row>
    <row r="843" spans="2:17" s="3387" customFormat="1" ht="17.25" hidden="1" customHeight="1" x14ac:dyDescent="0.25">
      <c r="B843" s="4428"/>
      <c r="C843" s="4719" t="s">
        <v>6114</v>
      </c>
      <c r="D843" s="4666">
        <v>1085350000</v>
      </c>
      <c r="E843" s="4651">
        <f t="shared" si="25"/>
        <v>0.79057190467626548</v>
      </c>
      <c r="F843" s="3768"/>
      <c r="G843" s="880"/>
      <c r="H843" s="880"/>
      <c r="I843" s="666"/>
      <c r="J843" s="666"/>
      <c r="K843" s="666"/>
      <c r="L843" s="1717"/>
      <c r="M843" s="371"/>
      <c r="N843" s="3699"/>
      <c r="P843" s="3700"/>
      <c r="Q843" s="3700"/>
    </row>
    <row r="844" spans="2:17" s="4099" customFormat="1" ht="12" hidden="1" customHeight="1" x14ac:dyDescent="0.25">
      <c r="B844" s="319"/>
      <c r="C844" s="4738"/>
      <c r="D844" s="4843"/>
      <c r="E844" s="4651"/>
      <c r="F844" s="3768"/>
      <c r="G844" s="880"/>
      <c r="H844" s="880"/>
      <c r="I844" s="894"/>
      <c r="J844" s="894"/>
      <c r="K844" s="894"/>
      <c r="L844" s="1717"/>
      <c r="M844" s="372"/>
      <c r="N844" s="232"/>
      <c r="P844" s="522"/>
      <c r="Q844" s="522"/>
    </row>
    <row r="845" spans="2:17" s="4099" customFormat="1" ht="22.5" hidden="1" customHeight="1" x14ac:dyDescent="0.25">
      <c r="B845" s="319"/>
      <c r="C845" s="4730" t="s">
        <v>6115</v>
      </c>
      <c r="D845" s="4769">
        <f>SUM(D846:D847)</f>
        <v>405000000</v>
      </c>
      <c r="E845" s="4672">
        <f t="shared" si="25"/>
        <v>0.29500310627344867</v>
      </c>
      <c r="F845" s="3768"/>
      <c r="G845" s="880"/>
      <c r="H845" s="880"/>
      <c r="I845" s="894"/>
      <c r="J845" s="894"/>
      <c r="K845" s="894"/>
      <c r="L845" s="1717"/>
      <c r="M845" s="372"/>
      <c r="N845" s="232"/>
      <c r="P845" s="522"/>
      <c r="Q845" s="522"/>
    </row>
    <row r="846" spans="2:17" s="4099" customFormat="1" ht="18" hidden="1" customHeight="1" x14ac:dyDescent="0.25">
      <c r="B846" s="319"/>
      <c r="C846" s="4719" t="s">
        <v>6116</v>
      </c>
      <c r="D846" s="4666">
        <v>180000000</v>
      </c>
      <c r="E846" s="4651">
        <f t="shared" si="25"/>
        <v>0.13111249167708827</v>
      </c>
      <c r="F846" s="3768"/>
      <c r="G846" s="880"/>
      <c r="H846" s="880"/>
      <c r="I846" s="894"/>
      <c r="J846" s="894"/>
      <c r="K846" s="894"/>
      <c r="L846" s="1717"/>
      <c r="M846" s="372"/>
      <c r="N846" s="232"/>
      <c r="P846" s="522"/>
      <c r="Q846" s="522"/>
    </row>
    <row r="847" spans="2:17" s="4099" customFormat="1" ht="21.75" hidden="1" customHeight="1" x14ac:dyDescent="0.25">
      <c r="B847" s="319"/>
      <c r="C847" s="4719" t="s">
        <v>6117</v>
      </c>
      <c r="D847" s="4666">
        <v>225000000</v>
      </c>
      <c r="E847" s="4651">
        <f t="shared" si="25"/>
        <v>0.16389061459636037</v>
      </c>
      <c r="F847" s="3768"/>
      <c r="G847" s="880"/>
      <c r="H847" s="880"/>
      <c r="I847" s="894"/>
      <c r="J847" s="894"/>
      <c r="K847" s="894"/>
      <c r="L847" s="1717"/>
      <c r="M847" s="372"/>
      <c r="N847" s="232"/>
      <c r="P847" s="522"/>
      <c r="Q847" s="522"/>
    </row>
    <row r="848" spans="2:17" s="4099" customFormat="1" ht="12" hidden="1" customHeight="1" x14ac:dyDescent="0.25">
      <c r="B848" s="319"/>
      <c r="C848" s="4926"/>
      <c r="D848" s="4654"/>
      <c r="E848" s="4651"/>
      <c r="F848" s="3768"/>
      <c r="G848" s="880"/>
      <c r="H848" s="880"/>
      <c r="I848" s="894"/>
      <c r="J848" s="894"/>
      <c r="K848" s="894"/>
      <c r="L848" s="1717"/>
      <c r="M848" s="372"/>
      <c r="N848" s="232"/>
      <c r="P848" s="522"/>
      <c r="Q848" s="522"/>
    </row>
    <row r="849" spans="2:17" s="4099" customFormat="1" ht="31.5" hidden="1" customHeight="1" x14ac:dyDescent="0.25">
      <c r="B849" s="319"/>
      <c r="C849" s="4730" t="s">
        <v>7301</v>
      </c>
      <c r="D849" s="4769">
        <f>SUM(D850:D851)</f>
        <v>350000000</v>
      </c>
      <c r="E849" s="4672">
        <f t="shared" si="25"/>
        <v>0.25494095603878281</v>
      </c>
      <c r="F849" s="3768"/>
      <c r="G849" s="880"/>
      <c r="H849" s="880"/>
      <c r="I849" s="894"/>
      <c r="J849" s="894"/>
      <c r="K849" s="894"/>
      <c r="L849" s="1717"/>
      <c r="M849" s="372"/>
      <c r="N849" s="232"/>
      <c r="P849" s="522"/>
      <c r="Q849" s="522"/>
    </row>
    <row r="850" spans="2:17" s="4099" customFormat="1" ht="23.25" hidden="1" customHeight="1" x14ac:dyDescent="0.25">
      <c r="B850" s="319"/>
      <c r="C850" s="4719" t="s">
        <v>7304</v>
      </c>
      <c r="D850" s="4666">
        <v>150000000</v>
      </c>
      <c r="E850" s="4651">
        <f t="shared" si="25"/>
        <v>0.10926040973090691</v>
      </c>
      <c r="F850" s="3768"/>
      <c r="G850" s="880"/>
      <c r="H850" s="880"/>
      <c r="I850" s="894"/>
      <c r="J850" s="894"/>
      <c r="K850" s="894"/>
      <c r="L850" s="1717"/>
      <c r="M850" s="372"/>
      <c r="N850" s="232"/>
      <c r="P850" s="522"/>
      <c r="Q850" s="522"/>
    </row>
    <row r="851" spans="2:17" s="4099" customFormat="1" ht="22.5" hidden="1" customHeight="1" x14ac:dyDescent="0.25">
      <c r="B851" s="319"/>
      <c r="C851" s="4719" t="s">
        <v>7302</v>
      </c>
      <c r="D851" s="4666">
        <v>200000000</v>
      </c>
      <c r="E851" s="4651">
        <f t="shared" si="25"/>
        <v>0.14568054630787589</v>
      </c>
      <c r="F851" s="3768"/>
      <c r="G851" s="880"/>
      <c r="H851" s="880"/>
      <c r="I851" s="894"/>
      <c r="J851" s="894"/>
      <c r="K851" s="894"/>
      <c r="L851" s="1717"/>
      <c r="M851" s="372"/>
      <c r="N851" s="112"/>
      <c r="P851" s="522"/>
      <c r="Q851" s="522"/>
    </row>
    <row r="852" spans="2:17" s="4099" customFormat="1" ht="12" hidden="1" customHeight="1" x14ac:dyDescent="0.25">
      <c r="B852" s="319"/>
      <c r="C852" s="4807"/>
      <c r="D852" s="5012"/>
      <c r="E852" s="4834"/>
      <c r="F852" s="1841"/>
      <c r="G852" s="2339"/>
      <c r="H852" s="2339"/>
      <c r="I852" s="2339"/>
      <c r="J852" s="791"/>
      <c r="K852" s="791"/>
      <c r="L852" s="3130"/>
      <c r="M852" s="363"/>
      <c r="N852" s="232"/>
      <c r="P852" s="522"/>
      <c r="Q852" s="522"/>
    </row>
    <row r="853" spans="2:17" ht="18.75" customHeight="1" x14ac:dyDescent="0.25">
      <c r="B853" s="616"/>
      <c r="C853" s="4655" t="s">
        <v>608</v>
      </c>
      <c r="D853" s="4954">
        <f>SUM(D855+D887+D897)</f>
        <v>44905623849</v>
      </c>
      <c r="E853" s="4889">
        <f>D853/D45*100</f>
        <v>11.999460540084522</v>
      </c>
      <c r="F853" s="3403"/>
      <c r="G853" s="2699"/>
      <c r="H853" s="2506"/>
      <c r="I853" s="2699"/>
      <c r="J853" s="2699"/>
      <c r="K853" s="2699"/>
      <c r="L853" s="2506"/>
      <c r="M853" s="1225"/>
      <c r="N853" s="232"/>
    </row>
    <row r="854" spans="2:17" ht="8.25" hidden="1" customHeight="1" x14ac:dyDescent="0.25">
      <c r="B854" s="319"/>
      <c r="C854" s="4645"/>
      <c r="D854" s="5015"/>
      <c r="E854" s="4903"/>
      <c r="F854" s="3703"/>
      <c r="G854" s="836"/>
      <c r="H854" s="2409"/>
      <c r="I854" s="2409"/>
      <c r="J854" s="836"/>
      <c r="K854" s="836"/>
      <c r="L854" s="1671"/>
      <c r="M854" s="558"/>
      <c r="N854" s="232"/>
    </row>
    <row r="855" spans="2:17" ht="18" hidden="1" customHeight="1" x14ac:dyDescent="0.25">
      <c r="B855" s="312"/>
      <c r="C855" s="4643" t="s">
        <v>248</v>
      </c>
      <c r="D855" s="4984">
        <f>SUM(D856+D859+D862+D867+D870+D874+D877+D881+D884)</f>
        <v>14050363139</v>
      </c>
      <c r="E855" s="4904">
        <f>D855/128915048140*100</f>
        <v>10.898931770743705</v>
      </c>
      <c r="F855" s="832"/>
      <c r="G855" s="832"/>
      <c r="H855" s="1645"/>
      <c r="I855" s="1645"/>
      <c r="J855" s="832"/>
      <c r="K855" s="832"/>
      <c r="L855" s="1645"/>
      <c r="M855" s="555"/>
      <c r="N855" s="232"/>
    </row>
    <row r="856" spans="2:17" ht="18" hidden="1" customHeight="1" x14ac:dyDescent="0.25">
      <c r="B856" s="319"/>
      <c r="C856" s="4927" t="s">
        <v>810</v>
      </c>
      <c r="D856" s="4842">
        <v>10557150000</v>
      </c>
      <c r="E856" s="4905">
        <f>D856/128915048140*100</f>
        <v>8.1892301576268096</v>
      </c>
      <c r="F856" s="1115"/>
      <c r="G856" s="1115"/>
      <c r="H856" s="1316"/>
      <c r="I856" s="1309"/>
      <c r="J856" s="1624"/>
      <c r="K856" s="1624"/>
      <c r="L856" s="1308"/>
      <c r="M856" s="556"/>
      <c r="N856" s="232"/>
    </row>
    <row r="857" spans="2:17" ht="22.5" hidden="1" customHeight="1" x14ac:dyDescent="0.25">
      <c r="B857" s="319"/>
      <c r="C857" s="4647" t="s">
        <v>811</v>
      </c>
      <c r="D857" s="4648">
        <v>10557150000</v>
      </c>
      <c r="E857" s="4900">
        <f>D857/128915048140*100</f>
        <v>8.1892301576268096</v>
      </c>
      <c r="F857" s="939"/>
      <c r="G857" s="666"/>
      <c r="H857" s="755"/>
      <c r="I857" s="1111"/>
      <c r="J857" s="1625"/>
      <c r="K857" s="3136"/>
      <c r="L857" s="755"/>
      <c r="M857" s="385"/>
      <c r="N857" s="232"/>
    </row>
    <row r="858" spans="2:17" ht="15" hidden="1" customHeight="1" x14ac:dyDescent="0.25">
      <c r="B858" s="319"/>
      <c r="C858" s="4647"/>
      <c r="D858" s="4951"/>
      <c r="E858" s="4900"/>
      <c r="F858" s="838"/>
      <c r="G858" s="894"/>
      <c r="H858" s="755"/>
      <c r="I858" s="1314"/>
      <c r="J858" s="2831"/>
      <c r="K858" s="2269"/>
      <c r="L858" s="1311"/>
      <c r="M858" s="557"/>
      <c r="N858" s="232"/>
    </row>
    <row r="859" spans="2:17" ht="21.75" hidden="1" customHeight="1" x14ac:dyDescent="0.25">
      <c r="B859" s="319"/>
      <c r="C859" s="4649" t="s">
        <v>290</v>
      </c>
      <c r="D859" s="4943">
        <v>899992139</v>
      </c>
      <c r="E859" s="4906">
        <f t="shared" ref="E859:E885" si="26">D859/128915048140*100</f>
        <v>0.6981280711485448</v>
      </c>
      <c r="F859" s="839"/>
      <c r="G859" s="839"/>
      <c r="H859" s="753"/>
      <c r="I859" s="1316"/>
      <c r="J859" s="843"/>
      <c r="K859" s="843"/>
      <c r="L859" s="1308"/>
      <c r="M859" s="552"/>
      <c r="N859" s="232"/>
    </row>
    <row r="860" spans="2:17" ht="21" hidden="1" customHeight="1" x14ac:dyDescent="0.25">
      <c r="B860" s="319"/>
      <c r="C860" s="4647" t="s">
        <v>4409</v>
      </c>
      <c r="D860" s="4648">
        <v>899992139</v>
      </c>
      <c r="E860" s="4900">
        <f t="shared" si="26"/>
        <v>0.6981280711485448</v>
      </c>
      <c r="F860" s="939"/>
      <c r="G860" s="939"/>
      <c r="H860" s="755"/>
      <c r="I860" s="804"/>
      <c r="J860" s="1626"/>
      <c r="K860" s="3137"/>
      <c r="L860" s="755"/>
      <c r="M860" s="369"/>
      <c r="N860" s="232"/>
    </row>
    <row r="861" spans="2:17" ht="13.5" hidden="1" customHeight="1" x14ac:dyDescent="0.25">
      <c r="B861" s="319"/>
      <c r="C861" s="4647"/>
      <c r="D861" s="4648"/>
      <c r="E861" s="4900"/>
      <c r="F861" s="939"/>
      <c r="G861" s="1109"/>
      <c r="H861" s="1109"/>
      <c r="I861" s="1109"/>
      <c r="J861" s="1109"/>
      <c r="K861" s="1647"/>
      <c r="L861" s="1109"/>
      <c r="M861" s="525"/>
      <c r="N861" s="232"/>
    </row>
    <row r="862" spans="2:17" s="3598" customFormat="1" ht="23.25" hidden="1" customHeight="1" x14ac:dyDescent="0.25">
      <c r="B862" s="378"/>
      <c r="C862" s="4649" t="s">
        <v>813</v>
      </c>
      <c r="D862" s="4943">
        <v>576550000</v>
      </c>
      <c r="E862" s="4906">
        <f t="shared" si="26"/>
        <v>0.44723250568380074</v>
      </c>
      <c r="F862" s="839"/>
      <c r="G862" s="673"/>
      <c r="H862" s="1316"/>
      <c r="I862" s="1316"/>
      <c r="J862" s="2754"/>
      <c r="K862" s="2562"/>
      <c r="L862" s="1650"/>
      <c r="M862" s="552"/>
      <c r="N862" s="3698"/>
      <c r="P862" s="2002"/>
      <c r="Q862" s="2002"/>
    </row>
    <row r="863" spans="2:17" s="3387" customFormat="1" ht="18" hidden="1" customHeight="1" x14ac:dyDescent="0.25">
      <c r="B863" s="3702"/>
      <c r="C863" s="4668" t="s">
        <v>814</v>
      </c>
      <c r="D863" s="4732">
        <v>166000000</v>
      </c>
      <c r="E863" s="4900">
        <f t="shared" si="26"/>
        <v>0.12876696894200143</v>
      </c>
      <c r="F863" s="3630"/>
      <c r="G863" s="3630"/>
      <c r="H863" s="3630"/>
      <c r="I863" s="1111"/>
      <c r="J863" s="3630"/>
      <c r="K863" s="3630"/>
      <c r="L863" s="1310"/>
      <c r="M863" s="385"/>
      <c r="N863" s="3699"/>
      <c r="P863" s="3700"/>
      <c r="Q863" s="3700"/>
    </row>
    <row r="864" spans="2:17" ht="32.25" hidden="1" customHeight="1" x14ac:dyDescent="0.25">
      <c r="B864" s="319"/>
      <c r="C864" s="4647" t="s">
        <v>4528</v>
      </c>
      <c r="D864" s="4648">
        <v>73050000</v>
      </c>
      <c r="E864" s="4900">
        <f t="shared" si="26"/>
        <v>5.6665223380802446E-2</v>
      </c>
      <c r="F864" s="939"/>
      <c r="G864" s="838"/>
      <c r="H864" s="755"/>
      <c r="I864" s="1111"/>
      <c r="J864" s="1627"/>
      <c r="K864" s="3138"/>
      <c r="L864" s="755"/>
      <c r="M864" s="385"/>
      <c r="N864" s="232"/>
    </row>
    <row r="865" spans="2:14" ht="24.75" hidden="1" customHeight="1" x14ac:dyDescent="0.25">
      <c r="B865" s="319"/>
      <c r="C865" s="4932" t="s">
        <v>815</v>
      </c>
      <c r="D865" s="4648">
        <v>337500000</v>
      </c>
      <c r="E865" s="4900">
        <f t="shared" si="26"/>
        <v>0.26180031336099691</v>
      </c>
      <c r="F865" s="939"/>
      <c r="G865" s="666"/>
      <c r="H865" s="755"/>
      <c r="I865" s="1111"/>
      <c r="J865" s="1627"/>
      <c r="K865" s="3138"/>
      <c r="L865" s="755"/>
      <c r="M865" s="385"/>
      <c r="N865" s="232"/>
    </row>
    <row r="866" spans="2:14" ht="12" hidden="1" customHeight="1" x14ac:dyDescent="0.25">
      <c r="B866" s="319"/>
      <c r="C866" s="4647"/>
      <c r="D866" s="4951"/>
      <c r="E866" s="4900"/>
      <c r="F866" s="838"/>
      <c r="G866" s="894"/>
      <c r="H866" s="1314"/>
      <c r="I866" s="1314"/>
      <c r="J866" s="2831"/>
      <c r="K866" s="2269"/>
      <c r="L866" s="1311"/>
      <c r="M866" s="557"/>
      <c r="N866" s="232"/>
    </row>
    <row r="867" spans="2:14" ht="19.5" hidden="1" customHeight="1" x14ac:dyDescent="0.25">
      <c r="B867" s="319"/>
      <c r="C867" s="4649" t="s">
        <v>4411</v>
      </c>
      <c r="D867" s="4943">
        <v>366400000</v>
      </c>
      <c r="E867" s="4906">
        <f t="shared" si="26"/>
        <v>0.28421817723102</v>
      </c>
      <c r="F867" s="839"/>
      <c r="G867" s="839"/>
      <c r="H867" s="753"/>
      <c r="I867" s="1316"/>
      <c r="J867" s="839"/>
      <c r="K867" s="839"/>
      <c r="L867" s="1308"/>
      <c r="M867" s="679"/>
      <c r="N867" s="232"/>
    </row>
    <row r="868" spans="2:14" ht="21.75" hidden="1" customHeight="1" x14ac:dyDescent="0.25">
      <c r="B868" s="319"/>
      <c r="C868" s="4647" t="s">
        <v>4412</v>
      </c>
      <c r="D868" s="4648">
        <v>366400000</v>
      </c>
      <c r="E868" s="4900">
        <f t="shared" si="26"/>
        <v>0.28421817723102</v>
      </c>
      <c r="F868" s="939"/>
      <c r="G868" s="939"/>
      <c r="H868" s="755"/>
      <c r="I868" s="1111"/>
      <c r="J868" s="1628"/>
      <c r="K868" s="3139"/>
      <c r="L868" s="755"/>
      <c r="M868" s="512"/>
      <c r="N868" s="232"/>
    </row>
    <row r="869" spans="2:14" ht="15" hidden="1" customHeight="1" x14ac:dyDescent="0.25">
      <c r="B869" s="319"/>
      <c r="C869" s="4649"/>
      <c r="D869" s="4951"/>
      <c r="E869" s="4900"/>
      <c r="F869" s="838"/>
      <c r="G869" s="894"/>
      <c r="H869" s="1111"/>
      <c r="I869" s="1111"/>
      <c r="J869" s="2269"/>
      <c r="K869" s="2269"/>
      <c r="L869" s="1312"/>
      <c r="M869" s="385"/>
      <c r="N869" s="232"/>
    </row>
    <row r="870" spans="2:14" ht="29.25" hidden="1" customHeight="1" x14ac:dyDescent="0.25">
      <c r="B870" s="319"/>
      <c r="C870" s="4723" t="s">
        <v>817</v>
      </c>
      <c r="D870" s="4734">
        <v>444215000</v>
      </c>
      <c r="E870" s="4906">
        <f t="shared" si="26"/>
        <v>0.34457963318416368</v>
      </c>
      <c r="F870" s="753"/>
      <c r="G870" s="753"/>
      <c r="H870" s="753"/>
      <c r="I870" s="1316"/>
      <c r="J870" s="753"/>
      <c r="K870" s="753"/>
      <c r="L870" s="1308"/>
      <c r="M870" s="679"/>
      <c r="N870" s="232"/>
    </row>
    <row r="871" spans="2:14" ht="18" hidden="1" customHeight="1" x14ac:dyDescent="0.25">
      <c r="B871" s="319"/>
      <c r="C871" s="4647" t="s">
        <v>4413</v>
      </c>
      <c r="D871" s="4648">
        <v>71550000</v>
      </c>
      <c r="E871" s="4900">
        <f t="shared" si="26"/>
        <v>5.5501666432531335E-2</v>
      </c>
      <c r="F871" s="939"/>
      <c r="G871" s="666"/>
      <c r="H871" s="755"/>
      <c r="I871" s="1111"/>
      <c r="J871" s="1629"/>
      <c r="K871" s="3140"/>
      <c r="L871" s="755"/>
      <c r="M871" s="512"/>
      <c r="N871" s="232"/>
    </row>
    <row r="872" spans="2:14" ht="25.5" hidden="1" customHeight="1" x14ac:dyDescent="0.25">
      <c r="B872" s="319"/>
      <c r="C872" s="4647" t="s">
        <v>819</v>
      </c>
      <c r="D872" s="4648">
        <v>372665000</v>
      </c>
      <c r="E872" s="4900">
        <f t="shared" si="26"/>
        <v>0.28907796675163233</v>
      </c>
      <c r="F872" s="939"/>
      <c r="G872" s="666"/>
      <c r="H872" s="755"/>
      <c r="I872" s="1111"/>
      <c r="J872" s="1629"/>
      <c r="K872" s="3140"/>
      <c r="L872" s="755"/>
      <c r="M872" s="512"/>
      <c r="N872" s="232"/>
    </row>
    <row r="873" spans="2:14" ht="12" hidden="1" customHeight="1" x14ac:dyDescent="0.25">
      <c r="B873" s="319"/>
      <c r="C873" s="4647"/>
      <c r="D873" s="4648"/>
      <c r="E873" s="4900"/>
      <c r="F873" s="939"/>
      <c r="G873" s="666"/>
      <c r="H873" s="1111"/>
      <c r="I873" s="1111"/>
      <c r="J873" s="2831"/>
      <c r="K873" s="2373"/>
      <c r="L873" s="1312"/>
      <c r="M873" s="385"/>
      <c r="N873" s="232"/>
    </row>
    <row r="874" spans="2:14" ht="21.75" hidden="1" customHeight="1" x14ac:dyDescent="0.25">
      <c r="B874" s="319"/>
      <c r="C874" s="4723" t="s">
        <v>4385</v>
      </c>
      <c r="D874" s="4734">
        <v>238200000</v>
      </c>
      <c r="E874" s="4906">
        <f t="shared" si="26"/>
        <v>0.18477284338545025</v>
      </c>
      <c r="F874" s="753"/>
      <c r="G874" s="1110"/>
      <c r="H874" s="1110"/>
      <c r="I874" s="1110"/>
      <c r="J874" s="1110"/>
      <c r="K874" s="1646"/>
      <c r="L874" s="1110"/>
      <c r="M874" s="526"/>
      <c r="N874" s="232"/>
    </row>
    <row r="875" spans="2:14" ht="22.5" hidden="1" customHeight="1" x14ac:dyDescent="0.25">
      <c r="B875" s="319"/>
      <c r="C875" s="4668" t="s">
        <v>4386</v>
      </c>
      <c r="D875" s="4732">
        <v>238200000</v>
      </c>
      <c r="E875" s="4900">
        <f t="shared" si="26"/>
        <v>0.18477284338545025</v>
      </c>
      <c r="F875" s="755"/>
      <c r="G875" s="1109"/>
      <c r="H875" s="1109"/>
      <c r="I875" s="1109"/>
      <c r="J875" s="1109"/>
      <c r="K875" s="1647"/>
      <c r="L875" s="1109"/>
      <c r="M875" s="525"/>
      <c r="N875" s="232"/>
    </row>
    <row r="876" spans="2:14" ht="12" hidden="1" customHeight="1" x14ac:dyDescent="0.25">
      <c r="B876" s="319"/>
      <c r="C876" s="4647"/>
      <c r="D876" s="4648"/>
      <c r="E876" s="4900"/>
      <c r="F876" s="939"/>
      <c r="G876" s="533"/>
      <c r="H876" s="533"/>
      <c r="I876" s="533"/>
      <c r="J876" s="3141"/>
      <c r="K876" s="2572"/>
      <c r="L876" s="2264"/>
      <c r="M876" s="366"/>
      <c r="N876" s="232"/>
    </row>
    <row r="877" spans="2:14" ht="21.75" hidden="1" customHeight="1" x14ac:dyDescent="0.25">
      <c r="B877" s="319"/>
      <c r="C877" s="4723" t="s">
        <v>4414</v>
      </c>
      <c r="D877" s="4734">
        <v>596481000</v>
      </c>
      <c r="E877" s="4906">
        <f t="shared" si="26"/>
        <v>0.46269307470779497</v>
      </c>
      <c r="F877" s="753"/>
      <c r="G877" s="1110"/>
      <c r="H877" s="1110"/>
      <c r="I877" s="1110"/>
      <c r="J877" s="753"/>
      <c r="K877" s="753"/>
      <c r="L877" s="1308"/>
      <c r="M877" s="366"/>
      <c r="N877" s="232"/>
    </row>
    <row r="878" spans="2:14" ht="23.25" hidden="1" customHeight="1" x14ac:dyDescent="0.25">
      <c r="B878" s="319"/>
      <c r="C878" s="4647" t="s">
        <v>4415</v>
      </c>
      <c r="D878" s="4648">
        <v>241385000</v>
      </c>
      <c r="E878" s="4900">
        <f t="shared" si="26"/>
        <v>0.1872434626389459</v>
      </c>
      <c r="F878" s="939"/>
      <c r="G878" s="1109"/>
      <c r="H878" s="1109"/>
      <c r="I878" s="1109"/>
      <c r="J878" s="1630"/>
      <c r="K878" s="3142"/>
      <c r="L878" s="755"/>
      <c r="M878" s="369"/>
      <c r="N878" s="232"/>
    </row>
    <row r="879" spans="2:14" ht="21" hidden="1" customHeight="1" x14ac:dyDescent="0.25">
      <c r="B879" s="319"/>
      <c r="C879" s="4647" t="s">
        <v>4416</v>
      </c>
      <c r="D879" s="4648">
        <v>355096000</v>
      </c>
      <c r="E879" s="4900">
        <f t="shared" si="26"/>
        <v>0.27544961206884905</v>
      </c>
      <c r="F879" s="939"/>
      <c r="G879" s="1109"/>
      <c r="H879" s="1109"/>
      <c r="I879" s="1109"/>
      <c r="J879" s="1109"/>
      <c r="K879" s="1647"/>
      <c r="L879" s="1109"/>
      <c r="M879" s="525"/>
      <c r="N879" s="232"/>
    </row>
    <row r="880" spans="2:14" ht="12" hidden="1" customHeight="1" x14ac:dyDescent="0.25">
      <c r="B880" s="319"/>
      <c r="C880" s="4650"/>
      <c r="D880" s="5004"/>
      <c r="E880" s="5020"/>
      <c r="F880" s="990"/>
      <c r="G880" s="886"/>
      <c r="H880" s="2255"/>
      <c r="I880" s="791"/>
      <c r="J880" s="1651"/>
      <c r="K880" s="1651"/>
      <c r="L880" s="2416"/>
      <c r="M880" s="358"/>
      <c r="N880" s="232"/>
    </row>
    <row r="881" spans="2:17" s="3598" customFormat="1" ht="24.75" hidden="1" customHeight="1" x14ac:dyDescent="0.25">
      <c r="B881" s="378"/>
      <c r="C881" s="4649" t="s">
        <v>4417</v>
      </c>
      <c r="D881" s="5021">
        <v>239615000</v>
      </c>
      <c r="E881" s="4906">
        <f t="shared" si="26"/>
        <v>0.18587046543998598</v>
      </c>
      <c r="F881" s="3769"/>
      <c r="G881" s="1415"/>
      <c r="H881" s="1415"/>
      <c r="I881" s="673"/>
      <c r="J881" s="673"/>
      <c r="K881" s="673"/>
      <c r="L881" s="3507"/>
      <c r="M881" s="4427"/>
      <c r="N881" s="3698"/>
      <c r="P881" s="2002"/>
      <c r="Q881" s="2002"/>
    </row>
    <row r="882" spans="2:17" s="3627" customFormat="1" ht="28.5" hidden="1" customHeight="1" x14ac:dyDescent="0.25">
      <c r="B882" s="319"/>
      <c r="C882" s="4647" t="s">
        <v>4418</v>
      </c>
      <c r="D882" s="5022">
        <v>239615000</v>
      </c>
      <c r="E882" s="4900">
        <f t="shared" si="26"/>
        <v>0.18587046543998598</v>
      </c>
      <c r="F882" s="3768"/>
      <c r="G882" s="880"/>
      <c r="H882" s="880"/>
      <c r="I882" s="894"/>
      <c r="J882" s="894"/>
      <c r="K882" s="894"/>
      <c r="L882" s="2415"/>
      <c r="M882" s="372"/>
      <c r="N882" s="232"/>
      <c r="P882" s="522"/>
      <c r="Q882" s="522"/>
    </row>
    <row r="883" spans="2:17" s="3627" customFormat="1" ht="12" hidden="1" customHeight="1" x14ac:dyDescent="0.25">
      <c r="B883" s="319"/>
      <c r="C883" s="4647"/>
      <c r="D883" s="5022"/>
      <c r="E883" s="4900"/>
      <c r="F883" s="3768"/>
      <c r="G883" s="880"/>
      <c r="H883" s="880"/>
      <c r="I883" s="894"/>
      <c r="J883" s="894"/>
      <c r="K883" s="894"/>
      <c r="L883" s="2415"/>
      <c r="M883" s="372"/>
      <c r="N883" s="232"/>
      <c r="P883" s="522"/>
      <c r="Q883" s="522"/>
    </row>
    <row r="884" spans="2:17" s="3598" customFormat="1" ht="18.75" hidden="1" customHeight="1" x14ac:dyDescent="0.25">
      <c r="B884" s="378"/>
      <c r="C884" s="4649" t="s">
        <v>4419</v>
      </c>
      <c r="D884" s="5021">
        <v>131760000</v>
      </c>
      <c r="E884" s="4906">
        <f t="shared" si="26"/>
        <v>0.10220684233613318</v>
      </c>
      <c r="F884" s="3769"/>
      <c r="G884" s="1415"/>
      <c r="H884" s="1415"/>
      <c r="I884" s="673"/>
      <c r="J884" s="673"/>
      <c r="K884" s="673"/>
      <c r="L884" s="3507"/>
      <c r="M884" s="4427"/>
      <c r="N884" s="3698"/>
      <c r="P884" s="2002"/>
      <c r="Q884" s="2002"/>
    </row>
    <row r="885" spans="2:17" s="3627" customFormat="1" ht="29.25" hidden="1" customHeight="1" x14ac:dyDescent="0.25">
      <c r="B885" s="319"/>
      <c r="C885" s="4647" t="s">
        <v>4420</v>
      </c>
      <c r="D885" s="5022">
        <v>131760000</v>
      </c>
      <c r="E885" s="4900">
        <f t="shared" si="26"/>
        <v>0.10220684233613318</v>
      </c>
      <c r="F885" s="3768"/>
      <c r="G885" s="880"/>
      <c r="H885" s="880"/>
      <c r="I885" s="894"/>
      <c r="J885" s="894"/>
      <c r="K885" s="894"/>
      <c r="L885" s="2415"/>
      <c r="M885" s="372"/>
      <c r="N885" s="232"/>
      <c r="P885" s="522"/>
      <c r="Q885" s="522"/>
    </row>
    <row r="886" spans="2:17" s="4099" customFormat="1" ht="29.25" hidden="1" customHeight="1" x14ac:dyDescent="0.25">
      <c r="B886" s="319"/>
      <c r="C886" s="4650"/>
      <c r="D886" s="5004"/>
      <c r="E886" s="4902"/>
      <c r="F886" s="990"/>
      <c r="G886" s="886"/>
      <c r="H886" s="2255"/>
      <c r="I886" s="791"/>
      <c r="J886" s="791"/>
      <c r="K886" s="791"/>
      <c r="L886" s="2416"/>
      <c r="M886" s="363"/>
      <c r="N886" s="281"/>
      <c r="P886" s="522"/>
      <c r="Q886" s="522"/>
    </row>
    <row r="887" spans="2:17" s="4099" customFormat="1" ht="21.75" hidden="1" customHeight="1" x14ac:dyDescent="0.25">
      <c r="B887" s="312"/>
      <c r="C887" s="5349" t="s">
        <v>243</v>
      </c>
      <c r="D887" s="4795">
        <f>SUM(D888+D891+D894+D897+D901)</f>
        <v>18370460710</v>
      </c>
      <c r="E887" s="4904">
        <f>D887/128915048140*100</f>
        <v>14.25005146804113</v>
      </c>
      <c r="F887" s="5355"/>
      <c r="G887" s="3470"/>
      <c r="H887" s="3470"/>
      <c r="I887" s="2845"/>
      <c r="J887" s="2845"/>
      <c r="K887" s="2845"/>
      <c r="L887" s="4139"/>
      <c r="M887" s="3571"/>
      <c r="N887" s="3565"/>
      <c r="P887" s="522"/>
      <c r="Q887" s="522"/>
    </row>
    <row r="888" spans="2:17" s="4099" customFormat="1" ht="29.25" hidden="1" customHeight="1" x14ac:dyDescent="0.25">
      <c r="B888" s="319"/>
      <c r="C888" s="4927" t="s">
        <v>4421</v>
      </c>
      <c r="D888" s="5258">
        <f>D889</f>
        <v>4830000000</v>
      </c>
      <c r="E888" s="4905">
        <f>D888/128915048140*100</f>
        <v>3.7466533734329337</v>
      </c>
      <c r="F888" s="990"/>
      <c r="G888" s="886"/>
      <c r="H888" s="2255"/>
      <c r="I888" s="791"/>
      <c r="J888" s="791"/>
      <c r="K888" s="791"/>
      <c r="L888" s="2416"/>
      <c r="M888" s="363"/>
      <c r="N888" s="3566"/>
      <c r="P888" s="522"/>
      <c r="Q888" s="522"/>
    </row>
    <row r="889" spans="2:17" s="4099" customFormat="1" ht="30" hidden="1" customHeight="1" x14ac:dyDescent="0.25">
      <c r="B889" s="319"/>
      <c r="C889" s="5357" t="s">
        <v>4422</v>
      </c>
      <c r="D889" s="5358">
        <v>4830000000</v>
      </c>
      <c r="E889" s="4900">
        <f>D889/128915048140*100</f>
        <v>3.7466533734329337</v>
      </c>
      <c r="F889" s="3768"/>
      <c r="G889" s="880"/>
      <c r="H889" s="880"/>
      <c r="I889" s="894"/>
      <c r="J889" s="894"/>
      <c r="K889" s="894"/>
      <c r="L889" s="2415"/>
      <c r="M889" s="372"/>
      <c r="N889" s="112"/>
      <c r="P889" s="522"/>
      <c r="Q889" s="522"/>
    </row>
    <row r="890" spans="2:17" s="4099" customFormat="1" ht="17.25" hidden="1" customHeight="1" x14ac:dyDescent="0.25">
      <c r="B890" s="319"/>
      <c r="C890" s="5359"/>
      <c r="D890" s="5360"/>
      <c r="E890" s="4900"/>
      <c r="F890" s="3768"/>
      <c r="G890" s="880"/>
      <c r="H890" s="880"/>
      <c r="I890" s="894"/>
      <c r="J890" s="894"/>
      <c r="K890" s="894"/>
      <c r="L890" s="2415"/>
      <c r="M890" s="372"/>
      <c r="N890" s="112"/>
      <c r="P890" s="522"/>
      <c r="Q890" s="522"/>
    </row>
    <row r="891" spans="2:17" s="4099" customFormat="1" ht="21.75" hidden="1" customHeight="1" x14ac:dyDescent="0.25">
      <c r="B891" s="319"/>
      <c r="C891" s="4927" t="s">
        <v>4423</v>
      </c>
      <c r="D891" s="4687">
        <f>SUM(D892:D892)</f>
        <v>230660710</v>
      </c>
      <c r="E891" s="4906">
        <f t="shared" ref="E891:E892" si="27">D891/128915048140*100</f>
        <v>0.17892458120909638</v>
      </c>
      <c r="F891" s="3768"/>
      <c r="G891" s="880"/>
      <c r="H891" s="880"/>
      <c r="I891" s="894"/>
      <c r="J891" s="894"/>
      <c r="K891" s="894"/>
      <c r="L891" s="2415"/>
      <c r="M891" s="372"/>
      <c r="N891" s="112"/>
      <c r="P891" s="522"/>
      <c r="Q891" s="522"/>
    </row>
    <row r="892" spans="2:17" s="4099" customFormat="1" ht="29.25" hidden="1" customHeight="1" x14ac:dyDescent="0.25">
      <c r="B892" s="319"/>
      <c r="C892" s="5361" t="s">
        <v>4424</v>
      </c>
      <c r="D892" s="5358">
        <v>230660710</v>
      </c>
      <c r="E892" s="4900">
        <f t="shared" si="27"/>
        <v>0.17892458120909638</v>
      </c>
      <c r="F892" s="3768"/>
      <c r="G892" s="880"/>
      <c r="H892" s="880"/>
      <c r="I892" s="894"/>
      <c r="J892" s="894"/>
      <c r="K892" s="894"/>
      <c r="L892" s="2415"/>
      <c r="M892" s="372"/>
      <c r="N892" s="112"/>
      <c r="P892" s="522"/>
      <c r="Q892" s="522"/>
    </row>
    <row r="893" spans="2:17" s="4099" customFormat="1" ht="18.75" hidden="1" customHeight="1" x14ac:dyDescent="0.25">
      <c r="B893" s="319"/>
      <c r="C893" s="4650"/>
      <c r="D893" s="5022"/>
      <c r="E893" s="4900"/>
      <c r="F893" s="3768"/>
      <c r="G893" s="880"/>
      <c r="H893" s="880"/>
      <c r="I893" s="894"/>
      <c r="J893" s="894"/>
      <c r="K893" s="894"/>
      <c r="L893" s="2415"/>
      <c r="M893" s="372"/>
      <c r="N893" s="112"/>
      <c r="P893" s="522"/>
      <c r="Q893" s="522"/>
    </row>
    <row r="894" spans="2:17" s="4099" customFormat="1" ht="21.75" hidden="1" customHeight="1" x14ac:dyDescent="0.25">
      <c r="B894" s="319"/>
      <c r="C894" s="4723" t="s">
        <v>4428</v>
      </c>
      <c r="D894" s="4769">
        <f>D895</f>
        <v>825000000</v>
      </c>
      <c r="E894" s="4906">
        <f t="shared" ref="E894:E895" si="28">D894/128915048140*100</f>
        <v>0.63995632154910354</v>
      </c>
      <c r="F894" s="3768"/>
      <c r="G894" s="880"/>
      <c r="H894" s="880"/>
      <c r="I894" s="894"/>
      <c r="J894" s="894"/>
      <c r="K894" s="894"/>
      <c r="L894" s="2415"/>
      <c r="M894" s="372"/>
      <c r="N894" s="112"/>
      <c r="P894" s="522"/>
      <c r="Q894" s="522"/>
    </row>
    <row r="895" spans="2:17" s="4099" customFormat="1" ht="25.5" hidden="1" customHeight="1" x14ac:dyDescent="0.25">
      <c r="B895" s="319"/>
      <c r="C895" s="4647" t="s">
        <v>4429</v>
      </c>
      <c r="D895" s="4666">
        <v>825000000</v>
      </c>
      <c r="E895" s="4900">
        <f t="shared" si="28"/>
        <v>0.63995632154910354</v>
      </c>
      <c r="F895" s="3768"/>
      <c r="G895" s="880"/>
      <c r="H895" s="880"/>
      <c r="I895" s="894"/>
      <c r="J895" s="894"/>
      <c r="K895" s="894"/>
      <c r="L895" s="2415"/>
      <c r="M895" s="372"/>
      <c r="N895" s="112"/>
      <c r="P895" s="522"/>
      <c r="Q895" s="522"/>
    </row>
    <row r="896" spans="2:17" s="4099" customFormat="1" ht="17.25" hidden="1" customHeight="1" x14ac:dyDescent="0.25">
      <c r="B896" s="319"/>
      <c r="C896" s="4650"/>
      <c r="D896" s="5004"/>
      <c r="E896" s="4902"/>
      <c r="F896" s="990"/>
      <c r="G896" s="886"/>
      <c r="H896" s="2255"/>
      <c r="I896" s="791"/>
      <c r="J896" s="791"/>
      <c r="K896" s="791"/>
      <c r="L896" s="2416"/>
      <c r="M896" s="363"/>
      <c r="N896" s="3566"/>
      <c r="P896" s="522"/>
      <c r="Q896" s="522"/>
    </row>
    <row r="897" spans="2:17" s="4099" customFormat="1" ht="29.25" hidden="1" customHeight="1" x14ac:dyDescent="0.25">
      <c r="B897" s="312"/>
      <c r="C897" s="4934" t="s">
        <v>293</v>
      </c>
      <c r="D897" s="4795">
        <f>SUM(D898)</f>
        <v>12484800000</v>
      </c>
      <c r="E897" s="5354"/>
      <c r="F897" s="5355"/>
      <c r="G897" s="3470"/>
      <c r="H897" s="3470"/>
      <c r="I897" s="2845"/>
      <c r="J897" s="2845"/>
      <c r="K897" s="2845"/>
      <c r="L897" s="4139"/>
      <c r="M897" s="3571"/>
      <c r="N897" s="3565"/>
      <c r="P897" s="522"/>
      <c r="Q897" s="522"/>
    </row>
    <row r="898" spans="2:17" s="4099" customFormat="1" ht="31.5" hidden="1" customHeight="1" x14ac:dyDescent="0.25">
      <c r="B898" s="319"/>
      <c r="C898" s="5356" t="s">
        <v>1811</v>
      </c>
      <c r="D898" s="4841">
        <f>SUM(D899)</f>
        <v>12484800000</v>
      </c>
      <c r="E898" s="4902"/>
      <c r="F898" s="990"/>
      <c r="G898" s="886"/>
      <c r="H898" s="2255"/>
      <c r="I898" s="791"/>
      <c r="J898" s="791"/>
      <c r="K898" s="791"/>
      <c r="L898" s="2416"/>
      <c r="M898" s="363"/>
      <c r="N898" s="639"/>
      <c r="P898" s="522"/>
      <c r="Q898" s="522"/>
    </row>
    <row r="899" spans="2:17" s="4099" customFormat="1" ht="35.25" hidden="1" customHeight="1" x14ac:dyDescent="0.25">
      <c r="B899" s="319"/>
      <c r="C899" s="5361" t="s">
        <v>7329</v>
      </c>
      <c r="D899" s="4669">
        <v>12484800000</v>
      </c>
      <c r="E899" s="4902"/>
      <c r="F899" s="990"/>
      <c r="G899" s="886"/>
      <c r="H899" s="2255"/>
      <c r="I899" s="791"/>
      <c r="J899" s="791"/>
      <c r="K899" s="791"/>
      <c r="L899" s="2416"/>
      <c r="M899" s="363"/>
      <c r="N899" s="232"/>
      <c r="P899" s="522"/>
      <c r="Q899" s="522"/>
    </row>
    <row r="900" spans="2:17" s="4099" customFormat="1" ht="29.25" hidden="1" customHeight="1" x14ac:dyDescent="0.25">
      <c r="B900" s="319"/>
      <c r="C900" s="4650"/>
      <c r="D900" s="5004"/>
      <c r="E900" s="4902"/>
      <c r="F900" s="990"/>
      <c r="G900" s="886"/>
      <c r="H900" s="2255"/>
      <c r="I900" s="791"/>
      <c r="J900" s="791"/>
      <c r="K900" s="791"/>
      <c r="L900" s="2416"/>
      <c r="M900" s="363"/>
      <c r="N900" s="232"/>
      <c r="P900" s="522"/>
      <c r="Q900" s="522"/>
    </row>
    <row r="901" spans="2:17" s="3627" customFormat="1" ht="12" hidden="1" customHeight="1" x14ac:dyDescent="0.25">
      <c r="B901" s="319"/>
      <c r="C901" s="4650"/>
      <c r="D901" s="5004"/>
      <c r="E901" s="4902"/>
      <c r="F901" s="990"/>
      <c r="G901" s="886"/>
      <c r="H901" s="2255"/>
      <c r="I901" s="791"/>
      <c r="J901" s="791"/>
      <c r="K901" s="791"/>
      <c r="L901" s="2416"/>
      <c r="M901" s="363"/>
      <c r="N901" s="232"/>
      <c r="P901" s="522"/>
      <c r="Q901" s="522"/>
    </row>
    <row r="902" spans="2:17" s="269" customFormat="1" ht="16.5" customHeight="1" thickBot="1" x14ac:dyDescent="0.3">
      <c r="B902" s="616"/>
      <c r="C902" s="4655" t="s">
        <v>609</v>
      </c>
      <c r="D902" s="4999">
        <f>SUM(+D904+D964+D968+D972+D976+D980+D984+D988+D992+D996+D1000+D1004+D1008+D1012+D1016)</f>
        <v>23968006500</v>
      </c>
      <c r="E902" s="4889">
        <f>D902/D45*100</f>
        <v>6.4046131323848412</v>
      </c>
      <c r="F902" s="3658"/>
      <c r="G902" s="3119"/>
      <c r="H902" s="1471"/>
      <c r="I902" s="2530"/>
      <c r="J902" s="3119"/>
      <c r="K902" s="3119"/>
      <c r="L902" s="2531"/>
      <c r="M902" s="617"/>
      <c r="N902" s="268"/>
      <c r="P902" s="2069"/>
      <c r="Q902" s="2069"/>
    </row>
    <row r="903" spans="2:17" ht="8.25" hidden="1" customHeight="1" x14ac:dyDescent="0.25">
      <c r="B903" s="319"/>
      <c r="C903" s="4657"/>
      <c r="D903" s="4998"/>
      <c r="E903" s="4667"/>
      <c r="F903" s="1008"/>
      <c r="G903" s="1450"/>
      <c r="H903" s="2532"/>
      <c r="I903" s="2257"/>
      <c r="J903" s="2370"/>
      <c r="K903" s="2370"/>
      <c r="L903" s="2182"/>
      <c r="M903" s="363"/>
      <c r="N903" s="232"/>
    </row>
    <row r="904" spans="2:17" ht="18.75" hidden="1" customHeight="1" x14ac:dyDescent="0.25">
      <c r="B904" s="312"/>
      <c r="C904" s="4684" t="s">
        <v>241</v>
      </c>
      <c r="D904" s="4661">
        <f>SUM(D905+D908+D918+D921+D926+D932+D938+D941+D951+D954+D957)</f>
        <v>9924006500</v>
      </c>
      <c r="E904" s="4845">
        <f>D904/127769792000*100</f>
        <v>7.7670992060470763</v>
      </c>
      <c r="F904" s="765"/>
      <c r="G904" s="765"/>
      <c r="H904" s="2064"/>
      <c r="I904" s="1645"/>
      <c r="J904" s="765"/>
      <c r="K904" s="765"/>
      <c r="L904" s="2356"/>
      <c r="M904" s="555"/>
      <c r="N904" s="232"/>
    </row>
    <row r="905" spans="2:17" ht="20.25" hidden="1" customHeight="1" x14ac:dyDescent="0.25">
      <c r="B905" s="319"/>
      <c r="C905" s="4723" t="s">
        <v>810</v>
      </c>
      <c r="D905" s="4687">
        <f>SUM(D906)</f>
        <v>2789288000</v>
      </c>
      <c r="E905" s="4898">
        <f>D905/127769792000*100</f>
        <v>2.1830574788757584</v>
      </c>
      <c r="F905" s="795"/>
      <c r="G905" s="613"/>
      <c r="H905" s="2538"/>
      <c r="I905" s="753"/>
      <c r="J905" s="795"/>
      <c r="K905" s="795"/>
      <c r="L905" s="1729"/>
      <c r="M905" s="365"/>
      <c r="N905" s="232"/>
    </row>
    <row r="906" spans="2:17" ht="21" hidden="1" customHeight="1" x14ac:dyDescent="0.25">
      <c r="B906" s="319"/>
      <c r="C906" s="4705" t="s">
        <v>5504</v>
      </c>
      <c r="D906" s="4843">
        <v>2789288000</v>
      </c>
      <c r="E906" s="4651">
        <f>D906/127769792000*100</f>
        <v>2.1830574788757584</v>
      </c>
      <c r="F906" s="1995"/>
      <c r="G906" s="1005"/>
      <c r="H906" s="1005"/>
      <c r="I906" s="1005"/>
      <c r="J906" s="1005"/>
      <c r="K906" s="1005"/>
      <c r="L906" s="2543"/>
      <c r="M906" s="381"/>
      <c r="N906" s="232"/>
    </row>
    <row r="907" spans="2:17" ht="15" hidden="1" customHeight="1" x14ac:dyDescent="0.25">
      <c r="B907" s="319"/>
      <c r="C907" s="4668"/>
      <c r="D907" s="4669"/>
      <c r="E907" s="4651"/>
      <c r="F907" s="1005"/>
      <c r="G907" s="608"/>
      <c r="H907" s="2539"/>
      <c r="I907" s="1005"/>
      <c r="J907" s="2000"/>
      <c r="K907" s="2001"/>
      <c r="L907" s="2543"/>
      <c r="M907" s="381"/>
      <c r="N907" s="232"/>
    </row>
    <row r="908" spans="2:17" ht="18.75" hidden="1" customHeight="1" x14ac:dyDescent="0.25">
      <c r="B908" s="319"/>
      <c r="C908" s="4723" t="s">
        <v>5124</v>
      </c>
      <c r="D908" s="4687">
        <f>SUM(D909:D916)</f>
        <v>895530000</v>
      </c>
      <c r="E908" s="4672">
        <f t="shared" ref="E908:E962" si="29">D908/127769792000*100</f>
        <v>0.70089336922455037</v>
      </c>
      <c r="F908" s="1005"/>
      <c r="G908" s="755"/>
      <c r="H908" s="1472"/>
      <c r="I908" s="2370"/>
      <c r="J908" s="1314"/>
      <c r="K908" s="1314"/>
      <c r="L908" s="1311"/>
      <c r="M908" s="557"/>
      <c r="N908" s="232"/>
    </row>
    <row r="909" spans="2:17" ht="22.5" hidden="1" customHeight="1" x14ac:dyDescent="0.25">
      <c r="B909" s="319"/>
      <c r="C909" s="4668" t="s">
        <v>5505</v>
      </c>
      <c r="D909" s="4669">
        <v>70180000</v>
      </c>
      <c r="E909" s="4651">
        <f t="shared" si="29"/>
        <v>5.4926911049522562E-2</v>
      </c>
      <c r="F909" s="1006"/>
      <c r="G909" s="613"/>
      <c r="H909" s="2538"/>
      <c r="I909" s="1309"/>
      <c r="J909" s="1006"/>
      <c r="K909" s="1006"/>
      <c r="L909" s="1650"/>
      <c r="M909" s="552"/>
      <c r="N909" s="232"/>
    </row>
    <row r="910" spans="2:17" ht="24" hidden="1" customHeight="1" x14ac:dyDescent="0.25">
      <c r="B910" s="319"/>
      <c r="C910" s="4668" t="s">
        <v>5506</v>
      </c>
      <c r="D910" s="4669">
        <v>52470000</v>
      </c>
      <c r="E910" s="4651">
        <f t="shared" si="29"/>
        <v>4.10660447815396E-2</v>
      </c>
      <c r="F910" s="1005"/>
      <c r="G910" s="608"/>
      <c r="H910" s="2539"/>
      <c r="I910" s="1660"/>
      <c r="J910" s="1005"/>
      <c r="K910" s="608"/>
      <c r="L910" s="1312"/>
      <c r="M910" s="385"/>
      <c r="N910" s="232"/>
    </row>
    <row r="911" spans="2:17" ht="21" hidden="1" customHeight="1" x14ac:dyDescent="0.25">
      <c r="B911" s="319"/>
      <c r="C911" s="4668" t="s">
        <v>5507</v>
      </c>
      <c r="D911" s="4669">
        <v>86380000</v>
      </c>
      <c r="E911" s="4651">
        <f t="shared" si="29"/>
        <v>6.7605964326841822E-2</v>
      </c>
      <c r="F911" s="755"/>
      <c r="G911" s="755"/>
      <c r="H911" s="2284"/>
      <c r="I911" s="1660"/>
      <c r="J911" s="755"/>
      <c r="K911" s="1111"/>
      <c r="L911" s="1312"/>
      <c r="M911" s="385"/>
      <c r="N911" s="232"/>
    </row>
    <row r="912" spans="2:17" ht="35.25" hidden="1" customHeight="1" x14ac:dyDescent="0.25">
      <c r="B912" s="319"/>
      <c r="C912" s="4668" t="s">
        <v>5508</v>
      </c>
      <c r="D912" s="4669">
        <v>100000000</v>
      </c>
      <c r="E912" s="4651">
        <f t="shared" si="29"/>
        <v>7.8265760971106532E-2</v>
      </c>
      <c r="F912" s="753"/>
      <c r="G912" s="613"/>
      <c r="H912" s="2538"/>
      <c r="I912" s="753"/>
      <c r="J912" s="753"/>
      <c r="K912" s="753"/>
      <c r="L912" s="2467"/>
      <c r="M912" s="569"/>
      <c r="N912" s="232"/>
    </row>
    <row r="913" spans="2:14" ht="25.5" hidden="1" customHeight="1" x14ac:dyDescent="0.25">
      <c r="B913" s="319"/>
      <c r="C913" s="4668" t="s">
        <v>5512</v>
      </c>
      <c r="D913" s="4669">
        <v>175000000</v>
      </c>
      <c r="E913" s="4651">
        <f t="shared" si="29"/>
        <v>0.13696508169943644</v>
      </c>
      <c r="F913" s="1005"/>
      <c r="G913" s="608"/>
      <c r="H913" s="2539"/>
      <c r="I913" s="755"/>
      <c r="J913" s="608"/>
      <c r="K913" s="608"/>
      <c r="L913" s="1312"/>
      <c r="M913" s="385"/>
      <c r="N913" s="232"/>
    </row>
    <row r="914" spans="2:14" ht="22.5" hidden="1" customHeight="1" x14ac:dyDescent="0.25">
      <c r="B914" s="319"/>
      <c r="C914" s="4668" t="s">
        <v>5509</v>
      </c>
      <c r="D914" s="4669">
        <v>81500000</v>
      </c>
      <c r="E914" s="4651">
        <f t="shared" si="29"/>
        <v>6.3786595191451828E-2</v>
      </c>
      <c r="F914" s="1005"/>
      <c r="G914" s="1005"/>
      <c r="H914" s="1005"/>
      <c r="I914" s="1005"/>
      <c r="J914" s="1005"/>
      <c r="K914" s="1005"/>
      <c r="L914" s="2371"/>
      <c r="M914" s="373"/>
      <c r="N914" s="232"/>
    </row>
    <row r="915" spans="2:14" ht="28.5" hidden="1" customHeight="1" x14ac:dyDescent="0.25">
      <c r="B915" s="319"/>
      <c r="C915" s="4668" t="s">
        <v>5511</v>
      </c>
      <c r="D915" s="4669">
        <v>250000000</v>
      </c>
      <c r="E915" s="4651">
        <f t="shared" si="29"/>
        <v>0.19566440242776631</v>
      </c>
      <c r="F915" s="1005"/>
      <c r="G915" s="1005"/>
      <c r="H915" s="1005"/>
      <c r="I915" s="1005"/>
      <c r="J915" s="1005"/>
      <c r="K915" s="1005"/>
      <c r="L915" s="2543"/>
      <c r="M915" s="381"/>
      <c r="N915" s="232"/>
    </row>
    <row r="916" spans="2:14" ht="27" hidden="1" customHeight="1" x14ac:dyDescent="0.25">
      <c r="B916" s="319"/>
      <c r="C916" s="4668" t="s">
        <v>5510</v>
      </c>
      <c r="D916" s="4669">
        <v>80000000</v>
      </c>
      <c r="E916" s="4651">
        <f t="shared" si="29"/>
        <v>6.2612608776885223E-2</v>
      </c>
      <c r="F916" s="1005"/>
      <c r="G916" s="1005"/>
      <c r="H916" s="1005"/>
      <c r="I916" s="1005"/>
      <c r="J916" s="1005"/>
      <c r="K916" s="1005"/>
      <c r="L916" s="2543"/>
      <c r="M916" s="381"/>
      <c r="N916" s="232"/>
    </row>
    <row r="917" spans="2:14" ht="15" hidden="1" customHeight="1" x14ac:dyDescent="0.25">
      <c r="B917" s="319"/>
      <c r="C917" s="4668"/>
      <c r="D917" s="4669"/>
      <c r="E917" s="4651"/>
      <c r="F917" s="1005"/>
      <c r="G917" s="608"/>
      <c r="H917" s="2539"/>
      <c r="I917" s="755"/>
      <c r="J917" s="2000"/>
      <c r="K917" s="2001"/>
      <c r="L917" s="1312"/>
      <c r="M917" s="385"/>
      <c r="N917" s="232"/>
    </row>
    <row r="918" spans="2:14" ht="22.5" hidden="1" customHeight="1" x14ac:dyDescent="0.25">
      <c r="B918" s="319"/>
      <c r="C918" s="4723" t="s">
        <v>5513</v>
      </c>
      <c r="D918" s="4687">
        <f>SUM(D919)</f>
        <v>61400000</v>
      </c>
      <c r="E918" s="4672">
        <f t="shared" si="29"/>
        <v>4.8055177236259412E-2</v>
      </c>
      <c r="F918" s="1005"/>
      <c r="G918" s="608"/>
      <c r="H918" s="2539"/>
      <c r="I918" s="1660"/>
      <c r="J918" s="2000"/>
      <c r="K918" s="2001"/>
      <c r="L918" s="1312"/>
      <c r="M918" s="557"/>
      <c r="N918" s="232"/>
    </row>
    <row r="919" spans="2:14" ht="32.25" hidden="1" customHeight="1" x14ac:dyDescent="0.25">
      <c r="B919" s="378"/>
      <c r="C919" s="4668" t="s">
        <v>5514</v>
      </c>
      <c r="D919" s="4669">
        <v>61400000</v>
      </c>
      <c r="E919" s="4651">
        <f t="shared" si="29"/>
        <v>4.8055177236259412E-2</v>
      </c>
      <c r="F919" s="1005"/>
      <c r="G919" s="1005"/>
      <c r="H919" s="1005"/>
      <c r="I919" s="1005"/>
      <c r="J919" s="2000"/>
      <c r="K919" s="1005"/>
      <c r="L919" s="1005"/>
      <c r="M919" s="516"/>
      <c r="N919" s="232"/>
    </row>
    <row r="920" spans="2:14" ht="15" hidden="1" customHeight="1" x14ac:dyDescent="0.25">
      <c r="B920" s="319"/>
      <c r="C920" s="4668"/>
      <c r="D920" s="4669"/>
      <c r="E920" s="4651"/>
      <c r="F920" s="755"/>
      <c r="G920" s="753"/>
      <c r="H920" s="2541"/>
      <c r="I920" s="1309"/>
      <c r="J920" s="753"/>
      <c r="K920" s="753"/>
      <c r="L920" s="1650"/>
      <c r="M920" s="552"/>
      <c r="N920" s="232"/>
    </row>
    <row r="921" spans="2:14" ht="24.75" hidden="1" customHeight="1" x14ac:dyDescent="0.25">
      <c r="B921" s="319"/>
      <c r="C921" s="4723" t="s">
        <v>5130</v>
      </c>
      <c r="D921" s="4687">
        <f>SUM(D922:D924)</f>
        <v>450500000</v>
      </c>
      <c r="E921" s="4672">
        <f t="shared" si="29"/>
        <v>0.35258725317483497</v>
      </c>
      <c r="F921" s="753"/>
      <c r="G921" s="613"/>
      <c r="H921" s="2538"/>
      <c r="I921" s="1309"/>
      <c r="J921" s="753"/>
      <c r="K921" s="753"/>
      <c r="L921" s="2467"/>
      <c r="M921" s="552"/>
      <c r="N921" s="232"/>
    </row>
    <row r="922" spans="2:14" ht="21" hidden="1" customHeight="1" x14ac:dyDescent="0.25">
      <c r="B922" s="319"/>
      <c r="C922" s="4668" t="s">
        <v>5131</v>
      </c>
      <c r="D922" s="4844">
        <v>190000000</v>
      </c>
      <c r="E922" s="4651">
        <f t="shared" si="29"/>
        <v>0.14870494584510241</v>
      </c>
      <c r="F922" s="1123"/>
      <c r="G922" s="608"/>
      <c r="H922" s="2539"/>
      <c r="I922" s="1660"/>
      <c r="J922" s="2000"/>
      <c r="K922" s="2001"/>
      <c r="L922" s="1312"/>
      <c r="M922" s="557"/>
      <c r="N922" s="232"/>
    </row>
    <row r="923" spans="2:14" ht="21" hidden="1" customHeight="1" x14ac:dyDescent="0.25">
      <c r="B923" s="319"/>
      <c r="C923" s="4668" t="s">
        <v>5132</v>
      </c>
      <c r="D923" s="4844">
        <v>71000000</v>
      </c>
      <c r="E923" s="4651">
        <f t="shared" si="29"/>
        <v>5.5568690289485641E-2</v>
      </c>
      <c r="F923" s="755"/>
      <c r="G923" s="753"/>
      <c r="H923" s="1473"/>
      <c r="I923" s="1309"/>
      <c r="J923" s="753"/>
      <c r="K923" s="753"/>
      <c r="L923" s="1650"/>
      <c r="M923" s="552"/>
      <c r="N923" s="232"/>
    </row>
    <row r="924" spans="2:14" ht="18.75" hidden="1" customHeight="1" x14ac:dyDescent="0.25">
      <c r="B924" s="319"/>
      <c r="C924" s="4668" t="s">
        <v>5515</v>
      </c>
      <c r="D924" s="4844">
        <v>189500000</v>
      </c>
      <c r="E924" s="4651">
        <f t="shared" si="29"/>
        <v>0.14831361704024687</v>
      </c>
      <c r="F924" s="753"/>
      <c r="G924" s="613"/>
      <c r="H924" s="2538"/>
      <c r="I924" s="1309"/>
      <c r="J924" s="753"/>
      <c r="K924" s="753"/>
      <c r="L924" s="2467"/>
      <c r="M924" s="552"/>
      <c r="N924" s="232"/>
    </row>
    <row r="925" spans="2:14" ht="14.25" hidden="1" customHeight="1" x14ac:dyDescent="0.25">
      <c r="B925" s="319"/>
      <c r="C925" s="4668"/>
      <c r="D925" s="4669"/>
      <c r="E925" s="4651"/>
      <c r="F925" s="755"/>
      <c r="G925" s="1005"/>
      <c r="H925" s="1005"/>
      <c r="I925" s="1005"/>
      <c r="J925" s="2000"/>
      <c r="K925" s="1005"/>
      <c r="L925" s="1005"/>
      <c r="M925" s="516"/>
      <c r="N925" s="232"/>
    </row>
    <row r="926" spans="2:14" ht="18" hidden="1" customHeight="1" x14ac:dyDescent="0.25">
      <c r="B926" s="319"/>
      <c r="C926" s="4723" t="s">
        <v>5134</v>
      </c>
      <c r="D926" s="4687">
        <f>SUM(D927:D930)</f>
        <v>1136455000</v>
      </c>
      <c r="E926" s="4672">
        <f t="shared" si="29"/>
        <v>0.88945515384418872</v>
      </c>
      <c r="F926" s="755"/>
      <c r="G926" s="1005"/>
      <c r="H926" s="1005"/>
      <c r="I926" s="1005"/>
      <c r="J926" s="2000"/>
      <c r="K926" s="1005"/>
      <c r="L926" s="1005"/>
      <c r="M926" s="516"/>
      <c r="N926" s="232"/>
    </row>
    <row r="927" spans="2:14" ht="24.75" hidden="1" customHeight="1" x14ac:dyDescent="0.25">
      <c r="B927" s="319"/>
      <c r="C927" s="4668" t="s">
        <v>5516</v>
      </c>
      <c r="D927" s="4669">
        <v>174000000</v>
      </c>
      <c r="E927" s="4651">
        <f t="shared" si="29"/>
        <v>0.13618242408972536</v>
      </c>
      <c r="F927" s="755"/>
      <c r="G927" s="608"/>
      <c r="H927" s="2539"/>
      <c r="I927" s="1660"/>
      <c r="J927" s="2000"/>
      <c r="K927" s="2001"/>
      <c r="L927" s="1312"/>
      <c r="M927" s="557"/>
      <c r="N927" s="232"/>
    </row>
    <row r="928" spans="2:14" ht="23.25" hidden="1" customHeight="1" x14ac:dyDescent="0.25">
      <c r="B928" s="319"/>
      <c r="C928" s="4668" t="s">
        <v>5517</v>
      </c>
      <c r="D928" s="4669">
        <v>516800000</v>
      </c>
      <c r="E928" s="4651">
        <f t="shared" si="29"/>
        <v>0.40447745269867857</v>
      </c>
      <c r="F928" s="755"/>
      <c r="G928" s="1005"/>
      <c r="H928" s="1005"/>
      <c r="I928" s="1005"/>
      <c r="J928" s="2000"/>
      <c r="K928" s="1005"/>
      <c r="L928" s="1005"/>
      <c r="M928" s="516"/>
      <c r="N928" s="232"/>
    </row>
    <row r="929" spans="2:14" ht="42" hidden="1" customHeight="1" x14ac:dyDescent="0.25">
      <c r="B929" s="319"/>
      <c r="C929" s="4668" t="s">
        <v>5518</v>
      </c>
      <c r="D929" s="4669">
        <v>208150000</v>
      </c>
      <c r="E929" s="4651">
        <f t="shared" si="29"/>
        <v>0.16291018146135824</v>
      </c>
      <c r="F929" s="755"/>
      <c r="G929" s="753"/>
      <c r="H929" s="2544"/>
      <c r="I929" s="1309"/>
      <c r="J929" s="753"/>
      <c r="K929" s="753"/>
      <c r="L929" s="1650"/>
      <c r="M929" s="552"/>
      <c r="N929" s="232"/>
    </row>
    <row r="930" spans="2:14" ht="29.25" hidden="1" customHeight="1" x14ac:dyDescent="0.25">
      <c r="B930" s="319"/>
      <c r="C930" s="4668" t="s">
        <v>5519</v>
      </c>
      <c r="D930" s="4669">
        <v>237505000</v>
      </c>
      <c r="E930" s="4651">
        <f t="shared" si="29"/>
        <v>0.18588509559442659</v>
      </c>
      <c r="F930" s="753"/>
      <c r="G930" s="1006"/>
      <c r="H930" s="1006"/>
      <c r="I930" s="1006"/>
      <c r="J930" s="753"/>
      <c r="K930" s="753"/>
      <c r="L930" s="2545"/>
      <c r="M930" s="2007"/>
      <c r="N930" s="232"/>
    </row>
    <row r="931" spans="2:14" ht="14.25" hidden="1" customHeight="1" x14ac:dyDescent="0.25">
      <c r="B931" s="319"/>
      <c r="C931" s="4668"/>
      <c r="D931" s="4669"/>
      <c r="E931" s="4651"/>
      <c r="F931" s="755"/>
      <c r="G931" s="1005"/>
      <c r="H931" s="1005"/>
      <c r="I931" s="1005"/>
      <c r="J931" s="755"/>
      <c r="K931" s="1005"/>
      <c r="L931" s="1005"/>
      <c r="M931" s="516"/>
      <c r="N931" s="232"/>
    </row>
    <row r="932" spans="2:14" ht="21.75" hidden="1" customHeight="1" x14ac:dyDescent="0.25">
      <c r="B932" s="319"/>
      <c r="C932" s="4723" t="s">
        <v>5520</v>
      </c>
      <c r="D932" s="4687">
        <f>SUM(D933:D936)</f>
        <v>738423500</v>
      </c>
      <c r="E932" s="4672">
        <f t="shared" si="29"/>
        <v>0.57793277146447886</v>
      </c>
      <c r="F932" s="755"/>
      <c r="G932" s="1005"/>
      <c r="H932" s="1005"/>
      <c r="I932" s="1005"/>
      <c r="J932" s="755"/>
      <c r="K932" s="755"/>
      <c r="L932" s="1312"/>
      <c r="M932" s="385"/>
      <c r="N932" s="232"/>
    </row>
    <row r="933" spans="2:14" ht="23.25" hidden="1" customHeight="1" x14ac:dyDescent="0.25">
      <c r="B933" s="319"/>
      <c r="C933" s="4668" t="s">
        <v>5521</v>
      </c>
      <c r="D933" s="4669">
        <v>174900000</v>
      </c>
      <c r="E933" s="4651">
        <f t="shared" si="29"/>
        <v>0.13688681593846533</v>
      </c>
      <c r="F933" s="755"/>
      <c r="G933" s="1005"/>
      <c r="H933" s="1005"/>
      <c r="I933" s="1005"/>
      <c r="J933" s="755"/>
      <c r="K933" s="1005"/>
      <c r="L933" s="1005"/>
      <c r="M933" s="516"/>
      <c r="N933" s="232"/>
    </row>
    <row r="934" spans="2:14" ht="21.75" hidden="1" customHeight="1" x14ac:dyDescent="0.25">
      <c r="B934" s="319"/>
      <c r="C934" s="4668" t="s">
        <v>5522</v>
      </c>
      <c r="D934" s="4669">
        <v>265063500</v>
      </c>
      <c r="E934" s="4651">
        <f t="shared" si="29"/>
        <v>0.20745396533164898</v>
      </c>
      <c r="F934" s="755"/>
      <c r="G934" s="755"/>
      <c r="H934" s="755"/>
      <c r="I934" s="755"/>
      <c r="J934" s="755"/>
      <c r="K934" s="755"/>
      <c r="L934" s="1716"/>
      <c r="M934" s="357"/>
      <c r="N934" s="232"/>
    </row>
    <row r="935" spans="2:14" ht="19.5" hidden="1" customHeight="1" x14ac:dyDescent="0.25">
      <c r="B935" s="319"/>
      <c r="C935" s="4668" t="s">
        <v>5523</v>
      </c>
      <c r="D935" s="4669">
        <v>179400000</v>
      </c>
      <c r="E935" s="4651">
        <f t="shared" si="29"/>
        <v>0.14040877518216513</v>
      </c>
      <c r="F935" s="753"/>
      <c r="G935" s="613"/>
      <c r="H935" s="2538"/>
      <c r="I935" s="1309"/>
      <c r="J935" s="753"/>
      <c r="K935" s="753"/>
      <c r="L935" s="2467"/>
      <c r="M935" s="552"/>
      <c r="N935" s="232"/>
    </row>
    <row r="936" spans="2:14" ht="20.25" hidden="1" customHeight="1" x14ac:dyDescent="0.25">
      <c r="B936" s="319"/>
      <c r="C936" s="4668" t="s">
        <v>5524</v>
      </c>
      <c r="D936" s="4669">
        <v>119060000</v>
      </c>
      <c r="E936" s="4651">
        <f t="shared" si="29"/>
        <v>9.318321501219945E-2</v>
      </c>
      <c r="F936" s="755"/>
      <c r="G936" s="1005"/>
      <c r="H936" s="1005"/>
      <c r="I936" s="1005"/>
      <c r="J936" s="1005"/>
      <c r="K936" s="1005"/>
      <c r="L936" s="1005"/>
      <c r="M936" s="552"/>
      <c r="N936" s="232"/>
    </row>
    <row r="937" spans="2:14" ht="13.5" hidden="1" customHeight="1" x14ac:dyDescent="0.25">
      <c r="B937" s="319"/>
      <c r="C937" s="4668"/>
      <c r="D937" s="4669"/>
      <c r="E937" s="4651"/>
      <c r="F937" s="755"/>
      <c r="G937" s="608"/>
      <c r="H937" s="2539"/>
      <c r="I937" s="755"/>
      <c r="J937" s="2000"/>
      <c r="K937" s="2001"/>
      <c r="L937" s="1312"/>
      <c r="M937" s="557"/>
      <c r="N937" s="232"/>
    </row>
    <row r="938" spans="2:14" ht="30" hidden="1" customHeight="1" x14ac:dyDescent="0.25">
      <c r="B938" s="319"/>
      <c r="C938" s="4723" t="s">
        <v>5525</v>
      </c>
      <c r="D938" s="4687">
        <f>SUM(D939)</f>
        <v>770000000</v>
      </c>
      <c r="E938" s="4672">
        <f t="shared" si="29"/>
        <v>0.60264635947752032</v>
      </c>
      <c r="F938" s="2054"/>
      <c r="G938" s="755"/>
      <c r="H938" s="755"/>
      <c r="I938" s="755"/>
      <c r="J938" s="755"/>
      <c r="K938" s="755"/>
      <c r="L938" s="1716"/>
      <c r="M938" s="357"/>
      <c r="N938" s="232"/>
    </row>
    <row r="939" spans="2:14" ht="23.25" hidden="1" customHeight="1" x14ac:dyDescent="0.25">
      <c r="B939" s="319"/>
      <c r="C939" s="4668" t="s">
        <v>5526</v>
      </c>
      <c r="D939" s="4669">
        <v>770000000</v>
      </c>
      <c r="E939" s="4651">
        <f t="shared" si="29"/>
        <v>0.60264635947752032</v>
      </c>
      <c r="F939" s="753"/>
      <c r="G939" s="613"/>
      <c r="H939" s="2538"/>
      <c r="I939" s="1309"/>
      <c r="J939" s="753"/>
      <c r="K939" s="753"/>
      <c r="L939" s="2467"/>
      <c r="M939" s="569"/>
      <c r="N939" s="232"/>
    </row>
    <row r="940" spans="2:14" ht="14.25" hidden="1" customHeight="1" x14ac:dyDescent="0.25">
      <c r="B940" s="319"/>
      <c r="D940" s="4843"/>
      <c r="E940" s="4651"/>
      <c r="F940" s="755"/>
      <c r="G940" s="608"/>
      <c r="H940" s="2539"/>
      <c r="I940" s="755"/>
      <c r="J940" s="2000"/>
      <c r="K940" s="2001"/>
      <c r="L940" s="1716"/>
      <c r="M940" s="385"/>
      <c r="N940" s="232"/>
    </row>
    <row r="941" spans="2:14" ht="21.75" hidden="1" customHeight="1" x14ac:dyDescent="0.25">
      <c r="B941" s="319"/>
      <c r="C941" s="4723" t="s">
        <v>5527</v>
      </c>
      <c r="D941" s="4687">
        <f>SUM(D942:D949)</f>
        <v>1223510000</v>
      </c>
      <c r="E941" s="4672">
        <f t="shared" si="29"/>
        <v>0.95758941205758563</v>
      </c>
      <c r="F941" s="755"/>
      <c r="G941" s="1005"/>
      <c r="H941" s="1005"/>
      <c r="I941" s="1005"/>
      <c r="J941" s="2000"/>
      <c r="K941" s="2001"/>
      <c r="L941" s="1312"/>
      <c r="M941" s="385"/>
      <c r="N941" s="232"/>
    </row>
    <row r="942" spans="2:14" ht="21" hidden="1" customHeight="1" x14ac:dyDescent="0.25">
      <c r="B942" s="319"/>
      <c r="C942" s="4668" t="s">
        <v>5528</v>
      </c>
      <c r="D942" s="4669">
        <v>230530000</v>
      </c>
      <c r="E942" s="4651">
        <f t="shared" si="29"/>
        <v>0.1804260587666919</v>
      </c>
      <c r="F942" s="755"/>
      <c r="G942" s="1005"/>
      <c r="H942" s="1005"/>
      <c r="I942" s="1005"/>
      <c r="J942" s="2000"/>
      <c r="K942" s="2001"/>
      <c r="L942" s="1311"/>
      <c r="M942" s="385"/>
      <c r="N942" s="232"/>
    </row>
    <row r="943" spans="2:14" ht="20.25" hidden="1" customHeight="1" x14ac:dyDescent="0.25">
      <c r="B943" s="319"/>
      <c r="C943" s="4668" t="s">
        <v>5529</v>
      </c>
      <c r="D943" s="4669">
        <v>264430000</v>
      </c>
      <c r="E943" s="4651">
        <f t="shared" si="29"/>
        <v>0.20695815173589699</v>
      </c>
      <c r="F943" s="755"/>
      <c r="G943" s="608"/>
      <c r="H943" s="2539"/>
      <c r="I943" s="755"/>
      <c r="J943" s="2000"/>
      <c r="K943" s="2001"/>
      <c r="L943" s="1312"/>
      <c r="M943" s="385"/>
      <c r="N943" s="232"/>
    </row>
    <row r="944" spans="2:14" ht="21" hidden="1" customHeight="1" x14ac:dyDescent="0.25">
      <c r="B944" s="319"/>
      <c r="C944" s="4668" t="s">
        <v>5530</v>
      </c>
      <c r="D944" s="4669">
        <v>62120000</v>
      </c>
      <c r="E944" s="4651">
        <f t="shared" si="29"/>
        <v>4.8618690715251378E-2</v>
      </c>
      <c r="F944" s="755"/>
      <c r="G944" s="608"/>
      <c r="H944" s="2539"/>
      <c r="I944" s="1660"/>
      <c r="J944" s="2000"/>
      <c r="K944" s="2001"/>
      <c r="L944" s="1312"/>
      <c r="M944" s="385"/>
      <c r="N944" s="232"/>
    </row>
    <row r="945" spans="2:17" ht="19.5" hidden="1" customHeight="1" x14ac:dyDescent="0.25">
      <c r="B945" s="319"/>
      <c r="C945" s="4668" t="s">
        <v>5531</v>
      </c>
      <c r="D945" s="4669">
        <v>283180000</v>
      </c>
      <c r="E945" s="4651">
        <f t="shared" si="29"/>
        <v>0.22163298191797948</v>
      </c>
      <c r="F945" s="755"/>
      <c r="G945" s="608"/>
      <c r="H945" s="2539"/>
      <c r="I945" s="755"/>
      <c r="J945" s="2000"/>
      <c r="K945" s="2001"/>
      <c r="L945" s="1312"/>
      <c r="M945" s="385"/>
      <c r="N945" s="232"/>
    </row>
    <row r="946" spans="2:17" ht="19.5" hidden="1" customHeight="1" x14ac:dyDescent="0.25">
      <c r="B946" s="319"/>
      <c r="C946" s="4668" t="s">
        <v>5532</v>
      </c>
      <c r="D946" s="4669">
        <v>98750000</v>
      </c>
      <c r="E946" s="4651">
        <f t="shared" si="29"/>
        <v>7.7287438958967697E-2</v>
      </c>
      <c r="F946" s="755"/>
      <c r="G946" s="608"/>
      <c r="H946" s="2539"/>
      <c r="I946" s="755"/>
      <c r="J946" s="2000"/>
      <c r="K946" s="2001"/>
      <c r="L946" s="1716"/>
      <c r="M946" s="385"/>
      <c r="N946" s="232"/>
    </row>
    <row r="947" spans="2:17" ht="20.25" hidden="1" customHeight="1" x14ac:dyDescent="0.25">
      <c r="B947" s="319"/>
      <c r="C947" s="4668" t="s">
        <v>5533</v>
      </c>
      <c r="D947" s="4669">
        <v>35450000</v>
      </c>
      <c r="E947" s="4651">
        <f t="shared" si="29"/>
        <v>2.7745212264257267E-2</v>
      </c>
      <c r="F947" s="755"/>
      <c r="G947" s="608"/>
      <c r="H947" s="2539"/>
      <c r="I947" s="755"/>
      <c r="J947" s="2000"/>
      <c r="K947" s="2001"/>
      <c r="L947" s="1312"/>
      <c r="M947" s="385"/>
      <c r="N947" s="232"/>
    </row>
    <row r="948" spans="2:17" ht="18.75" hidden="1" customHeight="1" x14ac:dyDescent="0.25">
      <c r="B948" s="319"/>
      <c r="C948" s="4668" t="s">
        <v>5534</v>
      </c>
      <c r="D948" s="4669">
        <v>182560000</v>
      </c>
      <c r="E948" s="4651">
        <f t="shared" si="29"/>
        <v>0.14288197322885207</v>
      </c>
      <c r="F948" s="755"/>
      <c r="G948" s="608"/>
      <c r="H948" s="2539"/>
      <c r="I948" s="1660"/>
      <c r="J948" s="2000"/>
      <c r="K948" s="2001"/>
      <c r="L948" s="1312"/>
      <c r="M948" s="385"/>
      <c r="N948" s="232"/>
    </row>
    <row r="949" spans="2:17" ht="24.75" hidden="1" customHeight="1" x14ac:dyDescent="0.25">
      <c r="B949" s="319"/>
      <c r="C949" s="4668" t="s">
        <v>5535</v>
      </c>
      <c r="D949" s="4669">
        <v>66490000</v>
      </c>
      <c r="E949" s="4651">
        <f t="shared" si="29"/>
        <v>5.2038904469688736E-2</v>
      </c>
      <c r="F949" s="755"/>
      <c r="G949" s="608"/>
      <c r="H949" s="2539"/>
      <c r="I949" s="2370"/>
      <c r="J949" s="2000"/>
      <c r="K949" s="2001"/>
      <c r="L949" s="1312"/>
      <c r="M949" s="385"/>
      <c r="N949" s="232"/>
    </row>
    <row r="950" spans="2:17" ht="13.5" hidden="1" customHeight="1" x14ac:dyDescent="0.25">
      <c r="B950" s="319"/>
      <c r="D950" s="4654"/>
      <c r="E950" s="4651"/>
      <c r="F950" s="755"/>
      <c r="G950" s="1005"/>
      <c r="H950" s="1005"/>
      <c r="I950" s="1005"/>
      <c r="J950" s="2000"/>
      <c r="K950" s="1005"/>
      <c r="L950" s="1005"/>
      <c r="M950" s="516"/>
      <c r="N950" s="232"/>
    </row>
    <row r="951" spans="2:17" ht="30.75" hidden="1" customHeight="1" x14ac:dyDescent="0.25">
      <c r="B951" s="319"/>
      <c r="C951" s="4730" t="s">
        <v>5536</v>
      </c>
      <c r="D951" s="4769">
        <f>D952</f>
        <v>49500000</v>
      </c>
      <c r="E951" s="4672">
        <f t="shared" si="29"/>
        <v>3.874155168069774E-2</v>
      </c>
      <c r="F951" s="2057"/>
      <c r="G951" s="864"/>
      <c r="H951" s="2546"/>
      <c r="I951" s="791"/>
      <c r="J951" s="1651"/>
      <c r="K951" s="1651"/>
      <c r="L951" s="2175"/>
      <c r="M951" s="358"/>
      <c r="N951" s="281"/>
    </row>
    <row r="952" spans="2:17" s="4099" customFormat="1" ht="26.25" hidden="1" customHeight="1" x14ac:dyDescent="0.25">
      <c r="B952" s="319"/>
      <c r="C952" s="4719" t="s">
        <v>5537</v>
      </c>
      <c r="D952" s="4666">
        <v>49500000</v>
      </c>
      <c r="E952" s="4651">
        <f t="shared" si="29"/>
        <v>3.874155168069774E-2</v>
      </c>
      <c r="F952" s="3650"/>
      <c r="G952" s="1126"/>
      <c r="H952" s="1126"/>
      <c r="I952" s="894"/>
      <c r="J952" s="894"/>
      <c r="K952" s="894"/>
      <c r="L952" s="1315"/>
      <c r="M952" s="372"/>
      <c r="N952" s="112"/>
      <c r="O952" s="161"/>
      <c r="P952" s="4368"/>
      <c r="Q952" s="522"/>
    </row>
    <row r="953" spans="2:17" s="4099" customFormat="1" ht="13.5" hidden="1" customHeight="1" x14ac:dyDescent="0.25">
      <c r="B953" s="319"/>
      <c r="C953" s="4738"/>
      <c r="D953" s="4843"/>
      <c r="E953" s="4651"/>
      <c r="F953" s="3650"/>
      <c r="G953" s="1126"/>
      <c r="H953" s="1126"/>
      <c r="I953" s="894"/>
      <c r="J953" s="894"/>
      <c r="K953" s="894"/>
      <c r="L953" s="1315"/>
      <c r="M953" s="372"/>
      <c r="N953" s="112"/>
      <c r="O953" s="161"/>
      <c r="P953" s="4368"/>
      <c r="Q953" s="522"/>
    </row>
    <row r="954" spans="2:17" s="4099" customFormat="1" ht="26.25" hidden="1" customHeight="1" x14ac:dyDescent="0.25">
      <c r="B954" s="319"/>
      <c r="C954" s="4730" t="s">
        <v>5538</v>
      </c>
      <c r="D954" s="4769">
        <f>D955</f>
        <v>380000000</v>
      </c>
      <c r="E954" s="4672">
        <f t="shared" si="29"/>
        <v>0.29740989169020482</v>
      </c>
      <c r="F954" s="3650"/>
      <c r="G954" s="1126"/>
      <c r="H954" s="1126"/>
      <c r="I954" s="894"/>
      <c r="J954" s="894"/>
      <c r="K954" s="894"/>
      <c r="L954" s="1315"/>
      <c r="M954" s="372"/>
      <c r="N954" s="112"/>
      <c r="O954" s="161"/>
      <c r="P954" s="4368"/>
      <c r="Q954" s="522"/>
    </row>
    <row r="955" spans="2:17" s="4099" customFormat="1" ht="26.25" hidden="1" customHeight="1" x14ac:dyDescent="0.25">
      <c r="B955" s="319"/>
      <c r="C955" s="4719" t="s">
        <v>5539</v>
      </c>
      <c r="D955" s="4666">
        <v>380000000</v>
      </c>
      <c r="E955" s="4651">
        <f t="shared" si="29"/>
        <v>0.29740989169020482</v>
      </c>
      <c r="F955" s="3650"/>
      <c r="G955" s="1126"/>
      <c r="H955" s="1126"/>
      <c r="I955" s="894"/>
      <c r="J955" s="894"/>
      <c r="K955" s="894"/>
      <c r="L955" s="1315"/>
      <c r="M955" s="372"/>
      <c r="N955" s="112"/>
      <c r="O955" s="161"/>
      <c r="P955" s="4368"/>
      <c r="Q955" s="522"/>
    </row>
    <row r="956" spans="2:17" s="4099" customFormat="1" ht="15" hidden="1" customHeight="1" x14ac:dyDescent="0.25">
      <c r="B956" s="319"/>
      <c r="C956" s="4738"/>
      <c r="D956" s="4843"/>
      <c r="E956" s="4651"/>
      <c r="F956" s="3650"/>
      <c r="G956" s="1126"/>
      <c r="H956" s="1126"/>
      <c r="I956" s="894"/>
      <c r="J956" s="894"/>
      <c r="K956" s="894"/>
      <c r="L956" s="1315"/>
      <c r="M956" s="372"/>
      <c r="N956" s="112"/>
      <c r="O956" s="161"/>
      <c r="P956" s="4368"/>
      <c r="Q956" s="522"/>
    </row>
    <row r="957" spans="2:17" s="4099" customFormat="1" ht="22.5" hidden="1" customHeight="1" x14ac:dyDescent="0.25">
      <c r="B957" s="319"/>
      <c r="C957" s="4730" t="s">
        <v>5540</v>
      </c>
      <c r="D957" s="4769">
        <f>SUM(D958:D962)</f>
        <v>1429400000</v>
      </c>
      <c r="E957" s="4672">
        <f t="shared" si="29"/>
        <v>1.1187307873209968</v>
      </c>
      <c r="F957" s="3650"/>
      <c r="G957" s="1126"/>
      <c r="H957" s="1126"/>
      <c r="I957" s="894"/>
      <c r="J957" s="894"/>
      <c r="K957" s="894"/>
      <c r="L957" s="1315"/>
      <c r="M957" s="372"/>
      <c r="N957" s="112"/>
      <c r="O957" s="161"/>
      <c r="P957" s="4368"/>
      <c r="Q957" s="522"/>
    </row>
    <row r="958" spans="2:17" s="4099" customFormat="1" ht="21.75" hidden="1" customHeight="1" x14ac:dyDescent="0.25">
      <c r="B958" s="319"/>
      <c r="C958" s="4719" t="s">
        <v>5541</v>
      </c>
      <c r="D958" s="4666">
        <v>267000000</v>
      </c>
      <c r="E958" s="4651">
        <f t="shared" si="29"/>
        <v>0.20896958179285446</v>
      </c>
      <c r="F958" s="3650"/>
      <c r="G958" s="1126"/>
      <c r="H958" s="1126"/>
      <c r="I958" s="894"/>
      <c r="J958" s="894"/>
      <c r="K958" s="894"/>
      <c r="L958" s="1315"/>
      <c r="M958" s="372"/>
      <c r="N958" s="112"/>
      <c r="O958" s="161"/>
      <c r="P958" s="4368"/>
      <c r="Q958" s="522"/>
    </row>
    <row r="959" spans="2:17" s="4099" customFormat="1" ht="24.75" hidden="1" customHeight="1" x14ac:dyDescent="0.25">
      <c r="B959" s="319"/>
      <c r="C959" s="4719" t="s">
        <v>5542</v>
      </c>
      <c r="D959" s="4666">
        <v>397500000</v>
      </c>
      <c r="E959" s="4651">
        <f t="shared" si="29"/>
        <v>0.31110639986014849</v>
      </c>
      <c r="F959" s="3650"/>
      <c r="G959" s="1126"/>
      <c r="H959" s="1126"/>
      <c r="I959" s="894"/>
      <c r="J959" s="894"/>
      <c r="K959" s="894"/>
      <c r="L959" s="1315"/>
      <c r="M959" s="372"/>
      <c r="N959" s="112"/>
      <c r="O959" s="161"/>
      <c r="P959" s="4368"/>
      <c r="Q959" s="522"/>
    </row>
    <row r="960" spans="2:17" s="4099" customFormat="1" ht="21" hidden="1" customHeight="1" x14ac:dyDescent="0.25">
      <c r="B960" s="319"/>
      <c r="C960" s="4719" t="s">
        <v>5543</v>
      </c>
      <c r="D960" s="4666">
        <v>250000000</v>
      </c>
      <c r="E960" s="4651">
        <f t="shared" si="29"/>
        <v>0.19566440242776631</v>
      </c>
      <c r="F960" s="3650"/>
      <c r="G960" s="1126"/>
      <c r="H960" s="1126"/>
      <c r="I960" s="894"/>
      <c r="J960" s="894"/>
      <c r="K960" s="894"/>
      <c r="L960" s="1315"/>
      <c r="M960" s="372"/>
      <c r="N960" s="112"/>
      <c r="O960" s="161"/>
      <c r="P960" s="4368"/>
      <c r="Q960" s="522"/>
    </row>
    <row r="961" spans="1:17" s="4099" customFormat="1" ht="18.75" hidden="1" customHeight="1" x14ac:dyDescent="0.25">
      <c r="B961" s="319"/>
      <c r="C961" s="4719" t="s">
        <v>5544</v>
      </c>
      <c r="D961" s="4666">
        <v>480000000</v>
      </c>
      <c r="E961" s="4651">
        <f t="shared" si="29"/>
        <v>0.37567565266131137</v>
      </c>
      <c r="F961" s="3650"/>
      <c r="G961" s="1126"/>
      <c r="H961" s="1126"/>
      <c r="I961" s="894"/>
      <c r="J961" s="894"/>
      <c r="K961" s="894"/>
      <c r="L961" s="1315"/>
      <c r="M961" s="372"/>
      <c r="N961" s="112"/>
      <c r="O961" s="161"/>
      <c r="P961" s="4368"/>
      <c r="Q961" s="522"/>
    </row>
    <row r="962" spans="1:17" s="4099" customFormat="1" ht="27" hidden="1" customHeight="1" x14ac:dyDescent="0.25">
      <c r="B962" s="319"/>
      <c r="C962" s="4719" t="s">
        <v>5545</v>
      </c>
      <c r="D962" s="4666">
        <v>34900000</v>
      </c>
      <c r="E962" s="4651">
        <f t="shared" si="29"/>
        <v>2.7314750578916181E-2</v>
      </c>
      <c r="F962" s="3650"/>
      <c r="G962" s="1126"/>
      <c r="H962" s="1126"/>
      <c r="I962" s="894"/>
      <c r="J962" s="894"/>
      <c r="K962" s="894"/>
      <c r="L962" s="1315"/>
      <c r="M962" s="372"/>
      <c r="N962" s="112"/>
      <c r="O962" s="161"/>
      <c r="P962" s="4368"/>
      <c r="Q962" s="522"/>
    </row>
    <row r="963" spans="1:17" s="4099" customFormat="1" ht="19.5" hidden="1" customHeight="1" x14ac:dyDescent="0.25">
      <c r="B963" s="319"/>
      <c r="C963" s="4933"/>
      <c r="D963" s="4803"/>
      <c r="E963" s="4667"/>
      <c r="F963" s="4367"/>
      <c r="G963" s="1450"/>
      <c r="H963" s="2284"/>
      <c r="I963" s="791"/>
      <c r="J963" s="791"/>
      <c r="K963" s="791"/>
      <c r="L963" s="2182"/>
      <c r="M963" s="363"/>
      <c r="N963" s="639"/>
      <c r="O963" s="168"/>
      <c r="P963" s="4369"/>
      <c r="Q963" s="522"/>
    </row>
    <row r="964" spans="1:17" s="4099" customFormat="1" ht="21" hidden="1" customHeight="1" x14ac:dyDescent="0.25">
      <c r="A964" s="4101"/>
      <c r="B964" s="4050"/>
      <c r="C964" s="4934" t="s">
        <v>5548</v>
      </c>
      <c r="D964" s="4795">
        <f>D965</f>
        <v>600000000</v>
      </c>
      <c r="E964" s="4845">
        <f>D964/127769792000*100</f>
        <v>0.46959456582663917</v>
      </c>
      <c r="F964" s="4170"/>
      <c r="G964" s="3605"/>
      <c r="H964" s="3605"/>
      <c r="I964" s="2845"/>
      <c r="J964" s="4170"/>
      <c r="K964" s="2533"/>
      <c r="L964" s="3471"/>
      <c r="M964" s="2533"/>
      <c r="N964" s="584"/>
    </row>
    <row r="965" spans="1:17" s="4099" customFormat="1" ht="21.75" hidden="1" customHeight="1" x14ac:dyDescent="0.25">
      <c r="A965" s="4101"/>
      <c r="B965" s="4119"/>
      <c r="C965" s="4925" t="s">
        <v>5546</v>
      </c>
      <c r="D965" s="4805">
        <f>D966</f>
        <v>600000000</v>
      </c>
      <c r="E965" s="4898">
        <f>D965/127769792000*100</f>
        <v>0.46959456582663917</v>
      </c>
      <c r="F965" s="677"/>
      <c r="G965" s="1470"/>
      <c r="H965" s="1470"/>
      <c r="I965" s="3360"/>
      <c r="J965" s="677"/>
      <c r="K965" s="2269"/>
      <c r="L965" s="2373"/>
      <c r="M965" s="2269"/>
      <c r="N965" s="3331"/>
    </row>
    <row r="966" spans="1:17" s="4099" customFormat="1" ht="22.5" hidden="1" customHeight="1" x14ac:dyDescent="0.25">
      <c r="A966" s="4101"/>
      <c r="B966" s="4119"/>
      <c r="C966" s="4719" t="s">
        <v>5547</v>
      </c>
      <c r="D966" s="4666">
        <v>600000000</v>
      </c>
      <c r="E966" s="4651">
        <f>D966/127769792000*100</f>
        <v>0.46959456582663917</v>
      </c>
      <c r="F966" s="4107"/>
      <c r="G966" s="1126"/>
      <c r="H966" s="1126"/>
      <c r="I966" s="894"/>
      <c r="J966" s="4107"/>
      <c r="K966" s="1315"/>
      <c r="L966" s="1717"/>
      <c r="M966" s="1315"/>
      <c r="N966" s="3330"/>
    </row>
    <row r="967" spans="1:17" s="4099" customFormat="1" ht="9.75" hidden="1" customHeight="1" x14ac:dyDescent="0.25">
      <c r="A967" s="4101"/>
      <c r="B967" s="4119"/>
      <c r="C967" s="4935"/>
      <c r="D967" s="4774"/>
      <c r="E967" s="4848"/>
      <c r="F967" s="651"/>
      <c r="G967" s="864"/>
      <c r="H967" s="864"/>
      <c r="I967" s="788"/>
      <c r="J967" s="651"/>
      <c r="K967" s="2285"/>
      <c r="L967" s="2281"/>
      <c r="M967" s="2285"/>
      <c r="N967" s="3333"/>
    </row>
    <row r="968" spans="1:17" s="4099" customFormat="1" ht="20.25" hidden="1" customHeight="1" x14ac:dyDescent="0.25">
      <c r="A968" s="4101"/>
      <c r="B968" s="4050"/>
      <c r="C968" s="4934" t="s">
        <v>5549</v>
      </c>
      <c r="D968" s="4795">
        <f>D969</f>
        <v>400000000</v>
      </c>
      <c r="E968" s="4845">
        <f>D968/127769792000*100</f>
        <v>0.31306304388442613</v>
      </c>
      <c r="F968" s="4170"/>
      <c r="G968" s="3605"/>
      <c r="H968" s="3605"/>
      <c r="I968" s="2845"/>
      <c r="J968" s="4170"/>
      <c r="K968" s="2533"/>
      <c r="L968" s="3471"/>
      <c r="M968" s="2533"/>
      <c r="N968" s="584"/>
    </row>
    <row r="969" spans="1:17" s="4099" customFormat="1" ht="20.25" hidden="1" customHeight="1" x14ac:dyDescent="0.25">
      <c r="A969" s="4101"/>
      <c r="B969" s="4119"/>
      <c r="C969" s="4925" t="s">
        <v>5157</v>
      </c>
      <c r="D969" s="4805">
        <f>D970</f>
        <v>400000000</v>
      </c>
      <c r="E969" s="4898">
        <f>D969/127769792000*100</f>
        <v>0.31306304388442613</v>
      </c>
      <c r="F969" s="677"/>
      <c r="G969" s="1470"/>
      <c r="H969" s="1470"/>
      <c r="I969" s="3360"/>
      <c r="J969" s="677"/>
      <c r="K969" s="2269"/>
      <c r="L969" s="2373"/>
      <c r="M969" s="2269"/>
      <c r="N969" s="3331"/>
    </row>
    <row r="970" spans="1:17" s="4099" customFormat="1" ht="22.5" hidden="1" customHeight="1" x14ac:dyDescent="0.25">
      <c r="A970" s="4101"/>
      <c r="B970" s="4119"/>
      <c r="C970" s="4719" t="s">
        <v>5550</v>
      </c>
      <c r="D970" s="4666">
        <v>400000000</v>
      </c>
      <c r="E970" s="4651">
        <f>D970/127769792000*100</f>
        <v>0.31306304388442613</v>
      </c>
      <c r="F970" s="4107"/>
      <c r="G970" s="1126"/>
      <c r="H970" s="1126"/>
      <c r="I970" s="894"/>
      <c r="J970" s="4107"/>
      <c r="K970" s="1315"/>
      <c r="L970" s="1717"/>
      <c r="M970" s="1315"/>
      <c r="N970" s="3330"/>
    </row>
    <row r="971" spans="1:17" s="4099" customFormat="1" ht="12" hidden="1" customHeight="1" x14ac:dyDescent="0.25">
      <c r="A971" s="4101"/>
      <c r="B971" s="4119"/>
      <c r="C971" s="4935"/>
      <c r="D971" s="4774"/>
      <c r="E971" s="4848"/>
      <c r="F971" s="651"/>
      <c r="G971" s="864"/>
      <c r="H971" s="864"/>
      <c r="I971" s="788"/>
      <c r="J971" s="651"/>
      <c r="K971" s="2285"/>
      <c r="L971" s="2281"/>
      <c r="M971" s="2285"/>
      <c r="N971" s="3333"/>
    </row>
    <row r="972" spans="1:17" s="4099" customFormat="1" ht="24.75" hidden="1" customHeight="1" x14ac:dyDescent="0.25">
      <c r="A972" s="4101"/>
      <c r="B972" s="4050"/>
      <c r="C972" s="4934" t="s">
        <v>5551</v>
      </c>
      <c r="D972" s="4795">
        <f>D973</f>
        <v>800000000</v>
      </c>
      <c r="E972" s="4845">
        <f>D972/127769792000*100</f>
        <v>0.62612608776885226</v>
      </c>
      <c r="F972" s="4170"/>
      <c r="G972" s="3605"/>
      <c r="H972" s="3605"/>
      <c r="I972" s="2845"/>
      <c r="J972" s="4170"/>
      <c r="K972" s="2533"/>
      <c r="L972" s="3471"/>
      <c r="M972" s="2533"/>
      <c r="N972" s="584"/>
    </row>
    <row r="973" spans="1:17" s="4099" customFormat="1" ht="22.5" hidden="1" customHeight="1" x14ac:dyDescent="0.25">
      <c r="A973" s="4101"/>
      <c r="B973" s="4119"/>
      <c r="C973" s="4925" t="s">
        <v>5159</v>
      </c>
      <c r="D973" s="4805">
        <f>D974</f>
        <v>800000000</v>
      </c>
      <c r="E973" s="4898">
        <f>D973/127769792000*100</f>
        <v>0.62612608776885226</v>
      </c>
      <c r="F973" s="677"/>
      <c r="G973" s="1470"/>
      <c r="H973" s="1470"/>
      <c r="I973" s="3360"/>
      <c r="J973" s="677"/>
      <c r="K973" s="2269"/>
      <c r="L973" s="2373"/>
      <c r="M973" s="2269"/>
      <c r="N973" s="3331"/>
    </row>
    <row r="974" spans="1:17" s="4099" customFormat="1" ht="22.5" hidden="1" customHeight="1" x14ac:dyDescent="0.25">
      <c r="A974" s="4101"/>
      <c r="B974" s="4119"/>
      <c r="C974" s="4719" t="s">
        <v>7100</v>
      </c>
      <c r="D974" s="4666">
        <v>800000000</v>
      </c>
      <c r="E974" s="4651">
        <f>D974/127769792000*100</f>
        <v>0.62612608776885226</v>
      </c>
      <c r="F974" s="4107"/>
      <c r="G974" s="1126"/>
      <c r="H974" s="1126"/>
      <c r="I974" s="894"/>
      <c r="J974" s="4107"/>
      <c r="K974" s="1315"/>
      <c r="L974" s="1717"/>
      <c r="M974" s="1315"/>
      <c r="N974" s="3330"/>
    </row>
    <row r="975" spans="1:17" s="4099" customFormat="1" ht="6.75" hidden="1" customHeight="1" x14ac:dyDescent="0.25">
      <c r="A975" s="4101"/>
      <c r="B975" s="4119"/>
      <c r="C975" s="4935"/>
      <c r="D975" s="4774"/>
      <c r="E975" s="4848"/>
      <c r="F975" s="651"/>
      <c r="G975" s="864"/>
      <c r="H975" s="864"/>
      <c r="I975" s="788"/>
      <c r="J975" s="651"/>
      <c r="K975" s="2285"/>
      <c r="L975" s="2281"/>
      <c r="M975" s="2285"/>
      <c r="N975" s="3333"/>
    </row>
    <row r="976" spans="1:17" s="3598" customFormat="1" ht="21.75" hidden="1" customHeight="1" x14ac:dyDescent="0.25">
      <c r="A976" s="3588"/>
      <c r="B976" s="4050"/>
      <c r="C976" s="4934" t="s">
        <v>5565</v>
      </c>
      <c r="D976" s="4795">
        <f>D977</f>
        <v>550000000</v>
      </c>
      <c r="E976" s="4845">
        <f>D976/127769792000*100</f>
        <v>0.43046168534108592</v>
      </c>
      <c r="F976" s="1373"/>
      <c r="G976" s="1445"/>
      <c r="H976" s="1445"/>
      <c r="I976" s="669"/>
      <c r="J976" s="1373"/>
      <c r="K976" s="2356"/>
      <c r="L976" s="2356"/>
      <c r="M976" s="2356"/>
      <c r="N976" s="4293"/>
    </row>
    <row r="977" spans="1:14" s="3598" customFormat="1" ht="20.25" hidden="1" customHeight="1" x14ac:dyDescent="0.25">
      <c r="A977" s="3588"/>
      <c r="B977" s="4119"/>
      <c r="C977" s="4925" t="s">
        <v>5161</v>
      </c>
      <c r="D977" s="4805">
        <f>D978</f>
        <v>550000000</v>
      </c>
      <c r="E977" s="4898">
        <f>D977/127769792000*100</f>
        <v>0.43046168534108592</v>
      </c>
      <c r="F977" s="4291"/>
      <c r="G977" s="1469"/>
      <c r="H977" s="1469"/>
      <c r="I977" s="889"/>
      <c r="J977" s="4291"/>
      <c r="K977" s="2562"/>
      <c r="L977" s="2562"/>
      <c r="M977" s="2562"/>
      <c r="N977" s="4292"/>
    </row>
    <row r="978" spans="1:14" s="4099" customFormat="1" ht="27.75" hidden="1" customHeight="1" x14ac:dyDescent="0.25">
      <c r="A978" s="4101"/>
      <c r="B978" s="4119"/>
      <c r="C978" s="4719" t="s">
        <v>5553</v>
      </c>
      <c r="D978" s="4666">
        <v>550000000</v>
      </c>
      <c r="E978" s="4651">
        <f>D978/127769792000*100</f>
        <v>0.43046168534108592</v>
      </c>
      <c r="F978" s="4107"/>
      <c r="G978" s="1126"/>
      <c r="H978" s="1126"/>
      <c r="I978" s="894"/>
      <c r="J978" s="4107"/>
      <c r="K978" s="1315"/>
      <c r="L978" s="1717"/>
      <c r="M978" s="1315"/>
      <c r="N978" s="3330"/>
    </row>
    <row r="979" spans="1:14" s="4099" customFormat="1" ht="6.75" hidden="1" customHeight="1" x14ac:dyDescent="0.25">
      <c r="A979" s="4101"/>
      <c r="B979" s="4119"/>
      <c r="C979" s="4935"/>
      <c r="D979" s="4774"/>
      <c r="E979" s="4848"/>
      <c r="F979" s="651"/>
      <c r="G979" s="864"/>
      <c r="H979" s="864"/>
      <c r="I979" s="788"/>
      <c r="J979" s="651"/>
      <c r="K979" s="2285"/>
      <c r="L979" s="2281"/>
      <c r="M979" s="2285"/>
      <c r="N979" s="3333"/>
    </row>
    <row r="980" spans="1:14" s="3598" customFormat="1" ht="18.75" hidden="1" customHeight="1" x14ac:dyDescent="0.25">
      <c r="A980" s="3588"/>
      <c r="B980" s="4050"/>
      <c r="C980" s="4934" t="s">
        <v>5570</v>
      </c>
      <c r="D980" s="4795">
        <f>D981</f>
        <v>500000000</v>
      </c>
      <c r="E980" s="4845">
        <f>D980/127769792000*100</f>
        <v>0.39132880485553262</v>
      </c>
      <c r="F980" s="1373"/>
      <c r="G980" s="1445"/>
      <c r="H980" s="1445"/>
      <c r="I980" s="669"/>
      <c r="J980" s="1373"/>
      <c r="K980" s="2356"/>
      <c r="L980" s="2356"/>
      <c r="M980" s="2356"/>
      <c r="N980" s="4293"/>
    </row>
    <row r="981" spans="1:14" s="3598" customFormat="1" ht="24" hidden="1" customHeight="1" x14ac:dyDescent="0.25">
      <c r="A981" s="3588"/>
      <c r="B981" s="4119"/>
      <c r="C981" s="4925" t="s">
        <v>5163</v>
      </c>
      <c r="D981" s="4805">
        <f>D982</f>
        <v>500000000</v>
      </c>
      <c r="E981" s="4898">
        <f>D981/127769792000*100</f>
        <v>0.39132880485553262</v>
      </c>
      <c r="F981" s="4291"/>
      <c r="G981" s="1469"/>
      <c r="H981" s="1469"/>
      <c r="I981" s="889"/>
      <c r="J981" s="4291"/>
      <c r="K981" s="2562"/>
      <c r="L981" s="2562"/>
      <c r="M981" s="2562"/>
      <c r="N981" s="4292"/>
    </row>
    <row r="982" spans="1:14" s="4099" customFormat="1" ht="24.75" hidden="1" customHeight="1" x14ac:dyDescent="0.25">
      <c r="A982" s="4101"/>
      <c r="B982" s="4119"/>
      <c r="C982" s="4719" t="s">
        <v>5554</v>
      </c>
      <c r="D982" s="4666">
        <v>500000000</v>
      </c>
      <c r="E982" s="4651">
        <f>D982/127769792000*100</f>
        <v>0.39132880485553262</v>
      </c>
      <c r="F982" s="4107"/>
      <c r="G982" s="1126"/>
      <c r="H982" s="1126"/>
      <c r="I982" s="894"/>
      <c r="J982" s="4107"/>
      <c r="K982" s="1315"/>
      <c r="L982" s="1717"/>
      <c r="M982" s="1315"/>
      <c r="N982" s="3330"/>
    </row>
    <row r="983" spans="1:14" s="4099" customFormat="1" ht="12.75" hidden="1" customHeight="1" x14ac:dyDescent="0.25">
      <c r="A983" s="4101"/>
      <c r="B983" s="4119"/>
      <c r="C983" s="4935"/>
      <c r="D983" s="4774"/>
      <c r="E983" s="4848"/>
      <c r="F983" s="651"/>
      <c r="G983" s="864"/>
      <c r="H983" s="864"/>
      <c r="I983" s="788"/>
      <c r="J983" s="651"/>
      <c r="K983" s="2285"/>
      <c r="L983" s="2281"/>
      <c r="M983" s="2285"/>
      <c r="N983" s="3333"/>
    </row>
    <row r="984" spans="1:14" s="3598" customFormat="1" ht="23.25" hidden="1" customHeight="1" x14ac:dyDescent="0.25">
      <c r="A984" s="3588"/>
      <c r="B984" s="4050"/>
      <c r="C984" s="4934" t="s">
        <v>5569</v>
      </c>
      <c r="D984" s="4795">
        <f>D985</f>
        <v>700000000</v>
      </c>
      <c r="E984" s="4845">
        <f>D984/127769792000*100</f>
        <v>0.54786032679774577</v>
      </c>
      <c r="F984" s="1373"/>
      <c r="G984" s="1445"/>
      <c r="H984" s="1445"/>
      <c r="I984" s="669"/>
      <c r="J984" s="1373"/>
      <c r="K984" s="2356"/>
      <c r="L984" s="2356"/>
      <c r="M984" s="2356"/>
      <c r="N984" s="4293"/>
    </row>
    <row r="985" spans="1:14" s="3598" customFormat="1" ht="22.5" hidden="1" customHeight="1" x14ac:dyDescent="0.25">
      <c r="A985" s="3588"/>
      <c r="B985" s="4119"/>
      <c r="C985" s="4925" t="s">
        <v>5165</v>
      </c>
      <c r="D985" s="4805">
        <f>D986</f>
        <v>700000000</v>
      </c>
      <c r="E985" s="4898">
        <f>D985/127769792000*100</f>
        <v>0.54786032679774577</v>
      </c>
      <c r="F985" s="4291"/>
      <c r="G985" s="1469"/>
      <c r="H985" s="1469"/>
      <c r="I985" s="889"/>
      <c r="J985" s="4291"/>
      <c r="K985" s="2562"/>
      <c r="L985" s="2562"/>
      <c r="M985" s="2562"/>
      <c r="N985" s="4292"/>
    </row>
    <row r="986" spans="1:14" s="4099" customFormat="1" ht="18" hidden="1" customHeight="1" x14ac:dyDescent="0.25">
      <c r="A986" s="4101"/>
      <c r="B986" s="4119"/>
      <c r="C986" s="4719" t="s">
        <v>5555</v>
      </c>
      <c r="D986" s="4666">
        <v>700000000</v>
      </c>
      <c r="E986" s="4651">
        <f>D986/127769792000*100</f>
        <v>0.54786032679774577</v>
      </c>
      <c r="F986" s="4107"/>
      <c r="G986" s="1126"/>
      <c r="H986" s="1126"/>
      <c r="I986" s="894"/>
      <c r="J986" s="4107"/>
      <c r="K986" s="1315"/>
      <c r="L986" s="1717"/>
      <c r="M986" s="1315"/>
      <c r="N986" s="3330"/>
    </row>
    <row r="987" spans="1:14" s="4099" customFormat="1" ht="9" hidden="1" customHeight="1" x14ac:dyDescent="0.25">
      <c r="A987" s="4101"/>
      <c r="B987" s="4119"/>
      <c r="C987" s="4935"/>
      <c r="D987" s="4774"/>
      <c r="E987" s="4848"/>
      <c r="F987" s="651"/>
      <c r="G987" s="864"/>
      <c r="H987" s="864"/>
      <c r="I987" s="788"/>
      <c r="J987" s="651"/>
      <c r="K987" s="2285"/>
      <c r="L987" s="2281"/>
      <c r="M987" s="2285"/>
      <c r="N987" s="3333"/>
    </row>
    <row r="988" spans="1:14" s="3598" customFormat="1" ht="18.75" hidden="1" customHeight="1" x14ac:dyDescent="0.25">
      <c r="A988" s="3588"/>
      <c r="B988" s="4050"/>
      <c r="C988" s="4934" t="s">
        <v>5568</v>
      </c>
      <c r="D988" s="4795">
        <f>D989</f>
        <v>300000000</v>
      </c>
      <c r="E988" s="4845">
        <f>D988/127769792000*100</f>
        <v>0.23479728291331958</v>
      </c>
      <c r="F988" s="1373"/>
      <c r="G988" s="1445"/>
      <c r="H988" s="1445"/>
      <c r="I988" s="669"/>
      <c r="J988" s="1373"/>
      <c r="K988" s="2356"/>
      <c r="L988" s="2356"/>
      <c r="M988" s="2356"/>
      <c r="N988" s="4293"/>
    </row>
    <row r="989" spans="1:14" s="3598" customFormat="1" ht="21.75" hidden="1" customHeight="1" x14ac:dyDescent="0.25">
      <c r="A989" s="3588"/>
      <c r="B989" s="4119"/>
      <c r="C989" s="4925" t="s">
        <v>5167</v>
      </c>
      <c r="D989" s="4805">
        <f>D990</f>
        <v>300000000</v>
      </c>
      <c r="E989" s="4898">
        <f>D989/127769792000*100</f>
        <v>0.23479728291331958</v>
      </c>
      <c r="F989" s="4291"/>
      <c r="G989" s="1469"/>
      <c r="H989" s="1469"/>
      <c r="I989" s="889"/>
      <c r="J989" s="4291"/>
      <c r="K989" s="2562"/>
      <c r="L989" s="2562"/>
      <c r="M989" s="2562"/>
      <c r="N989" s="4292"/>
    </row>
    <row r="990" spans="1:14" s="4099" customFormat="1" ht="22.5" hidden="1" customHeight="1" x14ac:dyDescent="0.25">
      <c r="A990" s="4101"/>
      <c r="B990" s="4119"/>
      <c r="C990" s="4719" t="s">
        <v>5556</v>
      </c>
      <c r="D990" s="4666">
        <v>300000000</v>
      </c>
      <c r="E990" s="4651">
        <f>D990/127769792000*100</f>
        <v>0.23479728291331958</v>
      </c>
      <c r="F990" s="4107"/>
      <c r="G990" s="1126"/>
      <c r="H990" s="1126"/>
      <c r="I990" s="894"/>
      <c r="J990" s="4107"/>
      <c r="K990" s="1315"/>
      <c r="L990" s="1717"/>
      <c r="M990" s="1315"/>
      <c r="N990" s="3330"/>
    </row>
    <row r="991" spans="1:14" s="4099" customFormat="1" ht="11.25" hidden="1" customHeight="1" x14ac:dyDescent="0.25">
      <c r="A991" s="4101"/>
      <c r="B991" s="4119"/>
      <c r="C991" s="4935"/>
      <c r="D991" s="4774"/>
      <c r="E991" s="4848"/>
      <c r="F991" s="651"/>
      <c r="G991" s="864"/>
      <c r="H991" s="864"/>
      <c r="I991" s="788"/>
      <c r="J991" s="651"/>
      <c r="K991" s="2285"/>
      <c r="L991" s="2281"/>
      <c r="M991" s="2285"/>
      <c r="N991" s="3333"/>
    </row>
    <row r="992" spans="1:14" s="3598" customFormat="1" ht="21.75" hidden="1" customHeight="1" x14ac:dyDescent="0.25">
      <c r="A992" s="3588"/>
      <c r="B992" s="4050"/>
      <c r="C992" s="4934" t="s">
        <v>5567</v>
      </c>
      <c r="D992" s="4795">
        <v>400000000</v>
      </c>
      <c r="E992" s="4845">
        <f>D992/127769792000*100</f>
        <v>0.31306304388442613</v>
      </c>
      <c r="F992" s="1373"/>
      <c r="G992" s="1445"/>
      <c r="H992" s="1445"/>
      <c r="I992" s="669"/>
      <c r="J992" s="1373"/>
      <c r="K992" s="2356"/>
      <c r="L992" s="2356"/>
      <c r="M992" s="2356"/>
      <c r="N992" s="4293"/>
    </row>
    <row r="993" spans="1:14" s="3598" customFormat="1" ht="27" hidden="1" customHeight="1" x14ac:dyDescent="0.25">
      <c r="A993" s="3588"/>
      <c r="B993" s="4119"/>
      <c r="C993" s="4925" t="s">
        <v>5169</v>
      </c>
      <c r="D993" s="4805">
        <v>400000000</v>
      </c>
      <c r="E993" s="4898">
        <f>D993/127769792000*100</f>
        <v>0.31306304388442613</v>
      </c>
      <c r="F993" s="4291"/>
      <c r="G993" s="1469"/>
      <c r="H993" s="1469"/>
      <c r="I993" s="889"/>
      <c r="J993" s="4291"/>
      <c r="K993" s="2562"/>
      <c r="L993" s="2562"/>
      <c r="M993" s="2562"/>
      <c r="N993" s="4292"/>
    </row>
    <row r="994" spans="1:14" s="4099" customFormat="1" ht="21" hidden="1" customHeight="1" x14ac:dyDescent="0.25">
      <c r="A994" s="4101"/>
      <c r="B994" s="4119"/>
      <c r="C994" s="4719" t="s">
        <v>5557</v>
      </c>
      <c r="D994" s="4666">
        <v>400000000</v>
      </c>
      <c r="E994" s="4651">
        <f>D994/127769792000*100</f>
        <v>0.31306304388442613</v>
      </c>
      <c r="F994" s="4107"/>
      <c r="G994" s="1126"/>
      <c r="H994" s="1126"/>
      <c r="I994" s="894"/>
      <c r="J994" s="4107"/>
      <c r="K994" s="1315"/>
      <c r="L994" s="1717"/>
      <c r="M994" s="1315"/>
      <c r="N994" s="3330"/>
    </row>
    <row r="995" spans="1:14" s="4099" customFormat="1" ht="9" hidden="1" customHeight="1" x14ac:dyDescent="0.25">
      <c r="A995" s="4101"/>
      <c r="B995" s="4119"/>
      <c r="C995" s="4935"/>
      <c r="D995" s="4774"/>
      <c r="E995" s="4848"/>
      <c r="F995" s="651"/>
      <c r="G995" s="864"/>
      <c r="H995" s="864"/>
      <c r="I995" s="788"/>
      <c r="J995" s="651"/>
      <c r="K995" s="2285"/>
      <c r="L995" s="2281"/>
      <c r="M995" s="2285"/>
      <c r="N995" s="3333"/>
    </row>
    <row r="996" spans="1:14" s="3598" customFormat="1" ht="21" hidden="1" customHeight="1" x14ac:dyDescent="0.25">
      <c r="A996" s="3588"/>
      <c r="B996" s="4050"/>
      <c r="C996" s="4934" t="s">
        <v>5566</v>
      </c>
      <c r="D996" s="4795">
        <f>D997</f>
        <v>380000000</v>
      </c>
      <c r="E996" s="4845">
        <f>D996/127769792000*100</f>
        <v>0.29740989169020482</v>
      </c>
      <c r="F996" s="1373"/>
      <c r="G996" s="1445"/>
      <c r="H996" s="1445"/>
      <c r="I996" s="669"/>
      <c r="J996" s="1373"/>
      <c r="K996" s="2356"/>
      <c r="L996" s="2356"/>
      <c r="M996" s="2356"/>
      <c r="N996" s="4293"/>
    </row>
    <row r="997" spans="1:14" s="3598" customFormat="1" ht="25.5" hidden="1" customHeight="1" x14ac:dyDescent="0.25">
      <c r="A997" s="3588"/>
      <c r="B997" s="4119"/>
      <c r="C997" s="4925" t="s">
        <v>5171</v>
      </c>
      <c r="D997" s="4805">
        <f>D998</f>
        <v>380000000</v>
      </c>
      <c r="E997" s="4898">
        <f>D997/127769792000*100</f>
        <v>0.29740989169020482</v>
      </c>
      <c r="F997" s="4291"/>
      <c r="G997" s="1469"/>
      <c r="H997" s="1469"/>
      <c r="I997" s="889"/>
      <c r="J997" s="4291"/>
      <c r="K997" s="2562"/>
      <c r="L997" s="2562"/>
      <c r="M997" s="2562"/>
      <c r="N997" s="4292"/>
    </row>
    <row r="998" spans="1:14" s="4099" customFormat="1" ht="25.5" hidden="1" customHeight="1" x14ac:dyDescent="0.25">
      <c r="A998" s="4101"/>
      <c r="B998" s="4119"/>
      <c r="C998" s="4719" t="s">
        <v>5558</v>
      </c>
      <c r="D998" s="4666">
        <v>380000000</v>
      </c>
      <c r="E998" s="4651">
        <f>D998/127769792000*100</f>
        <v>0.29740989169020482</v>
      </c>
      <c r="F998" s="4107"/>
      <c r="G998" s="1126"/>
      <c r="H998" s="1126"/>
      <c r="I998" s="894"/>
      <c r="J998" s="4107"/>
      <c r="K998" s="1315"/>
      <c r="L998" s="1717"/>
      <c r="M998" s="1315"/>
      <c r="N998" s="3330"/>
    </row>
    <row r="999" spans="1:14" s="4099" customFormat="1" ht="8.25" hidden="1" customHeight="1" x14ac:dyDescent="0.25">
      <c r="A999" s="4101"/>
      <c r="B999" s="4119"/>
      <c r="C999" s="4935"/>
      <c r="D999" s="4774"/>
      <c r="E999" s="4848"/>
      <c r="F999" s="651"/>
      <c r="G999" s="864"/>
      <c r="H999" s="864"/>
      <c r="I999" s="788"/>
      <c r="J999" s="651"/>
      <c r="K999" s="2285"/>
      <c r="L999" s="2281"/>
      <c r="M999" s="2285"/>
      <c r="N999" s="3333"/>
    </row>
    <row r="1000" spans="1:14" s="3598" customFormat="1" ht="22.5" hidden="1" customHeight="1" x14ac:dyDescent="0.25">
      <c r="A1000" s="3588"/>
      <c r="B1000" s="4050"/>
      <c r="C1000" s="4934" t="s">
        <v>5571</v>
      </c>
      <c r="D1000" s="4795">
        <f>D1001</f>
        <v>400000000</v>
      </c>
      <c r="E1000" s="4845">
        <f>D1000/127769792000*100</f>
        <v>0.31306304388442613</v>
      </c>
      <c r="F1000" s="1373"/>
      <c r="G1000" s="1445"/>
      <c r="H1000" s="1445"/>
      <c r="I1000" s="669"/>
      <c r="J1000" s="1373"/>
      <c r="K1000" s="2356"/>
      <c r="L1000" s="2356"/>
      <c r="M1000" s="2356"/>
      <c r="N1000" s="4293"/>
    </row>
    <row r="1001" spans="1:14" s="3598" customFormat="1" ht="23.25" hidden="1" customHeight="1" x14ac:dyDescent="0.25">
      <c r="A1001" s="3588"/>
      <c r="B1001" s="4119"/>
      <c r="C1001" s="4925" t="s">
        <v>5173</v>
      </c>
      <c r="D1001" s="4805">
        <f>D1002</f>
        <v>400000000</v>
      </c>
      <c r="E1001" s="4898">
        <f>D1001/127769792000*100</f>
        <v>0.31306304388442613</v>
      </c>
      <c r="F1001" s="4291"/>
      <c r="G1001" s="1469"/>
      <c r="H1001" s="1469"/>
      <c r="I1001" s="889"/>
      <c r="J1001" s="4291"/>
      <c r="K1001" s="2562"/>
      <c r="L1001" s="2562"/>
      <c r="M1001" s="2562"/>
      <c r="N1001" s="4292"/>
    </row>
    <row r="1002" spans="1:14" s="3387" customFormat="1" ht="22.5" hidden="1" customHeight="1" x14ac:dyDescent="0.25">
      <c r="A1002" s="3587"/>
      <c r="B1002" s="2910"/>
      <c r="C1002" s="4719" t="s">
        <v>5559</v>
      </c>
      <c r="D1002" s="4666">
        <v>400000000</v>
      </c>
      <c r="E1002" s="4651">
        <f>D1002/127769792000*100</f>
        <v>0.31306304388442613</v>
      </c>
      <c r="F1002" s="3681"/>
      <c r="G1002" s="1126"/>
      <c r="H1002" s="1126"/>
      <c r="I1002" s="666"/>
      <c r="J1002" s="3681"/>
      <c r="K1002" s="1717"/>
      <c r="L1002" s="1717"/>
      <c r="M1002" s="1717"/>
      <c r="N1002" s="4290"/>
    </row>
    <row r="1003" spans="1:14" s="3387" customFormat="1" ht="9.75" hidden="1" customHeight="1" x14ac:dyDescent="0.25">
      <c r="A1003" s="3587"/>
      <c r="B1003" s="2910"/>
      <c r="C1003" s="4935"/>
      <c r="D1003" s="4774"/>
      <c r="E1003" s="4848"/>
      <c r="F1003" s="4294"/>
      <c r="G1003" s="864"/>
      <c r="H1003" s="864"/>
      <c r="I1003" s="868"/>
      <c r="J1003" s="4294"/>
      <c r="K1003" s="2281"/>
      <c r="L1003" s="2281"/>
      <c r="M1003" s="2281"/>
      <c r="N1003" s="4295"/>
    </row>
    <row r="1004" spans="1:14" s="3598" customFormat="1" ht="23.25" hidden="1" customHeight="1" x14ac:dyDescent="0.25">
      <c r="A1004" s="3588"/>
      <c r="B1004" s="4050"/>
      <c r="C1004" s="4934" t="s">
        <v>5572</v>
      </c>
      <c r="D1004" s="4795">
        <f>D1005</f>
        <v>335000000</v>
      </c>
      <c r="E1004" s="4845">
        <f>D1004/127769792000*100</f>
        <v>0.26219029925320686</v>
      </c>
      <c r="F1004" s="1373"/>
      <c r="G1004" s="4297"/>
      <c r="H1004" s="4297"/>
      <c r="I1004" s="669"/>
      <c r="J1004" s="1373"/>
      <c r="K1004" s="2356"/>
      <c r="L1004" s="2547"/>
      <c r="M1004" s="2356"/>
      <c r="N1004" s="4293"/>
    </row>
    <row r="1005" spans="1:14" s="3598" customFormat="1" ht="24.75" hidden="1" customHeight="1" x14ac:dyDescent="0.25">
      <c r="A1005" s="3588"/>
      <c r="B1005" s="4119"/>
      <c r="C1005" s="4925" t="s">
        <v>5185</v>
      </c>
      <c r="D1005" s="4805">
        <f>D1006</f>
        <v>335000000</v>
      </c>
      <c r="E1005" s="4898">
        <f>D1005/127769792000*100</f>
        <v>0.26219029925320686</v>
      </c>
      <c r="F1005" s="4291"/>
      <c r="G1005" s="4296"/>
      <c r="H1005" s="4296"/>
      <c r="I1005" s="889"/>
      <c r="J1005" s="4291"/>
      <c r="K1005" s="2562"/>
      <c r="L1005" s="4162"/>
      <c r="M1005" s="2562"/>
      <c r="N1005" s="4292"/>
    </row>
    <row r="1006" spans="1:14" s="3387" customFormat="1" ht="24" hidden="1" customHeight="1" x14ac:dyDescent="0.25">
      <c r="A1006" s="3587"/>
      <c r="B1006" s="2910"/>
      <c r="C1006" s="4719" t="s">
        <v>5560</v>
      </c>
      <c r="D1006" s="4666">
        <v>335000000</v>
      </c>
      <c r="E1006" s="4651">
        <f>D1006/127769792000*100</f>
        <v>0.26219029925320686</v>
      </c>
      <c r="F1006" s="3681"/>
      <c r="G1006" s="1126"/>
      <c r="H1006" s="1126"/>
      <c r="I1006" s="666"/>
      <c r="J1006" s="3681"/>
      <c r="K1006" s="1717"/>
      <c r="L1006" s="1717"/>
      <c r="M1006" s="1717"/>
      <c r="N1006" s="4298"/>
    </row>
    <row r="1007" spans="1:14" s="4099" customFormat="1" ht="10.5" hidden="1" customHeight="1" x14ac:dyDescent="0.25">
      <c r="A1007" s="4101"/>
      <c r="B1007" s="4119"/>
      <c r="C1007" s="4936"/>
      <c r="D1007" s="4659"/>
      <c r="E1007" s="4667"/>
      <c r="F1007" s="4108"/>
      <c r="G1007" s="1450"/>
      <c r="H1007" s="2284"/>
      <c r="I1007" s="969"/>
      <c r="J1007" s="4108"/>
      <c r="K1007" s="2279"/>
      <c r="L1007" s="2265"/>
      <c r="M1007" s="2182"/>
      <c r="N1007" s="577"/>
    </row>
    <row r="1008" spans="1:14" s="3598" customFormat="1" ht="23.25" hidden="1" customHeight="1" x14ac:dyDescent="0.25">
      <c r="A1008" s="3588"/>
      <c r="B1008" s="4050"/>
      <c r="C1008" s="4934" t="s">
        <v>5573</v>
      </c>
      <c r="D1008" s="4795">
        <f>D1009</f>
        <v>335000000</v>
      </c>
      <c r="E1008" s="4845">
        <f>D1008/127769792000*100</f>
        <v>0.26219029925320686</v>
      </c>
      <c r="F1008" s="1373"/>
      <c r="G1008" s="4297"/>
      <c r="H1008" s="4297"/>
      <c r="I1008" s="669"/>
      <c r="J1008" s="1373"/>
      <c r="K1008" s="2356"/>
      <c r="L1008" s="2547"/>
      <c r="M1008" s="2356"/>
      <c r="N1008" s="4293"/>
    </row>
    <row r="1009" spans="1:17" s="3598" customFormat="1" ht="19.5" hidden="1" customHeight="1" x14ac:dyDescent="0.25">
      <c r="A1009" s="3588"/>
      <c r="B1009" s="4119"/>
      <c r="C1009" s="4937" t="s">
        <v>5561</v>
      </c>
      <c r="D1009" s="4841">
        <f>D1010</f>
        <v>335000000</v>
      </c>
      <c r="E1009" s="4898">
        <f>D1009/127769792000*100</f>
        <v>0.26219029925320686</v>
      </c>
      <c r="F1009" s="1361"/>
      <c r="G1009" s="4168"/>
      <c r="H1009" s="4169"/>
      <c r="I1009" s="667"/>
      <c r="J1009" s="1361"/>
      <c r="K1009" s="3691"/>
      <c r="L1009" s="2461"/>
      <c r="M1009" s="1671"/>
      <c r="N1009" s="551"/>
    </row>
    <row r="1010" spans="1:17" s="3387" customFormat="1" ht="28.5" hidden="1" customHeight="1" x14ac:dyDescent="0.25">
      <c r="A1010" s="3587"/>
      <c r="B1010" s="2910"/>
      <c r="C1010" s="4719" t="s">
        <v>5562</v>
      </c>
      <c r="D1010" s="4666">
        <v>335000000</v>
      </c>
      <c r="E1010" s="4651">
        <f>D1010/127769792000*100</f>
        <v>0.26219029925320686</v>
      </c>
      <c r="F1010" s="3681"/>
      <c r="G1010" s="1126"/>
      <c r="H1010" s="1126"/>
      <c r="I1010" s="666"/>
      <c r="J1010" s="3681"/>
      <c r="K1010" s="1717"/>
      <c r="L1010" s="1717"/>
      <c r="M1010" s="1717"/>
      <c r="N1010" s="4298"/>
    </row>
    <row r="1011" spans="1:17" s="4099" customFormat="1" ht="12" hidden="1" customHeight="1" x14ac:dyDescent="0.25">
      <c r="A1011" s="4101"/>
      <c r="B1011" s="4119"/>
      <c r="C1011" s="4936"/>
      <c r="D1011" s="4659"/>
      <c r="E1011" s="4667"/>
      <c r="F1011" s="4108"/>
      <c r="G1011" s="1450"/>
      <c r="H1011" s="2284"/>
      <c r="I1011" s="969"/>
      <c r="J1011" s="4108"/>
      <c r="K1011" s="2279"/>
      <c r="L1011" s="2265"/>
      <c r="M1011" s="2182"/>
      <c r="N1011" s="577"/>
    </row>
    <row r="1012" spans="1:17" s="3598" customFormat="1" ht="23.25" hidden="1" customHeight="1" x14ac:dyDescent="0.25">
      <c r="A1012" s="3588"/>
      <c r="B1012" s="4050"/>
      <c r="C1012" s="4934" t="s">
        <v>5896</v>
      </c>
      <c r="D1012" s="4795">
        <f>D1013</f>
        <v>300000000</v>
      </c>
      <c r="E1012" s="4845">
        <f>D1012/127769792000*100</f>
        <v>0.23479728291331958</v>
      </c>
      <c r="F1012" s="1373"/>
      <c r="G1012" s="4297"/>
      <c r="H1012" s="4297"/>
      <c r="I1012" s="669"/>
      <c r="J1012" s="1373"/>
      <c r="K1012" s="2356"/>
      <c r="L1012" s="2547"/>
      <c r="M1012" s="2356"/>
      <c r="N1012" s="4293"/>
    </row>
    <row r="1013" spans="1:17" s="3598" customFormat="1" ht="25.5" hidden="1" customHeight="1" x14ac:dyDescent="0.25">
      <c r="A1013" s="3588"/>
      <c r="B1013" s="4119"/>
      <c r="C1013" s="4937" t="s">
        <v>5563</v>
      </c>
      <c r="D1013" s="4841">
        <f>D1014</f>
        <v>300000000</v>
      </c>
      <c r="E1013" s="4898">
        <f>D1013/127769792000*100</f>
        <v>0.23479728291331958</v>
      </c>
      <c r="F1013" s="1361"/>
      <c r="G1013" s="4168"/>
      <c r="H1013" s="4169"/>
      <c r="I1013" s="667"/>
      <c r="J1013" s="1361"/>
      <c r="K1013" s="3691"/>
      <c r="L1013" s="2461"/>
      <c r="M1013" s="1671"/>
      <c r="N1013" s="551"/>
    </row>
    <row r="1014" spans="1:17" s="4099" customFormat="1" ht="27.75" hidden="1" customHeight="1" x14ac:dyDescent="0.25">
      <c r="A1014" s="4101"/>
      <c r="B1014" s="4119"/>
      <c r="C1014" s="4719" t="s">
        <v>5564</v>
      </c>
      <c r="D1014" s="4666">
        <v>300000000</v>
      </c>
      <c r="E1014" s="4651">
        <f>D1014/127769792000*100</f>
        <v>0.23479728291331958</v>
      </c>
      <c r="F1014" s="4107"/>
      <c r="G1014" s="1126"/>
      <c r="H1014" s="1126"/>
      <c r="I1014" s="894"/>
      <c r="J1014" s="4107"/>
      <c r="K1014" s="1315"/>
      <c r="L1014" s="1717"/>
      <c r="M1014" s="1315"/>
      <c r="N1014" s="4110"/>
    </row>
    <row r="1015" spans="1:17" s="4099" customFormat="1" ht="13.5" hidden="1" customHeight="1" x14ac:dyDescent="0.25">
      <c r="A1015" s="4101"/>
      <c r="B1015" s="4119"/>
      <c r="C1015" s="4936"/>
      <c r="D1015" s="4659"/>
      <c r="E1015" s="4667"/>
      <c r="F1015" s="4108"/>
      <c r="G1015" s="1450"/>
      <c r="H1015" s="2284"/>
      <c r="I1015" s="969"/>
      <c r="J1015" s="4108"/>
      <c r="K1015" s="2279"/>
      <c r="L1015" s="2265"/>
      <c r="M1015" s="2182"/>
      <c r="N1015" s="577"/>
    </row>
    <row r="1016" spans="1:17" s="4099" customFormat="1" ht="24.75" hidden="1" customHeight="1" x14ac:dyDescent="0.25">
      <c r="A1016" s="4101"/>
      <c r="B1016" s="4050"/>
      <c r="C1016" s="4684" t="s">
        <v>5574</v>
      </c>
      <c r="D1016" s="4661">
        <f>SUM(D1017+D1020)</f>
        <v>8044000000</v>
      </c>
      <c r="E1016" s="4845">
        <f>D1016/127769792000*100</f>
        <v>6.2956978125158098</v>
      </c>
      <c r="F1016" s="3631"/>
      <c r="G1016" s="614"/>
      <c r="H1016" s="1445"/>
      <c r="I1016" s="669"/>
      <c r="J1016" s="3631"/>
      <c r="K1016" s="3631"/>
      <c r="L1016" s="2547"/>
      <c r="M1016" s="2356"/>
      <c r="N1016" s="584"/>
    </row>
    <row r="1017" spans="1:17" s="4099" customFormat="1" ht="20.25" hidden="1" customHeight="1" x14ac:dyDescent="0.25">
      <c r="A1017" s="4101"/>
      <c r="B1017" s="2917"/>
      <c r="C1017" s="4657" t="s">
        <v>5575</v>
      </c>
      <c r="D1017" s="4849">
        <f>SUM(D1018)</f>
        <v>4776000000</v>
      </c>
      <c r="E1017" s="4898">
        <f>D1017/127769792000*100</f>
        <v>3.7379727439800483</v>
      </c>
      <c r="F1017" s="3625"/>
      <c r="G1017" s="609"/>
      <c r="H1017" s="2541"/>
      <c r="I1017" s="2409"/>
      <c r="J1017" s="3625"/>
      <c r="K1017" s="3625"/>
      <c r="L1017" s="2470"/>
      <c r="M1017" s="1671"/>
      <c r="N1017" s="4110"/>
    </row>
    <row r="1018" spans="1:17" s="4099" customFormat="1" ht="20.25" hidden="1" customHeight="1" x14ac:dyDescent="0.25">
      <c r="A1018" s="4101"/>
      <c r="B1018" s="4119"/>
      <c r="C1018" s="4668" t="s">
        <v>5576</v>
      </c>
      <c r="D1018" s="4669">
        <v>4776000000</v>
      </c>
      <c r="E1018" s="4651">
        <f>D1018/127769792000*100</f>
        <v>3.7379727439800483</v>
      </c>
      <c r="F1018" s="3638"/>
      <c r="G1018" s="608"/>
      <c r="H1018" s="2539"/>
      <c r="I1018" s="1314"/>
      <c r="J1018" s="3638"/>
      <c r="K1018" s="1314"/>
      <c r="L1018" s="1312"/>
      <c r="M1018" s="1312"/>
      <c r="N1018" s="4109"/>
    </row>
    <row r="1019" spans="1:17" s="4099" customFormat="1" ht="14.25" hidden="1" customHeight="1" x14ac:dyDescent="0.25">
      <c r="A1019" s="4101"/>
      <c r="B1019" s="4119"/>
      <c r="C1019" s="4668"/>
      <c r="D1019" s="4669"/>
      <c r="E1019" s="4651"/>
      <c r="F1019" s="3638"/>
      <c r="G1019" s="613"/>
      <c r="H1019" s="1474"/>
      <c r="I1019" s="1314"/>
      <c r="J1019" s="3638"/>
      <c r="K1019" s="1311"/>
      <c r="L1019" s="1312"/>
      <c r="M1019" s="1311"/>
      <c r="N1019" s="4109"/>
    </row>
    <row r="1020" spans="1:17" s="4099" customFormat="1" ht="28.5" hidden="1" customHeight="1" x14ac:dyDescent="0.25">
      <c r="A1020" s="4101"/>
      <c r="B1020" s="4119"/>
      <c r="C1020" s="4723" t="s">
        <v>5577</v>
      </c>
      <c r="D1020" s="4687">
        <f>SUM(D1021)</f>
        <v>3268000000</v>
      </c>
      <c r="E1020" s="4672">
        <f t="shared" ref="E1020:E1021" si="30">D1020/127769792000*100</f>
        <v>2.5577250685357615</v>
      </c>
      <c r="F1020" s="3639"/>
      <c r="G1020" s="3639"/>
      <c r="H1020" s="3639"/>
      <c r="I1020" s="3639"/>
      <c r="J1020" s="3639"/>
      <c r="K1020" s="3639"/>
      <c r="L1020" s="2467"/>
      <c r="M1020" s="2467"/>
      <c r="N1020" s="4109"/>
    </row>
    <row r="1021" spans="1:17" s="4099" customFormat="1" ht="27.75" hidden="1" customHeight="1" x14ac:dyDescent="0.25">
      <c r="A1021" s="4101"/>
      <c r="B1021" s="4119"/>
      <c r="C1021" s="4668" t="s">
        <v>5578</v>
      </c>
      <c r="D1021" s="4669">
        <v>3268000000</v>
      </c>
      <c r="E1021" s="4651">
        <f t="shared" si="30"/>
        <v>2.5577250685357615</v>
      </c>
      <c r="F1021" s="3638"/>
      <c r="G1021" s="3638"/>
      <c r="H1021" s="3638"/>
      <c r="I1021" s="3638"/>
      <c r="J1021" s="2000"/>
      <c r="K1021" s="2001"/>
      <c r="L1021" s="1312"/>
      <c r="M1021" s="1312"/>
      <c r="N1021" s="4109"/>
    </row>
    <row r="1022" spans="1:17" ht="16.5" hidden="1" customHeight="1" thickBot="1" x14ac:dyDescent="0.3">
      <c r="B1022" s="316"/>
      <c r="C1022" s="4653"/>
      <c r="D1022" s="4953"/>
      <c r="E1022" s="4696"/>
      <c r="F1022" s="777"/>
      <c r="G1022" s="3144"/>
      <c r="H1022" s="1651"/>
      <c r="I1022" s="2295"/>
      <c r="J1022" s="3145"/>
      <c r="K1022" s="3146"/>
      <c r="L1022" s="3147"/>
      <c r="M1022" s="651"/>
      <c r="N1022" s="279"/>
    </row>
    <row r="1023" spans="1:17" s="221" customFormat="1" ht="21" customHeight="1" thickBot="1" x14ac:dyDescent="0.3">
      <c r="B1023" s="597"/>
      <c r="C1023" s="4850" t="s">
        <v>18</v>
      </c>
      <c r="D1023" s="5016">
        <f>SUM(D15+D45)</f>
        <v>407791511098</v>
      </c>
      <c r="E1023" s="4851">
        <f>D1023/407791511098*100</f>
        <v>100</v>
      </c>
      <c r="F1023" s="3149"/>
      <c r="G1023" s="3149"/>
      <c r="H1023" s="3150"/>
      <c r="I1023" s="3149"/>
      <c r="J1023" s="3149"/>
      <c r="K1023" s="3149"/>
      <c r="L1023" s="3151"/>
      <c r="M1023" s="1226"/>
      <c r="N1023" s="598"/>
      <c r="P1023" s="2067"/>
      <c r="Q1023" s="2067"/>
    </row>
    <row r="1024" spans="1:17" ht="14.1" customHeight="1" thickTop="1" x14ac:dyDescent="0.25">
      <c r="B1024" s="333"/>
      <c r="C1024" s="4852"/>
      <c r="D1024" s="5017"/>
      <c r="E1024" s="4853"/>
      <c r="F1024" s="336"/>
      <c r="G1024" s="3152"/>
      <c r="H1024" s="2892"/>
      <c r="I1024" s="2591"/>
      <c r="J1024" s="2939"/>
      <c r="K1024" s="2939"/>
      <c r="L1024" s="2592"/>
      <c r="M1024" s="380"/>
      <c r="N1024" s="168"/>
    </row>
    <row r="1025" spans="1:17" ht="20.100000000000001" customHeight="1" x14ac:dyDescent="0.25">
      <c r="B1025" s="347"/>
      <c r="C1025" s="4854"/>
      <c r="D1025" s="5363"/>
      <c r="E1025" s="4853"/>
      <c r="F1025" s="3153"/>
      <c r="G1025" s="3152"/>
      <c r="H1025" s="2892"/>
      <c r="I1025" s="2593"/>
      <c r="J1025" s="2939"/>
      <c r="K1025" s="2939"/>
      <c r="L1025" s="2592"/>
      <c r="M1025" s="1227"/>
      <c r="N1025" s="168"/>
    </row>
    <row r="1026" spans="1:17" s="270" customFormat="1" x14ac:dyDescent="0.25">
      <c r="A1026" s="3024"/>
      <c r="B1026" s="5769"/>
      <c r="C1026" s="5769"/>
      <c r="D1026" s="5769"/>
      <c r="E1026" s="4637"/>
      <c r="F1026" s="740"/>
      <c r="G1026" s="905"/>
      <c r="H1026" s="500"/>
      <c r="I1026" s="2188"/>
      <c r="J1026" s="500"/>
      <c r="K1026" s="500"/>
      <c r="L1026" s="462"/>
      <c r="M1026" s="1228" t="s">
        <v>7123</v>
      </c>
      <c r="N1026" s="462"/>
      <c r="O1026" s="3024"/>
      <c r="P1026" s="522"/>
      <c r="Q1026" s="2150"/>
    </row>
    <row r="1027" spans="1:17" s="270" customFormat="1" x14ac:dyDescent="0.25">
      <c r="A1027" s="3024"/>
      <c r="B1027" s="343"/>
      <c r="C1027" s="4938"/>
      <c r="D1027" s="5018"/>
      <c r="E1027" s="4637"/>
      <c r="F1027" s="740"/>
      <c r="G1027" s="905"/>
      <c r="H1027" s="500"/>
      <c r="I1027" s="2188"/>
      <c r="J1027" s="500"/>
      <c r="K1027" s="500"/>
      <c r="L1027" s="462"/>
      <c r="M1027" s="1228" t="s">
        <v>2069</v>
      </c>
      <c r="N1027" s="462"/>
      <c r="O1027" s="3024"/>
      <c r="P1027" s="522"/>
      <c r="Q1027" s="2150"/>
    </row>
    <row r="1028" spans="1:17" s="270" customFormat="1" x14ac:dyDescent="0.25">
      <c r="A1028" s="3024"/>
      <c r="B1028" s="343"/>
      <c r="C1028" s="4938"/>
      <c r="D1028" s="4855"/>
      <c r="E1028" s="4637"/>
      <c r="F1028" s="740"/>
      <c r="G1028" s="905"/>
      <c r="H1028" s="500"/>
      <c r="I1028" s="2188"/>
      <c r="J1028" s="500"/>
      <c r="K1028" s="500"/>
      <c r="L1028" s="462"/>
      <c r="M1028" s="1228" t="s">
        <v>2067</v>
      </c>
      <c r="N1028" s="462"/>
      <c r="O1028" s="3024"/>
      <c r="P1028" s="522"/>
      <c r="Q1028" s="2150"/>
    </row>
    <row r="1029" spans="1:17" s="270" customFormat="1" x14ac:dyDescent="0.25">
      <c r="A1029" s="3024"/>
      <c r="B1029" s="343"/>
      <c r="C1029" s="4938"/>
      <c r="D1029" s="4855"/>
      <c r="E1029" s="4637"/>
      <c r="F1029" s="740"/>
      <c r="G1029" s="905"/>
      <c r="H1029" s="500"/>
      <c r="I1029" s="2188"/>
      <c r="J1029" s="500"/>
      <c r="K1029" s="500"/>
      <c r="L1029" s="462"/>
      <c r="M1029" s="462"/>
      <c r="N1029" s="462"/>
      <c r="O1029" s="3024"/>
      <c r="P1029" s="522"/>
      <c r="Q1029" s="2150"/>
    </row>
    <row r="1030" spans="1:17" s="270" customFormat="1" x14ac:dyDescent="0.25">
      <c r="A1030" s="3024"/>
      <c r="B1030" s="343"/>
      <c r="C1030" s="4938"/>
      <c r="D1030" s="4855"/>
      <c r="E1030" s="4637"/>
      <c r="F1030" s="740"/>
      <c r="G1030" s="905"/>
      <c r="H1030" s="500"/>
      <c r="I1030" s="2188"/>
      <c r="J1030" s="500"/>
      <c r="K1030" s="500"/>
      <c r="L1030" s="462"/>
      <c r="M1030" s="462"/>
      <c r="N1030" s="462"/>
      <c r="O1030" s="3024"/>
      <c r="P1030" s="522"/>
      <c r="Q1030" s="2150"/>
    </row>
    <row r="1031" spans="1:17" s="270" customFormat="1" x14ac:dyDescent="0.25">
      <c r="A1031" s="3024"/>
      <c r="B1031" s="343"/>
      <c r="C1031" s="4938"/>
      <c r="D1031" s="4855"/>
      <c r="E1031" s="4637"/>
      <c r="F1031" s="740"/>
      <c r="G1031" s="905"/>
      <c r="H1031" s="500"/>
      <c r="I1031" s="2188"/>
      <c r="J1031" s="500"/>
      <c r="K1031" s="500"/>
      <c r="L1031" s="462"/>
      <c r="M1031" s="462"/>
      <c r="N1031" s="462"/>
      <c r="O1031" s="3024"/>
      <c r="P1031" s="522"/>
      <c r="Q1031" s="2150"/>
    </row>
    <row r="1032" spans="1:17" s="270" customFormat="1" x14ac:dyDescent="0.25">
      <c r="A1032" s="3024"/>
      <c r="B1032" s="343"/>
      <c r="C1032" s="4938"/>
      <c r="D1032" s="5018"/>
      <c r="E1032" s="4637"/>
      <c r="F1032" s="740"/>
      <c r="G1032" s="905"/>
      <c r="H1032" s="500"/>
      <c r="I1032" s="2188"/>
      <c r="J1032" s="500"/>
      <c r="K1032" s="500"/>
      <c r="L1032" s="462"/>
      <c r="M1032" s="462"/>
      <c r="N1032" s="462"/>
      <c r="O1032" s="3024"/>
      <c r="P1032" s="522"/>
      <c r="Q1032" s="2150"/>
    </row>
    <row r="1033" spans="1:17" s="270" customFormat="1" x14ac:dyDescent="0.25">
      <c r="A1033" s="3024"/>
      <c r="B1033" s="343"/>
      <c r="C1033" s="4854"/>
      <c r="D1033" s="4854"/>
      <c r="E1033" s="4637"/>
      <c r="F1033" s="740"/>
      <c r="G1033" s="905"/>
      <c r="H1033" s="500"/>
      <c r="I1033" s="2188"/>
      <c r="J1033" s="500"/>
      <c r="K1033" s="500"/>
      <c r="L1033" s="462"/>
      <c r="M1033" s="462"/>
      <c r="N1033" s="462"/>
      <c r="O1033" s="3024"/>
      <c r="P1033" s="522"/>
      <c r="Q1033" s="2150"/>
    </row>
    <row r="1034" spans="1:17" s="270" customFormat="1" x14ac:dyDescent="0.25">
      <c r="A1034" s="3024"/>
      <c r="B1034" s="343"/>
      <c r="C1034" s="4854"/>
      <c r="D1034" s="4854"/>
      <c r="E1034" s="4637"/>
      <c r="F1034" s="740"/>
      <c r="G1034" s="905"/>
      <c r="H1034" s="500"/>
      <c r="I1034" s="2188"/>
      <c r="J1034" s="500"/>
      <c r="K1034" s="500"/>
      <c r="L1034" s="5786" t="s">
        <v>2070</v>
      </c>
      <c r="M1034" s="5786"/>
      <c r="N1034" s="5786"/>
      <c r="O1034" s="3024"/>
      <c r="P1034" s="522"/>
      <c r="Q1034" s="2150"/>
    </row>
    <row r="1035" spans="1:17" s="270" customFormat="1" x14ac:dyDescent="0.25">
      <c r="A1035" s="3024"/>
      <c r="B1035" s="343"/>
      <c r="C1035" s="4938"/>
      <c r="D1035" s="5018"/>
      <c r="E1035" s="4637"/>
      <c r="F1035" s="740"/>
      <c r="G1035" s="905"/>
      <c r="H1035" s="500"/>
      <c r="I1035" s="2188"/>
      <c r="J1035" s="500"/>
      <c r="K1035" s="500"/>
      <c r="L1035" s="5787" t="s">
        <v>2071</v>
      </c>
      <c r="M1035" s="5787"/>
      <c r="N1035" s="5787"/>
      <c r="O1035" s="3024"/>
      <c r="P1035" s="522"/>
      <c r="Q1035" s="2150"/>
    </row>
    <row r="1036" spans="1:17" s="270" customFormat="1" x14ac:dyDescent="0.25">
      <c r="A1036" s="3024"/>
      <c r="B1036" s="343"/>
      <c r="C1036" s="4938"/>
      <c r="D1036" s="5018"/>
      <c r="E1036" s="4637"/>
      <c r="F1036" s="740"/>
      <c r="G1036" s="905"/>
      <c r="H1036" s="500"/>
      <c r="I1036" s="2188"/>
      <c r="J1036" s="500"/>
      <c r="K1036" s="500"/>
      <c r="L1036" s="2190"/>
      <c r="M1036" s="3002" t="s">
        <v>2072</v>
      </c>
      <c r="N1036" s="210"/>
      <c r="O1036" s="3024"/>
      <c r="P1036" s="522"/>
      <c r="Q1036" s="2150"/>
    </row>
    <row r="1037" spans="1:17" s="270" customFormat="1" x14ac:dyDescent="0.25">
      <c r="A1037" s="3024"/>
      <c r="B1037" s="343"/>
      <c r="C1037" s="4938"/>
      <c r="D1037" s="5018"/>
      <c r="E1037" s="4637"/>
      <c r="F1037" s="740"/>
      <c r="G1037" s="905"/>
      <c r="H1037" s="500"/>
      <c r="I1037" s="2188"/>
      <c r="J1037" s="500"/>
      <c r="K1037" s="500"/>
      <c r="L1037" s="2190"/>
      <c r="M1037" s="603"/>
      <c r="N1037" s="3024"/>
      <c r="O1037" s="3024"/>
      <c r="P1037" s="522"/>
      <c r="Q1037" s="2150"/>
    </row>
    <row r="1038" spans="1:17" s="270" customFormat="1" x14ac:dyDescent="0.25">
      <c r="A1038" s="3024"/>
      <c r="B1038" s="343"/>
      <c r="C1038" s="4939"/>
      <c r="D1038" s="5019"/>
      <c r="E1038" s="4637"/>
      <c r="F1038" s="740"/>
      <c r="G1038" s="905"/>
      <c r="H1038" s="500"/>
      <c r="I1038" s="2188"/>
      <c r="J1038" s="500"/>
      <c r="K1038" s="500"/>
      <c r="L1038" s="2190"/>
      <c r="M1038" s="1229"/>
      <c r="N1038" s="3024"/>
      <c r="O1038" s="3024"/>
      <c r="P1038" s="522"/>
      <c r="Q1038" s="2150"/>
    </row>
    <row r="1039" spans="1:17" s="270" customFormat="1" x14ac:dyDescent="0.25">
      <c r="A1039" s="3024"/>
      <c r="B1039" s="343"/>
      <c r="C1039" s="4938"/>
      <c r="D1039" s="5019"/>
      <c r="E1039" s="4637"/>
      <c r="F1039" s="740"/>
      <c r="G1039" s="905"/>
      <c r="H1039" s="500"/>
      <c r="I1039" s="2188"/>
      <c r="J1039" s="500"/>
      <c r="K1039" s="500"/>
      <c r="L1039" s="2190"/>
      <c r="M1039" s="3002"/>
      <c r="N1039" s="3024"/>
      <c r="O1039" s="3024"/>
      <c r="P1039" s="522"/>
      <c r="Q1039" s="2150"/>
    </row>
    <row r="1040" spans="1:17" s="270" customFormat="1" x14ac:dyDescent="0.25">
      <c r="A1040" s="3024"/>
      <c r="B1040" s="343"/>
      <c r="C1040" s="4938"/>
      <c r="D1040" s="5018"/>
      <c r="E1040" s="4637"/>
      <c r="F1040" s="740"/>
      <c r="G1040" s="905"/>
      <c r="H1040" s="500"/>
      <c r="I1040" s="2188"/>
      <c r="J1040" s="500"/>
      <c r="K1040" s="500"/>
      <c r="L1040" s="2190"/>
      <c r="M1040" s="3003"/>
      <c r="N1040" s="3024"/>
      <c r="O1040" s="3024"/>
      <c r="P1040" s="522"/>
      <c r="Q1040" s="2150"/>
    </row>
  </sheetData>
  <mergeCells count="18">
    <mergeCell ref="B1026:D1026"/>
    <mergeCell ref="L1034:N1034"/>
    <mergeCell ref="L1035:N1035"/>
    <mergeCell ref="B11:B13"/>
    <mergeCell ref="C11:C13"/>
    <mergeCell ref="D11:E11"/>
    <mergeCell ref="F11:I11"/>
    <mergeCell ref="J11:M11"/>
    <mergeCell ref="N11:N13"/>
    <mergeCell ref="D12:E12"/>
    <mergeCell ref="F12:I12"/>
    <mergeCell ref="J12:M12"/>
    <mergeCell ref="B8:J8"/>
    <mergeCell ref="B1:N1"/>
    <mergeCell ref="B2:N2"/>
    <mergeCell ref="B3:N3"/>
    <mergeCell ref="A4:N4"/>
    <mergeCell ref="B7:N7"/>
  </mergeCells>
  <printOptions horizontalCentered="1"/>
  <pageMargins left="0.7" right="0.45" top="0.75" bottom="0.5" header="0.3" footer="0.3"/>
  <pageSetup paperSize="258" scale="55" orientation="landscape" r:id="rId1"/>
  <rowBreaks count="2" manualBreakCount="2">
    <brk id="916" max="13" man="1"/>
    <brk id="1023" max="16383" man="1"/>
  </rowBreaks>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314"/>
  <sheetViews>
    <sheetView view="pageBreakPreview" topLeftCell="A255" zoomScale="80" zoomScaleNormal="80" zoomScaleSheetLayoutView="80" workbookViewId="0">
      <selection activeCell="A8" sqref="A8:A9"/>
    </sheetView>
  </sheetViews>
  <sheetFormatPr defaultColWidth="8.85546875" defaultRowHeight="15" x14ac:dyDescent="0.25"/>
  <cols>
    <col min="1" max="1" width="4.5703125" style="475" customWidth="1"/>
    <col min="2" max="2" width="55" style="476" customWidth="1"/>
    <col min="3" max="3" width="26.42578125" style="548" customWidth="1"/>
    <col min="4" max="4" width="24.28515625" style="548" bestFit="1" customWidth="1"/>
    <col min="5" max="5" width="14" style="475" customWidth="1"/>
    <col min="6" max="6" width="10" style="3253" customWidth="1"/>
    <col min="7" max="7" width="9" style="3005" customWidth="1"/>
    <col min="8" max="8" width="8.85546875" style="3005"/>
    <col min="9" max="9" width="27.5703125" style="3005" customWidth="1"/>
    <col min="10" max="250" width="8.85546875" style="3005"/>
    <col min="251" max="251" width="4.5703125" style="3005" customWidth="1"/>
    <col min="252" max="252" width="81.28515625" style="3005" customWidth="1"/>
    <col min="253" max="253" width="38.42578125" style="3005" customWidth="1"/>
    <col min="254" max="254" width="24.5703125" style="3005" customWidth="1"/>
    <col min="255" max="255" width="26.42578125" style="3005" customWidth="1"/>
    <col min="256" max="256" width="22.7109375" style="3005" customWidth="1"/>
    <col min="257" max="257" width="15.85546875" style="3005" customWidth="1"/>
    <col min="258" max="258" width="14.85546875" style="3005" customWidth="1"/>
    <col min="259" max="260" width="22.7109375" style="3005" customWidth="1"/>
    <col min="261" max="261" width="17.7109375" style="3005" customWidth="1"/>
    <col min="262" max="262" width="10.85546875" style="3005" customWidth="1"/>
    <col min="263" max="263" width="11.140625" style="3005" customWidth="1"/>
    <col min="264" max="264" width="8.85546875" style="3005"/>
    <col min="265" max="265" width="27.5703125" style="3005" customWidth="1"/>
    <col min="266" max="506" width="8.85546875" style="3005"/>
    <col min="507" max="507" width="4.5703125" style="3005" customWidth="1"/>
    <col min="508" max="508" width="81.28515625" style="3005" customWidth="1"/>
    <col min="509" max="509" width="38.42578125" style="3005" customWidth="1"/>
    <col min="510" max="510" width="24.5703125" style="3005" customWidth="1"/>
    <col min="511" max="511" width="26.42578125" style="3005" customWidth="1"/>
    <col min="512" max="512" width="22.7109375" style="3005" customWidth="1"/>
    <col min="513" max="513" width="15.85546875" style="3005" customWidth="1"/>
    <col min="514" max="514" width="14.85546875" style="3005" customWidth="1"/>
    <col min="515" max="516" width="22.7109375" style="3005" customWidth="1"/>
    <col min="517" max="517" width="17.7109375" style="3005" customWidth="1"/>
    <col min="518" max="518" width="10.85546875" style="3005" customWidth="1"/>
    <col min="519" max="519" width="11.140625" style="3005" customWidth="1"/>
    <col min="520" max="520" width="8.85546875" style="3005"/>
    <col min="521" max="521" width="27.5703125" style="3005" customWidth="1"/>
    <col min="522" max="762" width="8.85546875" style="3005"/>
    <col min="763" max="763" width="4.5703125" style="3005" customWidth="1"/>
    <col min="764" max="764" width="81.28515625" style="3005" customWidth="1"/>
    <col min="765" max="765" width="38.42578125" style="3005" customWidth="1"/>
    <col min="766" max="766" width="24.5703125" style="3005" customWidth="1"/>
    <col min="767" max="767" width="26.42578125" style="3005" customWidth="1"/>
    <col min="768" max="768" width="22.7109375" style="3005" customWidth="1"/>
    <col min="769" max="769" width="15.85546875" style="3005" customWidth="1"/>
    <col min="770" max="770" width="14.85546875" style="3005" customWidth="1"/>
    <col min="771" max="772" width="22.7109375" style="3005" customWidth="1"/>
    <col min="773" max="773" width="17.7109375" style="3005" customWidth="1"/>
    <col min="774" max="774" width="10.85546875" style="3005" customWidth="1"/>
    <col min="775" max="775" width="11.140625" style="3005" customWidth="1"/>
    <col min="776" max="776" width="8.85546875" style="3005"/>
    <col min="777" max="777" width="27.5703125" style="3005" customWidth="1"/>
    <col min="778" max="1018" width="8.85546875" style="3005"/>
    <col min="1019" max="1019" width="4.5703125" style="3005" customWidth="1"/>
    <col min="1020" max="1020" width="81.28515625" style="3005" customWidth="1"/>
    <col min="1021" max="1021" width="38.42578125" style="3005" customWidth="1"/>
    <col min="1022" max="1022" width="24.5703125" style="3005" customWidth="1"/>
    <col min="1023" max="1023" width="26.42578125" style="3005" customWidth="1"/>
    <col min="1024" max="1024" width="22.7109375" style="3005" customWidth="1"/>
    <col min="1025" max="1025" width="15.85546875" style="3005" customWidth="1"/>
    <col min="1026" max="1026" width="14.85546875" style="3005" customWidth="1"/>
    <col min="1027" max="1028" width="22.7109375" style="3005" customWidth="1"/>
    <col min="1029" max="1029" width="17.7109375" style="3005" customWidth="1"/>
    <col min="1030" max="1030" width="10.85546875" style="3005" customWidth="1"/>
    <col min="1031" max="1031" width="11.140625" style="3005" customWidth="1"/>
    <col min="1032" max="1032" width="8.85546875" style="3005"/>
    <col min="1033" max="1033" width="27.5703125" style="3005" customWidth="1"/>
    <col min="1034" max="1274" width="8.85546875" style="3005"/>
    <col min="1275" max="1275" width="4.5703125" style="3005" customWidth="1"/>
    <col min="1276" max="1276" width="81.28515625" style="3005" customWidth="1"/>
    <col min="1277" max="1277" width="38.42578125" style="3005" customWidth="1"/>
    <col min="1278" max="1278" width="24.5703125" style="3005" customWidth="1"/>
    <col min="1279" max="1279" width="26.42578125" style="3005" customWidth="1"/>
    <col min="1280" max="1280" width="22.7109375" style="3005" customWidth="1"/>
    <col min="1281" max="1281" width="15.85546875" style="3005" customWidth="1"/>
    <col min="1282" max="1282" width="14.85546875" style="3005" customWidth="1"/>
    <col min="1283" max="1284" width="22.7109375" style="3005" customWidth="1"/>
    <col min="1285" max="1285" width="17.7109375" style="3005" customWidth="1"/>
    <col min="1286" max="1286" width="10.85546875" style="3005" customWidth="1"/>
    <col min="1287" max="1287" width="11.140625" style="3005" customWidth="1"/>
    <col min="1288" max="1288" width="8.85546875" style="3005"/>
    <col min="1289" max="1289" width="27.5703125" style="3005" customWidth="1"/>
    <col min="1290" max="1530" width="8.85546875" style="3005"/>
    <col min="1531" max="1531" width="4.5703125" style="3005" customWidth="1"/>
    <col min="1532" max="1532" width="81.28515625" style="3005" customWidth="1"/>
    <col min="1533" max="1533" width="38.42578125" style="3005" customWidth="1"/>
    <col min="1534" max="1534" width="24.5703125" style="3005" customWidth="1"/>
    <col min="1535" max="1535" width="26.42578125" style="3005" customWidth="1"/>
    <col min="1536" max="1536" width="22.7109375" style="3005" customWidth="1"/>
    <col min="1537" max="1537" width="15.85546875" style="3005" customWidth="1"/>
    <col min="1538" max="1538" width="14.85546875" style="3005" customWidth="1"/>
    <col min="1539" max="1540" width="22.7109375" style="3005" customWidth="1"/>
    <col min="1541" max="1541" width="17.7109375" style="3005" customWidth="1"/>
    <col min="1542" max="1542" width="10.85546875" style="3005" customWidth="1"/>
    <col min="1543" max="1543" width="11.140625" style="3005" customWidth="1"/>
    <col min="1544" max="1544" width="8.85546875" style="3005"/>
    <col min="1545" max="1545" width="27.5703125" style="3005" customWidth="1"/>
    <col min="1546" max="1786" width="8.85546875" style="3005"/>
    <col min="1787" max="1787" width="4.5703125" style="3005" customWidth="1"/>
    <col min="1788" max="1788" width="81.28515625" style="3005" customWidth="1"/>
    <col min="1789" max="1789" width="38.42578125" style="3005" customWidth="1"/>
    <col min="1790" max="1790" width="24.5703125" style="3005" customWidth="1"/>
    <col min="1791" max="1791" width="26.42578125" style="3005" customWidth="1"/>
    <col min="1792" max="1792" width="22.7109375" style="3005" customWidth="1"/>
    <col min="1793" max="1793" width="15.85546875" style="3005" customWidth="1"/>
    <col min="1794" max="1794" width="14.85546875" style="3005" customWidth="1"/>
    <col min="1795" max="1796" width="22.7109375" style="3005" customWidth="1"/>
    <col min="1797" max="1797" width="17.7109375" style="3005" customWidth="1"/>
    <col min="1798" max="1798" width="10.85546875" style="3005" customWidth="1"/>
    <col min="1799" max="1799" width="11.140625" style="3005" customWidth="1"/>
    <col min="1800" max="1800" width="8.85546875" style="3005"/>
    <col min="1801" max="1801" width="27.5703125" style="3005" customWidth="1"/>
    <col min="1802" max="2042" width="8.85546875" style="3005"/>
    <col min="2043" max="2043" width="4.5703125" style="3005" customWidth="1"/>
    <col min="2044" max="2044" width="81.28515625" style="3005" customWidth="1"/>
    <col min="2045" max="2045" width="38.42578125" style="3005" customWidth="1"/>
    <col min="2046" max="2046" width="24.5703125" style="3005" customWidth="1"/>
    <col min="2047" max="2047" width="26.42578125" style="3005" customWidth="1"/>
    <col min="2048" max="2048" width="22.7109375" style="3005" customWidth="1"/>
    <col min="2049" max="2049" width="15.85546875" style="3005" customWidth="1"/>
    <col min="2050" max="2050" width="14.85546875" style="3005" customWidth="1"/>
    <col min="2051" max="2052" width="22.7109375" style="3005" customWidth="1"/>
    <col min="2053" max="2053" width="17.7109375" style="3005" customWidth="1"/>
    <col min="2054" max="2054" width="10.85546875" style="3005" customWidth="1"/>
    <col min="2055" max="2055" width="11.140625" style="3005" customWidth="1"/>
    <col min="2056" max="2056" width="8.85546875" style="3005"/>
    <col min="2057" max="2057" width="27.5703125" style="3005" customWidth="1"/>
    <col min="2058" max="2298" width="8.85546875" style="3005"/>
    <col min="2299" max="2299" width="4.5703125" style="3005" customWidth="1"/>
    <col min="2300" max="2300" width="81.28515625" style="3005" customWidth="1"/>
    <col min="2301" max="2301" width="38.42578125" style="3005" customWidth="1"/>
    <col min="2302" max="2302" width="24.5703125" style="3005" customWidth="1"/>
    <col min="2303" max="2303" width="26.42578125" style="3005" customWidth="1"/>
    <col min="2304" max="2304" width="22.7109375" style="3005" customWidth="1"/>
    <col min="2305" max="2305" width="15.85546875" style="3005" customWidth="1"/>
    <col min="2306" max="2306" width="14.85546875" style="3005" customWidth="1"/>
    <col min="2307" max="2308" width="22.7109375" style="3005" customWidth="1"/>
    <col min="2309" max="2309" width="17.7109375" style="3005" customWidth="1"/>
    <col min="2310" max="2310" width="10.85546875" style="3005" customWidth="1"/>
    <col min="2311" max="2311" width="11.140625" style="3005" customWidth="1"/>
    <col min="2312" max="2312" width="8.85546875" style="3005"/>
    <col min="2313" max="2313" width="27.5703125" style="3005" customWidth="1"/>
    <col min="2314" max="2554" width="8.85546875" style="3005"/>
    <col min="2555" max="2555" width="4.5703125" style="3005" customWidth="1"/>
    <col min="2556" max="2556" width="81.28515625" style="3005" customWidth="1"/>
    <col min="2557" max="2557" width="38.42578125" style="3005" customWidth="1"/>
    <col min="2558" max="2558" width="24.5703125" style="3005" customWidth="1"/>
    <col min="2559" max="2559" width="26.42578125" style="3005" customWidth="1"/>
    <col min="2560" max="2560" width="22.7109375" style="3005" customWidth="1"/>
    <col min="2561" max="2561" width="15.85546875" style="3005" customWidth="1"/>
    <col min="2562" max="2562" width="14.85546875" style="3005" customWidth="1"/>
    <col min="2563" max="2564" width="22.7109375" style="3005" customWidth="1"/>
    <col min="2565" max="2565" width="17.7109375" style="3005" customWidth="1"/>
    <col min="2566" max="2566" width="10.85546875" style="3005" customWidth="1"/>
    <col min="2567" max="2567" width="11.140625" style="3005" customWidth="1"/>
    <col min="2568" max="2568" width="8.85546875" style="3005"/>
    <col min="2569" max="2569" width="27.5703125" style="3005" customWidth="1"/>
    <col min="2570" max="2810" width="8.85546875" style="3005"/>
    <col min="2811" max="2811" width="4.5703125" style="3005" customWidth="1"/>
    <col min="2812" max="2812" width="81.28515625" style="3005" customWidth="1"/>
    <col min="2813" max="2813" width="38.42578125" style="3005" customWidth="1"/>
    <col min="2814" max="2814" width="24.5703125" style="3005" customWidth="1"/>
    <col min="2815" max="2815" width="26.42578125" style="3005" customWidth="1"/>
    <col min="2816" max="2816" width="22.7109375" style="3005" customWidth="1"/>
    <col min="2817" max="2817" width="15.85546875" style="3005" customWidth="1"/>
    <col min="2818" max="2818" width="14.85546875" style="3005" customWidth="1"/>
    <col min="2819" max="2820" width="22.7109375" style="3005" customWidth="1"/>
    <col min="2821" max="2821" width="17.7109375" style="3005" customWidth="1"/>
    <col min="2822" max="2822" width="10.85546875" style="3005" customWidth="1"/>
    <col min="2823" max="2823" width="11.140625" style="3005" customWidth="1"/>
    <col min="2824" max="2824" width="8.85546875" style="3005"/>
    <col min="2825" max="2825" width="27.5703125" style="3005" customWidth="1"/>
    <col min="2826" max="3066" width="8.85546875" style="3005"/>
    <col min="3067" max="3067" width="4.5703125" style="3005" customWidth="1"/>
    <col min="3068" max="3068" width="81.28515625" style="3005" customWidth="1"/>
    <col min="3069" max="3069" width="38.42578125" style="3005" customWidth="1"/>
    <col min="3070" max="3070" width="24.5703125" style="3005" customWidth="1"/>
    <col min="3071" max="3071" width="26.42578125" style="3005" customWidth="1"/>
    <col min="3072" max="3072" width="22.7109375" style="3005" customWidth="1"/>
    <col min="3073" max="3073" width="15.85546875" style="3005" customWidth="1"/>
    <col min="3074" max="3074" width="14.85546875" style="3005" customWidth="1"/>
    <col min="3075" max="3076" width="22.7109375" style="3005" customWidth="1"/>
    <col min="3077" max="3077" width="17.7109375" style="3005" customWidth="1"/>
    <col min="3078" max="3078" width="10.85546875" style="3005" customWidth="1"/>
    <col min="3079" max="3079" width="11.140625" style="3005" customWidth="1"/>
    <col min="3080" max="3080" width="8.85546875" style="3005"/>
    <col min="3081" max="3081" width="27.5703125" style="3005" customWidth="1"/>
    <col min="3082" max="3322" width="8.85546875" style="3005"/>
    <col min="3323" max="3323" width="4.5703125" style="3005" customWidth="1"/>
    <col min="3324" max="3324" width="81.28515625" style="3005" customWidth="1"/>
    <col min="3325" max="3325" width="38.42578125" style="3005" customWidth="1"/>
    <col min="3326" max="3326" width="24.5703125" style="3005" customWidth="1"/>
    <col min="3327" max="3327" width="26.42578125" style="3005" customWidth="1"/>
    <col min="3328" max="3328" width="22.7109375" style="3005" customWidth="1"/>
    <col min="3329" max="3329" width="15.85546875" style="3005" customWidth="1"/>
    <col min="3330" max="3330" width="14.85546875" style="3005" customWidth="1"/>
    <col min="3331" max="3332" width="22.7109375" style="3005" customWidth="1"/>
    <col min="3333" max="3333" width="17.7109375" style="3005" customWidth="1"/>
    <col min="3334" max="3334" width="10.85546875" style="3005" customWidth="1"/>
    <col min="3335" max="3335" width="11.140625" style="3005" customWidth="1"/>
    <col min="3336" max="3336" width="8.85546875" style="3005"/>
    <col min="3337" max="3337" width="27.5703125" style="3005" customWidth="1"/>
    <col min="3338" max="3578" width="8.85546875" style="3005"/>
    <col min="3579" max="3579" width="4.5703125" style="3005" customWidth="1"/>
    <col min="3580" max="3580" width="81.28515625" style="3005" customWidth="1"/>
    <col min="3581" max="3581" width="38.42578125" style="3005" customWidth="1"/>
    <col min="3582" max="3582" width="24.5703125" style="3005" customWidth="1"/>
    <col min="3583" max="3583" width="26.42578125" style="3005" customWidth="1"/>
    <col min="3584" max="3584" width="22.7109375" style="3005" customWidth="1"/>
    <col min="3585" max="3585" width="15.85546875" style="3005" customWidth="1"/>
    <col min="3586" max="3586" width="14.85546875" style="3005" customWidth="1"/>
    <col min="3587" max="3588" width="22.7109375" style="3005" customWidth="1"/>
    <col min="3589" max="3589" width="17.7109375" style="3005" customWidth="1"/>
    <col min="3590" max="3590" width="10.85546875" style="3005" customWidth="1"/>
    <col min="3591" max="3591" width="11.140625" style="3005" customWidth="1"/>
    <col min="3592" max="3592" width="8.85546875" style="3005"/>
    <col min="3593" max="3593" width="27.5703125" style="3005" customWidth="1"/>
    <col min="3594" max="3834" width="8.85546875" style="3005"/>
    <col min="3835" max="3835" width="4.5703125" style="3005" customWidth="1"/>
    <col min="3836" max="3836" width="81.28515625" style="3005" customWidth="1"/>
    <col min="3837" max="3837" width="38.42578125" style="3005" customWidth="1"/>
    <col min="3838" max="3838" width="24.5703125" style="3005" customWidth="1"/>
    <col min="3839" max="3839" width="26.42578125" style="3005" customWidth="1"/>
    <col min="3840" max="3840" width="22.7109375" style="3005" customWidth="1"/>
    <col min="3841" max="3841" width="15.85546875" style="3005" customWidth="1"/>
    <col min="3842" max="3842" width="14.85546875" style="3005" customWidth="1"/>
    <col min="3843" max="3844" width="22.7109375" style="3005" customWidth="1"/>
    <col min="3845" max="3845" width="17.7109375" style="3005" customWidth="1"/>
    <col min="3846" max="3846" width="10.85546875" style="3005" customWidth="1"/>
    <col min="3847" max="3847" width="11.140625" style="3005" customWidth="1"/>
    <col min="3848" max="3848" width="8.85546875" style="3005"/>
    <col min="3849" max="3849" width="27.5703125" style="3005" customWidth="1"/>
    <col min="3850" max="4090" width="8.85546875" style="3005"/>
    <col min="4091" max="4091" width="4.5703125" style="3005" customWidth="1"/>
    <col min="4092" max="4092" width="81.28515625" style="3005" customWidth="1"/>
    <col min="4093" max="4093" width="38.42578125" style="3005" customWidth="1"/>
    <col min="4094" max="4094" width="24.5703125" style="3005" customWidth="1"/>
    <col min="4095" max="4095" width="26.42578125" style="3005" customWidth="1"/>
    <col min="4096" max="4096" width="22.7109375" style="3005" customWidth="1"/>
    <col min="4097" max="4097" width="15.85546875" style="3005" customWidth="1"/>
    <col min="4098" max="4098" width="14.85546875" style="3005" customWidth="1"/>
    <col min="4099" max="4100" width="22.7109375" style="3005" customWidth="1"/>
    <col min="4101" max="4101" width="17.7109375" style="3005" customWidth="1"/>
    <col min="4102" max="4102" width="10.85546875" style="3005" customWidth="1"/>
    <col min="4103" max="4103" width="11.140625" style="3005" customWidth="1"/>
    <col min="4104" max="4104" width="8.85546875" style="3005"/>
    <col min="4105" max="4105" width="27.5703125" style="3005" customWidth="1"/>
    <col min="4106" max="4346" width="8.85546875" style="3005"/>
    <col min="4347" max="4347" width="4.5703125" style="3005" customWidth="1"/>
    <col min="4348" max="4348" width="81.28515625" style="3005" customWidth="1"/>
    <col min="4349" max="4349" width="38.42578125" style="3005" customWidth="1"/>
    <col min="4350" max="4350" width="24.5703125" style="3005" customWidth="1"/>
    <col min="4351" max="4351" width="26.42578125" style="3005" customWidth="1"/>
    <col min="4352" max="4352" width="22.7109375" style="3005" customWidth="1"/>
    <col min="4353" max="4353" width="15.85546875" style="3005" customWidth="1"/>
    <col min="4354" max="4354" width="14.85546875" style="3005" customWidth="1"/>
    <col min="4355" max="4356" width="22.7109375" style="3005" customWidth="1"/>
    <col min="4357" max="4357" width="17.7109375" style="3005" customWidth="1"/>
    <col min="4358" max="4358" width="10.85546875" style="3005" customWidth="1"/>
    <col min="4359" max="4359" width="11.140625" style="3005" customWidth="1"/>
    <col min="4360" max="4360" width="8.85546875" style="3005"/>
    <col min="4361" max="4361" width="27.5703125" style="3005" customWidth="1"/>
    <col min="4362" max="4602" width="8.85546875" style="3005"/>
    <col min="4603" max="4603" width="4.5703125" style="3005" customWidth="1"/>
    <col min="4604" max="4604" width="81.28515625" style="3005" customWidth="1"/>
    <col min="4605" max="4605" width="38.42578125" style="3005" customWidth="1"/>
    <col min="4606" max="4606" width="24.5703125" style="3005" customWidth="1"/>
    <col min="4607" max="4607" width="26.42578125" style="3005" customWidth="1"/>
    <col min="4608" max="4608" width="22.7109375" style="3005" customWidth="1"/>
    <col min="4609" max="4609" width="15.85546875" style="3005" customWidth="1"/>
    <col min="4610" max="4610" width="14.85546875" style="3005" customWidth="1"/>
    <col min="4611" max="4612" width="22.7109375" style="3005" customWidth="1"/>
    <col min="4613" max="4613" width="17.7109375" style="3005" customWidth="1"/>
    <col min="4614" max="4614" width="10.85546875" style="3005" customWidth="1"/>
    <col min="4615" max="4615" width="11.140625" style="3005" customWidth="1"/>
    <col min="4616" max="4616" width="8.85546875" style="3005"/>
    <col min="4617" max="4617" width="27.5703125" style="3005" customWidth="1"/>
    <col min="4618" max="4858" width="8.85546875" style="3005"/>
    <col min="4859" max="4859" width="4.5703125" style="3005" customWidth="1"/>
    <col min="4860" max="4860" width="81.28515625" style="3005" customWidth="1"/>
    <col min="4861" max="4861" width="38.42578125" style="3005" customWidth="1"/>
    <col min="4862" max="4862" width="24.5703125" style="3005" customWidth="1"/>
    <col min="4863" max="4863" width="26.42578125" style="3005" customWidth="1"/>
    <col min="4864" max="4864" width="22.7109375" style="3005" customWidth="1"/>
    <col min="4865" max="4865" width="15.85546875" style="3005" customWidth="1"/>
    <col min="4866" max="4866" width="14.85546875" style="3005" customWidth="1"/>
    <col min="4867" max="4868" width="22.7109375" style="3005" customWidth="1"/>
    <col min="4869" max="4869" width="17.7109375" style="3005" customWidth="1"/>
    <col min="4870" max="4870" width="10.85546875" style="3005" customWidth="1"/>
    <col min="4871" max="4871" width="11.140625" style="3005" customWidth="1"/>
    <col min="4872" max="4872" width="8.85546875" style="3005"/>
    <col min="4873" max="4873" width="27.5703125" style="3005" customWidth="1"/>
    <col min="4874" max="5114" width="8.85546875" style="3005"/>
    <col min="5115" max="5115" width="4.5703125" style="3005" customWidth="1"/>
    <col min="5116" max="5116" width="81.28515625" style="3005" customWidth="1"/>
    <col min="5117" max="5117" width="38.42578125" style="3005" customWidth="1"/>
    <col min="5118" max="5118" width="24.5703125" style="3005" customWidth="1"/>
    <col min="5119" max="5119" width="26.42578125" style="3005" customWidth="1"/>
    <col min="5120" max="5120" width="22.7109375" style="3005" customWidth="1"/>
    <col min="5121" max="5121" width="15.85546875" style="3005" customWidth="1"/>
    <col min="5122" max="5122" width="14.85546875" style="3005" customWidth="1"/>
    <col min="5123" max="5124" width="22.7109375" style="3005" customWidth="1"/>
    <col min="5125" max="5125" width="17.7109375" style="3005" customWidth="1"/>
    <col min="5126" max="5126" width="10.85546875" style="3005" customWidth="1"/>
    <col min="5127" max="5127" width="11.140625" style="3005" customWidth="1"/>
    <col min="5128" max="5128" width="8.85546875" style="3005"/>
    <col min="5129" max="5129" width="27.5703125" style="3005" customWidth="1"/>
    <col min="5130" max="5370" width="8.85546875" style="3005"/>
    <col min="5371" max="5371" width="4.5703125" style="3005" customWidth="1"/>
    <col min="5372" max="5372" width="81.28515625" style="3005" customWidth="1"/>
    <col min="5373" max="5373" width="38.42578125" style="3005" customWidth="1"/>
    <col min="5374" max="5374" width="24.5703125" style="3005" customWidth="1"/>
    <col min="5375" max="5375" width="26.42578125" style="3005" customWidth="1"/>
    <col min="5376" max="5376" width="22.7109375" style="3005" customWidth="1"/>
    <col min="5377" max="5377" width="15.85546875" style="3005" customWidth="1"/>
    <col min="5378" max="5378" width="14.85546875" style="3005" customWidth="1"/>
    <col min="5379" max="5380" width="22.7109375" style="3005" customWidth="1"/>
    <col min="5381" max="5381" width="17.7109375" style="3005" customWidth="1"/>
    <col min="5382" max="5382" width="10.85546875" style="3005" customWidth="1"/>
    <col min="5383" max="5383" width="11.140625" style="3005" customWidth="1"/>
    <col min="5384" max="5384" width="8.85546875" style="3005"/>
    <col min="5385" max="5385" width="27.5703125" style="3005" customWidth="1"/>
    <col min="5386" max="5626" width="8.85546875" style="3005"/>
    <col min="5627" max="5627" width="4.5703125" style="3005" customWidth="1"/>
    <col min="5628" max="5628" width="81.28515625" style="3005" customWidth="1"/>
    <col min="5629" max="5629" width="38.42578125" style="3005" customWidth="1"/>
    <col min="5630" max="5630" width="24.5703125" style="3005" customWidth="1"/>
    <col min="5631" max="5631" width="26.42578125" style="3005" customWidth="1"/>
    <col min="5632" max="5632" width="22.7109375" style="3005" customWidth="1"/>
    <col min="5633" max="5633" width="15.85546875" style="3005" customWidth="1"/>
    <col min="5634" max="5634" width="14.85546875" style="3005" customWidth="1"/>
    <col min="5635" max="5636" width="22.7109375" style="3005" customWidth="1"/>
    <col min="5637" max="5637" width="17.7109375" style="3005" customWidth="1"/>
    <col min="5638" max="5638" width="10.85546875" style="3005" customWidth="1"/>
    <col min="5639" max="5639" width="11.140625" style="3005" customWidth="1"/>
    <col min="5640" max="5640" width="8.85546875" style="3005"/>
    <col min="5641" max="5641" width="27.5703125" style="3005" customWidth="1"/>
    <col min="5642" max="5882" width="8.85546875" style="3005"/>
    <col min="5883" max="5883" width="4.5703125" style="3005" customWidth="1"/>
    <col min="5884" max="5884" width="81.28515625" style="3005" customWidth="1"/>
    <col min="5885" max="5885" width="38.42578125" style="3005" customWidth="1"/>
    <col min="5886" max="5886" width="24.5703125" style="3005" customWidth="1"/>
    <col min="5887" max="5887" width="26.42578125" style="3005" customWidth="1"/>
    <col min="5888" max="5888" width="22.7109375" style="3005" customWidth="1"/>
    <col min="5889" max="5889" width="15.85546875" style="3005" customWidth="1"/>
    <col min="5890" max="5890" width="14.85546875" style="3005" customWidth="1"/>
    <col min="5891" max="5892" width="22.7109375" style="3005" customWidth="1"/>
    <col min="5893" max="5893" width="17.7109375" style="3005" customWidth="1"/>
    <col min="5894" max="5894" width="10.85546875" style="3005" customWidth="1"/>
    <col min="5895" max="5895" width="11.140625" style="3005" customWidth="1"/>
    <col min="5896" max="5896" width="8.85546875" style="3005"/>
    <col min="5897" max="5897" width="27.5703125" style="3005" customWidth="1"/>
    <col min="5898" max="6138" width="8.85546875" style="3005"/>
    <col min="6139" max="6139" width="4.5703125" style="3005" customWidth="1"/>
    <col min="6140" max="6140" width="81.28515625" style="3005" customWidth="1"/>
    <col min="6141" max="6141" width="38.42578125" style="3005" customWidth="1"/>
    <col min="6142" max="6142" width="24.5703125" style="3005" customWidth="1"/>
    <col min="6143" max="6143" width="26.42578125" style="3005" customWidth="1"/>
    <col min="6144" max="6144" width="22.7109375" style="3005" customWidth="1"/>
    <col min="6145" max="6145" width="15.85546875" style="3005" customWidth="1"/>
    <col min="6146" max="6146" width="14.85546875" style="3005" customWidth="1"/>
    <col min="6147" max="6148" width="22.7109375" style="3005" customWidth="1"/>
    <col min="6149" max="6149" width="17.7109375" style="3005" customWidth="1"/>
    <col min="6150" max="6150" width="10.85546875" style="3005" customWidth="1"/>
    <col min="6151" max="6151" width="11.140625" style="3005" customWidth="1"/>
    <col min="6152" max="6152" width="8.85546875" style="3005"/>
    <col min="6153" max="6153" width="27.5703125" style="3005" customWidth="1"/>
    <col min="6154" max="6394" width="8.85546875" style="3005"/>
    <col min="6395" max="6395" width="4.5703125" style="3005" customWidth="1"/>
    <col min="6396" max="6396" width="81.28515625" style="3005" customWidth="1"/>
    <col min="6397" max="6397" width="38.42578125" style="3005" customWidth="1"/>
    <col min="6398" max="6398" width="24.5703125" style="3005" customWidth="1"/>
    <col min="6399" max="6399" width="26.42578125" style="3005" customWidth="1"/>
    <col min="6400" max="6400" width="22.7109375" style="3005" customWidth="1"/>
    <col min="6401" max="6401" width="15.85546875" style="3005" customWidth="1"/>
    <col min="6402" max="6402" width="14.85546875" style="3005" customWidth="1"/>
    <col min="6403" max="6404" width="22.7109375" style="3005" customWidth="1"/>
    <col min="6405" max="6405" width="17.7109375" style="3005" customWidth="1"/>
    <col min="6406" max="6406" width="10.85546875" style="3005" customWidth="1"/>
    <col min="6407" max="6407" width="11.140625" style="3005" customWidth="1"/>
    <col min="6408" max="6408" width="8.85546875" style="3005"/>
    <col min="6409" max="6409" width="27.5703125" style="3005" customWidth="1"/>
    <col min="6410" max="6650" width="8.85546875" style="3005"/>
    <col min="6651" max="6651" width="4.5703125" style="3005" customWidth="1"/>
    <col min="6652" max="6652" width="81.28515625" style="3005" customWidth="1"/>
    <col min="6653" max="6653" width="38.42578125" style="3005" customWidth="1"/>
    <col min="6654" max="6654" width="24.5703125" style="3005" customWidth="1"/>
    <col min="6655" max="6655" width="26.42578125" style="3005" customWidth="1"/>
    <col min="6656" max="6656" width="22.7109375" style="3005" customWidth="1"/>
    <col min="6657" max="6657" width="15.85546875" style="3005" customWidth="1"/>
    <col min="6658" max="6658" width="14.85546875" style="3005" customWidth="1"/>
    <col min="6659" max="6660" width="22.7109375" style="3005" customWidth="1"/>
    <col min="6661" max="6661" width="17.7109375" style="3005" customWidth="1"/>
    <col min="6662" max="6662" width="10.85546875" style="3005" customWidth="1"/>
    <col min="6663" max="6663" width="11.140625" style="3005" customWidth="1"/>
    <col min="6664" max="6664" width="8.85546875" style="3005"/>
    <col min="6665" max="6665" width="27.5703125" style="3005" customWidth="1"/>
    <col min="6666" max="6906" width="8.85546875" style="3005"/>
    <col min="6907" max="6907" width="4.5703125" style="3005" customWidth="1"/>
    <col min="6908" max="6908" width="81.28515625" style="3005" customWidth="1"/>
    <col min="6909" max="6909" width="38.42578125" style="3005" customWidth="1"/>
    <col min="6910" max="6910" width="24.5703125" style="3005" customWidth="1"/>
    <col min="6911" max="6911" width="26.42578125" style="3005" customWidth="1"/>
    <col min="6912" max="6912" width="22.7109375" style="3005" customWidth="1"/>
    <col min="6913" max="6913" width="15.85546875" style="3005" customWidth="1"/>
    <col min="6914" max="6914" width="14.85546875" style="3005" customWidth="1"/>
    <col min="6915" max="6916" width="22.7109375" style="3005" customWidth="1"/>
    <col min="6917" max="6917" width="17.7109375" style="3005" customWidth="1"/>
    <col min="6918" max="6918" width="10.85546875" style="3005" customWidth="1"/>
    <col min="6919" max="6919" width="11.140625" style="3005" customWidth="1"/>
    <col min="6920" max="6920" width="8.85546875" style="3005"/>
    <col min="6921" max="6921" width="27.5703125" style="3005" customWidth="1"/>
    <col min="6922" max="7162" width="8.85546875" style="3005"/>
    <col min="7163" max="7163" width="4.5703125" style="3005" customWidth="1"/>
    <col min="7164" max="7164" width="81.28515625" style="3005" customWidth="1"/>
    <col min="7165" max="7165" width="38.42578125" style="3005" customWidth="1"/>
    <col min="7166" max="7166" width="24.5703125" style="3005" customWidth="1"/>
    <col min="7167" max="7167" width="26.42578125" style="3005" customWidth="1"/>
    <col min="7168" max="7168" width="22.7109375" style="3005" customWidth="1"/>
    <col min="7169" max="7169" width="15.85546875" style="3005" customWidth="1"/>
    <col min="7170" max="7170" width="14.85546875" style="3005" customWidth="1"/>
    <col min="7171" max="7172" width="22.7109375" style="3005" customWidth="1"/>
    <col min="7173" max="7173" width="17.7109375" style="3005" customWidth="1"/>
    <col min="7174" max="7174" width="10.85546875" style="3005" customWidth="1"/>
    <col min="7175" max="7175" width="11.140625" style="3005" customWidth="1"/>
    <col min="7176" max="7176" width="8.85546875" style="3005"/>
    <col min="7177" max="7177" width="27.5703125" style="3005" customWidth="1"/>
    <col min="7178" max="7418" width="8.85546875" style="3005"/>
    <col min="7419" max="7419" width="4.5703125" style="3005" customWidth="1"/>
    <col min="7420" max="7420" width="81.28515625" style="3005" customWidth="1"/>
    <col min="7421" max="7421" width="38.42578125" style="3005" customWidth="1"/>
    <col min="7422" max="7422" width="24.5703125" style="3005" customWidth="1"/>
    <col min="7423" max="7423" width="26.42578125" style="3005" customWidth="1"/>
    <col min="7424" max="7424" width="22.7109375" style="3005" customWidth="1"/>
    <col min="7425" max="7425" width="15.85546875" style="3005" customWidth="1"/>
    <col min="7426" max="7426" width="14.85546875" style="3005" customWidth="1"/>
    <col min="7427" max="7428" width="22.7109375" style="3005" customWidth="1"/>
    <col min="7429" max="7429" width="17.7109375" style="3005" customWidth="1"/>
    <col min="7430" max="7430" width="10.85546875" style="3005" customWidth="1"/>
    <col min="7431" max="7431" width="11.140625" style="3005" customWidth="1"/>
    <col min="7432" max="7432" width="8.85546875" style="3005"/>
    <col min="7433" max="7433" width="27.5703125" style="3005" customWidth="1"/>
    <col min="7434" max="7674" width="8.85546875" style="3005"/>
    <col min="7675" max="7675" width="4.5703125" style="3005" customWidth="1"/>
    <col min="7676" max="7676" width="81.28515625" style="3005" customWidth="1"/>
    <col min="7677" max="7677" width="38.42578125" style="3005" customWidth="1"/>
    <col min="7678" max="7678" width="24.5703125" style="3005" customWidth="1"/>
    <col min="7679" max="7679" width="26.42578125" style="3005" customWidth="1"/>
    <col min="7680" max="7680" width="22.7109375" style="3005" customWidth="1"/>
    <col min="7681" max="7681" width="15.85546875" style="3005" customWidth="1"/>
    <col min="7682" max="7682" width="14.85546875" style="3005" customWidth="1"/>
    <col min="7683" max="7684" width="22.7109375" style="3005" customWidth="1"/>
    <col min="7685" max="7685" width="17.7109375" style="3005" customWidth="1"/>
    <col min="7686" max="7686" width="10.85546875" style="3005" customWidth="1"/>
    <col min="7687" max="7687" width="11.140625" style="3005" customWidth="1"/>
    <col min="7688" max="7688" width="8.85546875" style="3005"/>
    <col min="7689" max="7689" width="27.5703125" style="3005" customWidth="1"/>
    <col min="7690" max="7930" width="8.85546875" style="3005"/>
    <col min="7931" max="7931" width="4.5703125" style="3005" customWidth="1"/>
    <col min="7932" max="7932" width="81.28515625" style="3005" customWidth="1"/>
    <col min="7933" max="7933" width="38.42578125" style="3005" customWidth="1"/>
    <col min="7934" max="7934" width="24.5703125" style="3005" customWidth="1"/>
    <col min="7935" max="7935" width="26.42578125" style="3005" customWidth="1"/>
    <col min="7936" max="7936" width="22.7109375" style="3005" customWidth="1"/>
    <col min="7937" max="7937" width="15.85546875" style="3005" customWidth="1"/>
    <col min="7938" max="7938" width="14.85546875" style="3005" customWidth="1"/>
    <col min="7939" max="7940" width="22.7109375" style="3005" customWidth="1"/>
    <col min="7941" max="7941" width="17.7109375" style="3005" customWidth="1"/>
    <col min="7942" max="7942" width="10.85546875" style="3005" customWidth="1"/>
    <col min="7943" max="7943" width="11.140625" style="3005" customWidth="1"/>
    <col min="7944" max="7944" width="8.85546875" style="3005"/>
    <col min="7945" max="7945" width="27.5703125" style="3005" customWidth="1"/>
    <col min="7946" max="8186" width="8.85546875" style="3005"/>
    <col min="8187" max="8187" width="4.5703125" style="3005" customWidth="1"/>
    <col min="8188" max="8188" width="81.28515625" style="3005" customWidth="1"/>
    <col min="8189" max="8189" width="38.42578125" style="3005" customWidth="1"/>
    <col min="8190" max="8190" width="24.5703125" style="3005" customWidth="1"/>
    <col min="8191" max="8191" width="26.42578125" style="3005" customWidth="1"/>
    <col min="8192" max="8192" width="22.7109375" style="3005" customWidth="1"/>
    <col min="8193" max="8193" width="15.85546875" style="3005" customWidth="1"/>
    <col min="8194" max="8194" width="14.85546875" style="3005" customWidth="1"/>
    <col min="8195" max="8196" width="22.7109375" style="3005" customWidth="1"/>
    <col min="8197" max="8197" width="17.7109375" style="3005" customWidth="1"/>
    <col min="8198" max="8198" width="10.85546875" style="3005" customWidth="1"/>
    <col min="8199" max="8199" width="11.140625" style="3005" customWidth="1"/>
    <col min="8200" max="8200" width="8.85546875" style="3005"/>
    <col min="8201" max="8201" width="27.5703125" style="3005" customWidth="1"/>
    <col min="8202" max="8442" width="8.85546875" style="3005"/>
    <col min="8443" max="8443" width="4.5703125" style="3005" customWidth="1"/>
    <col min="8444" max="8444" width="81.28515625" style="3005" customWidth="1"/>
    <col min="8445" max="8445" width="38.42578125" style="3005" customWidth="1"/>
    <col min="8446" max="8446" width="24.5703125" style="3005" customWidth="1"/>
    <col min="8447" max="8447" width="26.42578125" style="3005" customWidth="1"/>
    <col min="8448" max="8448" width="22.7109375" style="3005" customWidth="1"/>
    <col min="8449" max="8449" width="15.85546875" style="3005" customWidth="1"/>
    <col min="8450" max="8450" width="14.85546875" style="3005" customWidth="1"/>
    <col min="8451" max="8452" width="22.7109375" style="3005" customWidth="1"/>
    <col min="8453" max="8453" width="17.7109375" style="3005" customWidth="1"/>
    <col min="8454" max="8454" width="10.85546875" style="3005" customWidth="1"/>
    <col min="8455" max="8455" width="11.140625" style="3005" customWidth="1"/>
    <col min="8456" max="8456" width="8.85546875" style="3005"/>
    <col min="8457" max="8457" width="27.5703125" style="3005" customWidth="1"/>
    <col min="8458" max="8698" width="8.85546875" style="3005"/>
    <col min="8699" max="8699" width="4.5703125" style="3005" customWidth="1"/>
    <col min="8700" max="8700" width="81.28515625" style="3005" customWidth="1"/>
    <col min="8701" max="8701" width="38.42578125" style="3005" customWidth="1"/>
    <col min="8702" max="8702" width="24.5703125" style="3005" customWidth="1"/>
    <col min="8703" max="8703" width="26.42578125" style="3005" customWidth="1"/>
    <col min="8704" max="8704" width="22.7109375" style="3005" customWidth="1"/>
    <col min="8705" max="8705" width="15.85546875" style="3005" customWidth="1"/>
    <col min="8706" max="8706" width="14.85546875" style="3005" customWidth="1"/>
    <col min="8707" max="8708" width="22.7109375" style="3005" customWidth="1"/>
    <col min="8709" max="8709" width="17.7109375" style="3005" customWidth="1"/>
    <col min="8710" max="8710" width="10.85546875" style="3005" customWidth="1"/>
    <col min="8711" max="8711" width="11.140625" style="3005" customWidth="1"/>
    <col min="8712" max="8712" width="8.85546875" style="3005"/>
    <col min="8713" max="8713" width="27.5703125" style="3005" customWidth="1"/>
    <col min="8714" max="8954" width="8.85546875" style="3005"/>
    <col min="8955" max="8955" width="4.5703125" style="3005" customWidth="1"/>
    <col min="8956" max="8956" width="81.28515625" style="3005" customWidth="1"/>
    <col min="8957" max="8957" width="38.42578125" style="3005" customWidth="1"/>
    <col min="8958" max="8958" width="24.5703125" style="3005" customWidth="1"/>
    <col min="8959" max="8959" width="26.42578125" style="3005" customWidth="1"/>
    <col min="8960" max="8960" width="22.7109375" style="3005" customWidth="1"/>
    <col min="8961" max="8961" width="15.85546875" style="3005" customWidth="1"/>
    <col min="8962" max="8962" width="14.85546875" style="3005" customWidth="1"/>
    <col min="8963" max="8964" width="22.7109375" style="3005" customWidth="1"/>
    <col min="8965" max="8965" width="17.7109375" style="3005" customWidth="1"/>
    <col min="8966" max="8966" width="10.85546875" style="3005" customWidth="1"/>
    <col min="8967" max="8967" width="11.140625" style="3005" customWidth="1"/>
    <col min="8968" max="8968" width="8.85546875" style="3005"/>
    <col min="8969" max="8969" width="27.5703125" style="3005" customWidth="1"/>
    <col min="8970" max="9210" width="8.85546875" style="3005"/>
    <col min="9211" max="9211" width="4.5703125" style="3005" customWidth="1"/>
    <col min="9212" max="9212" width="81.28515625" style="3005" customWidth="1"/>
    <col min="9213" max="9213" width="38.42578125" style="3005" customWidth="1"/>
    <col min="9214" max="9214" width="24.5703125" style="3005" customWidth="1"/>
    <col min="9215" max="9215" width="26.42578125" style="3005" customWidth="1"/>
    <col min="9216" max="9216" width="22.7109375" style="3005" customWidth="1"/>
    <col min="9217" max="9217" width="15.85546875" style="3005" customWidth="1"/>
    <col min="9218" max="9218" width="14.85546875" style="3005" customWidth="1"/>
    <col min="9219" max="9220" width="22.7109375" style="3005" customWidth="1"/>
    <col min="9221" max="9221" width="17.7109375" style="3005" customWidth="1"/>
    <col min="9222" max="9222" width="10.85546875" style="3005" customWidth="1"/>
    <col min="9223" max="9223" width="11.140625" style="3005" customWidth="1"/>
    <col min="9224" max="9224" width="8.85546875" style="3005"/>
    <col min="9225" max="9225" width="27.5703125" style="3005" customWidth="1"/>
    <col min="9226" max="9466" width="8.85546875" style="3005"/>
    <col min="9467" max="9467" width="4.5703125" style="3005" customWidth="1"/>
    <col min="9468" max="9468" width="81.28515625" style="3005" customWidth="1"/>
    <col min="9469" max="9469" width="38.42578125" style="3005" customWidth="1"/>
    <col min="9470" max="9470" width="24.5703125" style="3005" customWidth="1"/>
    <col min="9471" max="9471" width="26.42578125" style="3005" customWidth="1"/>
    <col min="9472" max="9472" width="22.7109375" style="3005" customWidth="1"/>
    <col min="9473" max="9473" width="15.85546875" style="3005" customWidth="1"/>
    <col min="9474" max="9474" width="14.85546875" style="3005" customWidth="1"/>
    <col min="9475" max="9476" width="22.7109375" style="3005" customWidth="1"/>
    <col min="9477" max="9477" width="17.7109375" style="3005" customWidth="1"/>
    <col min="9478" max="9478" width="10.85546875" style="3005" customWidth="1"/>
    <col min="9479" max="9479" width="11.140625" style="3005" customWidth="1"/>
    <col min="9480" max="9480" width="8.85546875" style="3005"/>
    <col min="9481" max="9481" width="27.5703125" style="3005" customWidth="1"/>
    <col min="9482" max="9722" width="8.85546875" style="3005"/>
    <col min="9723" max="9723" width="4.5703125" style="3005" customWidth="1"/>
    <col min="9724" max="9724" width="81.28515625" style="3005" customWidth="1"/>
    <col min="9725" max="9725" width="38.42578125" style="3005" customWidth="1"/>
    <col min="9726" max="9726" width="24.5703125" style="3005" customWidth="1"/>
    <col min="9727" max="9727" width="26.42578125" style="3005" customWidth="1"/>
    <col min="9728" max="9728" width="22.7109375" style="3005" customWidth="1"/>
    <col min="9729" max="9729" width="15.85546875" style="3005" customWidth="1"/>
    <col min="9730" max="9730" width="14.85546875" style="3005" customWidth="1"/>
    <col min="9731" max="9732" width="22.7109375" style="3005" customWidth="1"/>
    <col min="9733" max="9733" width="17.7109375" style="3005" customWidth="1"/>
    <col min="9734" max="9734" width="10.85546875" style="3005" customWidth="1"/>
    <col min="9735" max="9735" width="11.140625" style="3005" customWidth="1"/>
    <col min="9736" max="9736" width="8.85546875" style="3005"/>
    <col min="9737" max="9737" width="27.5703125" style="3005" customWidth="1"/>
    <col min="9738" max="9978" width="8.85546875" style="3005"/>
    <col min="9979" max="9979" width="4.5703125" style="3005" customWidth="1"/>
    <col min="9980" max="9980" width="81.28515625" style="3005" customWidth="1"/>
    <col min="9981" max="9981" width="38.42578125" style="3005" customWidth="1"/>
    <col min="9982" max="9982" width="24.5703125" style="3005" customWidth="1"/>
    <col min="9983" max="9983" width="26.42578125" style="3005" customWidth="1"/>
    <col min="9984" max="9984" width="22.7109375" style="3005" customWidth="1"/>
    <col min="9985" max="9985" width="15.85546875" style="3005" customWidth="1"/>
    <col min="9986" max="9986" width="14.85546875" style="3005" customWidth="1"/>
    <col min="9987" max="9988" width="22.7109375" style="3005" customWidth="1"/>
    <col min="9989" max="9989" width="17.7109375" style="3005" customWidth="1"/>
    <col min="9990" max="9990" width="10.85546875" style="3005" customWidth="1"/>
    <col min="9991" max="9991" width="11.140625" style="3005" customWidth="1"/>
    <col min="9992" max="9992" width="8.85546875" style="3005"/>
    <col min="9993" max="9993" width="27.5703125" style="3005" customWidth="1"/>
    <col min="9994" max="10234" width="8.85546875" style="3005"/>
    <col min="10235" max="10235" width="4.5703125" style="3005" customWidth="1"/>
    <col min="10236" max="10236" width="81.28515625" style="3005" customWidth="1"/>
    <col min="10237" max="10237" width="38.42578125" style="3005" customWidth="1"/>
    <col min="10238" max="10238" width="24.5703125" style="3005" customWidth="1"/>
    <col min="10239" max="10239" width="26.42578125" style="3005" customWidth="1"/>
    <col min="10240" max="10240" width="22.7109375" style="3005" customWidth="1"/>
    <col min="10241" max="10241" width="15.85546875" style="3005" customWidth="1"/>
    <col min="10242" max="10242" width="14.85546875" style="3005" customWidth="1"/>
    <col min="10243" max="10244" width="22.7109375" style="3005" customWidth="1"/>
    <col min="10245" max="10245" width="17.7109375" style="3005" customWidth="1"/>
    <col min="10246" max="10246" width="10.85546875" style="3005" customWidth="1"/>
    <col min="10247" max="10247" width="11.140625" style="3005" customWidth="1"/>
    <col min="10248" max="10248" width="8.85546875" style="3005"/>
    <col min="10249" max="10249" width="27.5703125" style="3005" customWidth="1"/>
    <col min="10250" max="10490" width="8.85546875" style="3005"/>
    <col min="10491" max="10491" width="4.5703125" style="3005" customWidth="1"/>
    <col min="10492" max="10492" width="81.28515625" style="3005" customWidth="1"/>
    <col min="10493" max="10493" width="38.42578125" style="3005" customWidth="1"/>
    <col min="10494" max="10494" width="24.5703125" style="3005" customWidth="1"/>
    <col min="10495" max="10495" width="26.42578125" style="3005" customWidth="1"/>
    <col min="10496" max="10496" width="22.7109375" style="3005" customWidth="1"/>
    <col min="10497" max="10497" width="15.85546875" style="3005" customWidth="1"/>
    <col min="10498" max="10498" width="14.85546875" style="3005" customWidth="1"/>
    <col min="10499" max="10500" width="22.7109375" style="3005" customWidth="1"/>
    <col min="10501" max="10501" width="17.7109375" style="3005" customWidth="1"/>
    <col min="10502" max="10502" width="10.85546875" style="3005" customWidth="1"/>
    <col min="10503" max="10503" width="11.140625" style="3005" customWidth="1"/>
    <col min="10504" max="10504" width="8.85546875" style="3005"/>
    <col min="10505" max="10505" width="27.5703125" style="3005" customWidth="1"/>
    <col min="10506" max="10746" width="8.85546875" style="3005"/>
    <col min="10747" max="10747" width="4.5703125" style="3005" customWidth="1"/>
    <col min="10748" max="10748" width="81.28515625" style="3005" customWidth="1"/>
    <col min="10749" max="10749" width="38.42578125" style="3005" customWidth="1"/>
    <col min="10750" max="10750" width="24.5703125" style="3005" customWidth="1"/>
    <col min="10751" max="10751" width="26.42578125" style="3005" customWidth="1"/>
    <col min="10752" max="10752" width="22.7109375" style="3005" customWidth="1"/>
    <col min="10753" max="10753" width="15.85546875" style="3005" customWidth="1"/>
    <col min="10754" max="10754" width="14.85546875" style="3005" customWidth="1"/>
    <col min="10755" max="10756" width="22.7109375" style="3005" customWidth="1"/>
    <col min="10757" max="10757" width="17.7109375" style="3005" customWidth="1"/>
    <col min="10758" max="10758" width="10.85546875" style="3005" customWidth="1"/>
    <col min="10759" max="10759" width="11.140625" style="3005" customWidth="1"/>
    <col min="10760" max="10760" width="8.85546875" style="3005"/>
    <col min="10761" max="10761" width="27.5703125" style="3005" customWidth="1"/>
    <col min="10762" max="11002" width="8.85546875" style="3005"/>
    <col min="11003" max="11003" width="4.5703125" style="3005" customWidth="1"/>
    <col min="11004" max="11004" width="81.28515625" style="3005" customWidth="1"/>
    <col min="11005" max="11005" width="38.42578125" style="3005" customWidth="1"/>
    <col min="11006" max="11006" width="24.5703125" style="3005" customWidth="1"/>
    <col min="11007" max="11007" width="26.42578125" style="3005" customWidth="1"/>
    <col min="11008" max="11008" width="22.7109375" style="3005" customWidth="1"/>
    <col min="11009" max="11009" width="15.85546875" style="3005" customWidth="1"/>
    <col min="11010" max="11010" width="14.85546875" style="3005" customWidth="1"/>
    <col min="11011" max="11012" width="22.7109375" style="3005" customWidth="1"/>
    <col min="11013" max="11013" width="17.7109375" style="3005" customWidth="1"/>
    <col min="11014" max="11014" width="10.85546875" style="3005" customWidth="1"/>
    <col min="11015" max="11015" width="11.140625" style="3005" customWidth="1"/>
    <col min="11016" max="11016" width="8.85546875" style="3005"/>
    <col min="11017" max="11017" width="27.5703125" style="3005" customWidth="1"/>
    <col min="11018" max="11258" width="8.85546875" style="3005"/>
    <col min="11259" max="11259" width="4.5703125" style="3005" customWidth="1"/>
    <col min="11260" max="11260" width="81.28515625" style="3005" customWidth="1"/>
    <col min="11261" max="11261" width="38.42578125" style="3005" customWidth="1"/>
    <col min="11262" max="11262" width="24.5703125" style="3005" customWidth="1"/>
    <col min="11263" max="11263" width="26.42578125" style="3005" customWidth="1"/>
    <col min="11264" max="11264" width="22.7109375" style="3005" customWidth="1"/>
    <col min="11265" max="11265" width="15.85546875" style="3005" customWidth="1"/>
    <col min="11266" max="11266" width="14.85546875" style="3005" customWidth="1"/>
    <col min="11267" max="11268" width="22.7109375" style="3005" customWidth="1"/>
    <col min="11269" max="11269" width="17.7109375" style="3005" customWidth="1"/>
    <col min="11270" max="11270" width="10.85546875" style="3005" customWidth="1"/>
    <col min="11271" max="11271" width="11.140625" style="3005" customWidth="1"/>
    <col min="11272" max="11272" width="8.85546875" style="3005"/>
    <col min="11273" max="11273" width="27.5703125" style="3005" customWidth="1"/>
    <col min="11274" max="11514" width="8.85546875" style="3005"/>
    <col min="11515" max="11515" width="4.5703125" style="3005" customWidth="1"/>
    <col min="11516" max="11516" width="81.28515625" style="3005" customWidth="1"/>
    <col min="11517" max="11517" width="38.42578125" style="3005" customWidth="1"/>
    <col min="11518" max="11518" width="24.5703125" style="3005" customWidth="1"/>
    <col min="11519" max="11519" width="26.42578125" style="3005" customWidth="1"/>
    <col min="11520" max="11520" width="22.7109375" style="3005" customWidth="1"/>
    <col min="11521" max="11521" width="15.85546875" style="3005" customWidth="1"/>
    <col min="11522" max="11522" width="14.85546875" style="3005" customWidth="1"/>
    <col min="11523" max="11524" width="22.7109375" style="3005" customWidth="1"/>
    <col min="11525" max="11525" width="17.7109375" style="3005" customWidth="1"/>
    <col min="11526" max="11526" width="10.85546875" style="3005" customWidth="1"/>
    <col min="11527" max="11527" width="11.140625" style="3005" customWidth="1"/>
    <col min="11528" max="11528" width="8.85546875" style="3005"/>
    <col min="11529" max="11529" width="27.5703125" style="3005" customWidth="1"/>
    <col min="11530" max="11770" width="8.85546875" style="3005"/>
    <col min="11771" max="11771" width="4.5703125" style="3005" customWidth="1"/>
    <col min="11772" max="11772" width="81.28515625" style="3005" customWidth="1"/>
    <col min="11773" max="11773" width="38.42578125" style="3005" customWidth="1"/>
    <col min="11774" max="11774" width="24.5703125" style="3005" customWidth="1"/>
    <col min="11775" max="11775" width="26.42578125" style="3005" customWidth="1"/>
    <col min="11776" max="11776" width="22.7109375" style="3005" customWidth="1"/>
    <col min="11777" max="11777" width="15.85546875" style="3005" customWidth="1"/>
    <col min="11778" max="11778" width="14.85546875" style="3005" customWidth="1"/>
    <col min="11779" max="11780" width="22.7109375" style="3005" customWidth="1"/>
    <col min="11781" max="11781" width="17.7109375" style="3005" customWidth="1"/>
    <col min="11782" max="11782" width="10.85546875" style="3005" customWidth="1"/>
    <col min="11783" max="11783" width="11.140625" style="3005" customWidth="1"/>
    <col min="11784" max="11784" width="8.85546875" style="3005"/>
    <col min="11785" max="11785" width="27.5703125" style="3005" customWidth="1"/>
    <col min="11786" max="12026" width="8.85546875" style="3005"/>
    <col min="12027" max="12027" width="4.5703125" style="3005" customWidth="1"/>
    <col min="12028" max="12028" width="81.28515625" style="3005" customWidth="1"/>
    <col min="12029" max="12029" width="38.42578125" style="3005" customWidth="1"/>
    <col min="12030" max="12030" width="24.5703125" style="3005" customWidth="1"/>
    <col min="12031" max="12031" width="26.42578125" style="3005" customWidth="1"/>
    <col min="12032" max="12032" width="22.7109375" style="3005" customWidth="1"/>
    <col min="12033" max="12033" width="15.85546875" style="3005" customWidth="1"/>
    <col min="12034" max="12034" width="14.85546875" style="3005" customWidth="1"/>
    <col min="12035" max="12036" width="22.7109375" style="3005" customWidth="1"/>
    <col min="12037" max="12037" width="17.7109375" style="3005" customWidth="1"/>
    <col min="12038" max="12038" width="10.85546875" style="3005" customWidth="1"/>
    <col min="12039" max="12039" width="11.140625" style="3005" customWidth="1"/>
    <col min="12040" max="12040" width="8.85546875" style="3005"/>
    <col min="12041" max="12041" width="27.5703125" style="3005" customWidth="1"/>
    <col min="12042" max="12282" width="8.85546875" style="3005"/>
    <col min="12283" max="12283" width="4.5703125" style="3005" customWidth="1"/>
    <col min="12284" max="12284" width="81.28515625" style="3005" customWidth="1"/>
    <col min="12285" max="12285" width="38.42578125" style="3005" customWidth="1"/>
    <col min="12286" max="12286" width="24.5703125" style="3005" customWidth="1"/>
    <col min="12287" max="12287" width="26.42578125" style="3005" customWidth="1"/>
    <col min="12288" max="12288" width="22.7109375" style="3005" customWidth="1"/>
    <col min="12289" max="12289" width="15.85546875" style="3005" customWidth="1"/>
    <col min="12290" max="12290" width="14.85546875" style="3005" customWidth="1"/>
    <col min="12291" max="12292" width="22.7109375" style="3005" customWidth="1"/>
    <col min="12293" max="12293" width="17.7109375" style="3005" customWidth="1"/>
    <col min="12294" max="12294" width="10.85546875" style="3005" customWidth="1"/>
    <col min="12295" max="12295" width="11.140625" style="3005" customWidth="1"/>
    <col min="12296" max="12296" width="8.85546875" style="3005"/>
    <col min="12297" max="12297" width="27.5703125" style="3005" customWidth="1"/>
    <col min="12298" max="12538" width="8.85546875" style="3005"/>
    <col min="12539" max="12539" width="4.5703125" style="3005" customWidth="1"/>
    <col min="12540" max="12540" width="81.28515625" style="3005" customWidth="1"/>
    <col min="12541" max="12541" width="38.42578125" style="3005" customWidth="1"/>
    <col min="12542" max="12542" width="24.5703125" style="3005" customWidth="1"/>
    <col min="12543" max="12543" width="26.42578125" style="3005" customWidth="1"/>
    <col min="12544" max="12544" width="22.7109375" style="3005" customWidth="1"/>
    <col min="12545" max="12545" width="15.85546875" style="3005" customWidth="1"/>
    <col min="12546" max="12546" width="14.85546875" style="3005" customWidth="1"/>
    <col min="12547" max="12548" width="22.7109375" style="3005" customWidth="1"/>
    <col min="12549" max="12549" width="17.7109375" style="3005" customWidth="1"/>
    <col min="12550" max="12550" width="10.85546875" style="3005" customWidth="1"/>
    <col min="12551" max="12551" width="11.140625" style="3005" customWidth="1"/>
    <col min="12552" max="12552" width="8.85546875" style="3005"/>
    <col min="12553" max="12553" width="27.5703125" style="3005" customWidth="1"/>
    <col min="12554" max="12794" width="8.85546875" style="3005"/>
    <col min="12795" max="12795" width="4.5703125" style="3005" customWidth="1"/>
    <col min="12796" max="12796" width="81.28515625" style="3005" customWidth="1"/>
    <col min="12797" max="12797" width="38.42578125" style="3005" customWidth="1"/>
    <col min="12798" max="12798" width="24.5703125" style="3005" customWidth="1"/>
    <col min="12799" max="12799" width="26.42578125" style="3005" customWidth="1"/>
    <col min="12800" max="12800" width="22.7109375" style="3005" customWidth="1"/>
    <col min="12801" max="12801" width="15.85546875" style="3005" customWidth="1"/>
    <col min="12802" max="12802" width="14.85546875" style="3005" customWidth="1"/>
    <col min="12803" max="12804" width="22.7109375" style="3005" customWidth="1"/>
    <col min="12805" max="12805" width="17.7109375" style="3005" customWidth="1"/>
    <col min="12806" max="12806" width="10.85546875" style="3005" customWidth="1"/>
    <col min="12807" max="12807" width="11.140625" style="3005" customWidth="1"/>
    <col min="12808" max="12808" width="8.85546875" style="3005"/>
    <col min="12809" max="12809" width="27.5703125" style="3005" customWidth="1"/>
    <col min="12810" max="13050" width="8.85546875" style="3005"/>
    <col min="13051" max="13051" width="4.5703125" style="3005" customWidth="1"/>
    <col min="13052" max="13052" width="81.28515625" style="3005" customWidth="1"/>
    <col min="13053" max="13053" width="38.42578125" style="3005" customWidth="1"/>
    <col min="13054" max="13054" width="24.5703125" style="3005" customWidth="1"/>
    <col min="13055" max="13055" width="26.42578125" style="3005" customWidth="1"/>
    <col min="13056" max="13056" width="22.7109375" style="3005" customWidth="1"/>
    <col min="13057" max="13057" width="15.85546875" style="3005" customWidth="1"/>
    <col min="13058" max="13058" width="14.85546875" style="3005" customWidth="1"/>
    <col min="13059" max="13060" width="22.7109375" style="3005" customWidth="1"/>
    <col min="13061" max="13061" width="17.7109375" style="3005" customWidth="1"/>
    <col min="13062" max="13062" width="10.85546875" style="3005" customWidth="1"/>
    <col min="13063" max="13063" width="11.140625" style="3005" customWidth="1"/>
    <col min="13064" max="13064" width="8.85546875" style="3005"/>
    <col min="13065" max="13065" width="27.5703125" style="3005" customWidth="1"/>
    <col min="13066" max="13306" width="8.85546875" style="3005"/>
    <col min="13307" max="13307" width="4.5703125" style="3005" customWidth="1"/>
    <col min="13308" max="13308" width="81.28515625" style="3005" customWidth="1"/>
    <col min="13309" max="13309" width="38.42578125" style="3005" customWidth="1"/>
    <col min="13310" max="13310" width="24.5703125" style="3005" customWidth="1"/>
    <col min="13311" max="13311" width="26.42578125" style="3005" customWidth="1"/>
    <col min="13312" max="13312" width="22.7109375" style="3005" customWidth="1"/>
    <col min="13313" max="13313" width="15.85546875" style="3005" customWidth="1"/>
    <col min="13314" max="13314" width="14.85546875" style="3005" customWidth="1"/>
    <col min="13315" max="13316" width="22.7109375" style="3005" customWidth="1"/>
    <col min="13317" max="13317" width="17.7109375" style="3005" customWidth="1"/>
    <col min="13318" max="13318" width="10.85546875" style="3005" customWidth="1"/>
    <col min="13319" max="13319" width="11.140625" style="3005" customWidth="1"/>
    <col min="13320" max="13320" width="8.85546875" style="3005"/>
    <col min="13321" max="13321" width="27.5703125" style="3005" customWidth="1"/>
    <col min="13322" max="13562" width="8.85546875" style="3005"/>
    <col min="13563" max="13563" width="4.5703125" style="3005" customWidth="1"/>
    <col min="13564" max="13564" width="81.28515625" style="3005" customWidth="1"/>
    <col min="13565" max="13565" width="38.42578125" style="3005" customWidth="1"/>
    <col min="13566" max="13566" width="24.5703125" style="3005" customWidth="1"/>
    <col min="13567" max="13567" width="26.42578125" style="3005" customWidth="1"/>
    <col min="13568" max="13568" width="22.7109375" style="3005" customWidth="1"/>
    <col min="13569" max="13569" width="15.85546875" style="3005" customWidth="1"/>
    <col min="13570" max="13570" width="14.85546875" style="3005" customWidth="1"/>
    <col min="13571" max="13572" width="22.7109375" style="3005" customWidth="1"/>
    <col min="13573" max="13573" width="17.7109375" style="3005" customWidth="1"/>
    <col min="13574" max="13574" width="10.85546875" style="3005" customWidth="1"/>
    <col min="13575" max="13575" width="11.140625" style="3005" customWidth="1"/>
    <col min="13576" max="13576" width="8.85546875" style="3005"/>
    <col min="13577" max="13577" width="27.5703125" style="3005" customWidth="1"/>
    <col min="13578" max="13818" width="8.85546875" style="3005"/>
    <col min="13819" max="13819" width="4.5703125" style="3005" customWidth="1"/>
    <col min="13820" max="13820" width="81.28515625" style="3005" customWidth="1"/>
    <col min="13821" max="13821" width="38.42578125" style="3005" customWidth="1"/>
    <col min="13822" max="13822" width="24.5703125" style="3005" customWidth="1"/>
    <col min="13823" max="13823" width="26.42578125" style="3005" customWidth="1"/>
    <col min="13824" max="13824" width="22.7109375" style="3005" customWidth="1"/>
    <col min="13825" max="13825" width="15.85546875" style="3005" customWidth="1"/>
    <col min="13826" max="13826" width="14.85546875" style="3005" customWidth="1"/>
    <col min="13827" max="13828" width="22.7109375" style="3005" customWidth="1"/>
    <col min="13829" max="13829" width="17.7109375" style="3005" customWidth="1"/>
    <col min="13830" max="13830" width="10.85546875" style="3005" customWidth="1"/>
    <col min="13831" max="13831" width="11.140625" style="3005" customWidth="1"/>
    <col min="13832" max="13832" width="8.85546875" style="3005"/>
    <col min="13833" max="13833" width="27.5703125" style="3005" customWidth="1"/>
    <col min="13834" max="14074" width="8.85546875" style="3005"/>
    <col min="14075" max="14075" width="4.5703125" style="3005" customWidth="1"/>
    <col min="14076" max="14076" width="81.28515625" style="3005" customWidth="1"/>
    <col min="14077" max="14077" width="38.42578125" style="3005" customWidth="1"/>
    <col min="14078" max="14078" width="24.5703125" style="3005" customWidth="1"/>
    <col min="14079" max="14079" width="26.42578125" style="3005" customWidth="1"/>
    <col min="14080" max="14080" width="22.7109375" style="3005" customWidth="1"/>
    <col min="14081" max="14081" width="15.85546875" style="3005" customWidth="1"/>
    <col min="14082" max="14082" width="14.85546875" style="3005" customWidth="1"/>
    <col min="14083" max="14084" width="22.7109375" style="3005" customWidth="1"/>
    <col min="14085" max="14085" width="17.7109375" style="3005" customWidth="1"/>
    <col min="14086" max="14086" width="10.85546875" style="3005" customWidth="1"/>
    <col min="14087" max="14087" width="11.140625" style="3005" customWidth="1"/>
    <col min="14088" max="14088" width="8.85546875" style="3005"/>
    <col min="14089" max="14089" width="27.5703125" style="3005" customWidth="1"/>
    <col min="14090" max="14330" width="8.85546875" style="3005"/>
    <col min="14331" max="14331" width="4.5703125" style="3005" customWidth="1"/>
    <col min="14332" max="14332" width="81.28515625" style="3005" customWidth="1"/>
    <col min="14333" max="14333" width="38.42578125" style="3005" customWidth="1"/>
    <col min="14334" max="14334" width="24.5703125" style="3005" customWidth="1"/>
    <col min="14335" max="14335" width="26.42578125" style="3005" customWidth="1"/>
    <col min="14336" max="14336" width="22.7109375" style="3005" customWidth="1"/>
    <col min="14337" max="14337" width="15.85546875" style="3005" customWidth="1"/>
    <col min="14338" max="14338" width="14.85546875" style="3005" customWidth="1"/>
    <col min="14339" max="14340" width="22.7109375" style="3005" customWidth="1"/>
    <col min="14341" max="14341" width="17.7109375" style="3005" customWidth="1"/>
    <col min="14342" max="14342" width="10.85546875" style="3005" customWidth="1"/>
    <col min="14343" max="14343" width="11.140625" style="3005" customWidth="1"/>
    <col min="14344" max="14344" width="8.85546875" style="3005"/>
    <col min="14345" max="14345" width="27.5703125" style="3005" customWidth="1"/>
    <col min="14346" max="14586" width="8.85546875" style="3005"/>
    <col min="14587" max="14587" width="4.5703125" style="3005" customWidth="1"/>
    <col min="14588" max="14588" width="81.28515625" style="3005" customWidth="1"/>
    <col min="14589" max="14589" width="38.42578125" style="3005" customWidth="1"/>
    <col min="14590" max="14590" width="24.5703125" style="3005" customWidth="1"/>
    <col min="14591" max="14591" width="26.42578125" style="3005" customWidth="1"/>
    <col min="14592" max="14592" width="22.7109375" style="3005" customWidth="1"/>
    <col min="14593" max="14593" width="15.85546875" style="3005" customWidth="1"/>
    <col min="14594" max="14594" width="14.85546875" style="3005" customWidth="1"/>
    <col min="14595" max="14596" width="22.7109375" style="3005" customWidth="1"/>
    <col min="14597" max="14597" width="17.7109375" style="3005" customWidth="1"/>
    <col min="14598" max="14598" width="10.85546875" style="3005" customWidth="1"/>
    <col min="14599" max="14599" width="11.140625" style="3005" customWidth="1"/>
    <col min="14600" max="14600" width="8.85546875" style="3005"/>
    <col min="14601" max="14601" width="27.5703125" style="3005" customWidth="1"/>
    <col min="14602" max="14842" width="8.85546875" style="3005"/>
    <col min="14843" max="14843" width="4.5703125" style="3005" customWidth="1"/>
    <col min="14844" max="14844" width="81.28515625" style="3005" customWidth="1"/>
    <col min="14845" max="14845" width="38.42578125" style="3005" customWidth="1"/>
    <col min="14846" max="14846" width="24.5703125" style="3005" customWidth="1"/>
    <col min="14847" max="14847" width="26.42578125" style="3005" customWidth="1"/>
    <col min="14848" max="14848" width="22.7109375" style="3005" customWidth="1"/>
    <col min="14849" max="14849" width="15.85546875" style="3005" customWidth="1"/>
    <col min="14850" max="14850" width="14.85546875" style="3005" customWidth="1"/>
    <col min="14851" max="14852" width="22.7109375" style="3005" customWidth="1"/>
    <col min="14853" max="14853" width="17.7109375" style="3005" customWidth="1"/>
    <col min="14854" max="14854" width="10.85546875" style="3005" customWidth="1"/>
    <col min="14855" max="14855" width="11.140625" style="3005" customWidth="1"/>
    <col min="14856" max="14856" width="8.85546875" style="3005"/>
    <col min="14857" max="14857" width="27.5703125" style="3005" customWidth="1"/>
    <col min="14858" max="15098" width="8.85546875" style="3005"/>
    <col min="15099" max="15099" width="4.5703125" style="3005" customWidth="1"/>
    <col min="15100" max="15100" width="81.28515625" style="3005" customWidth="1"/>
    <col min="15101" max="15101" width="38.42578125" style="3005" customWidth="1"/>
    <col min="15102" max="15102" width="24.5703125" style="3005" customWidth="1"/>
    <col min="15103" max="15103" width="26.42578125" style="3005" customWidth="1"/>
    <col min="15104" max="15104" width="22.7109375" style="3005" customWidth="1"/>
    <col min="15105" max="15105" width="15.85546875" style="3005" customWidth="1"/>
    <col min="15106" max="15106" width="14.85546875" style="3005" customWidth="1"/>
    <col min="15107" max="15108" width="22.7109375" style="3005" customWidth="1"/>
    <col min="15109" max="15109" width="17.7109375" style="3005" customWidth="1"/>
    <col min="15110" max="15110" width="10.85546875" style="3005" customWidth="1"/>
    <col min="15111" max="15111" width="11.140625" style="3005" customWidth="1"/>
    <col min="15112" max="15112" width="8.85546875" style="3005"/>
    <col min="15113" max="15113" width="27.5703125" style="3005" customWidth="1"/>
    <col min="15114" max="15354" width="8.85546875" style="3005"/>
    <col min="15355" max="15355" width="4.5703125" style="3005" customWidth="1"/>
    <col min="15356" max="15356" width="81.28515625" style="3005" customWidth="1"/>
    <col min="15357" max="15357" width="38.42578125" style="3005" customWidth="1"/>
    <col min="15358" max="15358" width="24.5703125" style="3005" customWidth="1"/>
    <col min="15359" max="15359" width="26.42578125" style="3005" customWidth="1"/>
    <col min="15360" max="15360" width="22.7109375" style="3005" customWidth="1"/>
    <col min="15361" max="15361" width="15.85546875" style="3005" customWidth="1"/>
    <col min="15362" max="15362" width="14.85546875" style="3005" customWidth="1"/>
    <col min="15363" max="15364" width="22.7109375" style="3005" customWidth="1"/>
    <col min="15365" max="15365" width="17.7109375" style="3005" customWidth="1"/>
    <col min="15366" max="15366" width="10.85546875" style="3005" customWidth="1"/>
    <col min="15367" max="15367" width="11.140625" style="3005" customWidth="1"/>
    <col min="15368" max="15368" width="8.85546875" style="3005"/>
    <col min="15369" max="15369" width="27.5703125" style="3005" customWidth="1"/>
    <col min="15370" max="15610" width="8.85546875" style="3005"/>
    <col min="15611" max="15611" width="4.5703125" style="3005" customWidth="1"/>
    <col min="15612" max="15612" width="81.28515625" style="3005" customWidth="1"/>
    <col min="15613" max="15613" width="38.42578125" style="3005" customWidth="1"/>
    <col min="15614" max="15614" width="24.5703125" style="3005" customWidth="1"/>
    <col min="15615" max="15615" width="26.42578125" style="3005" customWidth="1"/>
    <col min="15616" max="15616" width="22.7109375" style="3005" customWidth="1"/>
    <col min="15617" max="15617" width="15.85546875" style="3005" customWidth="1"/>
    <col min="15618" max="15618" width="14.85546875" style="3005" customWidth="1"/>
    <col min="15619" max="15620" width="22.7109375" style="3005" customWidth="1"/>
    <col min="15621" max="15621" width="17.7109375" style="3005" customWidth="1"/>
    <col min="15622" max="15622" width="10.85546875" style="3005" customWidth="1"/>
    <col min="15623" max="15623" width="11.140625" style="3005" customWidth="1"/>
    <col min="15624" max="15624" width="8.85546875" style="3005"/>
    <col min="15625" max="15625" width="27.5703125" style="3005" customWidth="1"/>
    <col min="15626" max="15866" width="8.85546875" style="3005"/>
    <col min="15867" max="15867" width="4.5703125" style="3005" customWidth="1"/>
    <col min="15868" max="15868" width="81.28515625" style="3005" customWidth="1"/>
    <col min="15869" max="15869" width="38.42578125" style="3005" customWidth="1"/>
    <col min="15870" max="15870" width="24.5703125" style="3005" customWidth="1"/>
    <col min="15871" max="15871" width="26.42578125" style="3005" customWidth="1"/>
    <col min="15872" max="15872" width="22.7109375" style="3005" customWidth="1"/>
    <col min="15873" max="15873" width="15.85546875" style="3005" customWidth="1"/>
    <col min="15874" max="15874" width="14.85546875" style="3005" customWidth="1"/>
    <col min="15875" max="15876" width="22.7109375" style="3005" customWidth="1"/>
    <col min="15877" max="15877" width="17.7109375" style="3005" customWidth="1"/>
    <col min="15878" max="15878" width="10.85546875" style="3005" customWidth="1"/>
    <col min="15879" max="15879" width="11.140625" style="3005" customWidth="1"/>
    <col min="15880" max="15880" width="8.85546875" style="3005"/>
    <col min="15881" max="15881" width="27.5703125" style="3005" customWidth="1"/>
    <col min="15882" max="16122" width="8.85546875" style="3005"/>
    <col min="16123" max="16123" width="4.5703125" style="3005" customWidth="1"/>
    <col min="16124" max="16124" width="81.28515625" style="3005" customWidth="1"/>
    <col min="16125" max="16125" width="38.42578125" style="3005" customWidth="1"/>
    <col min="16126" max="16126" width="24.5703125" style="3005" customWidth="1"/>
    <col min="16127" max="16127" width="26.42578125" style="3005" customWidth="1"/>
    <col min="16128" max="16128" width="22.7109375" style="3005" customWidth="1"/>
    <col min="16129" max="16129" width="15.85546875" style="3005" customWidth="1"/>
    <col min="16130" max="16130" width="14.85546875" style="3005" customWidth="1"/>
    <col min="16131" max="16132" width="22.7109375" style="3005" customWidth="1"/>
    <col min="16133" max="16133" width="17.7109375" style="3005" customWidth="1"/>
    <col min="16134" max="16134" width="10.85546875" style="3005" customWidth="1"/>
    <col min="16135" max="16135" width="11.140625" style="3005" customWidth="1"/>
    <col min="16136" max="16136" width="8.85546875" style="3005"/>
    <col min="16137" max="16137" width="27.5703125" style="3005" customWidth="1"/>
    <col min="16138" max="16384" width="8.85546875" style="3005"/>
  </cols>
  <sheetData>
    <row r="1" spans="1:9" s="393" customFormat="1" ht="21.75" customHeight="1" x14ac:dyDescent="0.25">
      <c r="A1" s="5812" t="s">
        <v>390</v>
      </c>
      <c r="B1" s="5812"/>
      <c r="C1" s="5812"/>
      <c r="D1" s="5812"/>
      <c r="E1" s="5812"/>
      <c r="F1" s="5812"/>
      <c r="G1" s="5812"/>
    </row>
    <row r="2" spans="1:9" s="393" customFormat="1" ht="21.75" customHeight="1" x14ac:dyDescent="0.25">
      <c r="A2" s="5813" t="s">
        <v>391</v>
      </c>
      <c r="B2" s="5813"/>
      <c r="C2" s="5813"/>
      <c r="D2" s="5813"/>
      <c r="E2" s="5813"/>
      <c r="F2" s="5813"/>
      <c r="G2" s="5813"/>
    </row>
    <row r="3" spans="1:9" s="393" customFormat="1" ht="21.75" customHeight="1" x14ac:dyDescent="0.3">
      <c r="A3" s="5814" t="s">
        <v>2462</v>
      </c>
      <c r="B3" s="5814"/>
      <c r="C3" s="5814"/>
      <c r="D3" s="5814"/>
      <c r="E3" s="5814"/>
      <c r="F3" s="5814"/>
      <c r="G3" s="5814"/>
    </row>
    <row r="4" spans="1:9" s="393" customFormat="1" ht="21.75" customHeight="1" x14ac:dyDescent="0.3">
      <c r="A4" s="3019"/>
      <c r="B4" s="3162"/>
      <c r="C4" s="3228"/>
      <c r="D4" s="3229"/>
      <c r="E4" s="3018"/>
      <c r="F4" s="3254"/>
      <c r="G4" s="3019"/>
    </row>
    <row r="5" spans="1:9" ht="20.25" customHeight="1" x14ac:dyDescent="0.25">
      <c r="A5" s="5815" t="s">
        <v>2463</v>
      </c>
      <c r="B5" s="5815"/>
    </row>
    <row r="6" spans="1:9" ht="20.25" customHeight="1" x14ac:dyDescent="0.35">
      <c r="A6" s="5816" t="s">
        <v>7358</v>
      </c>
      <c r="B6" s="5816"/>
      <c r="G6" s="282" t="s">
        <v>7357</v>
      </c>
    </row>
    <row r="7" spans="1:9" ht="14.1" customHeight="1" thickBot="1" x14ac:dyDescent="0.3">
      <c r="A7" s="3021"/>
      <c r="B7" s="395"/>
    </row>
    <row r="8" spans="1:9" ht="26.25" customHeight="1" thickTop="1" thickBot="1" x14ac:dyDescent="0.3">
      <c r="A8" s="5807" t="s">
        <v>1</v>
      </c>
      <c r="B8" s="5809" t="s">
        <v>2</v>
      </c>
      <c r="C8" s="5811" t="s">
        <v>3</v>
      </c>
      <c r="D8" s="5811"/>
      <c r="E8" s="5811"/>
      <c r="F8" s="5811"/>
      <c r="G8" s="5820" t="s">
        <v>423</v>
      </c>
    </row>
    <row r="9" spans="1:9" s="399" customFormat="1" ht="81.75" customHeight="1" thickBot="1" x14ac:dyDescent="0.3">
      <c r="A9" s="5808"/>
      <c r="B9" s="5810"/>
      <c r="C9" s="397" t="s">
        <v>33</v>
      </c>
      <c r="D9" s="397" t="s">
        <v>397</v>
      </c>
      <c r="E9" s="397" t="s">
        <v>54</v>
      </c>
      <c r="F9" s="397" t="s">
        <v>138</v>
      </c>
      <c r="G9" s="5821"/>
    </row>
    <row r="10" spans="1:9" ht="17.25" customHeight="1" thickTop="1" thickBot="1" x14ac:dyDescent="0.3">
      <c r="A10" s="255" t="s">
        <v>8</v>
      </c>
      <c r="B10" s="400" t="s">
        <v>9</v>
      </c>
      <c r="C10" s="3230" t="s">
        <v>37</v>
      </c>
      <c r="D10" s="3230" t="s">
        <v>38</v>
      </c>
      <c r="E10" s="403" t="s">
        <v>39</v>
      </c>
      <c r="F10" s="401" t="s">
        <v>107</v>
      </c>
      <c r="G10" s="403" t="s">
        <v>108</v>
      </c>
    </row>
    <row r="11" spans="1:9" ht="12" customHeight="1" thickTop="1" x14ac:dyDescent="0.25">
      <c r="A11" s="3165"/>
      <c r="B11" s="405"/>
      <c r="C11" s="3231"/>
      <c r="D11" s="3231"/>
      <c r="E11" s="3165"/>
      <c r="F11" s="3165"/>
      <c r="G11" s="408"/>
    </row>
    <row r="12" spans="1:9" s="414" customFormat="1" ht="21" customHeight="1" x14ac:dyDescent="0.25">
      <c r="A12" s="409" t="s">
        <v>59</v>
      </c>
      <c r="B12" s="410" t="s">
        <v>109</v>
      </c>
      <c r="C12" s="3232">
        <f>SUM(C13,C255)</f>
        <v>1600000000000</v>
      </c>
      <c r="D12" s="3232">
        <f>SUM(D13,D255)</f>
        <v>1279487677963</v>
      </c>
      <c r="E12" s="3205">
        <f>D12/C12*100</f>
        <v>79.967979872687494</v>
      </c>
      <c r="F12" s="3204">
        <f>SUM(F13+F255)/2</f>
        <v>83.637430240913574</v>
      </c>
      <c r="G12" s="413"/>
    </row>
    <row r="13" spans="1:9" s="5621" customFormat="1" ht="23.25" customHeight="1" x14ac:dyDescent="0.25">
      <c r="A13" s="5623">
        <v>1</v>
      </c>
      <c r="B13" s="5624" t="s">
        <v>234</v>
      </c>
      <c r="C13" s="5618">
        <f>SUM(C14,C44,C77,C85,C97,C103,C106,C113,C126,C130,C137,C149,C155)</f>
        <v>1417450000000</v>
      </c>
      <c r="D13" s="5625">
        <f>SUM(D14,D44,D77,D85,D97,D103,D106,D113,D126,D130,D137,D149,D155)</f>
        <v>1136730865443</v>
      </c>
      <c r="E13" s="5619">
        <f>D13/C13*100</f>
        <v>80.19548241158418</v>
      </c>
      <c r="F13" s="5619">
        <f>SUM(F14+F44+F77+F85+F97+F106+F113+F126+F130+F137+F149+F155+F264+F268+F281+F288)/17</f>
        <v>76.163749370716019</v>
      </c>
      <c r="G13" s="5626"/>
      <c r="I13" s="5622"/>
    </row>
    <row r="14" spans="1:9" s="414" customFormat="1" ht="18.75" hidden="1" customHeight="1" x14ac:dyDescent="0.25">
      <c r="A14" s="3166"/>
      <c r="B14" s="420" t="s">
        <v>1372</v>
      </c>
      <c r="C14" s="3233">
        <f>SUM(C15:C42)</f>
        <v>470200000000</v>
      </c>
      <c r="D14" s="3234">
        <f>SUM(D15:D42)</f>
        <v>433832842143</v>
      </c>
      <c r="E14" s="3206">
        <f t="shared" ref="E14:E74" si="0">D14/C14*100</f>
        <v>92.265598073798387</v>
      </c>
      <c r="F14" s="3206">
        <f>SUM(F15:F42)/28</f>
        <v>92.5</v>
      </c>
      <c r="G14" s="423"/>
    </row>
    <row r="15" spans="1:9" s="432" customFormat="1" ht="18" hidden="1" customHeight="1" x14ac:dyDescent="0.2">
      <c r="A15" s="424"/>
      <c r="B15" s="425" t="s">
        <v>1373</v>
      </c>
      <c r="C15" s="480">
        <v>5000000000</v>
      </c>
      <c r="D15" s="3177">
        <v>1024185200</v>
      </c>
      <c r="E15" s="3208">
        <f>D15/C15*100</f>
        <v>20.483703999999999</v>
      </c>
      <c r="F15" s="3209">
        <v>30</v>
      </c>
      <c r="G15" s="431"/>
    </row>
    <row r="16" spans="1:9" s="432" customFormat="1" ht="15.75" hidden="1" customHeight="1" x14ac:dyDescent="0.2">
      <c r="A16" s="424"/>
      <c r="B16" s="425" t="s">
        <v>1374</v>
      </c>
      <c r="C16" s="480">
        <v>10000000000</v>
      </c>
      <c r="D16" s="3173">
        <v>5676140000</v>
      </c>
      <c r="E16" s="3208">
        <f t="shared" si="0"/>
        <v>56.761399999999995</v>
      </c>
      <c r="F16" s="3208">
        <v>60</v>
      </c>
      <c r="G16" s="431"/>
    </row>
    <row r="17" spans="1:7" s="432" customFormat="1" ht="15.75" hidden="1" customHeight="1" x14ac:dyDescent="0.2">
      <c r="A17" s="424"/>
      <c r="B17" s="425" t="s">
        <v>1375</v>
      </c>
      <c r="C17" s="480">
        <v>20000000000</v>
      </c>
      <c r="D17" s="3173">
        <v>19484040000</v>
      </c>
      <c r="E17" s="3208">
        <f t="shared" si="0"/>
        <v>97.420199999999994</v>
      </c>
      <c r="F17" s="3208">
        <v>100</v>
      </c>
      <c r="G17" s="431"/>
    </row>
    <row r="18" spans="1:7" s="432" customFormat="1" ht="15.75" hidden="1" customHeight="1" x14ac:dyDescent="0.2">
      <c r="A18" s="424"/>
      <c r="B18" s="425" t="s">
        <v>1376</v>
      </c>
      <c r="C18" s="480">
        <v>55000000000</v>
      </c>
      <c r="D18" s="3173">
        <v>54039181000</v>
      </c>
      <c r="E18" s="3208">
        <f t="shared" si="0"/>
        <v>98.253056363636361</v>
      </c>
      <c r="F18" s="3208">
        <v>100</v>
      </c>
      <c r="G18" s="431"/>
    </row>
    <row r="19" spans="1:7" s="432" customFormat="1" ht="15.75" hidden="1" customHeight="1" x14ac:dyDescent="0.2">
      <c r="A19" s="424"/>
      <c r="B19" s="425" t="s">
        <v>1377</v>
      </c>
      <c r="C19" s="480">
        <v>12000000000</v>
      </c>
      <c r="D19" s="3173">
        <v>11680180000</v>
      </c>
      <c r="E19" s="3208">
        <f t="shared" si="0"/>
        <v>97.334833333333336</v>
      </c>
      <c r="F19" s="3208">
        <v>100</v>
      </c>
      <c r="G19" s="431"/>
    </row>
    <row r="20" spans="1:7" s="432" customFormat="1" ht="15.75" hidden="1" customHeight="1" x14ac:dyDescent="0.2">
      <c r="A20" s="424"/>
      <c r="B20" s="425" t="s">
        <v>1378</v>
      </c>
      <c r="C20" s="480">
        <v>8000000000</v>
      </c>
      <c r="D20" s="3173">
        <v>7606820000</v>
      </c>
      <c r="E20" s="3208">
        <f t="shared" si="0"/>
        <v>95.085250000000002</v>
      </c>
      <c r="F20" s="3208">
        <v>100</v>
      </c>
      <c r="G20" s="431"/>
    </row>
    <row r="21" spans="1:7" s="432" customFormat="1" ht="15.75" hidden="1" customHeight="1" x14ac:dyDescent="0.2">
      <c r="A21" s="424"/>
      <c r="B21" s="425" t="s">
        <v>1379</v>
      </c>
      <c r="C21" s="480">
        <v>20000000000</v>
      </c>
      <c r="D21" s="3173">
        <v>7486421500</v>
      </c>
      <c r="E21" s="3208">
        <f t="shared" si="0"/>
        <v>37.432107500000001</v>
      </c>
      <c r="F21" s="3208">
        <v>40</v>
      </c>
      <c r="G21" s="431"/>
    </row>
    <row r="22" spans="1:7" s="432" customFormat="1" ht="15.75" hidden="1" customHeight="1" x14ac:dyDescent="0.2">
      <c r="A22" s="424"/>
      <c r="B22" s="425" t="s">
        <v>1380</v>
      </c>
      <c r="C22" s="480">
        <v>30000000000</v>
      </c>
      <c r="D22" s="3173">
        <v>28967500000</v>
      </c>
      <c r="E22" s="3208">
        <f t="shared" si="0"/>
        <v>96.558333333333337</v>
      </c>
      <c r="F22" s="3208">
        <v>100</v>
      </c>
      <c r="G22" s="431"/>
    </row>
    <row r="23" spans="1:7" s="432" customFormat="1" ht="15.75" hidden="1" customHeight="1" x14ac:dyDescent="0.2">
      <c r="A23" s="424"/>
      <c r="B23" s="425" t="s">
        <v>1381</v>
      </c>
      <c r="C23" s="480">
        <v>20000000000</v>
      </c>
      <c r="D23" s="3173">
        <v>19425675000</v>
      </c>
      <c r="E23" s="3208">
        <f t="shared" si="0"/>
        <v>97.128375000000005</v>
      </c>
      <c r="F23" s="3208">
        <v>100</v>
      </c>
      <c r="G23" s="431"/>
    </row>
    <row r="24" spans="1:7" s="432" customFormat="1" ht="15.75" hidden="1" customHeight="1" x14ac:dyDescent="0.2">
      <c r="A24" s="424"/>
      <c r="B24" s="425" t="s">
        <v>1392</v>
      </c>
      <c r="C24" s="480">
        <v>5000000000</v>
      </c>
      <c r="D24" s="3173">
        <v>2938935000</v>
      </c>
      <c r="E24" s="3208">
        <f t="shared" si="0"/>
        <v>58.778699999999994</v>
      </c>
      <c r="F24" s="3208">
        <v>60</v>
      </c>
      <c r="G24" s="431"/>
    </row>
    <row r="25" spans="1:7" s="432" customFormat="1" ht="17.25" hidden="1" customHeight="1" x14ac:dyDescent="0.2">
      <c r="A25" s="424"/>
      <c r="B25" s="425" t="s">
        <v>1391</v>
      </c>
      <c r="C25" s="480">
        <v>5000000000</v>
      </c>
      <c r="D25" s="3173">
        <v>4740030000</v>
      </c>
      <c r="E25" s="3208">
        <f t="shared" si="0"/>
        <v>94.800600000000003</v>
      </c>
      <c r="F25" s="3208">
        <v>100</v>
      </c>
      <c r="G25" s="431"/>
    </row>
    <row r="26" spans="1:7" s="432" customFormat="1" ht="15.75" hidden="1" customHeight="1" x14ac:dyDescent="0.2">
      <c r="A26" s="424"/>
      <c r="B26" s="425" t="s">
        <v>1390</v>
      </c>
      <c r="C26" s="480">
        <v>35000000000</v>
      </c>
      <c r="D26" s="3173">
        <v>34272630000</v>
      </c>
      <c r="E26" s="3208">
        <f t="shared" si="0"/>
        <v>97.921800000000005</v>
      </c>
      <c r="F26" s="3208">
        <v>100</v>
      </c>
      <c r="G26" s="431"/>
    </row>
    <row r="27" spans="1:7" s="432" customFormat="1" ht="20.25" hidden="1" customHeight="1" x14ac:dyDescent="0.2">
      <c r="A27" s="424"/>
      <c r="B27" s="425" t="s">
        <v>1389</v>
      </c>
      <c r="C27" s="480">
        <v>15000000000</v>
      </c>
      <c r="D27" s="3173">
        <v>14769850000</v>
      </c>
      <c r="E27" s="3208">
        <f t="shared" si="0"/>
        <v>98.465666666666664</v>
      </c>
      <c r="F27" s="3208">
        <v>100</v>
      </c>
      <c r="G27" s="3175"/>
    </row>
    <row r="28" spans="1:7" s="432" customFormat="1" ht="15.75" hidden="1" customHeight="1" x14ac:dyDescent="0.2">
      <c r="A28" s="424"/>
      <c r="B28" s="425" t="s">
        <v>1388</v>
      </c>
      <c r="C28" s="480">
        <v>30000000000</v>
      </c>
      <c r="D28" s="3173">
        <v>28857840000</v>
      </c>
      <c r="E28" s="3208">
        <f t="shared" si="0"/>
        <v>96.192800000000005</v>
      </c>
      <c r="F28" s="3208">
        <v>100</v>
      </c>
      <c r="G28" s="431"/>
    </row>
    <row r="29" spans="1:7" s="432" customFormat="1" ht="15.75" hidden="1" customHeight="1" x14ac:dyDescent="0.2">
      <c r="A29" s="424"/>
      <c r="B29" s="425" t="s">
        <v>1387</v>
      </c>
      <c r="C29" s="480">
        <v>10000000000</v>
      </c>
      <c r="D29" s="3173">
        <v>9766398000</v>
      </c>
      <c r="E29" s="3208">
        <f t="shared" si="0"/>
        <v>97.663979999999995</v>
      </c>
      <c r="F29" s="3208">
        <v>100</v>
      </c>
      <c r="G29" s="431"/>
    </row>
    <row r="30" spans="1:7" s="432" customFormat="1" ht="15.75" hidden="1" customHeight="1" x14ac:dyDescent="0.2">
      <c r="A30" s="424"/>
      <c r="B30" s="425" t="s">
        <v>1386</v>
      </c>
      <c r="C30" s="480">
        <v>2200000000</v>
      </c>
      <c r="D30" s="3173">
        <v>1775877443</v>
      </c>
      <c r="E30" s="3208">
        <f t="shared" si="0"/>
        <v>80.721701954545452</v>
      </c>
      <c r="F30" s="3208">
        <v>100</v>
      </c>
      <c r="G30" s="431"/>
    </row>
    <row r="31" spans="1:7" s="432" customFormat="1" ht="18.75" hidden="1" customHeight="1" x14ac:dyDescent="0.2">
      <c r="A31" s="424"/>
      <c r="B31" s="425" t="s">
        <v>2464</v>
      </c>
      <c r="C31" s="480">
        <v>10000000000</v>
      </c>
      <c r="D31" s="3173">
        <v>9910597000</v>
      </c>
      <c r="E31" s="3208">
        <f t="shared" si="0"/>
        <v>99.105969999999999</v>
      </c>
      <c r="F31" s="3208">
        <v>100</v>
      </c>
      <c r="G31" s="431"/>
    </row>
    <row r="32" spans="1:7" s="432" customFormat="1" ht="15.75" hidden="1" customHeight="1" x14ac:dyDescent="0.2">
      <c r="A32" s="424"/>
      <c r="B32" s="425" t="s">
        <v>1385</v>
      </c>
      <c r="C32" s="480">
        <v>35000000000</v>
      </c>
      <c r="D32" s="3173">
        <v>34293250000</v>
      </c>
      <c r="E32" s="3208">
        <f t="shared" si="0"/>
        <v>97.980714285714285</v>
      </c>
      <c r="F32" s="3208">
        <v>100</v>
      </c>
      <c r="G32" s="431"/>
    </row>
    <row r="33" spans="1:7" s="432" customFormat="1" ht="15" hidden="1" customHeight="1" x14ac:dyDescent="0.2">
      <c r="A33" s="424"/>
      <c r="B33" s="425" t="s">
        <v>1384</v>
      </c>
      <c r="C33" s="480">
        <v>60000000000</v>
      </c>
      <c r="D33" s="3173">
        <v>59113300000</v>
      </c>
      <c r="E33" s="3208">
        <f t="shared" si="0"/>
        <v>98.522166666666664</v>
      </c>
      <c r="F33" s="3208">
        <v>100</v>
      </c>
      <c r="G33" s="431"/>
    </row>
    <row r="34" spans="1:7" s="432" customFormat="1" ht="15.75" hidden="1" customHeight="1" x14ac:dyDescent="0.2">
      <c r="A34" s="424"/>
      <c r="B34" s="425" t="s">
        <v>1383</v>
      </c>
      <c r="C34" s="480">
        <v>10000000000</v>
      </c>
      <c r="D34" s="3173">
        <v>9831300000</v>
      </c>
      <c r="E34" s="3208">
        <f t="shared" si="0"/>
        <v>98.312999999999988</v>
      </c>
      <c r="F34" s="3208">
        <v>100</v>
      </c>
      <c r="G34" s="431"/>
    </row>
    <row r="35" spans="1:7" s="432" customFormat="1" ht="15.75" hidden="1" customHeight="1" x14ac:dyDescent="0.2">
      <c r="A35" s="424"/>
      <c r="B35" s="425" t="s">
        <v>1382</v>
      </c>
      <c r="C35" s="480">
        <v>5000000000</v>
      </c>
      <c r="D35" s="3173">
        <v>4543100000</v>
      </c>
      <c r="E35" s="3208">
        <f t="shared" si="0"/>
        <v>90.861999999999995</v>
      </c>
      <c r="F35" s="3208">
        <v>100</v>
      </c>
      <c r="G35" s="431"/>
    </row>
    <row r="36" spans="1:7" s="432" customFormat="1" ht="15.75" hidden="1" customHeight="1" x14ac:dyDescent="0.2">
      <c r="A36" s="424"/>
      <c r="B36" s="425" t="s">
        <v>1393</v>
      </c>
      <c r="C36" s="480">
        <v>10000000000</v>
      </c>
      <c r="D36" s="3173">
        <v>9678380000</v>
      </c>
      <c r="E36" s="3208">
        <f t="shared" si="0"/>
        <v>96.783799999999999</v>
      </c>
      <c r="F36" s="3208">
        <v>100</v>
      </c>
      <c r="G36" s="431"/>
    </row>
    <row r="37" spans="1:7" s="432" customFormat="1" ht="15.75" hidden="1" customHeight="1" x14ac:dyDescent="0.2">
      <c r="A37" s="424"/>
      <c r="B37" s="425" t="s">
        <v>1394</v>
      </c>
      <c r="C37" s="480">
        <v>10000000000</v>
      </c>
      <c r="D37" s="3173">
        <v>9832050000</v>
      </c>
      <c r="E37" s="3208">
        <f t="shared" si="0"/>
        <v>98.320499999999996</v>
      </c>
      <c r="F37" s="3208">
        <v>100</v>
      </c>
      <c r="G37" s="431"/>
    </row>
    <row r="38" spans="1:7" s="432" customFormat="1" ht="15.75" hidden="1" customHeight="1" x14ac:dyDescent="0.2">
      <c r="A38" s="424"/>
      <c r="B38" s="425" t="s">
        <v>1395</v>
      </c>
      <c r="C38" s="480">
        <v>10000000000</v>
      </c>
      <c r="D38" s="3173">
        <v>9680462000</v>
      </c>
      <c r="E38" s="3208">
        <f t="shared" si="0"/>
        <v>96.80462</v>
      </c>
      <c r="F38" s="3208">
        <v>100</v>
      </c>
      <c r="G38" s="431"/>
    </row>
    <row r="39" spans="1:7" s="432" customFormat="1" ht="15.75" hidden="1" customHeight="1" x14ac:dyDescent="0.2">
      <c r="A39" s="424"/>
      <c r="B39" s="425" t="s">
        <v>1396</v>
      </c>
      <c r="C39" s="480">
        <v>7000000000</v>
      </c>
      <c r="D39" s="3173">
        <v>6845200000</v>
      </c>
      <c r="E39" s="3208">
        <f t="shared" si="0"/>
        <v>97.78857142857143</v>
      </c>
      <c r="F39" s="3208">
        <v>100</v>
      </c>
      <c r="G39" s="431"/>
    </row>
    <row r="40" spans="1:7" s="432" customFormat="1" ht="15.75" hidden="1" customHeight="1" x14ac:dyDescent="0.2">
      <c r="A40" s="424"/>
      <c r="B40" s="425" t="s">
        <v>1397</v>
      </c>
      <c r="C40" s="480">
        <v>10000000000</v>
      </c>
      <c r="D40" s="3173">
        <v>8128100000</v>
      </c>
      <c r="E40" s="3208">
        <f t="shared" si="0"/>
        <v>81.281000000000006</v>
      </c>
      <c r="F40" s="3208">
        <v>100</v>
      </c>
      <c r="G40" s="431"/>
    </row>
    <row r="41" spans="1:7" s="432" customFormat="1" ht="15.75" hidden="1" customHeight="1" x14ac:dyDescent="0.2">
      <c r="A41" s="424"/>
      <c r="B41" s="425" t="s">
        <v>1398</v>
      </c>
      <c r="C41" s="480">
        <v>6000000000</v>
      </c>
      <c r="D41" s="3173">
        <v>5569640000</v>
      </c>
      <c r="E41" s="3208">
        <f t="shared" si="0"/>
        <v>92.827333333333328</v>
      </c>
      <c r="F41" s="3208">
        <v>100</v>
      </c>
      <c r="G41" s="431"/>
    </row>
    <row r="42" spans="1:7" s="432" customFormat="1" ht="15.75" hidden="1" customHeight="1" x14ac:dyDescent="0.2">
      <c r="A42" s="424"/>
      <c r="B42" s="425" t="s">
        <v>1399</v>
      </c>
      <c r="C42" s="480">
        <v>15000000000</v>
      </c>
      <c r="D42" s="3173">
        <v>13895760000</v>
      </c>
      <c r="E42" s="3208">
        <f t="shared" si="0"/>
        <v>92.638400000000004</v>
      </c>
      <c r="F42" s="3208">
        <v>100</v>
      </c>
      <c r="G42" s="431"/>
    </row>
    <row r="43" spans="1:7" s="432" customFormat="1" ht="9.75" hidden="1" customHeight="1" x14ac:dyDescent="0.2">
      <c r="A43" s="424"/>
      <c r="B43" s="425"/>
      <c r="C43" s="480"/>
      <c r="D43" s="3173"/>
      <c r="E43" s="3208"/>
      <c r="F43" s="3208"/>
      <c r="G43" s="431"/>
    </row>
    <row r="44" spans="1:7" s="414" customFormat="1" ht="20.25" hidden="1" customHeight="1" x14ac:dyDescent="0.25">
      <c r="A44" s="415"/>
      <c r="B44" s="433" t="s">
        <v>1430</v>
      </c>
      <c r="C44" s="484">
        <f>SUM(C45:C75)</f>
        <v>458500000000</v>
      </c>
      <c r="D44" s="3178">
        <f>SUM(D45:D75)</f>
        <v>408161456000</v>
      </c>
      <c r="E44" s="3206">
        <f t="shared" si="0"/>
        <v>89.021037295528899</v>
      </c>
      <c r="F44" s="3206">
        <f>SUM(F45:F75)/31</f>
        <v>95.161290322580641</v>
      </c>
      <c r="G44" s="423"/>
    </row>
    <row r="45" spans="1:7" s="394" customFormat="1" ht="13.5" hidden="1" customHeight="1" x14ac:dyDescent="0.25">
      <c r="A45" s="424"/>
      <c r="B45" s="425" t="s">
        <v>1431</v>
      </c>
      <c r="C45" s="480">
        <v>30000000000</v>
      </c>
      <c r="D45" s="3173">
        <v>28963450000</v>
      </c>
      <c r="E45" s="3208">
        <f t="shared" si="0"/>
        <v>96.54483333333333</v>
      </c>
      <c r="F45" s="3208">
        <v>100</v>
      </c>
      <c r="G45" s="431"/>
    </row>
    <row r="46" spans="1:7" s="394" customFormat="1" ht="16.5" hidden="1" customHeight="1" x14ac:dyDescent="0.25">
      <c r="A46" s="424"/>
      <c r="B46" s="425" t="s">
        <v>1432</v>
      </c>
      <c r="C46" s="480">
        <v>30000000000</v>
      </c>
      <c r="D46" s="3177">
        <v>5820130000</v>
      </c>
      <c r="E46" s="3208">
        <f t="shared" si="0"/>
        <v>19.400433333333332</v>
      </c>
      <c r="F46" s="3209">
        <v>20</v>
      </c>
      <c r="G46" s="431"/>
    </row>
    <row r="47" spans="1:7" s="394" customFormat="1" ht="15.75" hidden="1" customHeight="1" x14ac:dyDescent="0.25">
      <c r="A47" s="424"/>
      <c r="B47" s="425" t="s">
        <v>1433</v>
      </c>
      <c r="C47" s="480">
        <v>30000000000</v>
      </c>
      <c r="D47" s="3177">
        <v>29464450000</v>
      </c>
      <c r="E47" s="3208">
        <f t="shared" si="0"/>
        <v>98.214833333333331</v>
      </c>
      <c r="F47" s="3209">
        <v>100</v>
      </c>
      <c r="G47" s="431"/>
    </row>
    <row r="48" spans="1:7" s="394" customFormat="1" ht="17.25" hidden="1" customHeight="1" x14ac:dyDescent="0.25">
      <c r="A48" s="424"/>
      <c r="B48" s="425" t="s">
        <v>1434</v>
      </c>
      <c r="C48" s="480">
        <v>10000000000</v>
      </c>
      <c r="D48" s="3177">
        <v>9252201000</v>
      </c>
      <c r="E48" s="3208">
        <f t="shared" si="0"/>
        <v>92.522009999999995</v>
      </c>
      <c r="F48" s="3209">
        <v>100</v>
      </c>
      <c r="G48" s="431"/>
    </row>
    <row r="49" spans="1:7" s="394" customFormat="1" ht="15" hidden="1" customHeight="1" x14ac:dyDescent="0.25">
      <c r="A49" s="424"/>
      <c r="B49" s="425" t="s">
        <v>1435</v>
      </c>
      <c r="C49" s="480">
        <v>10000000000</v>
      </c>
      <c r="D49" s="3177">
        <v>9351550000</v>
      </c>
      <c r="E49" s="3208">
        <f t="shared" si="0"/>
        <v>93.515500000000003</v>
      </c>
      <c r="F49" s="3209">
        <v>100</v>
      </c>
      <c r="G49" s="431"/>
    </row>
    <row r="50" spans="1:7" s="394" customFormat="1" ht="18.75" hidden="1" customHeight="1" x14ac:dyDescent="0.25">
      <c r="A50" s="424"/>
      <c r="B50" s="425" t="s">
        <v>1436</v>
      </c>
      <c r="C50" s="480">
        <v>45000000000</v>
      </c>
      <c r="D50" s="3177">
        <v>43733334000</v>
      </c>
      <c r="E50" s="3208">
        <f t="shared" si="0"/>
        <v>97.185186666666667</v>
      </c>
      <c r="F50" s="3209">
        <v>100</v>
      </c>
      <c r="G50" s="431"/>
    </row>
    <row r="51" spans="1:7" s="394" customFormat="1" ht="15" hidden="1" customHeight="1" x14ac:dyDescent="0.25">
      <c r="A51" s="424"/>
      <c r="B51" s="425" t="s">
        <v>1437</v>
      </c>
      <c r="C51" s="480">
        <v>30000000000</v>
      </c>
      <c r="D51" s="3177">
        <v>21232299000</v>
      </c>
      <c r="E51" s="3208">
        <f t="shared" si="0"/>
        <v>70.774329999999992</v>
      </c>
      <c r="F51" s="3209">
        <v>100</v>
      </c>
      <c r="G51" s="431"/>
    </row>
    <row r="52" spans="1:7" s="394" customFormat="1" ht="15" hidden="1" customHeight="1" x14ac:dyDescent="0.25">
      <c r="A52" s="424"/>
      <c r="B52" s="425" t="s">
        <v>1438</v>
      </c>
      <c r="C52" s="480">
        <v>40000000000</v>
      </c>
      <c r="D52" s="3177">
        <v>38985820000</v>
      </c>
      <c r="E52" s="3208">
        <f t="shared" si="0"/>
        <v>97.464550000000003</v>
      </c>
      <c r="F52" s="3209">
        <v>100</v>
      </c>
      <c r="G52" s="431"/>
    </row>
    <row r="53" spans="1:7" s="394" customFormat="1" ht="15" hidden="1" customHeight="1" x14ac:dyDescent="0.25">
      <c r="A53" s="424"/>
      <c r="B53" s="425" t="s">
        <v>1439</v>
      </c>
      <c r="C53" s="480">
        <v>45000000000</v>
      </c>
      <c r="D53" s="3177">
        <v>44309998000</v>
      </c>
      <c r="E53" s="3208">
        <f t="shared" si="0"/>
        <v>98.466662222222226</v>
      </c>
      <c r="F53" s="3209">
        <v>100</v>
      </c>
      <c r="G53" s="431"/>
    </row>
    <row r="54" spans="1:7" s="394" customFormat="1" ht="15" hidden="1" customHeight="1" x14ac:dyDescent="0.25">
      <c r="A54" s="424"/>
      <c r="B54" s="425" t="s">
        <v>1440</v>
      </c>
      <c r="C54" s="480">
        <v>1000000000</v>
      </c>
      <c r="D54" s="3177">
        <v>948200000</v>
      </c>
      <c r="E54" s="3208">
        <f t="shared" si="0"/>
        <v>94.820000000000007</v>
      </c>
      <c r="F54" s="3209">
        <v>100</v>
      </c>
      <c r="G54" s="431"/>
    </row>
    <row r="55" spans="1:7" s="394" customFormat="1" ht="15.75" hidden="1" customHeight="1" x14ac:dyDescent="0.25">
      <c r="A55" s="424"/>
      <c r="B55" s="425" t="s">
        <v>1441</v>
      </c>
      <c r="C55" s="480">
        <v>20000000000</v>
      </c>
      <c r="D55" s="3177">
        <v>17772890000</v>
      </c>
      <c r="E55" s="3208">
        <f t="shared" si="0"/>
        <v>88.864449999999991</v>
      </c>
      <c r="F55" s="3209">
        <v>100</v>
      </c>
      <c r="G55" s="431"/>
    </row>
    <row r="56" spans="1:7" s="394" customFormat="1" ht="15.75" hidden="1" customHeight="1" x14ac:dyDescent="0.25">
      <c r="A56" s="424"/>
      <c r="B56" s="425" t="s">
        <v>1442</v>
      </c>
      <c r="C56" s="480">
        <v>15000000000</v>
      </c>
      <c r="D56" s="3177">
        <v>14811380000</v>
      </c>
      <c r="E56" s="3208">
        <f t="shared" si="0"/>
        <v>98.742533333333341</v>
      </c>
      <c r="F56" s="3209">
        <v>100</v>
      </c>
      <c r="G56" s="431"/>
    </row>
    <row r="57" spans="1:7" s="394" customFormat="1" ht="17.25" hidden="1" customHeight="1" x14ac:dyDescent="0.25">
      <c r="A57" s="424"/>
      <c r="B57" s="425" t="s">
        <v>1443</v>
      </c>
      <c r="C57" s="480">
        <v>3000000000</v>
      </c>
      <c r="D57" s="3173">
        <v>2811300000</v>
      </c>
      <c r="E57" s="3208">
        <f t="shared" si="0"/>
        <v>93.710000000000008</v>
      </c>
      <c r="F57" s="3207">
        <v>100</v>
      </c>
      <c r="G57" s="431"/>
    </row>
    <row r="58" spans="1:7" s="394" customFormat="1" ht="17.25" hidden="1" customHeight="1" x14ac:dyDescent="0.25">
      <c r="A58" s="424"/>
      <c r="B58" s="425" t="s">
        <v>1444</v>
      </c>
      <c r="C58" s="480">
        <v>6000000000</v>
      </c>
      <c r="D58" s="3177">
        <v>5690073000</v>
      </c>
      <c r="E58" s="3208">
        <f t="shared" si="0"/>
        <v>94.834549999999993</v>
      </c>
      <c r="F58" s="3209">
        <v>100</v>
      </c>
      <c r="G58" s="431"/>
    </row>
    <row r="59" spans="1:7" s="394" customFormat="1" ht="18" hidden="1" customHeight="1" x14ac:dyDescent="0.25">
      <c r="A59" s="424"/>
      <c r="B59" s="425" t="s">
        <v>2465</v>
      </c>
      <c r="C59" s="480">
        <v>3000000000</v>
      </c>
      <c r="D59" s="3177">
        <v>2962710000</v>
      </c>
      <c r="E59" s="3208">
        <f t="shared" si="0"/>
        <v>98.756999999999991</v>
      </c>
      <c r="F59" s="3209">
        <v>100</v>
      </c>
      <c r="G59" s="431"/>
    </row>
    <row r="60" spans="1:7" s="394" customFormat="1" ht="18.75" hidden="1" customHeight="1" x14ac:dyDescent="0.25">
      <c r="A60" s="424"/>
      <c r="B60" s="425" t="s">
        <v>1445</v>
      </c>
      <c r="C60" s="480">
        <v>15000000000</v>
      </c>
      <c r="D60" s="3177">
        <v>14595800000</v>
      </c>
      <c r="E60" s="3208">
        <f t="shared" si="0"/>
        <v>97.305333333333337</v>
      </c>
      <c r="F60" s="3209">
        <v>100</v>
      </c>
      <c r="G60" s="431"/>
    </row>
    <row r="61" spans="1:7" s="394" customFormat="1" ht="18" hidden="1" customHeight="1" x14ac:dyDescent="0.25">
      <c r="A61" s="424"/>
      <c r="B61" s="425" t="s">
        <v>1446</v>
      </c>
      <c r="C61" s="480">
        <v>5000000000</v>
      </c>
      <c r="D61" s="3177">
        <v>4812200000</v>
      </c>
      <c r="E61" s="3208">
        <f t="shared" si="0"/>
        <v>96.244</v>
      </c>
      <c r="F61" s="3209">
        <v>100</v>
      </c>
      <c r="G61" s="431"/>
    </row>
    <row r="62" spans="1:7" s="394" customFormat="1" ht="18.75" hidden="1" customHeight="1" x14ac:dyDescent="0.25">
      <c r="A62" s="424"/>
      <c r="B62" s="425" t="s">
        <v>1447</v>
      </c>
      <c r="C62" s="480">
        <v>5000000000</v>
      </c>
      <c r="D62" s="3177">
        <v>4811200000</v>
      </c>
      <c r="E62" s="3208">
        <f t="shared" si="0"/>
        <v>96.224000000000004</v>
      </c>
      <c r="F62" s="3209">
        <v>100</v>
      </c>
      <c r="G62" s="431"/>
    </row>
    <row r="63" spans="1:7" s="394" customFormat="1" ht="17.25" hidden="1" customHeight="1" x14ac:dyDescent="0.25">
      <c r="A63" s="424"/>
      <c r="B63" s="425" t="s">
        <v>1448</v>
      </c>
      <c r="C63" s="480">
        <v>3000000000</v>
      </c>
      <c r="D63" s="3177">
        <v>2969400000</v>
      </c>
      <c r="E63" s="3208">
        <f t="shared" si="0"/>
        <v>98.98</v>
      </c>
      <c r="F63" s="3209">
        <v>100</v>
      </c>
      <c r="G63" s="431"/>
    </row>
    <row r="64" spans="1:7" s="394" customFormat="1" ht="21" hidden="1" customHeight="1" x14ac:dyDescent="0.25">
      <c r="A64" s="424"/>
      <c r="B64" s="425" t="s">
        <v>1449</v>
      </c>
      <c r="C64" s="480">
        <v>15000000000</v>
      </c>
      <c r="D64" s="3177">
        <v>14108143000</v>
      </c>
      <c r="E64" s="3208">
        <f t="shared" si="0"/>
        <v>94.05428666666667</v>
      </c>
      <c r="F64" s="3209">
        <v>100</v>
      </c>
      <c r="G64" s="431"/>
    </row>
    <row r="65" spans="1:7" s="394" customFormat="1" ht="15" hidden="1" customHeight="1" x14ac:dyDescent="0.25">
      <c r="A65" s="424"/>
      <c r="B65" s="425" t="s">
        <v>1450</v>
      </c>
      <c r="C65" s="480">
        <v>15000000000</v>
      </c>
      <c r="D65" s="3177">
        <v>14532024000</v>
      </c>
      <c r="E65" s="3208">
        <f t="shared" si="0"/>
        <v>96.880160000000004</v>
      </c>
      <c r="F65" s="3209">
        <v>100</v>
      </c>
      <c r="G65" s="431"/>
    </row>
    <row r="66" spans="1:7" s="394" customFormat="1" ht="15" hidden="1" customHeight="1" x14ac:dyDescent="0.25">
      <c r="A66" s="424"/>
      <c r="B66" s="425" t="s">
        <v>2565</v>
      </c>
      <c r="C66" s="480">
        <v>15000000000</v>
      </c>
      <c r="D66" s="3177">
        <v>14875985000</v>
      </c>
      <c r="E66" s="3208">
        <f t="shared" si="0"/>
        <v>99.173233333333329</v>
      </c>
      <c r="F66" s="3209">
        <v>100</v>
      </c>
      <c r="G66" s="431"/>
    </row>
    <row r="67" spans="1:7" s="394" customFormat="1" ht="15.75" hidden="1" customHeight="1" x14ac:dyDescent="0.25">
      <c r="A67" s="424"/>
      <c r="B67" s="425" t="s">
        <v>2566</v>
      </c>
      <c r="C67" s="480">
        <v>10000000000</v>
      </c>
      <c r="D67" s="3177">
        <v>9743295000</v>
      </c>
      <c r="E67" s="3208">
        <f t="shared" si="0"/>
        <v>97.432949999999991</v>
      </c>
      <c r="F67" s="3209">
        <v>100</v>
      </c>
      <c r="G67" s="431"/>
    </row>
    <row r="68" spans="1:7" s="394" customFormat="1" ht="14.25" hidden="1" customHeight="1" x14ac:dyDescent="0.25">
      <c r="A68" s="424"/>
      <c r="B68" s="425" t="s">
        <v>2567</v>
      </c>
      <c r="C68" s="480">
        <v>5000000000</v>
      </c>
      <c r="D68" s="3177">
        <v>4902100000</v>
      </c>
      <c r="E68" s="3208">
        <f t="shared" si="0"/>
        <v>98.042000000000002</v>
      </c>
      <c r="F68" s="3209">
        <v>100</v>
      </c>
      <c r="G68" s="431"/>
    </row>
    <row r="69" spans="1:7" s="394" customFormat="1" ht="16.5" hidden="1" customHeight="1" x14ac:dyDescent="0.25">
      <c r="A69" s="424"/>
      <c r="B69" s="425" t="s">
        <v>2568</v>
      </c>
      <c r="C69" s="480">
        <v>5000000000</v>
      </c>
      <c r="D69" s="3177">
        <v>1048280000</v>
      </c>
      <c r="E69" s="3208">
        <f t="shared" si="0"/>
        <v>20.965600000000002</v>
      </c>
      <c r="F69" s="3209">
        <v>30</v>
      </c>
      <c r="G69" s="431"/>
    </row>
    <row r="70" spans="1:7" s="394" customFormat="1" ht="14.25" hidden="1" customHeight="1" x14ac:dyDescent="0.25">
      <c r="A70" s="424"/>
      <c r="B70" s="425" t="s">
        <v>2569</v>
      </c>
      <c r="C70" s="480">
        <v>3000000000</v>
      </c>
      <c r="D70" s="3177">
        <v>2832589000</v>
      </c>
      <c r="E70" s="3208">
        <f t="shared" si="0"/>
        <v>94.419633333333337</v>
      </c>
      <c r="F70" s="3209">
        <v>100</v>
      </c>
      <c r="G70" s="431"/>
    </row>
    <row r="71" spans="1:7" s="394" customFormat="1" ht="15" hidden="1" customHeight="1" x14ac:dyDescent="0.25">
      <c r="A71" s="424"/>
      <c r="B71" s="425" t="s">
        <v>2570</v>
      </c>
      <c r="C71" s="480">
        <v>4500000000</v>
      </c>
      <c r="D71" s="3177">
        <v>4249720000</v>
      </c>
      <c r="E71" s="3208">
        <f t="shared" si="0"/>
        <v>94.438222222222223</v>
      </c>
      <c r="F71" s="3209">
        <v>100</v>
      </c>
      <c r="G71" s="431"/>
    </row>
    <row r="72" spans="1:7" s="394" customFormat="1" ht="15" hidden="1" customHeight="1" x14ac:dyDescent="0.25">
      <c r="A72" s="424"/>
      <c r="B72" s="425" t="s">
        <v>2571</v>
      </c>
      <c r="C72" s="480">
        <v>3000000000</v>
      </c>
      <c r="D72" s="3177">
        <v>2972433000</v>
      </c>
      <c r="E72" s="3208">
        <f t="shared" si="0"/>
        <v>99.081100000000006</v>
      </c>
      <c r="F72" s="3209">
        <v>100</v>
      </c>
      <c r="G72" s="431"/>
    </row>
    <row r="73" spans="1:7" s="394" customFormat="1" ht="19.5" hidden="1" customHeight="1" x14ac:dyDescent="0.25">
      <c r="A73" s="424"/>
      <c r="B73" s="425" t="s">
        <v>2572</v>
      </c>
      <c r="C73" s="480">
        <v>10000000000</v>
      </c>
      <c r="D73" s="3173">
        <v>9746350000</v>
      </c>
      <c r="E73" s="3208">
        <f t="shared" si="0"/>
        <v>97.463499999999996</v>
      </c>
      <c r="F73" s="3209">
        <v>100</v>
      </c>
      <c r="G73" s="431"/>
    </row>
    <row r="74" spans="1:7" s="394" customFormat="1" ht="17.25" hidden="1" customHeight="1" x14ac:dyDescent="0.25">
      <c r="A74" s="424"/>
      <c r="B74" s="425" t="s">
        <v>2573</v>
      </c>
      <c r="C74" s="480">
        <v>7000000000</v>
      </c>
      <c r="D74" s="3173">
        <v>6791952000</v>
      </c>
      <c r="E74" s="3208">
        <f t="shared" si="0"/>
        <v>97.027885714285716</v>
      </c>
      <c r="F74" s="3209">
        <v>100</v>
      </c>
      <c r="G74" s="431"/>
    </row>
    <row r="75" spans="1:7" s="394" customFormat="1" ht="17.25" hidden="1" customHeight="1" x14ac:dyDescent="0.25">
      <c r="A75" s="424"/>
      <c r="B75" s="425" t="s">
        <v>2574</v>
      </c>
      <c r="C75" s="480">
        <v>20000000000</v>
      </c>
      <c r="D75" s="3177">
        <f>13342140000+5718060000</f>
        <v>19060200000</v>
      </c>
      <c r="E75" s="3208">
        <f>D75/C75*100</f>
        <v>95.301000000000002</v>
      </c>
      <c r="F75" s="3209">
        <v>100</v>
      </c>
      <c r="G75" s="431"/>
    </row>
    <row r="76" spans="1:7" s="394" customFormat="1" ht="14.25" hidden="1" customHeight="1" x14ac:dyDescent="0.25">
      <c r="A76" s="424"/>
      <c r="B76" s="425"/>
      <c r="C76" s="480"/>
      <c r="D76" s="3177"/>
      <c r="E76" s="3211"/>
      <c r="F76" s="3211"/>
      <c r="G76" s="431"/>
    </row>
    <row r="77" spans="1:7" s="414" customFormat="1" ht="18.75" hidden="1" customHeight="1" x14ac:dyDescent="0.25">
      <c r="A77" s="415"/>
      <c r="B77" s="433" t="s">
        <v>1451</v>
      </c>
      <c r="C77" s="484">
        <f>SUM(C78:C83)</f>
        <v>21800000000</v>
      </c>
      <c r="D77" s="3178">
        <f>SUM(D78:D83)</f>
        <v>20968754000</v>
      </c>
      <c r="E77" s="3206">
        <f t="shared" ref="E77:E83" si="1">D77/C77*100</f>
        <v>96.186944954128435</v>
      </c>
      <c r="F77" s="3206">
        <f>SUM(F78:F83)/6</f>
        <v>100</v>
      </c>
      <c r="G77" s="423"/>
    </row>
    <row r="78" spans="1:7" s="394" customFormat="1" ht="19.5" hidden="1" customHeight="1" x14ac:dyDescent="0.25">
      <c r="A78" s="424"/>
      <c r="B78" s="425" t="s">
        <v>1452</v>
      </c>
      <c r="C78" s="480">
        <v>10000000000</v>
      </c>
      <c r="D78" s="3173">
        <v>9676024000</v>
      </c>
      <c r="E78" s="3208">
        <f t="shared" si="1"/>
        <v>96.760239999999996</v>
      </c>
      <c r="F78" s="3208">
        <v>100</v>
      </c>
      <c r="G78" s="431"/>
    </row>
    <row r="79" spans="1:7" s="394" customFormat="1" ht="15" hidden="1" customHeight="1" x14ac:dyDescent="0.25">
      <c r="A79" s="424"/>
      <c r="B79" s="425" t="s">
        <v>1453</v>
      </c>
      <c r="C79" s="480">
        <v>4000000000</v>
      </c>
      <c r="D79" s="3188">
        <v>3822730000</v>
      </c>
      <c r="E79" s="3208">
        <f t="shared" si="1"/>
        <v>95.568250000000006</v>
      </c>
      <c r="F79" s="3212">
        <v>100</v>
      </c>
      <c r="G79" s="481"/>
    </row>
    <row r="80" spans="1:7" s="394" customFormat="1" ht="18" hidden="1" customHeight="1" x14ac:dyDescent="0.25">
      <c r="A80" s="424"/>
      <c r="B80" s="425" t="s">
        <v>1454</v>
      </c>
      <c r="C80" s="480">
        <v>1500000000</v>
      </c>
      <c r="D80" s="3173">
        <v>1429200000</v>
      </c>
      <c r="E80" s="3208">
        <f t="shared" si="1"/>
        <v>95.28</v>
      </c>
      <c r="F80" s="3209">
        <v>100</v>
      </c>
      <c r="G80" s="487"/>
    </row>
    <row r="81" spans="1:7" s="394" customFormat="1" ht="18.75" hidden="1" customHeight="1" x14ac:dyDescent="0.25">
      <c r="A81" s="424"/>
      <c r="B81" s="425" t="s">
        <v>1455</v>
      </c>
      <c r="C81" s="480">
        <v>2000000000</v>
      </c>
      <c r="D81" s="3188">
        <v>1957700000</v>
      </c>
      <c r="E81" s="3208">
        <f t="shared" si="1"/>
        <v>97.885000000000005</v>
      </c>
      <c r="F81" s="3212">
        <v>100</v>
      </c>
      <c r="G81" s="481"/>
    </row>
    <row r="82" spans="1:7" s="394" customFormat="1" ht="20.25" hidden="1" customHeight="1" x14ac:dyDescent="0.25">
      <c r="A82" s="424"/>
      <c r="B82" s="425" t="s">
        <v>1456</v>
      </c>
      <c r="C82" s="480">
        <v>3000000000</v>
      </c>
      <c r="D82" s="3173">
        <v>2967900000</v>
      </c>
      <c r="E82" s="3208">
        <f t="shared" si="1"/>
        <v>98.929999999999993</v>
      </c>
      <c r="F82" s="3209">
        <v>100</v>
      </c>
      <c r="G82" s="487"/>
    </row>
    <row r="83" spans="1:7" s="394" customFormat="1" ht="22.5" hidden="1" customHeight="1" x14ac:dyDescent="0.25">
      <c r="A83" s="424"/>
      <c r="B83" s="425" t="s">
        <v>1457</v>
      </c>
      <c r="C83" s="480">
        <v>1300000000</v>
      </c>
      <c r="D83" s="3173">
        <v>1115200000</v>
      </c>
      <c r="E83" s="3208">
        <f t="shared" si="1"/>
        <v>85.784615384615378</v>
      </c>
      <c r="F83" s="3209">
        <v>100</v>
      </c>
      <c r="G83" s="487"/>
    </row>
    <row r="84" spans="1:7" s="394" customFormat="1" ht="12" hidden="1" customHeight="1" x14ac:dyDescent="0.25">
      <c r="A84" s="424"/>
      <c r="B84" s="425"/>
      <c r="C84" s="480"/>
      <c r="D84" s="3173"/>
      <c r="E84" s="3209"/>
      <c r="F84" s="3209"/>
      <c r="G84" s="487"/>
    </row>
    <row r="85" spans="1:7" s="394" customFormat="1" ht="18.75" hidden="1" customHeight="1" x14ac:dyDescent="0.25">
      <c r="A85" s="424"/>
      <c r="B85" s="433" t="s">
        <v>1458</v>
      </c>
      <c r="C85" s="484">
        <f>SUM(C86:C95)</f>
        <v>77500000000</v>
      </c>
      <c r="D85" s="3178">
        <f>SUM(D86:D95)</f>
        <v>68515833000</v>
      </c>
      <c r="E85" s="3213">
        <f t="shared" ref="E85:E95" si="2">D85/C85*100</f>
        <v>88.40752645161291</v>
      </c>
      <c r="F85" s="3213">
        <f>SUM(F86:F95)/10</f>
        <v>95</v>
      </c>
      <c r="G85" s="487"/>
    </row>
    <row r="86" spans="1:7" s="394" customFormat="1" ht="17.25" hidden="1" customHeight="1" x14ac:dyDescent="0.25">
      <c r="A86" s="424"/>
      <c r="B86" s="425" t="s">
        <v>1459</v>
      </c>
      <c r="C86" s="480">
        <v>10000000000</v>
      </c>
      <c r="D86" s="3173">
        <v>9081712000</v>
      </c>
      <c r="E86" s="3209">
        <f t="shared" si="2"/>
        <v>90.817119999999989</v>
      </c>
      <c r="F86" s="3209">
        <v>100</v>
      </c>
      <c r="G86" s="487"/>
    </row>
    <row r="87" spans="1:7" s="394" customFormat="1" ht="18" hidden="1" customHeight="1" x14ac:dyDescent="0.25">
      <c r="A87" s="424"/>
      <c r="B87" s="425" t="s">
        <v>1460</v>
      </c>
      <c r="C87" s="480">
        <v>7500000000</v>
      </c>
      <c r="D87" s="3173">
        <v>7033253000</v>
      </c>
      <c r="E87" s="3209">
        <f t="shared" si="2"/>
        <v>93.776706666666669</v>
      </c>
      <c r="F87" s="3209">
        <v>100</v>
      </c>
      <c r="G87" s="487"/>
    </row>
    <row r="88" spans="1:7" s="394" customFormat="1" ht="23.25" hidden="1" customHeight="1" x14ac:dyDescent="0.25">
      <c r="A88" s="424"/>
      <c r="B88" s="425" t="s">
        <v>1461</v>
      </c>
      <c r="C88" s="480">
        <v>15000000000</v>
      </c>
      <c r="D88" s="3173">
        <v>12771751000</v>
      </c>
      <c r="E88" s="3209">
        <f t="shared" si="2"/>
        <v>85.14500666666666</v>
      </c>
      <c r="F88" s="3209">
        <v>100</v>
      </c>
      <c r="G88" s="487"/>
    </row>
    <row r="89" spans="1:7" s="394" customFormat="1" ht="18.75" hidden="1" customHeight="1" x14ac:dyDescent="0.25">
      <c r="A89" s="424"/>
      <c r="B89" s="425" t="s">
        <v>1462</v>
      </c>
      <c r="C89" s="480">
        <v>15000000000</v>
      </c>
      <c r="D89" s="3173">
        <v>14270526000</v>
      </c>
      <c r="E89" s="3209">
        <f t="shared" si="2"/>
        <v>95.136840000000007</v>
      </c>
      <c r="F89" s="3209">
        <v>100</v>
      </c>
      <c r="G89" s="487"/>
    </row>
    <row r="90" spans="1:7" s="394" customFormat="1" ht="15" hidden="1" customHeight="1" x14ac:dyDescent="0.25">
      <c r="A90" s="424"/>
      <c r="B90" s="425" t="s">
        <v>1463</v>
      </c>
      <c r="C90" s="480">
        <v>5000000000</v>
      </c>
      <c r="D90" s="3173">
        <v>2300907000</v>
      </c>
      <c r="E90" s="3209">
        <f t="shared" si="2"/>
        <v>46.018140000000002</v>
      </c>
      <c r="F90" s="3209">
        <v>50</v>
      </c>
      <c r="G90" s="487"/>
    </row>
    <row r="91" spans="1:7" s="394" customFormat="1" ht="16.5" hidden="1" customHeight="1" x14ac:dyDescent="0.25">
      <c r="A91" s="424"/>
      <c r="B91" s="425" t="s">
        <v>1464</v>
      </c>
      <c r="C91" s="480">
        <v>5000000000</v>
      </c>
      <c r="D91" s="3173">
        <v>4874770000</v>
      </c>
      <c r="E91" s="3209">
        <f t="shared" si="2"/>
        <v>97.495400000000004</v>
      </c>
      <c r="F91" s="3209">
        <v>100</v>
      </c>
      <c r="G91" s="487"/>
    </row>
    <row r="92" spans="1:7" s="394" customFormat="1" ht="15.75" hidden="1" customHeight="1" x14ac:dyDescent="0.25">
      <c r="A92" s="424"/>
      <c r="B92" s="425" t="s">
        <v>1465</v>
      </c>
      <c r="C92" s="480">
        <v>5000000000</v>
      </c>
      <c r="D92" s="3173">
        <v>4447367000</v>
      </c>
      <c r="E92" s="3209">
        <f t="shared" si="2"/>
        <v>88.947339999999997</v>
      </c>
      <c r="F92" s="3209">
        <v>100</v>
      </c>
      <c r="G92" s="487"/>
    </row>
    <row r="93" spans="1:7" s="394" customFormat="1" ht="15" hidden="1" customHeight="1" x14ac:dyDescent="0.25">
      <c r="A93" s="424"/>
      <c r="B93" s="425" t="s">
        <v>1466</v>
      </c>
      <c r="C93" s="480">
        <v>5000000000</v>
      </c>
      <c r="D93" s="3173">
        <v>4891260000</v>
      </c>
      <c r="E93" s="3209">
        <f t="shared" si="2"/>
        <v>97.825199999999995</v>
      </c>
      <c r="F93" s="3209">
        <v>100</v>
      </c>
      <c r="G93" s="487"/>
    </row>
    <row r="94" spans="1:7" s="394" customFormat="1" ht="15" hidden="1" customHeight="1" x14ac:dyDescent="0.25">
      <c r="A94" s="424"/>
      <c r="B94" s="425" t="s">
        <v>1467</v>
      </c>
      <c r="C94" s="480">
        <v>5000000000</v>
      </c>
      <c r="D94" s="3173">
        <v>4480414000</v>
      </c>
      <c r="E94" s="3209">
        <f t="shared" si="2"/>
        <v>89.608279999999993</v>
      </c>
      <c r="F94" s="3209">
        <v>100</v>
      </c>
      <c r="G94" s="487"/>
    </row>
    <row r="95" spans="1:7" s="394" customFormat="1" ht="15" hidden="1" customHeight="1" x14ac:dyDescent="0.25">
      <c r="A95" s="424"/>
      <c r="B95" s="425" t="s">
        <v>1468</v>
      </c>
      <c r="C95" s="480">
        <v>5000000000</v>
      </c>
      <c r="D95" s="3173">
        <v>4363873000</v>
      </c>
      <c r="E95" s="3209">
        <f t="shared" si="2"/>
        <v>87.277459999999991</v>
      </c>
      <c r="F95" s="3209">
        <v>100</v>
      </c>
      <c r="G95" s="487"/>
    </row>
    <row r="96" spans="1:7" s="394" customFormat="1" ht="12" hidden="1" customHeight="1" x14ac:dyDescent="0.25">
      <c r="A96" s="424"/>
      <c r="B96" s="447"/>
      <c r="C96" s="3235"/>
      <c r="D96" s="3173"/>
      <c r="E96" s="3209"/>
      <c r="F96" s="3209"/>
      <c r="G96" s="487"/>
    </row>
    <row r="97" spans="1:7" s="394" customFormat="1" ht="36" hidden="1" customHeight="1" x14ac:dyDescent="0.25">
      <c r="A97" s="424"/>
      <c r="B97" s="433" t="s">
        <v>1469</v>
      </c>
      <c r="C97" s="484">
        <f>SUM(C98:C101)</f>
        <v>21000000000</v>
      </c>
      <c r="D97" s="3178">
        <f>SUM(D98:D101)</f>
        <v>19781589000</v>
      </c>
      <c r="E97" s="3213">
        <f>D97/C97*100</f>
        <v>94.198042857142866</v>
      </c>
      <c r="F97" s="3213">
        <f>SUM(F98:F101)/4</f>
        <v>100</v>
      </c>
      <c r="G97" s="487"/>
    </row>
    <row r="98" spans="1:7" s="394" customFormat="1" ht="18" hidden="1" customHeight="1" x14ac:dyDescent="0.25">
      <c r="A98" s="424"/>
      <c r="B98" s="425" t="s">
        <v>1470</v>
      </c>
      <c r="C98" s="480">
        <v>4000000000</v>
      </c>
      <c r="D98" s="3173">
        <v>3804861000</v>
      </c>
      <c r="E98" s="3209">
        <f>D98/C98*100</f>
        <v>95.121524999999991</v>
      </c>
      <c r="F98" s="3209">
        <v>100</v>
      </c>
      <c r="G98" s="487"/>
    </row>
    <row r="99" spans="1:7" s="394" customFormat="1" ht="15.75" hidden="1" customHeight="1" x14ac:dyDescent="0.25">
      <c r="A99" s="424"/>
      <c r="B99" s="425" t="s">
        <v>1471</v>
      </c>
      <c r="C99" s="480">
        <v>3000000000</v>
      </c>
      <c r="D99" s="3173">
        <v>2432162000</v>
      </c>
      <c r="E99" s="3209">
        <f>D99/C99*100</f>
        <v>81.072066666666672</v>
      </c>
      <c r="F99" s="3209">
        <v>100</v>
      </c>
      <c r="G99" s="487"/>
    </row>
    <row r="100" spans="1:7" s="394" customFormat="1" ht="18.75" hidden="1" customHeight="1" x14ac:dyDescent="0.25">
      <c r="A100" s="424"/>
      <c r="B100" s="425" t="s">
        <v>1472</v>
      </c>
      <c r="C100" s="480">
        <v>8000000000</v>
      </c>
      <c r="D100" s="3173">
        <v>7723716000</v>
      </c>
      <c r="E100" s="3209">
        <f>D100/C100*100</f>
        <v>96.546449999999993</v>
      </c>
      <c r="F100" s="3209">
        <v>100</v>
      </c>
      <c r="G100" s="487"/>
    </row>
    <row r="101" spans="1:7" s="394" customFormat="1" ht="15" hidden="1" customHeight="1" x14ac:dyDescent="0.25">
      <c r="A101" s="424"/>
      <c r="B101" s="425" t="s">
        <v>1473</v>
      </c>
      <c r="C101" s="480">
        <v>6000000000</v>
      </c>
      <c r="D101" s="3173">
        <v>5820850000</v>
      </c>
      <c r="E101" s="3209">
        <f>D101/C101*100</f>
        <v>97.014166666666668</v>
      </c>
      <c r="F101" s="3209">
        <v>100</v>
      </c>
      <c r="G101" s="487"/>
    </row>
    <row r="102" spans="1:7" s="394" customFormat="1" ht="12" hidden="1" customHeight="1" x14ac:dyDescent="0.25">
      <c r="A102" s="424"/>
      <c r="B102" s="425"/>
      <c r="C102" s="480"/>
      <c r="D102" s="3173"/>
      <c r="E102" s="3209"/>
      <c r="F102" s="3209"/>
      <c r="G102" s="487"/>
    </row>
    <row r="103" spans="1:7" s="394" customFormat="1" ht="15.75" hidden="1" customHeight="1" x14ac:dyDescent="0.25">
      <c r="A103" s="424"/>
      <c r="B103" s="433" t="s">
        <v>1474</v>
      </c>
      <c r="C103" s="484">
        <f>C104</f>
        <v>500000000</v>
      </c>
      <c r="D103" s="3178">
        <v>0</v>
      </c>
      <c r="E103" s="3210">
        <v>0</v>
      </c>
      <c r="F103" s="3210">
        <v>0</v>
      </c>
      <c r="G103" s="487"/>
    </row>
    <row r="104" spans="1:7" s="394" customFormat="1" ht="15.75" hidden="1" customHeight="1" x14ac:dyDescent="0.25">
      <c r="A104" s="424"/>
      <c r="B104" s="425" t="s">
        <v>1475</v>
      </c>
      <c r="C104" s="480">
        <v>500000000</v>
      </c>
      <c r="D104" s="3173">
        <v>0</v>
      </c>
      <c r="E104" s="3207">
        <v>0</v>
      </c>
      <c r="F104" s="3207">
        <v>0</v>
      </c>
      <c r="G104" s="487"/>
    </row>
    <row r="105" spans="1:7" s="394" customFormat="1" ht="12" hidden="1" customHeight="1" x14ac:dyDescent="0.25">
      <c r="A105" s="424"/>
      <c r="B105" s="425"/>
      <c r="C105" s="480"/>
      <c r="D105" s="3236"/>
      <c r="E105" s="3208"/>
      <c r="F105" s="3211"/>
      <c r="G105" s="431"/>
    </row>
    <row r="106" spans="1:7" s="414" customFormat="1" ht="21" hidden="1" customHeight="1" x14ac:dyDescent="0.25">
      <c r="A106" s="415"/>
      <c r="B106" s="433" t="s">
        <v>1476</v>
      </c>
      <c r="C106" s="484">
        <f>SUM(C107:C111)</f>
        <v>8400000000</v>
      </c>
      <c r="D106" s="3178">
        <f>SUM(D107:D111)</f>
        <v>5873022000</v>
      </c>
      <c r="E106" s="3206">
        <f t="shared" ref="E106:E111" si="3">D106/C106*100</f>
        <v>69.916928571428571</v>
      </c>
      <c r="F106" s="3206">
        <f>SUM(F107:F111)/5</f>
        <v>64</v>
      </c>
      <c r="G106" s="423"/>
    </row>
    <row r="107" spans="1:7" s="394" customFormat="1" ht="14.25" hidden="1" customHeight="1" x14ac:dyDescent="0.25">
      <c r="A107" s="424"/>
      <c r="B107" s="425" t="s">
        <v>1477</v>
      </c>
      <c r="C107" s="480">
        <v>2000000000</v>
      </c>
      <c r="D107" s="3173">
        <v>1873130000</v>
      </c>
      <c r="E107" s="3209">
        <f t="shared" si="3"/>
        <v>93.656499999999994</v>
      </c>
      <c r="F107" s="3208">
        <v>100</v>
      </c>
      <c r="G107" s="431"/>
    </row>
    <row r="108" spans="1:7" s="394" customFormat="1" ht="18.75" hidden="1" customHeight="1" x14ac:dyDescent="0.25">
      <c r="A108" s="424"/>
      <c r="B108" s="425" t="s">
        <v>1478</v>
      </c>
      <c r="C108" s="480">
        <v>2000000000</v>
      </c>
      <c r="D108" s="3188">
        <v>347074000</v>
      </c>
      <c r="E108" s="3209">
        <f t="shared" si="3"/>
        <v>17.3537</v>
      </c>
      <c r="F108" s="3208">
        <v>20</v>
      </c>
      <c r="G108" s="431"/>
    </row>
    <row r="109" spans="1:7" s="394" customFormat="1" ht="15.75" hidden="1" customHeight="1" x14ac:dyDescent="0.25">
      <c r="A109" s="424"/>
      <c r="B109" s="425" t="s">
        <v>1479</v>
      </c>
      <c r="C109" s="480">
        <v>2000000000</v>
      </c>
      <c r="D109" s="3173">
        <v>1761760000</v>
      </c>
      <c r="E109" s="3209">
        <f t="shared" si="3"/>
        <v>88.087999999999994</v>
      </c>
      <c r="F109" s="3208">
        <v>100</v>
      </c>
      <c r="G109" s="431"/>
    </row>
    <row r="110" spans="1:7" s="394" customFormat="1" ht="15" hidden="1" customHeight="1" x14ac:dyDescent="0.25">
      <c r="A110" s="424"/>
      <c r="B110" s="425" t="s">
        <v>1480</v>
      </c>
      <c r="C110" s="480">
        <v>2000000000</v>
      </c>
      <c r="D110" s="3177">
        <v>1871078000</v>
      </c>
      <c r="E110" s="3209">
        <f t="shared" si="3"/>
        <v>93.553899999999999</v>
      </c>
      <c r="F110" s="3215">
        <v>100</v>
      </c>
      <c r="G110" s="431"/>
    </row>
    <row r="111" spans="1:7" s="394" customFormat="1" ht="19.5" hidden="1" customHeight="1" x14ac:dyDescent="0.25">
      <c r="A111" s="424"/>
      <c r="B111" s="425" t="s">
        <v>1481</v>
      </c>
      <c r="C111" s="480">
        <v>400000000</v>
      </c>
      <c r="D111" s="3236">
        <v>19980000</v>
      </c>
      <c r="E111" s="3209">
        <f t="shared" si="3"/>
        <v>4.9950000000000001</v>
      </c>
      <c r="F111" s="3207">
        <v>0</v>
      </c>
      <c r="G111" s="431"/>
    </row>
    <row r="112" spans="1:7" s="394" customFormat="1" ht="12" hidden="1" customHeight="1" x14ac:dyDescent="0.25">
      <c r="A112" s="424"/>
      <c r="B112" s="425"/>
      <c r="C112" s="480"/>
      <c r="D112" s="3237"/>
      <c r="E112" s="3208"/>
      <c r="F112" s="3211"/>
      <c r="G112" s="431"/>
    </row>
    <row r="113" spans="1:7" s="414" customFormat="1" ht="20.25" hidden="1" customHeight="1" x14ac:dyDescent="0.25">
      <c r="A113" s="415"/>
      <c r="B113" s="433" t="s">
        <v>1482</v>
      </c>
      <c r="C113" s="484">
        <f>SUM(C114:C124)</f>
        <v>31100000000</v>
      </c>
      <c r="D113" s="3178">
        <f>SUM(D114:D124)</f>
        <v>29680836000</v>
      </c>
      <c r="E113" s="3206">
        <f t="shared" ref="E113:E123" si="4">D113/C113*100</f>
        <v>95.436771704180074</v>
      </c>
      <c r="F113" s="3206">
        <f>SUM(F114:F124)/11</f>
        <v>100</v>
      </c>
      <c r="G113" s="423"/>
    </row>
    <row r="114" spans="1:7" s="394" customFormat="1" ht="18" hidden="1" customHeight="1" x14ac:dyDescent="0.25">
      <c r="A114" s="424"/>
      <c r="B114" s="425" t="s">
        <v>1483</v>
      </c>
      <c r="C114" s="480">
        <v>10000000000</v>
      </c>
      <c r="D114" s="3236">
        <v>9497380000</v>
      </c>
      <c r="E114" s="3208">
        <f t="shared" si="4"/>
        <v>94.973799999999997</v>
      </c>
      <c r="F114" s="3215">
        <v>100</v>
      </c>
      <c r="G114" s="431"/>
    </row>
    <row r="115" spans="1:7" s="394" customFormat="1" ht="15.75" hidden="1" customHeight="1" x14ac:dyDescent="0.25">
      <c r="A115" s="424"/>
      <c r="B115" s="425" t="s">
        <v>1484</v>
      </c>
      <c r="C115" s="480">
        <v>3000000000</v>
      </c>
      <c r="D115" s="3236">
        <v>2793000000</v>
      </c>
      <c r="E115" s="3208">
        <f t="shared" si="4"/>
        <v>93.100000000000009</v>
      </c>
      <c r="F115" s="3215">
        <v>100</v>
      </c>
      <c r="G115" s="431"/>
    </row>
    <row r="116" spans="1:7" s="394" customFormat="1" ht="16.5" hidden="1" customHeight="1" x14ac:dyDescent="0.25">
      <c r="A116" s="424"/>
      <c r="B116" s="425" t="s">
        <v>1485</v>
      </c>
      <c r="C116" s="480">
        <v>3000000000</v>
      </c>
      <c r="D116" s="3236">
        <v>2828965000</v>
      </c>
      <c r="E116" s="3208">
        <f t="shared" si="4"/>
        <v>94.298833333333334</v>
      </c>
      <c r="F116" s="3215">
        <v>100</v>
      </c>
      <c r="G116" s="431"/>
    </row>
    <row r="117" spans="1:7" s="394" customFormat="1" ht="14.25" hidden="1" customHeight="1" x14ac:dyDescent="0.25">
      <c r="A117" s="424"/>
      <c r="B117" s="425" t="s">
        <v>1486</v>
      </c>
      <c r="C117" s="480">
        <v>1100000000</v>
      </c>
      <c r="D117" s="3236">
        <v>1051500000</v>
      </c>
      <c r="E117" s="3208">
        <f t="shared" si="4"/>
        <v>95.590909090909093</v>
      </c>
      <c r="F117" s="3215">
        <v>100</v>
      </c>
      <c r="G117" s="431"/>
    </row>
    <row r="118" spans="1:7" s="394" customFormat="1" ht="15" hidden="1" customHeight="1" x14ac:dyDescent="0.25">
      <c r="A118" s="424"/>
      <c r="B118" s="425" t="s">
        <v>1487</v>
      </c>
      <c r="C118" s="480">
        <v>2000000000</v>
      </c>
      <c r="D118" s="3236">
        <v>1957700000</v>
      </c>
      <c r="E118" s="3208">
        <f t="shared" si="4"/>
        <v>97.885000000000005</v>
      </c>
      <c r="F118" s="3215">
        <v>100</v>
      </c>
      <c r="G118" s="431"/>
    </row>
    <row r="119" spans="1:7" s="394" customFormat="1" ht="18" hidden="1" customHeight="1" x14ac:dyDescent="0.25">
      <c r="A119" s="424"/>
      <c r="B119" s="425" t="s">
        <v>1488</v>
      </c>
      <c r="C119" s="480">
        <v>2000000000</v>
      </c>
      <c r="D119" s="3236">
        <v>1756527000</v>
      </c>
      <c r="E119" s="3208">
        <f t="shared" si="4"/>
        <v>87.826349999999991</v>
      </c>
      <c r="F119" s="3215">
        <v>100</v>
      </c>
      <c r="G119" s="431"/>
    </row>
    <row r="120" spans="1:7" s="394" customFormat="1" ht="15.75" hidden="1" customHeight="1" x14ac:dyDescent="0.25">
      <c r="A120" s="424"/>
      <c r="B120" s="425" t="s">
        <v>1489</v>
      </c>
      <c r="C120" s="480">
        <v>6000000000</v>
      </c>
      <c r="D120" s="3236">
        <v>5873270000</v>
      </c>
      <c r="E120" s="3208">
        <f t="shared" si="4"/>
        <v>97.887833333333333</v>
      </c>
      <c r="F120" s="3215">
        <v>100</v>
      </c>
      <c r="G120" s="431"/>
    </row>
    <row r="121" spans="1:7" s="394" customFormat="1" ht="21" hidden="1" customHeight="1" x14ac:dyDescent="0.25">
      <c r="A121" s="424"/>
      <c r="B121" s="425" t="s">
        <v>1490</v>
      </c>
      <c r="C121" s="480">
        <v>500000000</v>
      </c>
      <c r="D121" s="3236">
        <v>495494000</v>
      </c>
      <c r="E121" s="3208">
        <f t="shared" si="4"/>
        <v>99.098799999999997</v>
      </c>
      <c r="F121" s="3215">
        <v>100</v>
      </c>
      <c r="G121" s="431"/>
    </row>
    <row r="122" spans="1:7" s="394" customFormat="1" ht="21.75" hidden="1" customHeight="1" x14ac:dyDescent="0.25">
      <c r="A122" s="424"/>
      <c r="B122" s="425" t="s">
        <v>1491</v>
      </c>
      <c r="C122" s="480">
        <v>1200000000</v>
      </c>
      <c r="D122" s="3236">
        <v>1142000000</v>
      </c>
      <c r="E122" s="3208">
        <f t="shared" si="4"/>
        <v>95.166666666666671</v>
      </c>
      <c r="F122" s="3215">
        <v>100</v>
      </c>
      <c r="G122" s="431"/>
    </row>
    <row r="123" spans="1:7" s="394" customFormat="1" ht="21" hidden="1" customHeight="1" x14ac:dyDescent="0.25">
      <c r="A123" s="424"/>
      <c r="B123" s="425" t="s">
        <v>1492</v>
      </c>
      <c r="C123" s="480">
        <v>2000000000</v>
      </c>
      <c r="D123" s="3236">
        <v>1989800000</v>
      </c>
      <c r="E123" s="3208">
        <f t="shared" si="4"/>
        <v>99.49</v>
      </c>
      <c r="F123" s="3215">
        <v>100</v>
      </c>
      <c r="G123" s="431"/>
    </row>
    <row r="124" spans="1:7" s="394" customFormat="1" ht="20.25" hidden="1" customHeight="1" x14ac:dyDescent="0.25">
      <c r="A124" s="424"/>
      <c r="B124" s="3185" t="s">
        <v>1493</v>
      </c>
      <c r="C124" s="480">
        <v>300000000</v>
      </c>
      <c r="D124" s="3236">
        <v>295200000</v>
      </c>
      <c r="E124" s="3208">
        <f>D124/C124*100</f>
        <v>98.4</v>
      </c>
      <c r="F124" s="3215">
        <v>100</v>
      </c>
      <c r="G124" s="431"/>
    </row>
    <row r="125" spans="1:7" s="394" customFormat="1" ht="12" hidden="1" customHeight="1" x14ac:dyDescent="0.25">
      <c r="A125" s="424"/>
      <c r="B125" s="425"/>
      <c r="C125" s="480"/>
      <c r="D125" s="3177"/>
      <c r="E125" s="3216"/>
      <c r="F125" s="3211"/>
      <c r="G125" s="431"/>
    </row>
    <row r="126" spans="1:7" s="414" customFormat="1" ht="17.25" hidden="1" customHeight="1" x14ac:dyDescent="0.25">
      <c r="A126" s="415"/>
      <c r="B126" s="433" t="s">
        <v>1494</v>
      </c>
      <c r="C126" s="484">
        <f>SUM(C127:C128)</f>
        <v>19700000000</v>
      </c>
      <c r="D126" s="3178">
        <f>SUM(D127:D128)</f>
        <v>7517076500</v>
      </c>
      <c r="E126" s="3210">
        <f>D126/C126*100</f>
        <v>38.157748730964471</v>
      </c>
      <c r="F126" s="3206">
        <f>SUM(F127:F128)/2</f>
        <v>75</v>
      </c>
      <c r="G126" s="423"/>
    </row>
    <row r="127" spans="1:7" s="394" customFormat="1" ht="16.5" hidden="1" customHeight="1" x14ac:dyDescent="0.25">
      <c r="A127" s="424"/>
      <c r="B127" s="425" t="s">
        <v>1495</v>
      </c>
      <c r="C127" s="480">
        <v>1000000000</v>
      </c>
      <c r="D127" s="3173">
        <v>846900000</v>
      </c>
      <c r="E127" s="3207">
        <f>D127/C127*100</f>
        <v>84.69</v>
      </c>
      <c r="F127" s="3208">
        <v>100</v>
      </c>
      <c r="G127" s="431"/>
    </row>
    <row r="128" spans="1:7" s="394" customFormat="1" ht="16.5" hidden="1" customHeight="1" x14ac:dyDescent="0.25">
      <c r="A128" s="424"/>
      <c r="B128" s="425" t="s">
        <v>1496</v>
      </c>
      <c r="C128" s="480">
        <v>18700000000</v>
      </c>
      <c r="D128" s="3173">
        <v>6670176500</v>
      </c>
      <c r="E128" s="3217">
        <f>D128/C128*100</f>
        <v>35.669393048128342</v>
      </c>
      <c r="F128" s="3208">
        <v>50</v>
      </c>
      <c r="G128" s="431"/>
    </row>
    <row r="129" spans="1:7" s="394" customFormat="1" ht="12" hidden="1" customHeight="1" x14ac:dyDescent="0.25">
      <c r="A129" s="424"/>
      <c r="B129" s="425"/>
      <c r="C129" s="480"/>
      <c r="D129" s="3177"/>
      <c r="E129" s="3213"/>
      <c r="F129" s="3166"/>
      <c r="G129" s="431"/>
    </row>
    <row r="130" spans="1:7" s="414" customFormat="1" ht="39.75" hidden="1" customHeight="1" x14ac:dyDescent="0.25">
      <c r="A130" s="415"/>
      <c r="B130" s="433" t="s">
        <v>1497</v>
      </c>
      <c r="C130" s="484">
        <f>SUM(C131:C135)</f>
        <v>4000000000</v>
      </c>
      <c r="D130" s="3178">
        <f>SUM(D131:D134)</f>
        <v>1934050000</v>
      </c>
      <c r="E130" s="3206">
        <f t="shared" ref="E130:E135" si="5">D130/C130*100</f>
        <v>48.35125</v>
      </c>
      <c r="F130" s="3218">
        <f>SUM(F131:F135)/5</f>
        <v>46</v>
      </c>
      <c r="G130" s="423"/>
    </row>
    <row r="131" spans="1:7" s="394" customFormat="1" ht="18" hidden="1" customHeight="1" x14ac:dyDescent="0.25">
      <c r="A131" s="424"/>
      <c r="B131" s="425" t="s">
        <v>1498</v>
      </c>
      <c r="C131" s="480">
        <v>750000000</v>
      </c>
      <c r="D131" s="3173">
        <v>727100000</v>
      </c>
      <c r="E131" s="3208">
        <f t="shared" si="5"/>
        <v>96.946666666666673</v>
      </c>
      <c r="F131" s="3207">
        <v>100</v>
      </c>
      <c r="G131" s="431"/>
    </row>
    <row r="132" spans="1:7" s="394" customFormat="1" ht="18" hidden="1" customHeight="1" x14ac:dyDescent="0.25">
      <c r="A132" s="424"/>
      <c r="B132" s="425" t="s">
        <v>1499</v>
      </c>
      <c r="C132" s="480">
        <v>750000000</v>
      </c>
      <c r="D132" s="3173">
        <v>0</v>
      </c>
      <c r="E132" s="3208">
        <f t="shared" si="5"/>
        <v>0</v>
      </c>
      <c r="F132" s="3207">
        <v>0</v>
      </c>
      <c r="G132" s="431"/>
    </row>
    <row r="133" spans="1:7" s="394" customFormat="1" ht="18.75" hidden="1" customHeight="1" x14ac:dyDescent="0.25">
      <c r="A133" s="424"/>
      <c r="B133" s="425" t="s">
        <v>2575</v>
      </c>
      <c r="C133" s="480">
        <v>1000000000</v>
      </c>
      <c r="D133" s="3237">
        <v>295900000</v>
      </c>
      <c r="E133" s="3208">
        <f t="shared" si="5"/>
        <v>29.59</v>
      </c>
      <c r="F133" s="3208">
        <v>30</v>
      </c>
      <c r="G133" s="431"/>
    </row>
    <row r="134" spans="1:7" s="394" customFormat="1" ht="21.75" hidden="1" customHeight="1" x14ac:dyDescent="0.25">
      <c r="A134" s="424"/>
      <c r="B134" s="425" t="s">
        <v>2576</v>
      </c>
      <c r="C134" s="480">
        <v>1000000000</v>
      </c>
      <c r="D134" s="3173">
        <v>911050000</v>
      </c>
      <c r="E134" s="3208">
        <f t="shared" si="5"/>
        <v>91.105000000000004</v>
      </c>
      <c r="F134" s="3207">
        <v>100</v>
      </c>
      <c r="G134" s="431"/>
    </row>
    <row r="135" spans="1:7" s="394" customFormat="1" ht="20.25" hidden="1" customHeight="1" x14ac:dyDescent="0.25">
      <c r="A135" s="424"/>
      <c r="B135" s="425" t="s">
        <v>2577</v>
      </c>
      <c r="C135" s="480">
        <v>500000000</v>
      </c>
      <c r="D135" s="3173">
        <v>0</v>
      </c>
      <c r="E135" s="3208">
        <f t="shared" si="5"/>
        <v>0</v>
      </c>
      <c r="F135" s="3207">
        <v>0</v>
      </c>
      <c r="G135" s="431"/>
    </row>
    <row r="136" spans="1:7" s="394" customFormat="1" ht="12.75" hidden="1" customHeight="1" x14ac:dyDescent="0.25">
      <c r="A136" s="424"/>
      <c r="B136" s="425"/>
      <c r="C136" s="480"/>
      <c r="D136" s="3237"/>
      <c r="E136" s="3209"/>
      <c r="F136" s="3211"/>
      <c r="G136" s="431"/>
    </row>
    <row r="137" spans="1:7" s="414" customFormat="1" ht="21" hidden="1" customHeight="1" x14ac:dyDescent="0.25">
      <c r="A137" s="415"/>
      <c r="B137" s="433" t="s">
        <v>1500</v>
      </c>
      <c r="C137" s="484">
        <f>SUM(C138:C147)</f>
        <v>142700000000</v>
      </c>
      <c r="D137" s="3178">
        <f>SUM(D138:D147)</f>
        <v>78298520000</v>
      </c>
      <c r="E137" s="3206">
        <f>D137/C137*100</f>
        <v>54.869320252277511</v>
      </c>
      <c r="F137" s="3206">
        <f>SUM(F138:F147)/10</f>
        <v>76</v>
      </c>
      <c r="G137" s="423"/>
    </row>
    <row r="138" spans="1:7" s="394" customFormat="1" ht="21" hidden="1" customHeight="1" x14ac:dyDescent="0.25">
      <c r="A138" s="424"/>
      <c r="B138" s="425" t="s">
        <v>1501</v>
      </c>
      <c r="C138" s="480">
        <v>10000000000</v>
      </c>
      <c r="D138" s="3236">
        <v>9528630000</v>
      </c>
      <c r="E138" s="3208">
        <f t="shared" ref="E138:E146" si="6">D138/C138*100</f>
        <v>95.286299999999997</v>
      </c>
      <c r="F138" s="3215">
        <v>100</v>
      </c>
      <c r="G138" s="431"/>
    </row>
    <row r="139" spans="1:7" s="394" customFormat="1" ht="19.5" hidden="1" customHeight="1" x14ac:dyDescent="0.25">
      <c r="A139" s="424"/>
      <c r="B139" s="425" t="s">
        <v>1502</v>
      </c>
      <c r="C139" s="480">
        <v>100000000000</v>
      </c>
      <c r="D139" s="3236">
        <v>43695680000</v>
      </c>
      <c r="E139" s="3208">
        <f t="shared" si="6"/>
        <v>43.695679999999996</v>
      </c>
      <c r="F139" s="3215">
        <v>50</v>
      </c>
      <c r="G139" s="431"/>
    </row>
    <row r="140" spans="1:7" s="394" customFormat="1" ht="21" hidden="1" customHeight="1" x14ac:dyDescent="0.25">
      <c r="A140" s="424"/>
      <c r="B140" s="425" t="s">
        <v>1503</v>
      </c>
      <c r="C140" s="480">
        <v>5000000000</v>
      </c>
      <c r="D140" s="3188">
        <v>4782223000</v>
      </c>
      <c r="E140" s="3208">
        <f t="shared" si="6"/>
        <v>95.644459999999995</v>
      </c>
      <c r="F140" s="3208">
        <v>100</v>
      </c>
      <c r="G140" s="431"/>
    </row>
    <row r="141" spans="1:7" s="394" customFormat="1" ht="20.25" hidden="1" customHeight="1" x14ac:dyDescent="0.25">
      <c r="A141" s="424"/>
      <c r="B141" s="425" t="s">
        <v>1504</v>
      </c>
      <c r="C141" s="480">
        <v>10000000000</v>
      </c>
      <c r="D141" s="3173">
        <v>9801671000</v>
      </c>
      <c r="E141" s="3208">
        <f t="shared" si="6"/>
        <v>98.016709999999989</v>
      </c>
      <c r="F141" s="3208">
        <v>100</v>
      </c>
      <c r="G141" s="431"/>
    </row>
    <row r="142" spans="1:7" s="394" customFormat="1" ht="17.25" hidden="1" customHeight="1" x14ac:dyDescent="0.25">
      <c r="A142" s="424"/>
      <c r="B142" s="425" t="s">
        <v>1505</v>
      </c>
      <c r="C142" s="480">
        <v>5000000000</v>
      </c>
      <c r="D142" s="3188">
        <v>487642000</v>
      </c>
      <c r="E142" s="3208">
        <f t="shared" si="6"/>
        <v>9.7528400000000008</v>
      </c>
      <c r="F142" s="3208">
        <v>10</v>
      </c>
      <c r="G142" s="431"/>
    </row>
    <row r="143" spans="1:7" s="394" customFormat="1" ht="19.5" hidden="1" customHeight="1" x14ac:dyDescent="0.25">
      <c r="A143" s="424"/>
      <c r="B143" s="425" t="s">
        <v>1506</v>
      </c>
      <c r="C143" s="480">
        <v>4000000000</v>
      </c>
      <c r="D143" s="3173">
        <v>3810674000</v>
      </c>
      <c r="E143" s="3208">
        <f t="shared" si="6"/>
        <v>95.266850000000005</v>
      </c>
      <c r="F143" s="3208">
        <v>100</v>
      </c>
      <c r="G143" s="431"/>
    </row>
    <row r="144" spans="1:7" s="394" customFormat="1" ht="21" hidden="1" customHeight="1" x14ac:dyDescent="0.25">
      <c r="A144" s="424"/>
      <c r="B144" s="425" t="s">
        <v>1507</v>
      </c>
      <c r="C144" s="3189">
        <v>1700000000</v>
      </c>
      <c r="D144" s="3173">
        <v>1553400000</v>
      </c>
      <c r="E144" s="3208">
        <f t="shared" si="6"/>
        <v>91.376470588235293</v>
      </c>
      <c r="F144" s="3208">
        <v>100</v>
      </c>
      <c r="G144" s="431"/>
    </row>
    <row r="145" spans="1:7" s="394" customFormat="1" ht="20.25" hidden="1" customHeight="1" x14ac:dyDescent="0.25">
      <c r="A145" s="424"/>
      <c r="B145" s="425" t="s">
        <v>1508</v>
      </c>
      <c r="C145" s="480">
        <v>3000000000</v>
      </c>
      <c r="D145" s="3173">
        <v>2782900000</v>
      </c>
      <c r="E145" s="3208">
        <f t="shared" si="6"/>
        <v>92.763333333333335</v>
      </c>
      <c r="F145" s="3208">
        <v>100</v>
      </c>
      <c r="G145" s="431"/>
    </row>
    <row r="146" spans="1:7" s="394" customFormat="1" ht="21" hidden="1" customHeight="1" x14ac:dyDescent="0.25">
      <c r="A146" s="424"/>
      <c r="B146" s="425" t="s">
        <v>1509</v>
      </c>
      <c r="C146" s="480">
        <v>2000000000</v>
      </c>
      <c r="D146" s="3173">
        <v>1855700000</v>
      </c>
      <c r="E146" s="3208">
        <f t="shared" si="6"/>
        <v>92.784999999999997</v>
      </c>
      <c r="F146" s="3208">
        <v>100</v>
      </c>
      <c r="G146" s="431"/>
    </row>
    <row r="147" spans="1:7" s="394" customFormat="1" ht="19.5" hidden="1" customHeight="1" x14ac:dyDescent="0.25">
      <c r="A147" s="424"/>
      <c r="B147" s="425" t="s">
        <v>2466</v>
      </c>
      <c r="C147" s="3238">
        <v>2000000000</v>
      </c>
      <c r="D147" s="3173">
        <v>0</v>
      </c>
      <c r="E147" s="3207">
        <v>0</v>
      </c>
      <c r="F147" s="3207">
        <v>0</v>
      </c>
      <c r="G147" s="431"/>
    </row>
    <row r="148" spans="1:7" s="394" customFormat="1" ht="12" hidden="1" customHeight="1" x14ac:dyDescent="0.25">
      <c r="A148" s="424"/>
      <c r="B148" s="425"/>
      <c r="C148" s="3239"/>
      <c r="D148" s="3173"/>
      <c r="E148" s="3209"/>
      <c r="F148" s="3208"/>
      <c r="G148" s="431"/>
    </row>
    <row r="149" spans="1:7" s="394" customFormat="1" ht="21" hidden="1" customHeight="1" x14ac:dyDescent="0.25">
      <c r="A149" s="424"/>
      <c r="B149" s="433" t="s">
        <v>1510</v>
      </c>
      <c r="C149" s="484">
        <f>SUM(C150:C153)</f>
        <v>2250000000</v>
      </c>
      <c r="D149" s="484">
        <f>SUM(D150:D153)</f>
        <v>857868000</v>
      </c>
      <c r="E149" s="3206">
        <f>D149/C149*100</f>
        <v>38.127466666666663</v>
      </c>
      <c r="F149" s="3206">
        <f>SUM(F150:F153)/4</f>
        <v>40</v>
      </c>
      <c r="G149" s="431"/>
    </row>
    <row r="150" spans="1:7" s="394" customFormat="1" ht="23.25" hidden="1" customHeight="1" x14ac:dyDescent="0.25">
      <c r="A150" s="424"/>
      <c r="B150" s="425" t="s">
        <v>1511</v>
      </c>
      <c r="C150" s="480">
        <v>750000000</v>
      </c>
      <c r="D150" s="3188">
        <v>222288000</v>
      </c>
      <c r="E150" s="3208">
        <f>D150/C150*100</f>
        <v>29.638399999999997</v>
      </c>
      <c r="F150" s="3208">
        <v>30</v>
      </c>
      <c r="G150" s="431"/>
    </row>
    <row r="151" spans="1:7" s="394" customFormat="1" ht="21" hidden="1" customHeight="1" x14ac:dyDescent="0.25">
      <c r="A151" s="424"/>
      <c r="B151" s="425" t="s">
        <v>2467</v>
      </c>
      <c r="C151" s="480">
        <v>500000000</v>
      </c>
      <c r="D151" s="3173">
        <v>146940000</v>
      </c>
      <c r="E151" s="3208">
        <f>D151/C151*100</f>
        <v>29.387999999999998</v>
      </c>
      <c r="F151" s="3208">
        <v>30</v>
      </c>
      <c r="G151" s="431"/>
    </row>
    <row r="152" spans="1:7" s="394" customFormat="1" ht="20.25" hidden="1" customHeight="1" x14ac:dyDescent="0.25">
      <c r="A152" s="424"/>
      <c r="B152" s="425" t="s">
        <v>1512</v>
      </c>
      <c r="C152" s="480">
        <v>500000000</v>
      </c>
      <c r="D152" s="3188">
        <v>488640000</v>
      </c>
      <c r="E152" s="3208">
        <f>D152/C152*100</f>
        <v>97.728000000000009</v>
      </c>
      <c r="F152" s="3208">
        <v>100</v>
      </c>
      <c r="G152" s="431"/>
    </row>
    <row r="153" spans="1:7" s="394" customFormat="1" ht="20.25" hidden="1" customHeight="1" x14ac:dyDescent="0.25">
      <c r="A153" s="424"/>
      <c r="B153" s="425" t="s">
        <v>2468</v>
      </c>
      <c r="C153" s="480">
        <v>500000000</v>
      </c>
      <c r="D153" s="3173">
        <v>0</v>
      </c>
      <c r="E153" s="3207">
        <v>0</v>
      </c>
      <c r="F153" s="3207">
        <v>0</v>
      </c>
      <c r="G153" s="431"/>
    </row>
    <row r="154" spans="1:7" s="394" customFormat="1" ht="10.5" hidden="1" customHeight="1" x14ac:dyDescent="0.25">
      <c r="A154" s="424"/>
      <c r="B154" s="425"/>
      <c r="C154" s="480"/>
      <c r="D154" s="3177"/>
      <c r="E154" s="3209"/>
      <c r="F154" s="3211"/>
      <c r="G154" s="431"/>
    </row>
    <row r="155" spans="1:7" s="414" customFormat="1" ht="18" hidden="1" customHeight="1" x14ac:dyDescent="0.25">
      <c r="A155" s="415"/>
      <c r="B155" s="433" t="s">
        <v>2469</v>
      </c>
      <c r="C155" s="484">
        <f>SUM(C156:C253)</f>
        <v>159800000000</v>
      </c>
      <c r="D155" s="3178">
        <f>SUM(D156:D253)</f>
        <v>61309018800</v>
      </c>
      <c r="E155" s="3206">
        <f t="shared" ref="E155:E218" si="7">D155/C155*100</f>
        <v>38.366094367959953</v>
      </c>
      <c r="F155" s="3206">
        <f>SUM(F156:F253)/98</f>
        <v>31.122448979591837</v>
      </c>
      <c r="G155" s="423"/>
    </row>
    <row r="156" spans="1:7" s="394" customFormat="1" ht="21.75" hidden="1" customHeight="1" x14ac:dyDescent="0.25">
      <c r="A156" s="424"/>
      <c r="B156" s="425" t="s">
        <v>2470</v>
      </c>
      <c r="C156" s="480">
        <v>10000000000</v>
      </c>
      <c r="D156" s="3236">
        <v>9783978000</v>
      </c>
      <c r="E156" s="3208">
        <f t="shared" si="7"/>
        <v>97.839780000000005</v>
      </c>
      <c r="F156" s="3215">
        <v>100</v>
      </c>
      <c r="G156" s="431"/>
    </row>
    <row r="157" spans="1:7" s="394" customFormat="1" ht="22.5" hidden="1" customHeight="1" x14ac:dyDescent="0.25">
      <c r="A157" s="424"/>
      <c r="B157" s="425" t="s">
        <v>2471</v>
      </c>
      <c r="C157" s="480">
        <v>5000000000</v>
      </c>
      <c r="D157" s="3173">
        <v>4802322000</v>
      </c>
      <c r="E157" s="3208">
        <f t="shared" si="7"/>
        <v>96.046440000000004</v>
      </c>
      <c r="F157" s="3208">
        <v>100</v>
      </c>
      <c r="G157" s="431"/>
    </row>
    <row r="158" spans="1:7" s="394" customFormat="1" ht="21" hidden="1" customHeight="1" x14ac:dyDescent="0.25">
      <c r="A158" s="424"/>
      <c r="B158" s="425" t="s">
        <v>2472</v>
      </c>
      <c r="C158" s="480">
        <v>2500000000</v>
      </c>
      <c r="D158" s="3177">
        <v>2437480000</v>
      </c>
      <c r="E158" s="3208">
        <f t="shared" si="7"/>
        <v>97.499200000000002</v>
      </c>
      <c r="F158" s="3215">
        <v>100</v>
      </c>
      <c r="G158" s="431"/>
    </row>
    <row r="159" spans="1:7" s="394" customFormat="1" ht="18.75" hidden="1" customHeight="1" x14ac:dyDescent="0.25">
      <c r="A159" s="424"/>
      <c r="B159" s="425" t="s">
        <v>2473</v>
      </c>
      <c r="C159" s="480">
        <v>5000000000</v>
      </c>
      <c r="D159" s="3177">
        <v>4798925000</v>
      </c>
      <c r="E159" s="3208">
        <f t="shared" si="7"/>
        <v>95.978499999999997</v>
      </c>
      <c r="F159" s="3215">
        <v>100</v>
      </c>
      <c r="G159" s="431"/>
    </row>
    <row r="160" spans="1:7" s="394" customFormat="1" ht="22.5" hidden="1" customHeight="1" x14ac:dyDescent="0.25">
      <c r="A160" s="424"/>
      <c r="B160" s="425" t="s">
        <v>2474</v>
      </c>
      <c r="C160" s="480">
        <v>11000000000</v>
      </c>
      <c r="D160" s="3173">
        <v>3478704000</v>
      </c>
      <c r="E160" s="3208">
        <f t="shared" si="7"/>
        <v>31.624581818181817</v>
      </c>
      <c r="F160" s="3215">
        <v>35</v>
      </c>
      <c r="G160" s="431"/>
    </row>
    <row r="161" spans="1:7" s="394" customFormat="1" ht="16.5" hidden="1" customHeight="1" x14ac:dyDescent="0.25">
      <c r="A161" s="424"/>
      <c r="B161" s="425" t="s">
        <v>2475</v>
      </c>
      <c r="C161" s="480">
        <v>10000000000</v>
      </c>
      <c r="D161" s="3177">
        <v>2725408000</v>
      </c>
      <c r="E161" s="3208">
        <f t="shared" si="7"/>
        <v>27.254080000000002</v>
      </c>
      <c r="F161" s="3215">
        <v>30</v>
      </c>
      <c r="G161" s="431"/>
    </row>
    <row r="162" spans="1:7" s="394" customFormat="1" ht="17.25" hidden="1" customHeight="1" x14ac:dyDescent="0.25">
      <c r="A162" s="424"/>
      <c r="B162" s="425" t="s">
        <v>2476</v>
      </c>
      <c r="C162" s="480">
        <v>1000000000</v>
      </c>
      <c r="D162" s="3173">
        <v>319940000</v>
      </c>
      <c r="E162" s="3208">
        <f t="shared" si="7"/>
        <v>31.994</v>
      </c>
      <c r="F162" s="3215">
        <v>35</v>
      </c>
      <c r="G162" s="431"/>
    </row>
    <row r="163" spans="1:7" s="394" customFormat="1" ht="16.5" hidden="1" customHeight="1" x14ac:dyDescent="0.25">
      <c r="A163" s="424"/>
      <c r="B163" s="425" t="s">
        <v>2477</v>
      </c>
      <c r="C163" s="480">
        <v>1000000000</v>
      </c>
      <c r="D163" s="3173">
        <v>209403400</v>
      </c>
      <c r="E163" s="3208">
        <f t="shared" si="7"/>
        <v>20.940339999999999</v>
      </c>
      <c r="F163" s="3207">
        <v>30</v>
      </c>
      <c r="G163" s="431"/>
    </row>
    <row r="164" spans="1:7" s="394" customFormat="1" ht="18" hidden="1" customHeight="1" x14ac:dyDescent="0.25">
      <c r="A164" s="424"/>
      <c r="B164" s="425" t="s">
        <v>2478</v>
      </c>
      <c r="C164" s="480">
        <v>2000000000</v>
      </c>
      <c r="D164" s="3177">
        <v>879016000</v>
      </c>
      <c r="E164" s="3208">
        <f t="shared" si="7"/>
        <v>43.950800000000001</v>
      </c>
      <c r="F164" s="3215">
        <v>50</v>
      </c>
      <c r="G164" s="431"/>
    </row>
    <row r="165" spans="1:7" s="394" customFormat="1" ht="15.75" hidden="1" customHeight="1" x14ac:dyDescent="0.25">
      <c r="A165" s="424"/>
      <c r="B165" s="425" t="s">
        <v>2479</v>
      </c>
      <c r="C165" s="480">
        <v>1000000000</v>
      </c>
      <c r="D165" s="3173">
        <v>243595000</v>
      </c>
      <c r="E165" s="3208">
        <f t="shared" si="7"/>
        <v>24.359500000000001</v>
      </c>
      <c r="F165" s="3214">
        <v>30</v>
      </c>
      <c r="G165" s="431"/>
    </row>
    <row r="166" spans="1:7" s="394" customFormat="1" ht="15.75" hidden="1" customHeight="1" x14ac:dyDescent="0.25">
      <c r="A166" s="424"/>
      <c r="B166" s="425" t="s">
        <v>2480</v>
      </c>
      <c r="C166" s="480">
        <v>2500000000</v>
      </c>
      <c r="D166" s="3173">
        <v>577772000</v>
      </c>
      <c r="E166" s="3208">
        <f t="shared" si="7"/>
        <v>23.110880000000002</v>
      </c>
      <c r="F166" s="3207">
        <v>25</v>
      </c>
      <c r="G166" s="431"/>
    </row>
    <row r="167" spans="1:7" s="394" customFormat="1" ht="14.25" hidden="1" customHeight="1" x14ac:dyDescent="0.25">
      <c r="A167" s="424"/>
      <c r="B167" s="425" t="s">
        <v>2481</v>
      </c>
      <c r="C167" s="480">
        <v>500000000</v>
      </c>
      <c r="D167" s="3173">
        <v>161400000</v>
      </c>
      <c r="E167" s="3208">
        <f t="shared" si="7"/>
        <v>32.28</v>
      </c>
      <c r="F167" s="3214">
        <v>35</v>
      </c>
      <c r="G167" s="431"/>
    </row>
    <row r="168" spans="1:7" s="394" customFormat="1" ht="16.5" hidden="1" customHeight="1" x14ac:dyDescent="0.25">
      <c r="A168" s="424"/>
      <c r="B168" s="425" t="s">
        <v>2482</v>
      </c>
      <c r="C168" s="480">
        <v>500000000</v>
      </c>
      <c r="D168" s="3173">
        <v>128700000</v>
      </c>
      <c r="E168" s="3208">
        <f t="shared" si="7"/>
        <v>25.740000000000002</v>
      </c>
      <c r="F168" s="3207">
        <v>30</v>
      </c>
      <c r="G168" s="431"/>
    </row>
    <row r="169" spans="1:7" s="394" customFormat="1" ht="16.5" hidden="1" customHeight="1" x14ac:dyDescent="0.25">
      <c r="A169" s="424"/>
      <c r="B169" s="425" t="s">
        <v>2483</v>
      </c>
      <c r="C169" s="480">
        <v>500000000</v>
      </c>
      <c r="D169" s="3173">
        <v>29700000</v>
      </c>
      <c r="E169" s="3208">
        <f t="shared" si="7"/>
        <v>5.94</v>
      </c>
      <c r="F169" s="3207">
        <v>5</v>
      </c>
      <c r="G169" s="431"/>
    </row>
    <row r="170" spans="1:7" s="394" customFormat="1" ht="16.5" hidden="1" customHeight="1" x14ac:dyDescent="0.25">
      <c r="A170" s="424"/>
      <c r="B170" s="425" t="s">
        <v>2484</v>
      </c>
      <c r="C170" s="480">
        <v>500000000</v>
      </c>
      <c r="D170" s="3173">
        <v>161700000</v>
      </c>
      <c r="E170" s="3208">
        <f t="shared" si="7"/>
        <v>32.340000000000003</v>
      </c>
      <c r="F170" s="3207">
        <v>35</v>
      </c>
      <c r="G170" s="431"/>
    </row>
    <row r="171" spans="1:7" s="394" customFormat="1" ht="15" hidden="1" customHeight="1" x14ac:dyDescent="0.25">
      <c r="A171" s="424"/>
      <c r="B171" s="425" t="s">
        <v>2485</v>
      </c>
      <c r="C171" s="480">
        <v>1000000000</v>
      </c>
      <c r="D171" s="3173">
        <v>49500000</v>
      </c>
      <c r="E171" s="3208">
        <f t="shared" si="7"/>
        <v>4.95</v>
      </c>
      <c r="F171" s="3207">
        <v>5</v>
      </c>
      <c r="G171" s="431"/>
    </row>
    <row r="172" spans="1:7" s="394" customFormat="1" ht="15.75" hidden="1" customHeight="1" x14ac:dyDescent="0.25">
      <c r="A172" s="424"/>
      <c r="B172" s="425" t="s">
        <v>2486</v>
      </c>
      <c r="C172" s="480">
        <v>1000000000</v>
      </c>
      <c r="D172" s="3173">
        <v>49500000</v>
      </c>
      <c r="E172" s="3208">
        <f t="shared" si="7"/>
        <v>4.95</v>
      </c>
      <c r="F172" s="3207">
        <v>5</v>
      </c>
      <c r="G172" s="431"/>
    </row>
    <row r="173" spans="1:7" s="394" customFormat="1" ht="15" hidden="1" customHeight="1" x14ac:dyDescent="0.25">
      <c r="A173" s="424"/>
      <c r="B173" s="425" t="s">
        <v>2487</v>
      </c>
      <c r="C173" s="480">
        <v>1000000000</v>
      </c>
      <c r="D173" s="3173">
        <v>49500000</v>
      </c>
      <c r="E173" s="3208">
        <f t="shared" si="7"/>
        <v>4.95</v>
      </c>
      <c r="F173" s="3207">
        <v>5</v>
      </c>
      <c r="G173" s="431"/>
    </row>
    <row r="174" spans="1:7" s="394" customFormat="1" ht="16.5" hidden="1" customHeight="1" x14ac:dyDescent="0.25">
      <c r="A174" s="424"/>
      <c r="B174" s="425" t="s">
        <v>2488</v>
      </c>
      <c r="C174" s="480">
        <v>1000000000</v>
      </c>
      <c r="D174" s="3173">
        <v>59400000</v>
      </c>
      <c r="E174" s="3208">
        <f t="shared" si="7"/>
        <v>5.94</v>
      </c>
      <c r="F174" s="3207">
        <v>5</v>
      </c>
      <c r="G174" s="431"/>
    </row>
    <row r="175" spans="1:7" s="394" customFormat="1" ht="18" hidden="1" customHeight="1" x14ac:dyDescent="0.25">
      <c r="A175" s="424"/>
      <c r="B175" s="425" t="s">
        <v>2489</v>
      </c>
      <c r="C175" s="480">
        <v>1000000000</v>
      </c>
      <c r="D175" s="3173">
        <v>349500000</v>
      </c>
      <c r="E175" s="3208">
        <f t="shared" si="7"/>
        <v>34.949999999999996</v>
      </c>
      <c r="F175" s="3207">
        <v>35</v>
      </c>
      <c r="G175" s="431"/>
    </row>
    <row r="176" spans="1:7" s="394" customFormat="1" ht="17.25" hidden="1" customHeight="1" x14ac:dyDescent="0.25">
      <c r="A176" s="424"/>
      <c r="B176" s="425" t="s">
        <v>2490</v>
      </c>
      <c r="C176" s="480">
        <v>500000000</v>
      </c>
      <c r="D176" s="3173">
        <v>130300000</v>
      </c>
      <c r="E176" s="3208">
        <f t="shared" si="7"/>
        <v>26.06</v>
      </c>
      <c r="F176" s="3207">
        <v>30</v>
      </c>
      <c r="G176" s="431"/>
    </row>
    <row r="177" spans="1:7" s="394" customFormat="1" ht="15" hidden="1" customHeight="1" x14ac:dyDescent="0.25">
      <c r="A177" s="424"/>
      <c r="B177" s="425" t="s">
        <v>2491</v>
      </c>
      <c r="C177" s="480">
        <v>500000000</v>
      </c>
      <c r="D177" s="3177">
        <v>138000000</v>
      </c>
      <c r="E177" s="3208">
        <f t="shared" si="7"/>
        <v>27.6</v>
      </c>
      <c r="F177" s="3215">
        <v>30</v>
      </c>
      <c r="G177" s="431"/>
    </row>
    <row r="178" spans="1:7" s="394" customFormat="1" ht="19.5" hidden="1" customHeight="1" x14ac:dyDescent="0.25">
      <c r="A178" s="424"/>
      <c r="B178" s="425" t="s">
        <v>2492</v>
      </c>
      <c r="C178" s="480">
        <v>1000000000</v>
      </c>
      <c r="D178" s="3177">
        <v>176900000</v>
      </c>
      <c r="E178" s="3208">
        <f t="shared" si="7"/>
        <v>17.690000000000001</v>
      </c>
      <c r="F178" s="3215">
        <v>20</v>
      </c>
      <c r="G178" s="431"/>
    </row>
    <row r="179" spans="1:7" s="394" customFormat="1" ht="18.75" hidden="1" customHeight="1" x14ac:dyDescent="0.25">
      <c r="A179" s="424"/>
      <c r="B179" s="425" t="s">
        <v>2493</v>
      </c>
      <c r="C179" s="480">
        <v>500000000</v>
      </c>
      <c r="D179" s="3177">
        <v>167100000</v>
      </c>
      <c r="E179" s="3208">
        <f t="shared" si="7"/>
        <v>33.42</v>
      </c>
      <c r="F179" s="3215">
        <v>35</v>
      </c>
      <c r="G179" s="431"/>
    </row>
    <row r="180" spans="1:7" s="394" customFormat="1" ht="20.25" hidden="1" customHeight="1" x14ac:dyDescent="0.25">
      <c r="A180" s="424"/>
      <c r="B180" s="425" t="s">
        <v>2494</v>
      </c>
      <c r="C180" s="480">
        <v>1000000000</v>
      </c>
      <c r="D180" s="3173">
        <v>208500000</v>
      </c>
      <c r="E180" s="3208">
        <f t="shared" si="7"/>
        <v>20.849999999999998</v>
      </c>
      <c r="F180" s="3207">
        <v>25</v>
      </c>
      <c r="G180" s="431"/>
    </row>
    <row r="181" spans="1:7" s="394" customFormat="1" ht="15.75" hidden="1" customHeight="1" x14ac:dyDescent="0.25">
      <c r="A181" s="424"/>
      <c r="B181" s="425" t="s">
        <v>2495</v>
      </c>
      <c r="C181" s="480">
        <v>500000000</v>
      </c>
      <c r="D181" s="3173">
        <v>202400000</v>
      </c>
      <c r="E181" s="3208">
        <f t="shared" si="7"/>
        <v>40.479999999999997</v>
      </c>
      <c r="F181" s="3207">
        <v>50</v>
      </c>
      <c r="G181" s="431"/>
    </row>
    <row r="182" spans="1:7" s="394" customFormat="1" ht="18.75" hidden="1" customHeight="1" x14ac:dyDescent="0.25">
      <c r="A182" s="424"/>
      <c r="B182" s="425" t="s">
        <v>2496</v>
      </c>
      <c r="C182" s="480">
        <v>500000000</v>
      </c>
      <c r="D182" s="3173">
        <v>478900000</v>
      </c>
      <c r="E182" s="3208">
        <f t="shared" si="7"/>
        <v>95.78</v>
      </c>
      <c r="F182" s="3214">
        <v>100</v>
      </c>
      <c r="G182" s="431"/>
    </row>
    <row r="183" spans="1:7" s="394" customFormat="1" ht="18.75" hidden="1" customHeight="1" x14ac:dyDescent="0.25">
      <c r="A183" s="424"/>
      <c r="B183" s="425" t="s">
        <v>2497</v>
      </c>
      <c r="C183" s="480">
        <v>500000000</v>
      </c>
      <c r="D183" s="3173">
        <v>102700000</v>
      </c>
      <c r="E183" s="3208">
        <f t="shared" si="7"/>
        <v>20.54</v>
      </c>
      <c r="F183" s="3207">
        <v>35</v>
      </c>
      <c r="G183" s="431"/>
    </row>
    <row r="184" spans="1:7" s="394" customFormat="1" ht="18.75" hidden="1" customHeight="1" x14ac:dyDescent="0.25">
      <c r="A184" s="424"/>
      <c r="B184" s="425" t="s">
        <v>2498</v>
      </c>
      <c r="C184" s="480">
        <v>500000000</v>
      </c>
      <c r="D184" s="3236">
        <v>102700000</v>
      </c>
      <c r="E184" s="3208">
        <f t="shared" si="7"/>
        <v>20.54</v>
      </c>
      <c r="F184" s="3215">
        <v>25</v>
      </c>
      <c r="G184" s="431"/>
    </row>
    <row r="185" spans="1:7" s="394" customFormat="1" ht="15" hidden="1" customHeight="1" x14ac:dyDescent="0.25">
      <c r="A185" s="424"/>
      <c r="B185" s="425" t="s">
        <v>2499</v>
      </c>
      <c r="C185" s="480">
        <v>1000000000</v>
      </c>
      <c r="D185" s="3236">
        <v>223898400</v>
      </c>
      <c r="E185" s="3208">
        <f t="shared" si="7"/>
        <v>22.38984</v>
      </c>
      <c r="F185" s="3215">
        <v>25</v>
      </c>
      <c r="G185" s="431"/>
    </row>
    <row r="186" spans="1:7" s="394" customFormat="1" ht="18" hidden="1" customHeight="1" x14ac:dyDescent="0.25">
      <c r="A186" s="424"/>
      <c r="B186" s="425" t="s">
        <v>2500</v>
      </c>
      <c r="C186" s="480">
        <v>500000000</v>
      </c>
      <c r="D186" s="3236">
        <v>105900000</v>
      </c>
      <c r="E186" s="3208">
        <f t="shared" si="7"/>
        <v>21.18</v>
      </c>
      <c r="F186" s="3215">
        <v>25</v>
      </c>
      <c r="G186" s="431"/>
    </row>
    <row r="187" spans="1:7" s="394" customFormat="1" ht="15.75" hidden="1" customHeight="1" x14ac:dyDescent="0.25">
      <c r="A187" s="424"/>
      <c r="B187" s="425" t="s">
        <v>2501</v>
      </c>
      <c r="C187" s="480">
        <v>500000000</v>
      </c>
      <c r="D187" s="3236">
        <v>157900000</v>
      </c>
      <c r="E187" s="3208">
        <f t="shared" si="7"/>
        <v>31.580000000000002</v>
      </c>
      <c r="F187" s="3215">
        <v>35</v>
      </c>
      <c r="G187" s="431"/>
    </row>
    <row r="188" spans="1:7" s="394" customFormat="1" ht="22.5" hidden="1" customHeight="1" x14ac:dyDescent="0.25">
      <c r="A188" s="424"/>
      <c r="B188" s="425" t="s">
        <v>2502</v>
      </c>
      <c r="C188" s="480">
        <v>500000000</v>
      </c>
      <c r="D188" s="3236">
        <v>123400000</v>
      </c>
      <c r="E188" s="3208">
        <f t="shared" si="7"/>
        <v>24.68</v>
      </c>
      <c r="F188" s="3215">
        <v>25</v>
      </c>
      <c r="G188" s="431"/>
    </row>
    <row r="189" spans="1:7" s="394" customFormat="1" ht="20.25" hidden="1" customHeight="1" x14ac:dyDescent="0.25">
      <c r="A189" s="424"/>
      <c r="B189" s="425" t="s">
        <v>2503</v>
      </c>
      <c r="C189" s="480">
        <v>500000000</v>
      </c>
      <c r="D189" s="3236">
        <v>123400000</v>
      </c>
      <c r="E189" s="3208">
        <f t="shared" si="7"/>
        <v>24.68</v>
      </c>
      <c r="F189" s="3215">
        <v>25</v>
      </c>
      <c r="G189" s="431"/>
    </row>
    <row r="190" spans="1:7" ht="19.5" hidden="1" customHeight="1" x14ac:dyDescent="0.25">
      <c r="A190" s="404"/>
      <c r="B190" s="447" t="s">
        <v>2504</v>
      </c>
      <c r="C190" s="480">
        <v>500000000</v>
      </c>
      <c r="D190" s="3173">
        <v>88900000</v>
      </c>
      <c r="E190" s="3208">
        <f t="shared" si="7"/>
        <v>17.78</v>
      </c>
      <c r="F190" s="3207">
        <v>20</v>
      </c>
      <c r="G190" s="439"/>
    </row>
    <row r="191" spans="1:7" ht="16.5" hidden="1" customHeight="1" x14ac:dyDescent="0.25">
      <c r="A191" s="404"/>
      <c r="B191" s="425" t="s">
        <v>2505</v>
      </c>
      <c r="C191" s="480">
        <v>500000000</v>
      </c>
      <c r="D191" s="3237">
        <v>161980000</v>
      </c>
      <c r="E191" s="3208">
        <f t="shared" si="7"/>
        <v>32.396000000000001</v>
      </c>
      <c r="F191" s="3212">
        <v>35</v>
      </c>
      <c r="G191" s="439"/>
    </row>
    <row r="192" spans="1:7" ht="18.75" hidden="1" customHeight="1" x14ac:dyDescent="0.25">
      <c r="A192" s="404"/>
      <c r="B192" s="425" t="s">
        <v>2506</v>
      </c>
      <c r="C192" s="480">
        <v>500000000</v>
      </c>
      <c r="D192" s="3177">
        <v>161990000</v>
      </c>
      <c r="E192" s="3208">
        <f t="shared" si="7"/>
        <v>32.397999999999996</v>
      </c>
      <c r="F192" s="3209">
        <v>35</v>
      </c>
      <c r="G192" s="3192"/>
    </row>
    <row r="193" spans="1:7" ht="17.25" hidden="1" customHeight="1" x14ac:dyDescent="0.25">
      <c r="A193" s="404"/>
      <c r="B193" s="425" t="s">
        <v>2507</v>
      </c>
      <c r="C193" s="480">
        <v>500000000</v>
      </c>
      <c r="D193" s="3177">
        <v>161950000</v>
      </c>
      <c r="E193" s="3208">
        <f t="shared" si="7"/>
        <v>32.39</v>
      </c>
      <c r="F193" s="3209">
        <v>35</v>
      </c>
      <c r="G193" s="3192"/>
    </row>
    <row r="194" spans="1:7" ht="15" hidden="1" customHeight="1" x14ac:dyDescent="0.25">
      <c r="A194" s="404"/>
      <c r="B194" s="425" t="s">
        <v>2508</v>
      </c>
      <c r="C194" s="480">
        <v>500000000</v>
      </c>
      <c r="D194" s="3177">
        <v>161960000</v>
      </c>
      <c r="E194" s="3208">
        <f t="shared" si="7"/>
        <v>32.391999999999996</v>
      </c>
      <c r="F194" s="3209">
        <v>35</v>
      </c>
      <c r="G194" s="3192"/>
    </row>
    <row r="195" spans="1:7" ht="18" hidden="1" customHeight="1" x14ac:dyDescent="0.25">
      <c r="A195" s="404"/>
      <c r="B195" s="425" t="s">
        <v>2509</v>
      </c>
      <c r="C195" s="480">
        <v>500000000</v>
      </c>
      <c r="D195" s="3177">
        <v>161960000</v>
      </c>
      <c r="E195" s="3208">
        <f t="shared" si="7"/>
        <v>32.391999999999996</v>
      </c>
      <c r="F195" s="3209">
        <v>35</v>
      </c>
      <c r="G195" s="3192"/>
    </row>
    <row r="196" spans="1:7" ht="15.75" hidden="1" customHeight="1" x14ac:dyDescent="0.25">
      <c r="A196" s="404"/>
      <c r="B196" s="425" t="s">
        <v>2510</v>
      </c>
      <c r="C196" s="480">
        <v>500000000</v>
      </c>
      <c r="D196" s="3177">
        <v>161940000</v>
      </c>
      <c r="E196" s="3208">
        <f t="shared" si="7"/>
        <v>32.387999999999998</v>
      </c>
      <c r="F196" s="3209">
        <v>35</v>
      </c>
      <c r="G196" s="3192"/>
    </row>
    <row r="197" spans="1:7" ht="16.5" hidden="1" customHeight="1" x14ac:dyDescent="0.25">
      <c r="A197" s="404"/>
      <c r="B197" s="425" t="s">
        <v>2511</v>
      </c>
      <c r="C197" s="480">
        <v>500000000</v>
      </c>
      <c r="D197" s="3177">
        <v>238960000</v>
      </c>
      <c r="E197" s="3208">
        <f t="shared" si="7"/>
        <v>47.792000000000002</v>
      </c>
      <c r="F197" s="3209">
        <v>50</v>
      </c>
      <c r="G197" s="3192"/>
    </row>
    <row r="198" spans="1:7" ht="15.75" hidden="1" customHeight="1" x14ac:dyDescent="0.25">
      <c r="A198" s="404"/>
      <c r="B198" s="425" t="s">
        <v>2512</v>
      </c>
      <c r="C198" s="480">
        <v>500000000</v>
      </c>
      <c r="D198" s="3177">
        <v>128980000</v>
      </c>
      <c r="E198" s="3208">
        <f t="shared" si="7"/>
        <v>25.796000000000003</v>
      </c>
      <c r="F198" s="3209">
        <v>35</v>
      </c>
      <c r="G198" s="3192"/>
    </row>
    <row r="199" spans="1:7" ht="19.5" hidden="1" customHeight="1" x14ac:dyDescent="0.25">
      <c r="A199" s="404"/>
      <c r="B199" s="425" t="s">
        <v>2513</v>
      </c>
      <c r="C199" s="480">
        <v>500000000</v>
      </c>
      <c r="D199" s="3177">
        <v>132000000</v>
      </c>
      <c r="E199" s="3208">
        <f t="shared" si="7"/>
        <v>26.400000000000002</v>
      </c>
      <c r="F199" s="3209">
        <v>30</v>
      </c>
      <c r="G199" s="3193"/>
    </row>
    <row r="200" spans="1:7" ht="15" hidden="1" customHeight="1" x14ac:dyDescent="0.25">
      <c r="A200" s="404"/>
      <c r="B200" s="425" t="s">
        <v>1513</v>
      </c>
      <c r="C200" s="480">
        <v>500000000</v>
      </c>
      <c r="D200" s="3177">
        <v>161950000</v>
      </c>
      <c r="E200" s="3208">
        <f t="shared" si="7"/>
        <v>32.39</v>
      </c>
      <c r="F200" s="3209">
        <v>35</v>
      </c>
      <c r="G200" s="3192"/>
    </row>
    <row r="201" spans="1:7" ht="15.75" hidden="1" customHeight="1" x14ac:dyDescent="0.25">
      <c r="A201" s="404"/>
      <c r="B201" s="425" t="s">
        <v>2514</v>
      </c>
      <c r="C201" s="480">
        <v>500000000</v>
      </c>
      <c r="D201" s="3177">
        <v>49700000</v>
      </c>
      <c r="E201" s="3208">
        <f t="shared" si="7"/>
        <v>9.94</v>
      </c>
      <c r="F201" s="3209">
        <v>10</v>
      </c>
      <c r="G201" s="3192"/>
    </row>
    <row r="202" spans="1:7" ht="15.75" hidden="1" customHeight="1" x14ac:dyDescent="0.25">
      <c r="A202" s="404"/>
      <c r="B202" s="425" t="s">
        <v>2515</v>
      </c>
      <c r="C202" s="480">
        <v>500000000</v>
      </c>
      <c r="D202" s="3177">
        <v>97900000</v>
      </c>
      <c r="E202" s="3208">
        <f t="shared" si="7"/>
        <v>19.580000000000002</v>
      </c>
      <c r="F202" s="3209">
        <v>20</v>
      </c>
      <c r="G202" s="3192"/>
    </row>
    <row r="203" spans="1:7" ht="15.75" hidden="1" customHeight="1" x14ac:dyDescent="0.25">
      <c r="A203" s="404"/>
      <c r="B203" s="425" t="s">
        <v>2516</v>
      </c>
      <c r="C203" s="480">
        <v>500000000</v>
      </c>
      <c r="D203" s="3177">
        <v>127900000</v>
      </c>
      <c r="E203" s="3208">
        <f t="shared" si="7"/>
        <v>25.580000000000002</v>
      </c>
      <c r="F203" s="3209">
        <v>30</v>
      </c>
      <c r="G203" s="3192"/>
    </row>
    <row r="204" spans="1:7" ht="14.25" hidden="1" customHeight="1" x14ac:dyDescent="0.25">
      <c r="A204" s="404"/>
      <c r="B204" s="425" t="s">
        <v>2517</v>
      </c>
      <c r="C204" s="480">
        <v>500000000</v>
      </c>
      <c r="D204" s="3177">
        <v>169391000</v>
      </c>
      <c r="E204" s="3208">
        <f t="shared" si="7"/>
        <v>33.8782</v>
      </c>
      <c r="F204" s="3209">
        <v>35</v>
      </c>
      <c r="G204" s="3192"/>
    </row>
    <row r="205" spans="1:7" ht="15.75" hidden="1" customHeight="1" x14ac:dyDescent="0.25">
      <c r="A205" s="404"/>
      <c r="B205" s="425" t="s">
        <v>2518</v>
      </c>
      <c r="C205" s="480">
        <v>500000000</v>
      </c>
      <c r="D205" s="3173">
        <v>99000000</v>
      </c>
      <c r="E205" s="3208">
        <f t="shared" si="7"/>
        <v>19.8</v>
      </c>
      <c r="F205" s="3207">
        <v>20</v>
      </c>
      <c r="G205" s="3192"/>
    </row>
    <row r="206" spans="1:7" ht="15" hidden="1" customHeight="1" x14ac:dyDescent="0.25">
      <c r="A206" s="404"/>
      <c r="B206" s="425" t="s">
        <v>2519</v>
      </c>
      <c r="C206" s="480">
        <v>500000000</v>
      </c>
      <c r="D206" s="3177">
        <v>110970000</v>
      </c>
      <c r="E206" s="3208">
        <f t="shared" si="7"/>
        <v>22.193999999999999</v>
      </c>
      <c r="F206" s="3209">
        <v>25</v>
      </c>
      <c r="G206" s="3192"/>
    </row>
    <row r="207" spans="1:7" ht="15.75" hidden="1" customHeight="1" x14ac:dyDescent="0.25">
      <c r="A207" s="404"/>
      <c r="B207" s="425" t="s">
        <v>2520</v>
      </c>
      <c r="C207" s="480">
        <v>500000000</v>
      </c>
      <c r="D207" s="3173">
        <v>0</v>
      </c>
      <c r="E207" s="3208">
        <f t="shared" si="7"/>
        <v>0</v>
      </c>
      <c r="F207" s="3207">
        <v>0</v>
      </c>
      <c r="G207" s="3192"/>
    </row>
    <row r="208" spans="1:7" ht="15" hidden="1" customHeight="1" x14ac:dyDescent="0.25">
      <c r="A208" s="404"/>
      <c r="B208" s="425" t="s">
        <v>2521</v>
      </c>
      <c r="C208" s="480">
        <v>500000000</v>
      </c>
      <c r="D208" s="3173">
        <v>0</v>
      </c>
      <c r="E208" s="3208">
        <f t="shared" si="7"/>
        <v>0</v>
      </c>
      <c r="F208" s="3207">
        <v>0</v>
      </c>
      <c r="G208" s="3192"/>
    </row>
    <row r="209" spans="1:7" ht="21" hidden="1" customHeight="1" x14ac:dyDescent="0.25">
      <c r="A209" s="404"/>
      <c r="B209" s="3194" t="s">
        <v>2522</v>
      </c>
      <c r="C209" s="480">
        <v>500000000</v>
      </c>
      <c r="D209" s="3177">
        <v>29960000</v>
      </c>
      <c r="E209" s="3208">
        <f t="shared" si="7"/>
        <v>5.992</v>
      </c>
      <c r="F209" s="3209">
        <v>5</v>
      </c>
      <c r="G209" s="3192"/>
    </row>
    <row r="210" spans="1:7" ht="21.75" hidden="1" customHeight="1" x14ac:dyDescent="0.25">
      <c r="A210" s="404"/>
      <c r="B210" s="3194" t="s">
        <v>2523</v>
      </c>
      <c r="C210" s="480">
        <v>500000000</v>
      </c>
      <c r="D210" s="3173">
        <v>220000000</v>
      </c>
      <c r="E210" s="3208">
        <f t="shared" si="7"/>
        <v>44</v>
      </c>
      <c r="F210" s="3207">
        <v>50</v>
      </c>
      <c r="G210" s="3192"/>
    </row>
    <row r="211" spans="1:7" ht="18" hidden="1" customHeight="1" x14ac:dyDescent="0.25">
      <c r="A211" s="404"/>
      <c r="B211" s="3194" t="s">
        <v>2524</v>
      </c>
      <c r="C211" s="480">
        <v>1000000000</v>
      </c>
      <c r="D211" s="3173">
        <v>0</v>
      </c>
      <c r="E211" s="3208">
        <f t="shared" si="7"/>
        <v>0</v>
      </c>
      <c r="F211" s="3207">
        <v>0</v>
      </c>
      <c r="G211" s="3192"/>
    </row>
    <row r="212" spans="1:7" ht="15.75" hidden="1" customHeight="1" x14ac:dyDescent="0.25">
      <c r="A212" s="404"/>
      <c r="B212" s="425" t="s">
        <v>2525</v>
      </c>
      <c r="C212" s="480">
        <v>2000000000</v>
      </c>
      <c r="D212" s="3173">
        <v>0</v>
      </c>
      <c r="E212" s="3208">
        <f t="shared" si="7"/>
        <v>0</v>
      </c>
      <c r="F212" s="3207">
        <v>0</v>
      </c>
      <c r="G212" s="3192"/>
    </row>
    <row r="213" spans="1:7" ht="14.25" hidden="1" customHeight="1" x14ac:dyDescent="0.25">
      <c r="A213" s="404"/>
      <c r="B213" s="425" t="s">
        <v>2526</v>
      </c>
      <c r="C213" s="480">
        <v>1000000000</v>
      </c>
      <c r="D213" s="3177">
        <v>123668000</v>
      </c>
      <c r="E213" s="3208">
        <f t="shared" si="7"/>
        <v>12.3668</v>
      </c>
      <c r="F213" s="3207">
        <v>15</v>
      </c>
      <c r="G213" s="3192"/>
    </row>
    <row r="214" spans="1:7" ht="15.75" hidden="1" customHeight="1" x14ac:dyDescent="0.25">
      <c r="A214" s="404"/>
      <c r="B214" s="425" t="s">
        <v>2527</v>
      </c>
      <c r="C214" s="480">
        <v>1000000000</v>
      </c>
      <c r="D214" s="3177">
        <v>60894500</v>
      </c>
      <c r="E214" s="3208">
        <f t="shared" si="7"/>
        <v>6.0894499999999994</v>
      </c>
      <c r="F214" s="3207">
        <v>10</v>
      </c>
      <c r="G214" s="3192"/>
    </row>
    <row r="215" spans="1:7" ht="15" hidden="1" customHeight="1" x14ac:dyDescent="0.25">
      <c r="A215" s="404"/>
      <c r="B215" s="425" t="s">
        <v>2528</v>
      </c>
      <c r="C215" s="480">
        <v>1000000000</v>
      </c>
      <c r="D215" s="3177">
        <v>60960500</v>
      </c>
      <c r="E215" s="3208">
        <f t="shared" si="7"/>
        <v>6.09605</v>
      </c>
      <c r="F215" s="3207">
        <v>10</v>
      </c>
      <c r="G215" s="3192"/>
    </row>
    <row r="216" spans="1:7" ht="18" hidden="1" customHeight="1" x14ac:dyDescent="0.25">
      <c r="A216" s="404"/>
      <c r="B216" s="425" t="s">
        <v>2529</v>
      </c>
      <c r="C216" s="480">
        <v>1000000000</v>
      </c>
      <c r="D216" s="3177">
        <v>92045000</v>
      </c>
      <c r="E216" s="3208">
        <f t="shared" si="7"/>
        <v>9.2044999999999995</v>
      </c>
      <c r="F216" s="3207">
        <v>10</v>
      </c>
      <c r="G216" s="3192"/>
    </row>
    <row r="217" spans="1:7" ht="17.25" hidden="1" customHeight="1" x14ac:dyDescent="0.25">
      <c r="A217" s="404"/>
      <c r="B217" s="425" t="s">
        <v>2530</v>
      </c>
      <c r="C217" s="480">
        <v>5000000000</v>
      </c>
      <c r="D217" s="3177">
        <v>1289900000</v>
      </c>
      <c r="E217" s="3208">
        <f t="shared" si="7"/>
        <v>25.797999999999998</v>
      </c>
      <c r="F217" s="3207">
        <v>25</v>
      </c>
      <c r="G217" s="3192"/>
    </row>
    <row r="218" spans="1:7" ht="18.75" hidden="1" customHeight="1" x14ac:dyDescent="0.25">
      <c r="A218" s="404"/>
      <c r="B218" s="425" t="s">
        <v>2531</v>
      </c>
      <c r="C218" s="480">
        <v>500000000</v>
      </c>
      <c r="D218" s="3173">
        <v>0</v>
      </c>
      <c r="E218" s="3208">
        <f t="shared" si="7"/>
        <v>0</v>
      </c>
      <c r="F218" s="3207">
        <v>0</v>
      </c>
      <c r="G218" s="3192"/>
    </row>
    <row r="219" spans="1:7" ht="18" hidden="1" customHeight="1" x14ac:dyDescent="0.25">
      <c r="A219" s="404"/>
      <c r="B219" s="425" t="s">
        <v>2532</v>
      </c>
      <c r="C219" s="480">
        <v>500000000</v>
      </c>
      <c r="D219" s="3237">
        <v>134900000</v>
      </c>
      <c r="E219" s="3208">
        <f t="shared" ref="E219:E253" si="8">D219/C219*100</f>
        <v>26.979999999999997</v>
      </c>
      <c r="F219" s="3207">
        <v>30</v>
      </c>
      <c r="G219" s="3192"/>
    </row>
    <row r="220" spans="1:7" ht="16.5" hidden="1" customHeight="1" x14ac:dyDescent="0.25">
      <c r="A220" s="404"/>
      <c r="B220" s="425" t="s">
        <v>2533</v>
      </c>
      <c r="C220" s="480">
        <v>500000000</v>
      </c>
      <c r="D220" s="3177">
        <v>19890000</v>
      </c>
      <c r="E220" s="3208">
        <f t="shared" si="8"/>
        <v>3.9780000000000002</v>
      </c>
      <c r="F220" s="3207">
        <v>5</v>
      </c>
      <c r="G220" s="3192"/>
    </row>
    <row r="221" spans="1:7" ht="15" hidden="1" customHeight="1" x14ac:dyDescent="0.25">
      <c r="A221" s="404"/>
      <c r="B221" s="425" t="s">
        <v>2534</v>
      </c>
      <c r="C221" s="480">
        <v>2500000000</v>
      </c>
      <c r="D221" s="3177">
        <v>739636000</v>
      </c>
      <c r="E221" s="3208">
        <f t="shared" si="8"/>
        <v>29.585440000000002</v>
      </c>
      <c r="F221" s="3207">
        <v>30</v>
      </c>
      <c r="G221" s="3192"/>
    </row>
    <row r="222" spans="1:7" ht="14.25" hidden="1" customHeight="1" x14ac:dyDescent="0.25">
      <c r="A222" s="404"/>
      <c r="B222" s="425" t="s">
        <v>2535</v>
      </c>
      <c r="C222" s="480">
        <v>2000000000</v>
      </c>
      <c r="D222" s="3177">
        <v>517339000</v>
      </c>
      <c r="E222" s="3208">
        <f t="shared" si="8"/>
        <v>25.866949999999999</v>
      </c>
      <c r="F222" s="3207">
        <v>25</v>
      </c>
      <c r="G222" s="3192"/>
    </row>
    <row r="223" spans="1:7" ht="14.25" hidden="1" customHeight="1" x14ac:dyDescent="0.25">
      <c r="A223" s="404"/>
      <c r="B223" s="425" t="s">
        <v>2536</v>
      </c>
      <c r="C223" s="480">
        <v>3000000000</v>
      </c>
      <c r="D223" s="3177">
        <v>2761813000</v>
      </c>
      <c r="E223" s="3208">
        <f t="shared" si="8"/>
        <v>92.060433333333336</v>
      </c>
      <c r="F223" s="3207">
        <v>100</v>
      </c>
      <c r="G223" s="3192"/>
    </row>
    <row r="224" spans="1:7" ht="15.75" hidden="1" customHeight="1" x14ac:dyDescent="0.25">
      <c r="A224" s="404"/>
      <c r="B224" s="425" t="s">
        <v>2537</v>
      </c>
      <c r="C224" s="480">
        <v>500000000</v>
      </c>
      <c r="D224" s="3177">
        <v>157940000</v>
      </c>
      <c r="E224" s="3208">
        <f t="shared" si="8"/>
        <v>31.588000000000001</v>
      </c>
      <c r="F224" s="3207">
        <v>35</v>
      </c>
      <c r="G224" s="3192"/>
    </row>
    <row r="225" spans="1:7" ht="15.75" hidden="1" customHeight="1" x14ac:dyDescent="0.25">
      <c r="A225" s="404"/>
      <c r="B225" s="425" t="s">
        <v>2538</v>
      </c>
      <c r="C225" s="480">
        <v>500000000</v>
      </c>
      <c r="D225" s="3173">
        <v>222300000</v>
      </c>
      <c r="E225" s="3208">
        <f t="shared" si="8"/>
        <v>44.46</v>
      </c>
      <c r="F225" s="3207">
        <v>50</v>
      </c>
      <c r="G225" s="3192"/>
    </row>
    <row r="226" spans="1:7" ht="15.75" hidden="1" customHeight="1" x14ac:dyDescent="0.25">
      <c r="A226" s="404"/>
      <c r="B226" s="425" t="s">
        <v>2539</v>
      </c>
      <c r="C226" s="480">
        <v>500000000</v>
      </c>
      <c r="D226" s="3177">
        <v>135300000</v>
      </c>
      <c r="E226" s="3208">
        <f t="shared" si="8"/>
        <v>27.060000000000002</v>
      </c>
      <c r="F226" s="3207">
        <v>30</v>
      </c>
      <c r="G226" s="3192"/>
    </row>
    <row r="227" spans="1:7" ht="14.25" hidden="1" customHeight="1" x14ac:dyDescent="0.25">
      <c r="A227" s="404"/>
      <c r="B227" s="425" t="s">
        <v>2540</v>
      </c>
      <c r="C227" s="480">
        <v>5000000000</v>
      </c>
      <c r="D227" s="3177">
        <v>641066000</v>
      </c>
      <c r="E227" s="3208">
        <f t="shared" si="8"/>
        <v>12.82132</v>
      </c>
      <c r="F227" s="3207">
        <v>15</v>
      </c>
      <c r="G227" s="3192"/>
    </row>
    <row r="228" spans="1:7" ht="15" hidden="1" customHeight="1" x14ac:dyDescent="0.25">
      <c r="A228" s="404"/>
      <c r="B228" s="425" t="s">
        <v>2541</v>
      </c>
      <c r="C228" s="480">
        <v>1500000000</v>
      </c>
      <c r="D228" s="3177">
        <v>1133900000</v>
      </c>
      <c r="E228" s="3208">
        <f t="shared" si="8"/>
        <v>75.593333333333334</v>
      </c>
      <c r="F228" s="3207">
        <v>75</v>
      </c>
      <c r="G228" s="3192"/>
    </row>
    <row r="229" spans="1:7" ht="18.75" hidden="1" customHeight="1" x14ac:dyDescent="0.25">
      <c r="A229" s="404"/>
      <c r="B229" s="425" t="s">
        <v>2542</v>
      </c>
      <c r="C229" s="480">
        <v>1500000000</v>
      </c>
      <c r="D229" s="3177">
        <v>1399775000</v>
      </c>
      <c r="E229" s="3208">
        <f t="shared" si="8"/>
        <v>93.318333333333342</v>
      </c>
      <c r="F229" s="3207">
        <v>100</v>
      </c>
      <c r="G229" s="3192"/>
    </row>
    <row r="230" spans="1:7" ht="18" hidden="1" customHeight="1" x14ac:dyDescent="0.25">
      <c r="A230" s="404"/>
      <c r="B230" s="425" t="s">
        <v>2543</v>
      </c>
      <c r="C230" s="480">
        <v>6000000000</v>
      </c>
      <c r="D230" s="3177">
        <v>5786175000</v>
      </c>
      <c r="E230" s="3208">
        <f t="shared" si="8"/>
        <v>96.436250000000001</v>
      </c>
      <c r="F230" s="3207">
        <v>100</v>
      </c>
      <c r="G230" s="3192"/>
    </row>
    <row r="231" spans="1:7" ht="21" hidden="1" customHeight="1" x14ac:dyDescent="0.25">
      <c r="A231" s="404"/>
      <c r="B231" s="425" t="s">
        <v>2544</v>
      </c>
      <c r="C231" s="480">
        <v>500000000</v>
      </c>
      <c r="D231" s="3177">
        <v>127900000</v>
      </c>
      <c r="E231" s="3208">
        <f t="shared" si="8"/>
        <v>25.580000000000002</v>
      </c>
      <c r="F231" s="3207">
        <v>30</v>
      </c>
      <c r="G231" s="3192"/>
    </row>
    <row r="232" spans="1:7" ht="18" hidden="1" customHeight="1" x14ac:dyDescent="0.25">
      <c r="A232" s="404"/>
      <c r="B232" s="425" t="s">
        <v>2545</v>
      </c>
      <c r="C232" s="480">
        <v>500000000</v>
      </c>
      <c r="D232" s="3177">
        <v>239200000</v>
      </c>
      <c r="E232" s="3208">
        <f t="shared" si="8"/>
        <v>47.839999999999996</v>
      </c>
      <c r="F232" s="3207">
        <v>50</v>
      </c>
      <c r="G232" s="3192"/>
    </row>
    <row r="233" spans="1:7" ht="15.75" hidden="1" customHeight="1" x14ac:dyDescent="0.25">
      <c r="A233" s="404"/>
      <c r="B233" s="425" t="s">
        <v>1514</v>
      </c>
      <c r="C233" s="480">
        <v>5000000000</v>
      </c>
      <c r="D233" s="3177">
        <v>99000000</v>
      </c>
      <c r="E233" s="3208">
        <f t="shared" si="8"/>
        <v>1.9800000000000002</v>
      </c>
      <c r="F233" s="3207">
        <v>0</v>
      </c>
      <c r="G233" s="3192"/>
    </row>
    <row r="234" spans="1:7" ht="14.25" hidden="1" customHeight="1" x14ac:dyDescent="0.25">
      <c r="A234" s="404"/>
      <c r="B234" s="425" t="s">
        <v>2546</v>
      </c>
      <c r="C234" s="480">
        <v>5000000000</v>
      </c>
      <c r="D234" s="3177">
        <v>757692000</v>
      </c>
      <c r="E234" s="3208">
        <f t="shared" si="8"/>
        <v>15.153839999999999</v>
      </c>
      <c r="F234" s="3207">
        <v>15</v>
      </c>
      <c r="G234" s="3192"/>
    </row>
    <row r="235" spans="1:7" ht="16.5" hidden="1" customHeight="1" x14ac:dyDescent="0.25">
      <c r="A235" s="404"/>
      <c r="B235" s="425" t="s">
        <v>2547</v>
      </c>
      <c r="C235" s="480">
        <v>500000000</v>
      </c>
      <c r="D235" s="3177">
        <v>55200000</v>
      </c>
      <c r="E235" s="3208">
        <f t="shared" si="8"/>
        <v>11.04</v>
      </c>
      <c r="F235" s="3207">
        <v>15</v>
      </c>
      <c r="G235" s="3192"/>
    </row>
    <row r="236" spans="1:7" ht="19.5" hidden="1" customHeight="1" x14ac:dyDescent="0.25">
      <c r="A236" s="404"/>
      <c r="B236" s="425" t="s">
        <v>2548</v>
      </c>
      <c r="C236" s="480">
        <v>1500000000</v>
      </c>
      <c r="D236" s="3177">
        <v>59400000</v>
      </c>
      <c r="E236" s="3208">
        <f t="shared" si="8"/>
        <v>3.9600000000000004</v>
      </c>
      <c r="F236" s="3207">
        <v>5</v>
      </c>
      <c r="G236" s="3192"/>
    </row>
    <row r="237" spans="1:7" ht="20.25" hidden="1" customHeight="1" x14ac:dyDescent="0.25">
      <c r="A237" s="404"/>
      <c r="B237" s="425" t="s">
        <v>2549</v>
      </c>
      <c r="C237" s="480">
        <v>1500000000</v>
      </c>
      <c r="D237" s="3177">
        <v>59400000</v>
      </c>
      <c r="E237" s="3208">
        <f t="shared" si="8"/>
        <v>3.9600000000000004</v>
      </c>
      <c r="F237" s="3207">
        <v>5</v>
      </c>
      <c r="G237" s="3192"/>
    </row>
    <row r="238" spans="1:7" ht="21.75" hidden="1" customHeight="1" x14ac:dyDescent="0.25">
      <c r="A238" s="404"/>
      <c r="B238" s="425" t="s">
        <v>2550</v>
      </c>
      <c r="C238" s="480">
        <v>1000000000</v>
      </c>
      <c r="D238" s="3177">
        <v>225405000</v>
      </c>
      <c r="E238" s="3208">
        <f t="shared" si="8"/>
        <v>22.540499999999998</v>
      </c>
      <c r="F238" s="3207">
        <v>25</v>
      </c>
      <c r="G238" s="3192"/>
    </row>
    <row r="239" spans="1:7" ht="21.75" hidden="1" customHeight="1" x14ac:dyDescent="0.25">
      <c r="A239" s="404"/>
      <c r="B239" s="425" t="s">
        <v>2551</v>
      </c>
      <c r="C239" s="480">
        <v>1000000000</v>
      </c>
      <c r="D239" s="3177">
        <v>314400000</v>
      </c>
      <c r="E239" s="3208">
        <f t="shared" si="8"/>
        <v>31.44</v>
      </c>
      <c r="F239" s="3207">
        <v>35</v>
      </c>
      <c r="G239" s="3192"/>
    </row>
    <row r="240" spans="1:7" ht="14.25" hidden="1" customHeight="1" x14ac:dyDescent="0.25">
      <c r="A240" s="404"/>
      <c r="B240" s="425" t="s">
        <v>2552</v>
      </c>
      <c r="C240" s="480">
        <v>1000000000</v>
      </c>
      <c r="D240" s="3177">
        <v>183055000</v>
      </c>
      <c r="E240" s="3208">
        <f t="shared" si="8"/>
        <v>18.305499999999999</v>
      </c>
      <c r="F240" s="3207">
        <v>20</v>
      </c>
      <c r="G240" s="3192"/>
    </row>
    <row r="241" spans="1:9" ht="22.5" hidden="1" customHeight="1" x14ac:dyDescent="0.25">
      <c r="A241" s="404"/>
      <c r="B241" s="425" t="s">
        <v>2553</v>
      </c>
      <c r="C241" s="480">
        <v>1500000000</v>
      </c>
      <c r="D241" s="3177">
        <v>59400000</v>
      </c>
      <c r="E241" s="3208">
        <f t="shared" si="8"/>
        <v>3.9600000000000004</v>
      </c>
      <c r="F241" s="3207">
        <v>5</v>
      </c>
      <c r="G241" s="3192"/>
    </row>
    <row r="242" spans="1:9" ht="19.5" hidden="1" customHeight="1" x14ac:dyDescent="0.25">
      <c r="A242" s="404"/>
      <c r="B242" s="425" t="s">
        <v>2554</v>
      </c>
      <c r="C242" s="480">
        <v>1500000000</v>
      </c>
      <c r="D242" s="3177">
        <v>59400000</v>
      </c>
      <c r="E242" s="3208">
        <f t="shared" si="8"/>
        <v>3.9600000000000004</v>
      </c>
      <c r="F242" s="3207">
        <v>5</v>
      </c>
      <c r="G242" s="3192"/>
    </row>
    <row r="243" spans="1:9" ht="23.25" hidden="1" customHeight="1" x14ac:dyDescent="0.25">
      <c r="A243" s="404"/>
      <c r="B243" s="425" t="s">
        <v>2555</v>
      </c>
      <c r="C243" s="480">
        <v>1000000000</v>
      </c>
      <c r="D243" s="3177">
        <v>49500000</v>
      </c>
      <c r="E243" s="3208">
        <f t="shared" si="8"/>
        <v>4.95</v>
      </c>
      <c r="F243" s="3207">
        <v>5</v>
      </c>
      <c r="G243" s="3192"/>
    </row>
    <row r="244" spans="1:9" ht="20.25" hidden="1" customHeight="1" x14ac:dyDescent="0.25">
      <c r="A244" s="404"/>
      <c r="B244" s="425" t="s">
        <v>2556</v>
      </c>
      <c r="C244" s="480">
        <v>1000000000</v>
      </c>
      <c r="D244" s="3177">
        <v>29830000</v>
      </c>
      <c r="E244" s="3208">
        <f t="shared" si="8"/>
        <v>2.9830000000000001</v>
      </c>
      <c r="F244" s="3207">
        <v>0</v>
      </c>
      <c r="G244" s="3192"/>
    </row>
    <row r="245" spans="1:9" ht="14.25" hidden="1" customHeight="1" x14ac:dyDescent="0.25">
      <c r="A245" s="404"/>
      <c r="B245" s="425" t="s">
        <v>2557</v>
      </c>
      <c r="C245" s="480">
        <v>5000000000</v>
      </c>
      <c r="D245" s="3177">
        <v>1303900000</v>
      </c>
      <c r="E245" s="3208">
        <f t="shared" si="8"/>
        <v>26.078000000000003</v>
      </c>
      <c r="F245" s="3207">
        <v>30</v>
      </c>
      <c r="G245" s="3192"/>
    </row>
    <row r="246" spans="1:9" ht="16.5" hidden="1" customHeight="1" x14ac:dyDescent="0.25">
      <c r="A246" s="404"/>
      <c r="B246" s="425" t="s">
        <v>2558</v>
      </c>
      <c r="C246" s="480">
        <v>3500000000</v>
      </c>
      <c r="D246" s="3177">
        <v>807600000</v>
      </c>
      <c r="E246" s="3208">
        <f t="shared" si="8"/>
        <v>23.074285714285715</v>
      </c>
      <c r="F246" s="3207">
        <v>25</v>
      </c>
      <c r="G246" s="3192"/>
    </row>
    <row r="247" spans="1:9" ht="20.25" hidden="1" customHeight="1" x14ac:dyDescent="0.25">
      <c r="A247" s="404"/>
      <c r="B247" s="425" t="s">
        <v>2559</v>
      </c>
      <c r="C247" s="480">
        <v>10000000000</v>
      </c>
      <c r="D247" s="3177">
        <v>1886200000</v>
      </c>
      <c r="E247" s="3208">
        <f t="shared" si="8"/>
        <v>18.862000000000002</v>
      </c>
      <c r="F247" s="3207">
        <v>20</v>
      </c>
      <c r="G247" s="3192"/>
    </row>
    <row r="248" spans="1:9" ht="22.5" hidden="1" customHeight="1" x14ac:dyDescent="0.25">
      <c r="A248" s="404"/>
      <c r="B248" s="425" t="s">
        <v>2560</v>
      </c>
      <c r="C248" s="480">
        <v>400000000</v>
      </c>
      <c r="D248" s="3177">
        <v>19950000</v>
      </c>
      <c r="E248" s="3208">
        <f t="shared" si="8"/>
        <v>4.9875000000000007</v>
      </c>
      <c r="F248" s="3207">
        <v>5</v>
      </c>
      <c r="G248" s="3192"/>
    </row>
    <row r="249" spans="1:9" ht="32.25" hidden="1" customHeight="1" x14ac:dyDescent="0.25">
      <c r="A249" s="404"/>
      <c r="B249" s="425" t="s">
        <v>2561</v>
      </c>
      <c r="C249" s="480">
        <v>400000000</v>
      </c>
      <c r="D249" s="3177">
        <v>46870000</v>
      </c>
      <c r="E249" s="3208">
        <f t="shared" si="8"/>
        <v>11.717499999999999</v>
      </c>
      <c r="F249" s="3207">
        <v>15</v>
      </c>
      <c r="G249" s="3192"/>
    </row>
    <row r="250" spans="1:9" ht="21" hidden="1" customHeight="1" x14ac:dyDescent="0.25">
      <c r="A250" s="404"/>
      <c r="B250" s="425" t="s">
        <v>2562</v>
      </c>
      <c r="C250" s="480">
        <v>1500000000</v>
      </c>
      <c r="D250" s="3177">
        <v>1416602000</v>
      </c>
      <c r="E250" s="3208">
        <f t="shared" si="8"/>
        <v>94.440133333333335</v>
      </c>
      <c r="F250" s="3207">
        <v>100</v>
      </c>
      <c r="G250" s="3192"/>
    </row>
    <row r="251" spans="1:9" ht="18.75" hidden="1" customHeight="1" x14ac:dyDescent="0.25">
      <c r="A251" s="404"/>
      <c r="B251" s="425" t="s">
        <v>2563</v>
      </c>
      <c r="C251" s="480">
        <v>500000000</v>
      </c>
      <c r="D251" s="3177">
        <v>46900000</v>
      </c>
      <c r="E251" s="3208">
        <f t="shared" si="8"/>
        <v>9.379999999999999</v>
      </c>
      <c r="F251" s="3207">
        <v>10</v>
      </c>
      <c r="G251" s="3192"/>
    </row>
    <row r="252" spans="1:9" ht="21.75" hidden="1" customHeight="1" x14ac:dyDescent="0.25">
      <c r="A252" s="404"/>
      <c r="B252" s="425" t="s">
        <v>2564</v>
      </c>
      <c r="C252" s="480">
        <v>500000000</v>
      </c>
      <c r="D252" s="3177">
        <v>54980000</v>
      </c>
      <c r="E252" s="3208">
        <f t="shared" si="8"/>
        <v>10.996</v>
      </c>
      <c r="F252" s="3207">
        <v>10</v>
      </c>
      <c r="G252" s="3192"/>
    </row>
    <row r="253" spans="1:9" ht="32.25" hidden="1" customHeight="1" x14ac:dyDescent="0.25">
      <c r="A253" s="404"/>
      <c r="B253" s="425" t="s">
        <v>2578</v>
      </c>
      <c r="C253" s="480">
        <v>2000000000</v>
      </c>
      <c r="D253" s="3177">
        <v>1764900000</v>
      </c>
      <c r="E253" s="3208">
        <f t="shared" si="8"/>
        <v>88.24499999999999</v>
      </c>
      <c r="F253" s="3207">
        <v>100</v>
      </c>
      <c r="G253" s="3192"/>
    </row>
    <row r="254" spans="1:9" ht="12" hidden="1" customHeight="1" x14ac:dyDescent="0.25">
      <c r="A254" s="404"/>
      <c r="B254" s="435"/>
      <c r="C254" s="3240"/>
      <c r="D254" s="3237"/>
      <c r="E254" s="3208"/>
      <c r="F254" s="3219"/>
      <c r="G254" s="439"/>
    </row>
    <row r="255" spans="1:9" s="5621" customFormat="1" ht="20.25" customHeight="1" thickBot="1" x14ac:dyDescent="0.3">
      <c r="A255" s="5616">
        <v>2</v>
      </c>
      <c r="B255" s="5617" t="s">
        <v>235</v>
      </c>
      <c r="C255" s="5618">
        <f>SUM(C256,C259,C264,C268,C281,C288)</f>
        <v>182550000000</v>
      </c>
      <c r="D255" s="5618">
        <f>SUM(D256,D259,D264,D268,D281,D288)</f>
        <v>142756812520</v>
      </c>
      <c r="E255" s="5619">
        <f t="shared" ref="E255:E262" si="9">D255/C255*100</f>
        <v>78.201485905231436</v>
      </c>
      <c r="F255" s="5619">
        <f>SUM(F256+F259+F264+F268+F281+F288)/6</f>
        <v>91.111111111111128</v>
      </c>
      <c r="G255" s="5620"/>
      <c r="I255" s="5622"/>
    </row>
    <row r="256" spans="1:9" s="414" customFormat="1" ht="16.5" hidden="1" customHeight="1" x14ac:dyDescent="0.25">
      <c r="A256" s="415"/>
      <c r="B256" s="420" t="s">
        <v>1400</v>
      </c>
      <c r="C256" s="3241">
        <f>SUM(C257:C257)</f>
        <v>4000000000</v>
      </c>
      <c r="D256" s="3241">
        <f>SUM(D257:D257)</f>
        <v>3818760000</v>
      </c>
      <c r="E256" s="3206">
        <f t="shared" si="9"/>
        <v>95.469000000000008</v>
      </c>
      <c r="F256" s="3206">
        <v>100</v>
      </c>
      <c r="G256" s="423"/>
    </row>
    <row r="257" spans="1:7" s="394" customFormat="1" ht="14.25" hidden="1" customHeight="1" x14ac:dyDescent="0.25">
      <c r="A257" s="424"/>
      <c r="B257" s="425" t="s">
        <v>1401</v>
      </c>
      <c r="C257" s="480">
        <v>4000000000</v>
      </c>
      <c r="D257" s="3236">
        <v>3818760000</v>
      </c>
      <c r="E257" s="3208">
        <f t="shared" si="9"/>
        <v>95.469000000000008</v>
      </c>
      <c r="F257" s="3215">
        <v>100</v>
      </c>
      <c r="G257" s="431"/>
    </row>
    <row r="258" spans="1:7" s="394" customFormat="1" ht="12" hidden="1" customHeight="1" x14ac:dyDescent="0.25">
      <c r="A258" s="424"/>
      <c r="B258" s="425"/>
      <c r="C258" s="480"/>
      <c r="D258" s="3177"/>
      <c r="E258" s="3208"/>
      <c r="F258" s="3211"/>
      <c r="G258" s="431"/>
    </row>
    <row r="259" spans="1:7" s="414" customFormat="1" ht="20.25" hidden="1" customHeight="1" x14ac:dyDescent="0.25">
      <c r="A259" s="415"/>
      <c r="B259" s="433" t="s">
        <v>1402</v>
      </c>
      <c r="C259" s="484">
        <f>SUM(C260:C262)</f>
        <v>8500000000</v>
      </c>
      <c r="D259" s="3178">
        <f>SUM(D260:D262)</f>
        <v>4387248000</v>
      </c>
      <c r="E259" s="3206">
        <f t="shared" si="9"/>
        <v>51.614682352941173</v>
      </c>
      <c r="F259" s="3220">
        <f>SUM(F260:F262)/3</f>
        <v>66.666666666666671</v>
      </c>
      <c r="G259" s="423"/>
    </row>
    <row r="260" spans="1:7" s="394" customFormat="1" ht="19.5" hidden="1" customHeight="1" x14ac:dyDescent="0.25">
      <c r="A260" s="424"/>
      <c r="B260" s="425" t="s">
        <v>1403</v>
      </c>
      <c r="C260" s="480">
        <v>3000000000</v>
      </c>
      <c r="D260" s="3177">
        <v>2941600000</v>
      </c>
      <c r="E260" s="3208">
        <f t="shared" si="9"/>
        <v>98.053333333333342</v>
      </c>
      <c r="F260" s="3207">
        <v>100</v>
      </c>
      <c r="G260" s="431"/>
    </row>
    <row r="261" spans="1:7" s="394" customFormat="1" ht="19.5" hidden="1" customHeight="1" x14ac:dyDescent="0.25">
      <c r="A261" s="424"/>
      <c r="B261" s="425" t="s">
        <v>1404</v>
      </c>
      <c r="C261" s="480">
        <v>4000000000</v>
      </c>
      <c r="D261" s="3173">
        <v>0</v>
      </c>
      <c r="E261" s="3208">
        <f t="shared" si="9"/>
        <v>0</v>
      </c>
      <c r="F261" s="3207">
        <v>0</v>
      </c>
      <c r="G261" s="431"/>
    </row>
    <row r="262" spans="1:7" s="394" customFormat="1" ht="19.5" hidden="1" customHeight="1" x14ac:dyDescent="0.25">
      <c r="A262" s="424"/>
      <c r="B262" s="489" t="s">
        <v>1405</v>
      </c>
      <c r="C262" s="480">
        <v>1500000000</v>
      </c>
      <c r="D262" s="3177">
        <v>1445648000</v>
      </c>
      <c r="E262" s="3208">
        <f t="shared" si="9"/>
        <v>96.376533333333342</v>
      </c>
      <c r="F262" s="3207">
        <v>100</v>
      </c>
      <c r="G262" s="431"/>
    </row>
    <row r="263" spans="1:7" s="394" customFormat="1" ht="12" hidden="1" customHeight="1" x14ac:dyDescent="0.25">
      <c r="A263" s="424"/>
      <c r="B263" s="425"/>
      <c r="C263" s="480"/>
      <c r="D263" s="3177"/>
      <c r="E263" s="3208"/>
      <c r="F263" s="3216"/>
      <c r="G263" s="431"/>
    </row>
    <row r="264" spans="1:7" s="414" customFormat="1" ht="18.75" hidden="1" customHeight="1" x14ac:dyDescent="0.25">
      <c r="A264" s="415"/>
      <c r="B264" s="433" t="s">
        <v>1406</v>
      </c>
      <c r="C264" s="484">
        <f>SUM(C265:C266)</f>
        <v>87000000000</v>
      </c>
      <c r="D264" s="3178">
        <f>SUM(D265:D266)</f>
        <v>54365733000</v>
      </c>
      <c r="E264" s="3206">
        <f t="shared" ref="E264:E290" si="10">D264/C264*100</f>
        <v>62.489348275862064</v>
      </c>
      <c r="F264" s="3206">
        <f>SUM(F265:F266)/2</f>
        <v>80</v>
      </c>
      <c r="G264" s="423"/>
    </row>
    <row r="265" spans="1:7" s="394" customFormat="1" ht="18" hidden="1" customHeight="1" x14ac:dyDescent="0.25">
      <c r="A265" s="424"/>
      <c r="B265" s="425" t="s">
        <v>1407</v>
      </c>
      <c r="C265" s="480">
        <v>81000000000</v>
      </c>
      <c r="D265" s="3177">
        <v>48653031000</v>
      </c>
      <c r="E265" s="3208">
        <f t="shared" si="10"/>
        <v>60.065470370370363</v>
      </c>
      <c r="F265" s="3215">
        <v>60</v>
      </c>
      <c r="G265" s="431"/>
    </row>
    <row r="266" spans="1:7" s="394" customFormat="1" ht="18" hidden="1" customHeight="1" x14ac:dyDescent="0.25">
      <c r="A266" s="424"/>
      <c r="B266" s="425" t="s">
        <v>1408</v>
      </c>
      <c r="C266" s="480">
        <v>6000000000</v>
      </c>
      <c r="D266" s="3177">
        <v>5712702000</v>
      </c>
      <c r="E266" s="3208">
        <f t="shared" si="10"/>
        <v>95.211699999999993</v>
      </c>
      <c r="F266" s="3215">
        <v>100</v>
      </c>
      <c r="G266" s="431"/>
    </row>
    <row r="267" spans="1:7" s="394" customFormat="1" ht="12" hidden="1" customHeight="1" x14ac:dyDescent="0.25">
      <c r="A267" s="424"/>
      <c r="B267" s="425"/>
      <c r="C267" s="480"/>
      <c r="D267" s="3177"/>
      <c r="E267" s="3208"/>
      <c r="F267" s="3211"/>
      <c r="G267" s="431"/>
    </row>
    <row r="268" spans="1:7" s="414" customFormat="1" ht="21" hidden="1" customHeight="1" x14ac:dyDescent="0.25">
      <c r="A268" s="415"/>
      <c r="B268" s="433" t="s">
        <v>1409</v>
      </c>
      <c r="C268" s="484">
        <f>SUM(C269:C279)</f>
        <v>67850000000</v>
      </c>
      <c r="D268" s="3178">
        <f>SUM(D269:D279)</f>
        <v>65783577820</v>
      </c>
      <c r="E268" s="3206">
        <f t="shared" si="10"/>
        <v>96.954425674281509</v>
      </c>
      <c r="F268" s="3206">
        <f>SUM(F269:F279)/11</f>
        <v>100</v>
      </c>
      <c r="G268" s="423"/>
    </row>
    <row r="269" spans="1:7" s="394" customFormat="1" ht="15" hidden="1" customHeight="1" x14ac:dyDescent="0.25">
      <c r="A269" s="424"/>
      <c r="B269" s="425" t="s">
        <v>1410</v>
      </c>
      <c r="C269" s="480">
        <v>3000000000</v>
      </c>
      <c r="D269" s="3173">
        <v>2846152986</v>
      </c>
      <c r="E269" s="3208">
        <f t="shared" si="10"/>
        <v>94.871766199999996</v>
      </c>
      <c r="F269" s="3208">
        <v>100</v>
      </c>
      <c r="G269" s="431"/>
    </row>
    <row r="270" spans="1:7" s="394" customFormat="1" ht="16.5" hidden="1" customHeight="1" x14ac:dyDescent="0.25">
      <c r="A270" s="424"/>
      <c r="B270" s="425" t="s">
        <v>1411</v>
      </c>
      <c r="C270" s="480">
        <v>17000000000</v>
      </c>
      <c r="D270" s="3173">
        <v>16572000000</v>
      </c>
      <c r="E270" s="3208">
        <f t="shared" si="10"/>
        <v>97.482352941176472</v>
      </c>
      <c r="F270" s="3208">
        <v>100</v>
      </c>
      <c r="G270" s="431"/>
    </row>
    <row r="271" spans="1:7" s="394" customFormat="1" ht="15.75" hidden="1" customHeight="1" x14ac:dyDescent="0.25">
      <c r="A271" s="424"/>
      <c r="B271" s="425" t="s">
        <v>1412</v>
      </c>
      <c r="C271" s="480">
        <v>17000000000</v>
      </c>
      <c r="D271" s="3236">
        <v>16475000000</v>
      </c>
      <c r="E271" s="3208">
        <f t="shared" si="10"/>
        <v>96.911764705882348</v>
      </c>
      <c r="F271" s="3208">
        <v>100</v>
      </c>
      <c r="G271" s="431"/>
    </row>
    <row r="272" spans="1:7" s="394" customFormat="1" ht="16.5" hidden="1" customHeight="1" x14ac:dyDescent="0.25">
      <c r="A272" s="424"/>
      <c r="B272" s="425" t="s">
        <v>1413</v>
      </c>
      <c r="C272" s="480">
        <v>11000000000</v>
      </c>
      <c r="D272" s="3236">
        <v>10686152000</v>
      </c>
      <c r="E272" s="3208">
        <f t="shared" si="10"/>
        <v>97.146836363636368</v>
      </c>
      <c r="F272" s="3208">
        <v>100</v>
      </c>
      <c r="G272" s="431"/>
    </row>
    <row r="273" spans="1:9" s="394" customFormat="1" ht="15" hidden="1" customHeight="1" x14ac:dyDescent="0.25">
      <c r="A273" s="424"/>
      <c r="B273" s="425" t="s">
        <v>1414</v>
      </c>
      <c r="C273" s="480">
        <v>900000000</v>
      </c>
      <c r="D273" s="3173">
        <v>836335500</v>
      </c>
      <c r="E273" s="3208">
        <f t="shared" si="10"/>
        <v>92.92616666666666</v>
      </c>
      <c r="F273" s="3207">
        <v>100</v>
      </c>
      <c r="G273" s="431"/>
    </row>
    <row r="274" spans="1:9" s="394" customFormat="1" ht="15" hidden="1" customHeight="1" x14ac:dyDescent="0.25">
      <c r="A274" s="424"/>
      <c r="B274" s="425" t="s">
        <v>1415</v>
      </c>
      <c r="C274" s="480">
        <v>4000000000</v>
      </c>
      <c r="D274" s="3236">
        <v>3983888612</v>
      </c>
      <c r="E274" s="3208">
        <f t="shared" si="10"/>
        <v>99.597215300000002</v>
      </c>
      <c r="F274" s="3207">
        <v>100</v>
      </c>
      <c r="G274" s="431"/>
    </row>
    <row r="275" spans="1:9" s="394" customFormat="1" ht="14.25" hidden="1" customHeight="1" x14ac:dyDescent="0.25">
      <c r="A275" s="424"/>
      <c r="B275" s="425" t="s">
        <v>1416</v>
      </c>
      <c r="C275" s="480">
        <v>800000000</v>
      </c>
      <c r="D275" s="3236">
        <v>775885000</v>
      </c>
      <c r="E275" s="3208">
        <f t="shared" si="10"/>
        <v>96.985624999999999</v>
      </c>
      <c r="F275" s="3207">
        <v>100</v>
      </c>
      <c r="G275" s="431"/>
    </row>
    <row r="276" spans="1:9" s="394" customFormat="1" ht="18" hidden="1" customHeight="1" x14ac:dyDescent="0.25">
      <c r="A276" s="424"/>
      <c r="B276" s="425" t="s">
        <v>1417</v>
      </c>
      <c r="C276" s="480">
        <v>900000000</v>
      </c>
      <c r="D276" s="3236">
        <v>873500000</v>
      </c>
      <c r="E276" s="3208">
        <f t="shared" si="10"/>
        <v>97.055555555555557</v>
      </c>
      <c r="F276" s="3207">
        <v>100</v>
      </c>
      <c r="G276" s="431"/>
    </row>
    <row r="277" spans="1:9" s="394" customFormat="1" ht="21.75" hidden="1" customHeight="1" x14ac:dyDescent="0.25">
      <c r="A277" s="424"/>
      <c r="B277" s="425" t="s">
        <v>1418</v>
      </c>
      <c r="C277" s="480">
        <v>4000000000</v>
      </c>
      <c r="D277" s="3236">
        <v>3879899500</v>
      </c>
      <c r="E277" s="3208">
        <f t="shared" si="10"/>
        <v>96.997487500000005</v>
      </c>
      <c r="F277" s="3207">
        <v>100</v>
      </c>
      <c r="G277" s="431"/>
    </row>
    <row r="278" spans="1:9" s="394" customFormat="1" ht="20.25" hidden="1" customHeight="1" x14ac:dyDescent="0.25">
      <c r="A278" s="424"/>
      <c r="B278" s="425" t="s">
        <v>1419</v>
      </c>
      <c r="C278" s="480">
        <v>4250000000</v>
      </c>
      <c r="D278" s="3236">
        <v>3912784222</v>
      </c>
      <c r="E278" s="3208">
        <f t="shared" si="10"/>
        <v>92.065511105882365</v>
      </c>
      <c r="F278" s="3207">
        <v>100</v>
      </c>
      <c r="G278" s="431"/>
    </row>
    <row r="279" spans="1:9" s="394" customFormat="1" ht="18.75" hidden="1" customHeight="1" x14ac:dyDescent="0.25">
      <c r="A279" s="424"/>
      <c r="B279" s="425" t="s">
        <v>1420</v>
      </c>
      <c r="C279" s="480">
        <v>5000000000</v>
      </c>
      <c r="D279" s="3236">
        <v>4941980000</v>
      </c>
      <c r="E279" s="3208">
        <f t="shared" si="10"/>
        <v>98.839600000000004</v>
      </c>
      <c r="F279" s="3207">
        <v>100</v>
      </c>
      <c r="G279" s="431"/>
    </row>
    <row r="280" spans="1:9" s="394" customFormat="1" ht="12" hidden="1" customHeight="1" x14ac:dyDescent="0.25">
      <c r="A280" s="424"/>
      <c r="B280" s="425"/>
      <c r="C280" s="480"/>
      <c r="D280" s="3236"/>
      <c r="E280" s="3208"/>
      <c r="F280" s="3211"/>
      <c r="G280" s="431"/>
    </row>
    <row r="281" spans="1:9" s="414" customFormat="1" ht="20.25" hidden="1" customHeight="1" x14ac:dyDescent="0.25">
      <c r="A281" s="415"/>
      <c r="B281" s="433" t="s">
        <v>1421</v>
      </c>
      <c r="C281" s="484">
        <f>SUM(C282:C286)</f>
        <v>11200000000</v>
      </c>
      <c r="D281" s="3178">
        <f>SUM(D282:D286)</f>
        <v>10477013700</v>
      </c>
      <c r="E281" s="3206">
        <f t="shared" si="10"/>
        <v>93.544765178571438</v>
      </c>
      <c r="F281" s="3206">
        <f>SUM(F282:F286)/5</f>
        <v>100</v>
      </c>
      <c r="G281" s="423"/>
    </row>
    <row r="282" spans="1:9" s="394" customFormat="1" ht="15.75" hidden="1" customHeight="1" x14ac:dyDescent="0.25">
      <c r="A282" s="424"/>
      <c r="B282" s="447" t="s">
        <v>1422</v>
      </c>
      <c r="C282" s="3235">
        <v>1000000000</v>
      </c>
      <c r="D282" s="3173">
        <v>1000000000</v>
      </c>
      <c r="E282" s="3208">
        <f t="shared" si="10"/>
        <v>100</v>
      </c>
      <c r="F282" s="3207">
        <v>100</v>
      </c>
      <c r="G282" s="431"/>
    </row>
    <row r="283" spans="1:9" s="394" customFormat="1" ht="18.75" hidden="1" customHeight="1" x14ac:dyDescent="0.25">
      <c r="A283" s="424"/>
      <c r="B283" s="425" t="s">
        <v>1423</v>
      </c>
      <c r="C283" s="480">
        <v>3500000000</v>
      </c>
      <c r="D283" s="3236">
        <v>3328859000</v>
      </c>
      <c r="E283" s="3208">
        <f>D283/C283*100</f>
        <v>95.110257142857151</v>
      </c>
      <c r="F283" s="3215">
        <v>100</v>
      </c>
      <c r="G283" s="431"/>
    </row>
    <row r="284" spans="1:9" s="394" customFormat="1" ht="16.5" hidden="1" customHeight="1" x14ac:dyDescent="0.25">
      <c r="A284" s="424"/>
      <c r="B284" s="425" t="s">
        <v>1424</v>
      </c>
      <c r="C284" s="480">
        <v>600000000</v>
      </c>
      <c r="D284" s="3236">
        <v>599906700</v>
      </c>
      <c r="E284" s="3208">
        <f t="shared" si="10"/>
        <v>99.98445000000001</v>
      </c>
      <c r="F284" s="3215">
        <v>100</v>
      </c>
      <c r="G284" s="431"/>
    </row>
    <row r="285" spans="1:9" s="394" customFormat="1" ht="18.75" hidden="1" customHeight="1" x14ac:dyDescent="0.25">
      <c r="A285" s="424"/>
      <c r="B285" s="425" t="s">
        <v>1425</v>
      </c>
      <c r="C285" s="480">
        <v>600000000</v>
      </c>
      <c r="D285" s="3236">
        <v>599900000</v>
      </c>
      <c r="E285" s="3208">
        <f t="shared" si="10"/>
        <v>99.983333333333334</v>
      </c>
      <c r="F285" s="3215">
        <v>100</v>
      </c>
      <c r="G285" s="431"/>
    </row>
    <row r="286" spans="1:9" s="394" customFormat="1" ht="20.25" hidden="1" customHeight="1" x14ac:dyDescent="0.25">
      <c r="A286" s="424"/>
      <c r="B286" s="425" t="s">
        <v>1426</v>
      </c>
      <c r="C286" s="480">
        <v>5500000000</v>
      </c>
      <c r="D286" s="3236">
        <v>4948348000</v>
      </c>
      <c r="E286" s="3208">
        <f t="shared" si="10"/>
        <v>89.96996363636363</v>
      </c>
      <c r="F286" s="3215">
        <v>100</v>
      </c>
      <c r="G286" s="431"/>
    </row>
    <row r="287" spans="1:9" ht="12" hidden="1" customHeight="1" x14ac:dyDescent="0.25">
      <c r="A287" s="404"/>
      <c r="B287" s="490"/>
      <c r="C287" s="3242"/>
      <c r="D287" s="3243"/>
      <c r="E287" s="3212"/>
      <c r="F287" s="3219"/>
      <c r="G287" s="439"/>
    </row>
    <row r="288" spans="1:9" s="414" customFormat="1" ht="18" hidden="1" customHeight="1" thickBot="1" x14ac:dyDescent="0.3">
      <c r="A288" s="415"/>
      <c r="B288" s="433" t="s">
        <v>1427</v>
      </c>
      <c r="C288" s="484">
        <f>SUM(C289,C290)</f>
        <v>4000000000</v>
      </c>
      <c r="D288" s="3178">
        <f>SUM(D289,D290)</f>
        <v>3924480000</v>
      </c>
      <c r="E288" s="3213">
        <f t="shared" si="10"/>
        <v>98.111999999999995</v>
      </c>
      <c r="F288" s="3213">
        <f>SUM(F289:F290)/2</f>
        <v>100</v>
      </c>
      <c r="G288" s="418"/>
      <c r="I288" s="419"/>
    </row>
    <row r="289" spans="1:7" s="394" customFormat="1" ht="15.75" hidden="1" customHeight="1" x14ac:dyDescent="0.25">
      <c r="A289" s="424"/>
      <c r="B289" s="491" t="s">
        <v>1428</v>
      </c>
      <c r="C289" s="3244">
        <v>2500000000</v>
      </c>
      <c r="D289" s="3236">
        <v>2464080000</v>
      </c>
      <c r="E289" s="3208">
        <f t="shared" si="10"/>
        <v>98.563199999999995</v>
      </c>
      <c r="F289" s="3208">
        <v>100</v>
      </c>
      <c r="G289" s="431"/>
    </row>
    <row r="290" spans="1:7" s="394" customFormat="1" ht="21.75" hidden="1" customHeight="1" x14ac:dyDescent="0.25">
      <c r="A290" s="424"/>
      <c r="B290" s="425" t="s">
        <v>1429</v>
      </c>
      <c r="C290" s="480">
        <v>1500000000</v>
      </c>
      <c r="D290" s="3177">
        <v>1460400000</v>
      </c>
      <c r="E290" s="3208">
        <f t="shared" si="10"/>
        <v>97.36</v>
      </c>
      <c r="F290" s="3208">
        <v>100</v>
      </c>
      <c r="G290" s="431"/>
    </row>
    <row r="291" spans="1:7" ht="12" hidden="1" customHeight="1" thickBot="1" x14ac:dyDescent="0.3">
      <c r="A291" s="449"/>
      <c r="B291" s="450"/>
      <c r="C291" s="3245"/>
      <c r="D291" s="3245"/>
      <c r="E291" s="3221"/>
      <c r="F291" s="3221"/>
      <c r="G291" s="452"/>
    </row>
    <row r="292" spans="1:7" ht="23.25" customHeight="1" thickTop="1" thickBot="1" x14ac:dyDescent="0.3">
      <c r="A292" s="453"/>
      <c r="B292" s="492" t="s">
        <v>18</v>
      </c>
      <c r="C292" s="3246">
        <f>C12</f>
        <v>1600000000000</v>
      </c>
      <c r="D292" s="3246">
        <f>D12</f>
        <v>1279487677963</v>
      </c>
      <c r="E292" s="3223">
        <f>D292/C292*100</f>
        <v>79.967979872687494</v>
      </c>
      <c r="F292" s="3222">
        <f>F12</f>
        <v>83.637430240913574</v>
      </c>
      <c r="G292" s="455"/>
    </row>
    <row r="293" spans="1:7" ht="11.25" customHeight="1" thickTop="1" x14ac:dyDescent="0.25">
      <c r="A293" s="456"/>
      <c r="B293" s="457"/>
      <c r="C293" s="3247"/>
      <c r="D293" s="3247"/>
      <c r="E293" s="3224"/>
      <c r="F293" s="3224"/>
      <c r="G293" s="459"/>
    </row>
    <row r="294" spans="1:7" x14ac:dyDescent="0.25">
      <c r="A294" s="460"/>
      <c r="B294" s="461"/>
      <c r="C294" s="3248"/>
      <c r="D294" s="3248"/>
      <c r="E294" s="3225"/>
      <c r="F294" s="3225"/>
      <c r="G294" s="463"/>
    </row>
    <row r="295" spans="1:7" x14ac:dyDescent="0.25">
      <c r="A295" s="460"/>
      <c r="B295" s="3017"/>
      <c r="C295" s="5822" t="s">
        <v>7124</v>
      </c>
      <c r="D295" s="5822"/>
      <c r="E295" s="5822"/>
      <c r="F295" s="3225"/>
      <c r="G295" s="463"/>
    </row>
    <row r="296" spans="1:7" ht="15" customHeight="1" x14ac:dyDescent="0.25">
      <c r="A296" s="460"/>
      <c r="B296" s="465"/>
      <c r="C296" s="5823" t="s">
        <v>2276</v>
      </c>
      <c r="D296" s="5823"/>
      <c r="E296" s="5823"/>
      <c r="G296" s="463"/>
    </row>
    <row r="297" spans="1:7" ht="15" customHeight="1" x14ac:dyDescent="0.25">
      <c r="A297" s="460"/>
      <c r="B297" s="3017"/>
      <c r="C297" s="5823" t="s">
        <v>2067</v>
      </c>
      <c r="D297" s="5823"/>
      <c r="E297" s="5823"/>
      <c r="G297" s="463"/>
    </row>
    <row r="298" spans="1:7" x14ac:dyDescent="0.25">
      <c r="A298" s="460"/>
      <c r="B298" s="3017"/>
      <c r="C298" s="3248"/>
      <c r="D298" s="3248"/>
      <c r="E298" s="3225"/>
      <c r="F298" s="3225"/>
      <c r="G298" s="463"/>
    </row>
    <row r="299" spans="1:7" x14ac:dyDescent="0.25">
      <c r="A299" s="460"/>
      <c r="B299" s="3201"/>
      <c r="C299" s="3248"/>
      <c r="D299" s="3248"/>
      <c r="E299" s="3225"/>
      <c r="F299" s="3225"/>
      <c r="G299" s="463"/>
    </row>
    <row r="300" spans="1:7" x14ac:dyDescent="0.25">
      <c r="A300" s="460"/>
      <c r="B300" s="3201"/>
      <c r="C300" s="3248"/>
      <c r="D300" s="3248"/>
      <c r="E300" s="3225"/>
      <c r="F300" s="3225"/>
      <c r="G300" s="463"/>
    </row>
    <row r="301" spans="1:7" x14ac:dyDescent="0.25">
      <c r="A301" s="460"/>
      <c r="B301" s="3201"/>
      <c r="C301" s="3248"/>
      <c r="D301" s="3249"/>
      <c r="E301" s="3225"/>
      <c r="F301" s="3225"/>
      <c r="G301" s="463"/>
    </row>
    <row r="302" spans="1:7" ht="15" customHeight="1" x14ac:dyDescent="0.25">
      <c r="A302" s="460"/>
      <c r="B302" s="3201"/>
      <c r="C302" s="5817" t="s">
        <v>2070</v>
      </c>
      <c r="D302" s="5817"/>
      <c r="E302" s="5817"/>
      <c r="F302" s="3225"/>
      <c r="G302" s="463"/>
    </row>
    <row r="303" spans="1:7" ht="15.75" x14ac:dyDescent="0.25">
      <c r="A303" s="460"/>
      <c r="B303" s="3201"/>
      <c r="C303" s="5818" t="s">
        <v>2071</v>
      </c>
      <c r="D303" s="5818"/>
      <c r="E303" s="5818"/>
      <c r="F303" s="603"/>
      <c r="G303" s="463"/>
    </row>
    <row r="304" spans="1:7" ht="15" customHeight="1" x14ac:dyDescent="0.25">
      <c r="A304" s="460"/>
      <c r="B304" s="3201"/>
      <c r="C304" s="5819" t="s">
        <v>2072</v>
      </c>
      <c r="D304" s="5819"/>
      <c r="E304" s="5819"/>
      <c r="G304" s="463"/>
    </row>
    <row r="305" spans="1:7" ht="15" customHeight="1" x14ac:dyDescent="0.25">
      <c r="A305" s="460"/>
      <c r="B305" s="3201"/>
      <c r="C305" s="3250"/>
      <c r="D305" s="3250"/>
      <c r="E305" s="3226"/>
      <c r="G305" s="463"/>
    </row>
    <row r="306" spans="1:7" x14ac:dyDescent="0.25">
      <c r="A306" s="460"/>
      <c r="B306" s="3201"/>
      <c r="C306" s="3248"/>
      <c r="D306" s="3248"/>
      <c r="E306" s="3225"/>
      <c r="F306" s="3255"/>
      <c r="G306" s="463"/>
    </row>
    <row r="307" spans="1:7" x14ac:dyDescent="0.25">
      <c r="A307" s="460"/>
      <c r="B307" s="3201"/>
      <c r="C307" s="3248"/>
      <c r="D307" s="3248"/>
      <c r="E307" s="3225"/>
      <c r="F307" s="3255"/>
      <c r="G307" s="463"/>
    </row>
    <row r="308" spans="1:7" x14ac:dyDescent="0.25">
      <c r="A308" s="460"/>
      <c r="B308" s="3201"/>
      <c r="C308" s="3248"/>
      <c r="D308" s="3248"/>
      <c r="E308" s="3225"/>
      <c r="F308" s="3255"/>
      <c r="G308" s="463"/>
    </row>
    <row r="309" spans="1:7" x14ac:dyDescent="0.25">
      <c r="A309" s="460"/>
      <c r="B309" s="3201"/>
      <c r="C309" s="3248"/>
      <c r="D309" s="3248"/>
      <c r="E309" s="3225"/>
      <c r="F309" s="3255"/>
      <c r="G309" s="463"/>
    </row>
    <row r="310" spans="1:7" x14ac:dyDescent="0.25">
      <c r="A310" s="460"/>
      <c r="B310" s="3201"/>
      <c r="C310" s="3248"/>
      <c r="D310" s="3248"/>
      <c r="E310" s="3225"/>
      <c r="F310" s="3252"/>
      <c r="G310" s="463"/>
    </row>
    <row r="311" spans="1:7" x14ac:dyDescent="0.25">
      <c r="A311" s="460"/>
      <c r="B311" s="3201"/>
      <c r="C311" s="3248"/>
      <c r="D311" s="3248"/>
      <c r="E311" s="3225"/>
      <c r="F311" s="3252"/>
      <c r="G311" s="463"/>
    </row>
    <row r="312" spans="1:7" x14ac:dyDescent="0.25">
      <c r="A312" s="460"/>
      <c r="B312" s="3201"/>
      <c r="C312" s="3248"/>
      <c r="D312" s="3248"/>
      <c r="E312" s="3225"/>
      <c r="F312" s="3252"/>
      <c r="G312" s="463"/>
    </row>
    <row r="313" spans="1:7" x14ac:dyDescent="0.25">
      <c r="A313" s="460"/>
      <c r="B313" s="461"/>
      <c r="C313" s="3248"/>
      <c r="D313" s="3248"/>
      <c r="E313" s="3225"/>
      <c r="F313" s="3255"/>
      <c r="G313" s="463"/>
    </row>
    <row r="314" spans="1:7" x14ac:dyDescent="0.25">
      <c r="A314" s="470"/>
      <c r="B314" s="471"/>
      <c r="C314" s="3251"/>
      <c r="D314" s="3251"/>
      <c r="E314" s="3227"/>
      <c r="F314" s="3256"/>
      <c r="G314" s="474"/>
    </row>
  </sheetData>
  <mergeCells count="15">
    <mergeCell ref="C302:E302"/>
    <mergeCell ref="C303:E303"/>
    <mergeCell ref="C304:E304"/>
    <mergeCell ref="G8:G9"/>
    <mergeCell ref="C295:E295"/>
    <mergeCell ref="C296:E296"/>
    <mergeCell ref="C297:E297"/>
    <mergeCell ref="A8:A9"/>
    <mergeCell ref="B8:B9"/>
    <mergeCell ref="C8:F8"/>
    <mergeCell ref="A1:G1"/>
    <mergeCell ref="A2:G2"/>
    <mergeCell ref="A3:G3"/>
    <mergeCell ref="A5:B5"/>
    <mergeCell ref="A6:B6"/>
  </mergeCells>
  <printOptions horizontalCentered="1"/>
  <pageMargins left="0.75" right="0.5" top="0.5" bottom="0.75" header="0.3" footer="0.3"/>
  <pageSetup paperSize="258" scale="56" fitToHeight="0" orientation="landscape" r:id="rId1"/>
  <rowBreaks count="1" manualBreakCount="1">
    <brk id="286" max="16383"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O257"/>
  <sheetViews>
    <sheetView view="pageBreakPreview" zoomScale="78" zoomScaleNormal="80" zoomScaleSheetLayoutView="78" workbookViewId="0">
      <selection activeCell="B238" sqref="B238:D238"/>
    </sheetView>
  </sheetViews>
  <sheetFormatPr defaultColWidth="8.85546875" defaultRowHeight="15" x14ac:dyDescent="0.25"/>
  <cols>
    <col min="1" max="1" width="4.5703125" style="475" customWidth="1"/>
    <col min="2" max="2" width="84.42578125" style="476" customWidth="1"/>
    <col min="3" max="3" width="22.7109375" style="2184" bestFit="1" customWidth="1"/>
    <col min="4" max="4" width="16.5703125" style="3005" customWidth="1"/>
    <col min="5" max="5" width="15.42578125" style="3005" customWidth="1"/>
    <col min="6" max="6" width="14.42578125" style="3005" customWidth="1"/>
    <col min="7" max="7" width="14.7109375" style="696" customWidth="1"/>
    <col min="8" max="8" width="10.85546875" style="697" customWidth="1"/>
    <col min="9" max="9" width="16" style="3005" customWidth="1"/>
    <col min="10" max="10" width="13.140625" style="3005" customWidth="1"/>
    <col min="11" max="11" width="14" style="3005" customWidth="1"/>
    <col min="12" max="12" width="10" style="3005" customWidth="1"/>
    <col min="13" max="13" width="9" style="3005" customWidth="1"/>
    <col min="14" max="14" width="8.85546875" style="3005"/>
    <col min="15" max="15" width="27.5703125" style="3005" customWidth="1"/>
    <col min="16" max="256" width="8.85546875" style="3005"/>
    <col min="257" max="257" width="4.5703125" style="3005" customWidth="1"/>
    <col min="258" max="258" width="81.28515625" style="3005" customWidth="1"/>
    <col min="259" max="259" width="38.42578125" style="3005" customWidth="1"/>
    <col min="260" max="260" width="24.5703125" style="3005" customWidth="1"/>
    <col min="261" max="261" width="26.42578125" style="3005" customWidth="1"/>
    <col min="262" max="262" width="22.7109375" style="3005" customWidth="1"/>
    <col min="263" max="263" width="15.85546875" style="3005" customWidth="1"/>
    <col min="264" max="264" width="14.85546875" style="3005" customWidth="1"/>
    <col min="265" max="266" width="22.7109375" style="3005" customWidth="1"/>
    <col min="267" max="267" width="17.7109375" style="3005" customWidth="1"/>
    <col min="268" max="268" width="10.85546875" style="3005" customWidth="1"/>
    <col min="269" max="269" width="11.140625" style="3005" customWidth="1"/>
    <col min="270" max="270" width="8.85546875" style="3005"/>
    <col min="271" max="271" width="27.5703125" style="3005" customWidth="1"/>
    <col min="272" max="512" width="8.85546875" style="3005"/>
    <col min="513" max="513" width="4.5703125" style="3005" customWidth="1"/>
    <col min="514" max="514" width="81.28515625" style="3005" customWidth="1"/>
    <col min="515" max="515" width="38.42578125" style="3005" customWidth="1"/>
    <col min="516" max="516" width="24.5703125" style="3005" customWidth="1"/>
    <col min="517" max="517" width="26.42578125" style="3005" customWidth="1"/>
    <col min="518" max="518" width="22.7109375" style="3005" customWidth="1"/>
    <col min="519" max="519" width="15.85546875" style="3005" customWidth="1"/>
    <col min="520" max="520" width="14.85546875" style="3005" customWidth="1"/>
    <col min="521" max="522" width="22.7109375" style="3005" customWidth="1"/>
    <col min="523" max="523" width="17.7109375" style="3005" customWidth="1"/>
    <col min="524" max="524" width="10.85546875" style="3005" customWidth="1"/>
    <col min="525" max="525" width="11.140625" style="3005" customWidth="1"/>
    <col min="526" max="526" width="8.85546875" style="3005"/>
    <col min="527" max="527" width="27.5703125" style="3005" customWidth="1"/>
    <col min="528" max="768" width="8.85546875" style="3005"/>
    <col min="769" max="769" width="4.5703125" style="3005" customWidth="1"/>
    <col min="770" max="770" width="81.28515625" style="3005" customWidth="1"/>
    <col min="771" max="771" width="38.42578125" style="3005" customWidth="1"/>
    <col min="772" max="772" width="24.5703125" style="3005" customWidth="1"/>
    <col min="773" max="773" width="26.42578125" style="3005" customWidth="1"/>
    <col min="774" max="774" width="22.7109375" style="3005" customWidth="1"/>
    <col min="775" max="775" width="15.85546875" style="3005" customWidth="1"/>
    <col min="776" max="776" width="14.85546875" style="3005" customWidth="1"/>
    <col min="777" max="778" width="22.7109375" style="3005" customWidth="1"/>
    <col min="779" max="779" width="17.7109375" style="3005" customWidth="1"/>
    <col min="780" max="780" width="10.85546875" style="3005" customWidth="1"/>
    <col min="781" max="781" width="11.140625" style="3005" customWidth="1"/>
    <col min="782" max="782" width="8.85546875" style="3005"/>
    <col min="783" max="783" width="27.5703125" style="3005" customWidth="1"/>
    <col min="784" max="1024" width="8.85546875" style="3005"/>
    <col min="1025" max="1025" width="4.5703125" style="3005" customWidth="1"/>
    <col min="1026" max="1026" width="81.28515625" style="3005" customWidth="1"/>
    <col min="1027" max="1027" width="38.42578125" style="3005" customWidth="1"/>
    <col min="1028" max="1028" width="24.5703125" style="3005" customWidth="1"/>
    <col min="1029" max="1029" width="26.42578125" style="3005" customWidth="1"/>
    <col min="1030" max="1030" width="22.7109375" style="3005" customWidth="1"/>
    <col min="1031" max="1031" width="15.85546875" style="3005" customWidth="1"/>
    <col min="1032" max="1032" width="14.85546875" style="3005" customWidth="1"/>
    <col min="1033" max="1034" width="22.7109375" style="3005" customWidth="1"/>
    <col min="1035" max="1035" width="17.7109375" style="3005" customWidth="1"/>
    <col min="1036" max="1036" width="10.85546875" style="3005" customWidth="1"/>
    <col min="1037" max="1037" width="11.140625" style="3005" customWidth="1"/>
    <col min="1038" max="1038" width="8.85546875" style="3005"/>
    <col min="1039" max="1039" width="27.5703125" style="3005" customWidth="1"/>
    <col min="1040" max="1280" width="8.85546875" style="3005"/>
    <col min="1281" max="1281" width="4.5703125" style="3005" customWidth="1"/>
    <col min="1282" max="1282" width="81.28515625" style="3005" customWidth="1"/>
    <col min="1283" max="1283" width="38.42578125" style="3005" customWidth="1"/>
    <col min="1284" max="1284" width="24.5703125" style="3005" customWidth="1"/>
    <col min="1285" max="1285" width="26.42578125" style="3005" customWidth="1"/>
    <col min="1286" max="1286" width="22.7109375" style="3005" customWidth="1"/>
    <col min="1287" max="1287" width="15.85546875" style="3005" customWidth="1"/>
    <col min="1288" max="1288" width="14.85546875" style="3005" customWidth="1"/>
    <col min="1289" max="1290" width="22.7109375" style="3005" customWidth="1"/>
    <col min="1291" max="1291" width="17.7109375" style="3005" customWidth="1"/>
    <col min="1292" max="1292" width="10.85546875" style="3005" customWidth="1"/>
    <col min="1293" max="1293" width="11.140625" style="3005" customWidth="1"/>
    <col min="1294" max="1294" width="8.85546875" style="3005"/>
    <col min="1295" max="1295" width="27.5703125" style="3005" customWidth="1"/>
    <col min="1296" max="1536" width="8.85546875" style="3005"/>
    <col min="1537" max="1537" width="4.5703125" style="3005" customWidth="1"/>
    <col min="1538" max="1538" width="81.28515625" style="3005" customWidth="1"/>
    <col min="1539" max="1539" width="38.42578125" style="3005" customWidth="1"/>
    <col min="1540" max="1540" width="24.5703125" style="3005" customWidth="1"/>
    <col min="1541" max="1541" width="26.42578125" style="3005" customWidth="1"/>
    <col min="1542" max="1542" width="22.7109375" style="3005" customWidth="1"/>
    <col min="1543" max="1543" width="15.85546875" style="3005" customWidth="1"/>
    <col min="1544" max="1544" width="14.85546875" style="3005" customWidth="1"/>
    <col min="1545" max="1546" width="22.7109375" style="3005" customWidth="1"/>
    <col min="1547" max="1547" width="17.7109375" style="3005" customWidth="1"/>
    <col min="1548" max="1548" width="10.85546875" style="3005" customWidth="1"/>
    <col min="1549" max="1549" width="11.140625" style="3005" customWidth="1"/>
    <col min="1550" max="1550" width="8.85546875" style="3005"/>
    <col min="1551" max="1551" width="27.5703125" style="3005" customWidth="1"/>
    <col min="1552" max="1792" width="8.85546875" style="3005"/>
    <col min="1793" max="1793" width="4.5703125" style="3005" customWidth="1"/>
    <col min="1794" max="1794" width="81.28515625" style="3005" customWidth="1"/>
    <col min="1795" max="1795" width="38.42578125" style="3005" customWidth="1"/>
    <col min="1796" max="1796" width="24.5703125" style="3005" customWidth="1"/>
    <col min="1797" max="1797" width="26.42578125" style="3005" customWidth="1"/>
    <col min="1798" max="1798" width="22.7109375" style="3005" customWidth="1"/>
    <col min="1799" max="1799" width="15.85546875" style="3005" customWidth="1"/>
    <col min="1800" max="1800" width="14.85546875" style="3005" customWidth="1"/>
    <col min="1801" max="1802" width="22.7109375" style="3005" customWidth="1"/>
    <col min="1803" max="1803" width="17.7109375" style="3005" customWidth="1"/>
    <col min="1804" max="1804" width="10.85546875" style="3005" customWidth="1"/>
    <col min="1805" max="1805" width="11.140625" style="3005" customWidth="1"/>
    <col min="1806" max="1806" width="8.85546875" style="3005"/>
    <col min="1807" max="1807" width="27.5703125" style="3005" customWidth="1"/>
    <col min="1808" max="2048" width="8.85546875" style="3005"/>
    <col min="2049" max="2049" width="4.5703125" style="3005" customWidth="1"/>
    <col min="2050" max="2050" width="81.28515625" style="3005" customWidth="1"/>
    <col min="2051" max="2051" width="38.42578125" style="3005" customWidth="1"/>
    <col min="2052" max="2052" width="24.5703125" style="3005" customWidth="1"/>
    <col min="2053" max="2053" width="26.42578125" style="3005" customWidth="1"/>
    <col min="2054" max="2054" width="22.7109375" style="3005" customWidth="1"/>
    <col min="2055" max="2055" width="15.85546875" style="3005" customWidth="1"/>
    <col min="2056" max="2056" width="14.85546875" style="3005" customWidth="1"/>
    <col min="2057" max="2058" width="22.7109375" style="3005" customWidth="1"/>
    <col min="2059" max="2059" width="17.7109375" style="3005" customWidth="1"/>
    <col min="2060" max="2060" width="10.85546875" style="3005" customWidth="1"/>
    <col min="2061" max="2061" width="11.140625" style="3005" customWidth="1"/>
    <col min="2062" max="2062" width="8.85546875" style="3005"/>
    <col min="2063" max="2063" width="27.5703125" style="3005" customWidth="1"/>
    <col min="2064" max="2304" width="8.85546875" style="3005"/>
    <col min="2305" max="2305" width="4.5703125" style="3005" customWidth="1"/>
    <col min="2306" max="2306" width="81.28515625" style="3005" customWidth="1"/>
    <col min="2307" max="2307" width="38.42578125" style="3005" customWidth="1"/>
    <col min="2308" max="2308" width="24.5703125" style="3005" customWidth="1"/>
    <col min="2309" max="2309" width="26.42578125" style="3005" customWidth="1"/>
    <col min="2310" max="2310" width="22.7109375" style="3005" customWidth="1"/>
    <col min="2311" max="2311" width="15.85546875" style="3005" customWidth="1"/>
    <col min="2312" max="2312" width="14.85546875" style="3005" customWidth="1"/>
    <col min="2313" max="2314" width="22.7109375" style="3005" customWidth="1"/>
    <col min="2315" max="2315" width="17.7109375" style="3005" customWidth="1"/>
    <col min="2316" max="2316" width="10.85546875" style="3005" customWidth="1"/>
    <col min="2317" max="2317" width="11.140625" style="3005" customWidth="1"/>
    <col min="2318" max="2318" width="8.85546875" style="3005"/>
    <col min="2319" max="2319" width="27.5703125" style="3005" customWidth="1"/>
    <col min="2320" max="2560" width="8.85546875" style="3005"/>
    <col min="2561" max="2561" width="4.5703125" style="3005" customWidth="1"/>
    <col min="2562" max="2562" width="81.28515625" style="3005" customWidth="1"/>
    <col min="2563" max="2563" width="38.42578125" style="3005" customWidth="1"/>
    <col min="2564" max="2564" width="24.5703125" style="3005" customWidth="1"/>
    <col min="2565" max="2565" width="26.42578125" style="3005" customWidth="1"/>
    <col min="2566" max="2566" width="22.7109375" style="3005" customWidth="1"/>
    <col min="2567" max="2567" width="15.85546875" style="3005" customWidth="1"/>
    <col min="2568" max="2568" width="14.85546875" style="3005" customWidth="1"/>
    <col min="2569" max="2570" width="22.7109375" style="3005" customWidth="1"/>
    <col min="2571" max="2571" width="17.7109375" style="3005" customWidth="1"/>
    <col min="2572" max="2572" width="10.85546875" style="3005" customWidth="1"/>
    <col min="2573" max="2573" width="11.140625" style="3005" customWidth="1"/>
    <col min="2574" max="2574" width="8.85546875" style="3005"/>
    <col min="2575" max="2575" width="27.5703125" style="3005" customWidth="1"/>
    <col min="2576" max="2816" width="8.85546875" style="3005"/>
    <col min="2817" max="2817" width="4.5703125" style="3005" customWidth="1"/>
    <col min="2818" max="2818" width="81.28515625" style="3005" customWidth="1"/>
    <col min="2819" max="2819" width="38.42578125" style="3005" customWidth="1"/>
    <col min="2820" max="2820" width="24.5703125" style="3005" customWidth="1"/>
    <col min="2821" max="2821" width="26.42578125" style="3005" customWidth="1"/>
    <col min="2822" max="2822" width="22.7109375" style="3005" customWidth="1"/>
    <col min="2823" max="2823" width="15.85546875" style="3005" customWidth="1"/>
    <col min="2824" max="2824" width="14.85546875" style="3005" customWidth="1"/>
    <col min="2825" max="2826" width="22.7109375" style="3005" customWidth="1"/>
    <col min="2827" max="2827" width="17.7109375" style="3005" customWidth="1"/>
    <col min="2828" max="2828" width="10.85546875" style="3005" customWidth="1"/>
    <col min="2829" max="2829" width="11.140625" style="3005" customWidth="1"/>
    <col min="2830" max="2830" width="8.85546875" style="3005"/>
    <col min="2831" max="2831" width="27.5703125" style="3005" customWidth="1"/>
    <col min="2832" max="3072" width="8.85546875" style="3005"/>
    <col min="3073" max="3073" width="4.5703125" style="3005" customWidth="1"/>
    <col min="3074" max="3074" width="81.28515625" style="3005" customWidth="1"/>
    <col min="3075" max="3075" width="38.42578125" style="3005" customWidth="1"/>
    <col min="3076" max="3076" width="24.5703125" style="3005" customWidth="1"/>
    <col min="3077" max="3077" width="26.42578125" style="3005" customWidth="1"/>
    <col min="3078" max="3078" width="22.7109375" style="3005" customWidth="1"/>
    <col min="3079" max="3079" width="15.85546875" style="3005" customWidth="1"/>
    <col min="3080" max="3080" width="14.85546875" style="3005" customWidth="1"/>
    <col min="3081" max="3082" width="22.7109375" style="3005" customWidth="1"/>
    <col min="3083" max="3083" width="17.7109375" style="3005" customWidth="1"/>
    <col min="3084" max="3084" width="10.85546875" style="3005" customWidth="1"/>
    <col min="3085" max="3085" width="11.140625" style="3005" customWidth="1"/>
    <col min="3086" max="3086" width="8.85546875" style="3005"/>
    <col min="3087" max="3087" width="27.5703125" style="3005" customWidth="1"/>
    <col min="3088" max="3328" width="8.85546875" style="3005"/>
    <col min="3329" max="3329" width="4.5703125" style="3005" customWidth="1"/>
    <col min="3330" max="3330" width="81.28515625" style="3005" customWidth="1"/>
    <col min="3331" max="3331" width="38.42578125" style="3005" customWidth="1"/>
    <col min="3332" max="3332" width="24.5703125" style="3005" customWidth="1"/>
    <col min="3333" max="3333" width="26.42578125" style="3005" customWidth="1"/>
    <col min="3334" max="3334" width="22.7109375" style="3005" customWidth="1"/>
    <col min="3335" max="3335" width="15.85546875" style="3005" customWidth="1"/>
    <col min="3336" max="3336" width="14.85546875" style="3005" customWidth="1"/>
    <col min="3337" max="3338" width="22.7109375" style="3005" customWidth="1"/>
    <col min="3339" max="3339" width="17.7109375" style="3005" customWidth="1"/>
    <col min="3340" max="3340" width="10.85546875" style="3005" customWidth="1"/>
    <col min="3341" max="3341" width="11.140625" style="3005" customWidth="1"/>
    <col min="3342" max="3342" width="8.85546875" style="3005"/>
    <col min="3343" max="3343" width="27.5703125" style="3005" customWidth="1"/>
    <col min="3344" max="3584" width="8.85546875" style="3005"/>
    <col min="3585" max="3585" width="4.5703125" style="3005" customWidth="1"/>
    <col min="3586" max="3586" width="81.28515625" style="3005" customWidth="1"/>
    <col min="3587" max="3587" width="38.42578125" style="3005" customWidth="1"/>
    <col min="3588" max="3588" width="24.5703125" style="3005" customWidth="1"/>
    <col min="3589" max="3589" width="26.42578125" style="3005" customWidth="1"/>
    <col min="3590" max="3590" width="22.7109375" style="3005" customWidth="1"/>
    <col min="3591" max="3591" width="15.85546875" style="3005" customWidth="1"/>
    <col min="3592" max="3592" width="14.85546875" style="3005" customWidth="1"/>
    <col min="3593" max="3594" width="22.7109375" style="3005" customWidth="1"/>
    <col min="3595" max="3595" width="17.7109375" style="3005" customWidth="1"/>
    <col min="3596" max="3596" width="10.85546875" style="3005" customWidth="1"/>
    <col min="3597" max="3597" width="11.140625" style="3005" customWidth="1"/>
    <col min="3598" max="3598" width="8.85546875" style="3005"/>
    <col min="3599" max="3599" width="27.5703125" style="3005" customWidth="1"/>
    <col min="3600" max="3840" width="8.85546875" style="3005"/>
    <col min="3841" max="3841" width="4.5703125" style="3005" customWidth="1"/>
    <col min="3842" max="3842" width="81.28515625" style="3005" customWidth="1"/>
    <col min="3843" max="3843" width="38.42578125" style="3005" customWidth="1"/>
    <col min="3844" max="3844" width="24.5703125" style="3005" customWidth="1"/>
    <col min="3845" max="3845" width="26.42578125" style="3005" customWidth="1"/>
    <col min="3846" max="3846" width="22.7109375" style="3005" customWidth="1"/>
    <col min="3847" max="3847" width="15.85546875" style="3005" customWidth="1"/>
    <col min="3848" max="3848" width="14.85546875" style="3005" customWidth="1"/>
    <col min="3849" max="3850" width="22.7109375" style="3005" customWidth="1"/>
    <col min="3851" max="3851" width="17.7109375" style="3005" customWidth="1"/>
    <col min="3852" max="3852" width="10.85546875" style="3005" customWidth="1"/>
    <col min="3853" max="3853" width="11.140625" style="3005" customWidth="1"/>
    <col min="3854" max="3854" width="8.85546875" style="3005"/>
    <col min="3855" max="3855" width="27.5703125" style="3005" customWidth="1"/>
    <col min="3856" max="4096" width="8.85546875" style="3005"/>
    <col min="4097" max="4097" width="4.5703125" style="3005" customWidth="1"/>
    <col min="4098" max="4098" width="81.28515625" style="3005" customWidth="1"/>
    <col min="4099" max="4099" width="38.42578125" style="3005" customWidth="1"/>
    <col min="4100" max="4100" width="24.5703125" style="3005" customWidth="1"/>
    <col min="4101" max="4101" width="26.42578125" style="3005" customWidth="1"/>
    <col min="4102" max="4102" width="22.7109375" style="3005" customWidth="1"/>
    <col min="4103" max="4103" width="15.85546875" style="3005" customWidth="1"/>
    <col min="4104" max="4104" width="14.85546875" style="3005" customWidth="1"/>
    <col min="4105" max="4106" width="22.7109375" style="3005" customWidth="1"/>
    <col min="4107" max="4107" width="17.7109375" style="3005" customWidth="1"/>
    <col min="4108" max="4108" width="10.85546875" style="3005" customWidth="1"/>
    <col min="4109" max="4109" width="11.140625" style="3005" customWidth="1"/>
    <col min="4110" max="4110" width="8.85546875" style="3005"/>
    <col min="4111" max="4111" width="27.5703125" style="3005" customWidth="1"/>
    <col min="4112" max="4352" width="8.85546875" style="3005"/>
    <col min="4353" max="4353" width="4.5703125" style="3005" customWidth="1"/>
    <col min="4354" max="4354" width="81.28515625" style="3005" customWidth="1"/>
    <col min="4355" max="4355" width="38.42578125" style="3005" customWidth="1"/>
    <col min="4356" max="4356" width="24.5703125" style="3005" customWidth="1"/>
    <col min="4357" max="4357" width="26.42578125" style="3005" customWidth="1"/>
    <col min="4358" max="4358" width="22.7109375" style="3005" customWidth="1"/>
    <col min="4359" max="4359" width="15.85546875" style="3005" customWidth="1"/>
    <col min="4360" max="4360" width="14.85546875" style="3005" customWidth="1"/>
    <col min="4361" max="4362" width="22.7109375" style="3005" customWidth="1"/>
    <col min="4363" max="4363" width="17.7109375" style="3005" customWidth="1"/>
    <col min="4364" max="4364" width="10.85546875" style="3005" customWidth="1"/>
    <col min="4365" max="4365" width="11.140625" style="3005" customWidth="1"/>
    <col min="4366" max="4366" width="8.85546875" style="3005"/>
    <col min="4367" max="4367" width="27.5703125" style="3005" customWidth="1"/>
    <col min="4368" max="4608" width="8.85546875" style="3005"/>
    <col min="4609" max="4609" width="4.5703125" style="3005" customWidth="1"/>
    <col min="4610" max="4610" width="81.28515625" style="3005" customWidth="1"/>
    <col min="4611" max="4611" width="38.42578125" style="3005" customWidth="1"/>
    <col min="4612" max="4612" width="24.5703125" style="3005" customWidth="1"/>
    <col min="4613" max="4613" width="26.42578125" style="3005" customWidth="1"/>
    <col min="4614" max="4614" width="22.7109375" style="3005" customWidth="1"/>
    <col min="4615" max="4615" width="15.85546875" style="3005" customWidth="1"/>
    <col min="4616" max="4616" width="14.85546875" style="3005" customWidth="1"/>
    <col min="4617" max="4618" width="22.7109375" style="3005" customWidth="1"/>
    <col min="4619" max="4619" width="17.7109375" style="3005" customWidth="1"/>
    <col min="4620" max="4620" width="10.85546875" style="3005" customWidth="1"/>
    <col min="4621" max="4621" width="11.140625" style="3005" customWidth="1"/>
    <col min="4622" max="4622" width="8.85546875" style="3005"/>
    <col min="4623" max="4623" width="27.5703125" style="3005" customWidth="1"/>
    <col min="4624" max="4864" width="8.85546875" style="3005"/>
    <col min="4865" max="4865" width="4.5703125" style="3005" customWidth="1"/>
    <col min="4866" max="4866" width="81.28515625" style="3005" customWidth="1"/>
    <col min="4867" max="4867" width="38.42578125" style="3005" customWidth="1"/>
    <col min="4868" max="4868" width="24.5703125" style="3005" customWidth="1"/>
    <col min="4869" max="4869" width="26.42578125" style="3005" customWidth="1"/>
    <col min="4870" max="4870" width="22.7109375" style="3005" customWidth="1"/>
    <col min="4871" max="4871" width="15.85546875" style="3005" customWidth="1"/>
    <col min="4872" max="4872" width="14.85546875" style="3005" customWidth="1"/>
    <col min="4873" max="4874" width="22.7109375" style="3005" customWidth="1"/>
    <col min="4875" max="4875" width="17.7109375" style="3005" customWidth="1"/>
    <col min="4876" max="4876" width="10.85546875" style="3005" customWidth="1"/>
    <col min="4877" max="4877" width="11.140625" style="3005" customWidth="1"/>
    <col min="4878" max="4878" width="8.85546875" style="3005"/>
    <col min="4879" max="4879" width="27.5703125" style="3005" customWidth="1"/>
    <col min="4880" max="5120" width="8.85546875" style="3005"/>
    <col min="5121" max="5121" width="4.5703125" style="3005" customWidth="1"/>
    <col min="5122" max="5122" width="81.28515625" style="3005" customWidth="1"/>
    <col min="5123" max="5123" width="38.42578125" style="3005" customWidth="1"/>
    <col min="5124" max="5124" width="24.5703125" style="3005" customWidth="1"/>
    <col min="5125" max="5125" width="26.42578125" style="3005" customWidth="1"/>
    <col min="5126" max="5126" width="22.7109375" style="3005" customWidth="1"/>
    <col min="5127" max="5127" width="15.85546875" style="3005" customWidth="1"/>
    <col min="5128" max="5128" width="14.85546875" style="3005" customWidth="1"/>
    <col min="5129" max="5130" width="22.7109375" style="3005" customWidth="1"/>
    <col min="5131" max="5131" width="17.7109375" style="3005" customWidth="1"/>
    <col min="5132" max="5132" width="10.85546875" style="3005" customWidth="1"/>
    <col min="5133" max="5133" width="11.140625" style="3005" customWidth="1"/>
    <col min="5134" max="5134" width="8.85546875" style="3005"/>
    <col min="5135" max="5135" width="27.5703125" style="3005" customWidth="1"/>
    <col min="5136" max="5376" width="8.85546875" style="3005"/>
    <col min="5377" max="5377" width="4.5703125" style="3005" customWidth="1"/>
    <col min="5378" max="5378" width="81.28515625" style="3005" customWidth="1"/>
    <col min="5379" max="5379" width="38.42578125" style="3005" customWidth="1"/>
    <col min="5380" max="5380" width="24.5703125" style="3005" customWidth="1"/>
    <col min="5381" max="5381" width="26.42578125" style="3005" customWidth="1"/>
    <col min="5382" max="5382" width="22.7109375" style="3005" customWidth="1"/>
    <col min="5383" max="5383" width="15.85546875" style="3005" customWidth="1"/>
    <col min="5384" max="5384" width="14.85546875" style="3005" customWidth="1"/>
    <col min="5385" max="5386" width="22.7109375" style="3005" customWidth="1"/>
    <col min="5387" max="5387" width="17.7109375" style="3005" customWidth="1"/>
    <col min="5388" max="5388" width="10.85546875" style="3005" customWidth="1"/>
    <col min="5389" max="5389" width="11.140625" style="3005" customWidth="1"/>
    <col min="5390" max="5390" width="8.85546875" style="3005"/>
    <col min="5391" max="5391" width="27.5703125" style="3005" customWidth="1"/>
    <col min="5392" max="5632" width="8.85546875" style="3005"/>
    <col min="5633" max="5633" width="4.5703125" style="3005" customWidth="1"/>
    <col min="5634" max="5634" width="81.28515625" style="3005" customWidth="1"/>
    <col min="5635" max="5635" width="38.42578125" style="3005" customWidth="1"/>
    <col min="5636" max="5636" width="24.5703125" style="3005" customWidth="1"/>
    <col min="5637" max="5637" width="26.42578125" style="3005" customWidth="1"/>
    <col min="5638" max="5638" width="22.7109375" style="3005" customWidth="1"/>
    <col min="5639" max="5639" width="15.85546875" style="3005" customWidth="1"/>
    <col min="5640" max="5640" width="14.85546875" style="3005" customWidth="1"/>
    <col min="5641" max="5642" width="22.7109375" style="3005" customWidth="1"/>
    <col min="5643" max="5643" width="17.7109375" style="3005" customWidth="1"/>
    <col min="5644" max="5644" width="10.85546875" style="3005" customWidth="1"/>
    <col min="5645" max="5645" width="11.140625" style="3005" customWidth="1"/>
    <col min="5646" max="5646" width="8.85546875" style="3005"/>
    <col min="5647" max="5647" width="27.5703125" style="3005" customWidth="1"/>
    <col min="5648" max="5888" width="8.85546875" style="3005"/>
    <col min="5889" max="5889" width="4.5703125" style="3005" customWidth="1"/>
    <col min="5890" max="5890" width="81.28515625" style="3005" customWidth="1"/>
    <col min="5891" max="5891" width="38.42578125" style="3005" customWidth="1"/>
    <col min="5892" max="5892" width="24.5703125" style="3005" customWidth="1"/>
    <col min="5893" max="5893" width="26.42578125" style="3005" customWidth="1"/>
    <col min="5894" max="5894" width="22.7109375" style="3005" customWidth="1"/>
    <col min="5895" max="5895" width="15.85546875" style="3005" customWidth="1"/>
    <col min="5896" max="5896" width="14.85546875" style="3005" customWidth="1"/>
    <col min="5897" max="5898" width="22.7109375" style="3005" customWidth="1"/>
    <col min="5899" max="5899" width="17.7109375" style="3005" customWidth="1"/>
    <col min="5900" max="5900" width="10.85546875" style="3005" customWidth="1"/>
    <col min="5901" max="5901" width="11.140625" style="3005" customWidth="1"/>
    <col min="5902" max="5902" width="8.85546875" style="3005"/>
    <col min="5903" max="5903" width="27.5703125" style="3005" customWidth="1"/>
    <col min="5904" max="6144" width="8.85546875" style="3005"/>
    <col min="6145" max="6145" width="4.5703125" style="3005" customWidth="1"/>
    <col min="6146" max="6146" width="81.28515625" style="3005" customWidth="1"/>
    <col min="6147" max="6147" width="38.42578125" style="3005" customWidth="1"/>
    <col min="6148" max="6148" width="24.5703125" style="3005" customWidth="1"/>
    <col min="6149" max="6149" width="26.42578125" style="3005" customWidth="1"/>
    <col min="6150" max="6150" width="22.7109375" style="3005" customWidth="1"/>
    <col min="6151" max="6151" width="15.85546875" style="3005" customWidth="1"/>
    <col min="6152" max="6152" width="14.85546875" style="3005" customWidth="1"/>
    <col min="6153" max="6154" width="22.7109375" style="3005" customWidth="1"/>
    <col min="6155" max="6155" width="17.7109375" style="3005" customWidth="1"/>
    <col min="6156" max="6156" width="10.85546875" style="3005" customWidth="1"/>
    <col min="6157" max="6157" width="11.140625" style="3005" customWidth="1"/>
    <col min="6158" max="6158" width="8.85546875" style="3005"/>
    <col min="6159" max="6159" width="27.5703125" style="3005" customWidth="1"/>
    <col min="6160" max="6400" width="8.85546875" style="3005"/>
    <col min="6401" max="6401" width="4.5703125" style="3005" customWidth="1"/>
    <col min="6402" max="6402" width="81.28515625" style="3005" customWidth="1"/>
    <col min="6403" max="6403" width="38.42578125" style="3005" customWidth="1"/>
    <col min="6404" max="6404" width="24.5703125" style="3005" customWidth="1"/>
    <col min="6405" max="6405" width="26.42578125" style="3005" customWidth="1"/>
    <col min="6406" max="6406" width="22.7109375" style="3005" customWidth="1"/>
    <col min="6407" max="6407" width="15.85546875" style="3005" customWidth="1"/>
    <col min="6408" max="6408" width="14.85546875" style="3005" customWidth="1"/>
    <col min="6409" max="6410" width="22.7109375" style="3005" customWidth="1"/>
    <col min="6411" max="6411" width="17.7109375" style="3005" customWidth="1"/>
    <col min="6412" max="6412" width="10.85546875" style="3005" customWidth="1"/>
    <col min="6413" max="6413" width="11.140625" style="3005" customWidth="1"/>
    <col min="6414" max="6414" width="8.85546875" style="3005"/>
    <col min="6415" max="6415" width="27.5703125" style="3005" customWidth="1"/>
    <col min="6416" max="6656" width="8.85546875" style="3005"/>
    <col min="6657" max="6657" width="4.5703125" style="3005" customWidth="1"/>
    <col min="6658" max="6658" width="81.28515625" style="3005" customWidth="1"/>
    <col min="6659" max="6659" width="38.42578125" style="3005" customWidth="1"/>
    <col min="6660" max="6660" width="24.5703125" style="3005" customWidth="1"/>
    <col min="6661" max="6661" width="26.42578125" style="3005" customWidth="1"/>
    <col min="6662" max="6662" width="22.7109375" style="3005" customWidth="1"/>
    <col min="6663" max="6663" width="15.85546875" style="3005" customWidth="1"/>
    <col min="6664" max="6664" width="14.85546875" style="3005" customWidth="1"/>
    <col min="6665" max="6666" width="22.7109375" style="3005" customWidth="1"/>
    <col min="6667" max="6667" width="17.7109375" style="3005" customWidth="1"/>
    <col min="6668" max="6668" width="10.85546875" style="3005" customWidth="1"/>
    <col min="6669" max="6669" width="11.140625" style="3005" customWidth="1"/>
    <col min="6670" max="6670" width="8.85546875" style="3005"/>
    <col min="6671" max="6671" width="27.5703125" style="3005" customWidth="1"/>
    <col min="6672" max="6912" width="8.85546875" style="3005"/>
    <col min="6913" max="6913" width="4.5703125" style="3005" customWidth="1"/>
    <col min="6914" max="6914" width="81.28515625" style="3005" customWidth="1"/>
    <col min="6915" max="6915" width="38.42578125" style="3005" customWidth="1"/>
    <col min="6916" max="6916" width="24.5703125" style="3005" customWidth="1"/>
    <col min="6917" max="6917" width="26.42578125" style="3005" customWidth="1"/>
    <col min="6918" max="6918" width="22.7109375" style="3005" customWidth="1"/>
    <col min="6919" max="6919" width="15.85546875" style="3005" customWidth="1"/>
    <col min="6920" max="6920" width="14.85546875" style="3005" customWidth="1"/>
    <col min="6921" max="6922" width="22.7109375" style="3005" customWidth="1"/>
    <col min="6923" max="6923" width="17.7109375" style="3005" customWidth="1"/>
    <col min="6924" max="6924" width="10.85546875" style="3005" customWidth="1"/>
    <col min="6925" max="6925" width="11.140625" style="3005" customWidth="1"/>
    <col min="6926" max="6926" width="8.85546875" style="3005"/>
    <col min="6927" max="6927" width="27.5703125" style="3005" customWidth="1"/>
    <col min="6928" max="7168" width="8.85546875" style="3005"/>
    <col min="7169" max="7169" width="4.5703125" style="3005" customWidth="1"/>
    <col min="7170" max="7170" width="81.28515625" style="3005" customWidth="1"/>
    <col min="7171" max="7171" width="38.42578125" style="3005" customWidth="1"/>
    <col min="7172" max="7172" width="24.5703125" style="3005" customWidth="1"/>
    <col min="7173" max="7173" width="26.42578125" style="3005" customWidth="1"/>
    <col min="7174" max="7174" width="22.7109375" style="3005" customWidth="1"/>
    <col min="7175" max="7175" width="15.85546875" style="3005" customWidth="1"/>
    <col min="7176" max="7176" width="14.85546875" style="3005" customWidth="1"/>
    <col min="7177" max="7178" width="22.7109375" style="3005" customWidth="1"/>
    <col min="7179" max="7179" width="17.7109375" style="3005" customWidth="1"/>
    <col min="7180" max="7180" width="10.85546875" style="3005" customWidth="1"/>
    <col min="7181" max="7181" width="11.140625" style="3005" customWidth="1"/>
    <col min="7182" max="7182" width="8.85546875" style="3005"/>
    <col min="7183" max="7183" width="27.5703125" style="3005" customWidth="1"/>
    <col min="7184" max="7424" width="8.85546875" style="3005"/>
    <col min="7425" max="7425" width="4.5703125" style="3005" customWidth="1"/>
    <col min="7426" max="7426" width="81.28515625" style="3005" customWidth="1"/>
    <col min="7427" max="7427" width="38.42578125" style="3005" customWidth="1"/>
    <col min="7428" max="7428" width="24.5703125" style="3005" customWidth="1"/>
    <col min="7429" max="7429" width="26.42578125" style="3005" customWidth="1"/>
    <col min="7430" max="7430" width="22.7109375" style="3005" customWidth="1"/>
    <col min="7431" max="7431" width="15.85546875" style="3005" customWidth="1"/>
    <col min="7432" max="7432" width="14.85546875" style="3005" customWidth="1"/>
    <col min="7433" max="7434" width="22.7109375" style="3005" customWidth="1"/>
    <col min="7435" max="7435" width="17.7109375" style="3005" customWidth="1"/>
    <col min="7436" max="7436" width="10.85546875" style="3005" customWidth="1"/>
    <col min="7437" max="7437" width="11.140625" style="3005" customWidth="1"/>
    <col min="7438" max="7438" width="8.85546875" style="3005"/>
    <col min="7439" max="7439" width="27.5703125" style="3005" customWidth="1"/>
    <col min="7440" max="7680" width="8.85546875" style="3005"/>
    <col min="7681" max="7681" width="4.5703125" style="3005" customWidth="1"/>
    <col min="7682" max="7682" width="81.28515625" style="3005" customWidth="1"/>
    <col min="7683" max="7683" width="38.42578125" style="3005" customWidth="1"/>
    <col min="7684" max="7684" width="24.5703125" style="3005" customWidth="1"/>
    <col min="7685" max="7685" width="26.42578125" style="3005" customWidth="1"/>
    <col min="7686" max="7686" width="22.7109375" style="3005" customWidth="1"/>
    <col min="7687" max="7687" width="15.85546875" style="3005" customWidth="1"/>
    <col min="7688" max="7688" width="14.85546875" style="3005" customWidth="1"/>
    <col min="7689" max="7690" width="22.7109375" style="3005" customWidth="1"/>
    <col min="7691" max="7691" width="17.7109375" style="3005" customWidth="1"/>
    <col min="7692" max="7692" width="10.85546875" style="3005" customWidth="1"/>
    <col min="7693" max="7693" width="11.140625" style="3005" customWidth="1"/>
    <col min="7694" max="7694" width="8.85546875" style="3005"/>
    <col min="7695" max="7695" width="27.5703125" style="3005" customWidth="1"/>
    <col min="7696" max="7936" width="8.85546875" style="3005"/>
    <col min="7937" max="7937" width="4.5703125" style="3005" customWidth="1"/>
    <col min="7938" max="7938" width="81.28515625" style="3005" customWidth="1"/>
    <col min="7939" max="7939" width="38.42578125" style="3005" customWidth="1"/>
    <col min="7940" max="7940" width="24.5703125" style="3005" customWidth="1"/>
    <col min="7941" max="7941" width="26.42578125" style="3005" customWidth="1"/>
    <col min="7942" max="7942" width="22.7109375" style="3005" customWidth="1"/>
    <col min="7943" max="7943" width="15.85546875" style="3005" customWidth="1"/>
    <col min="7944" max="7944" width="14.85546875" style="3005" customWidth="1"/>
    <col min="7945" max="7946" width="22.7109375" style="3005" customWidth="1"/>
    <col min="7947" max="7947" width="17.7109375" style="3005" customWidth="1"/>
    <col min="7948" max="7948" width="10.85546875" style="3005" customWidth="1"/>
    <col min="7949" max="7949" width="11.140625" style="3005" customWidth="1"/>
    <col min="7950" max="7950" width="8.85546875" style="3005"/>
    <col min="7951" max="7951" width="27.5703125" style="3005" customWidth="1"/>
    <col min="7952" max="8192" width="8.85546875" style="3005"/>
    <col min="8193" max="8193" width="4.5703125" style="3005" customWidth="1"/>
    <col min="8194" max="8194" width="81.28515625" style="3005" customWidth="1"/>
    <col min="8195" max="8195" width="38.42578125" style="3005" customWidth="1"/>
    <col min="8196" max="8196" width="24.5703125" style="3005" customWidth="1"/>
    <col min="8197" max="8197" width="26.42578125" style="3005" customWidth="1"/>
    <col min="8198" max="8198" width="22.7109375" style="3005" customWidth="1"/>
    <col min="8199" max="8199" width="15.85546875" style="3005" customWidth="1"/>
    <col min="8200" max="8200" width="14.85546875" style="3005" customWidth="1"/>
    <col min="8201" max="8202" width="22.7109375" style="3005" customWidth="1"/>
    <col min="8203" max="8203" width="17.7109375" style="3005" customWidth="1"/>
    <col min="8204" max="8204" width="10.85546875" style="3005" customWidth="1"/>
    <col min="8205" max="8205" width="11.140625" style="3005" customWidth="1"/>
    <col min="8206" max="8206" width="8.85546875" style="3005"/>
    <col min="8207" max="8207" width="27.5703125" style="3005" customWidth="1"/>
    <col min="8208" max="8448" width="8.85546875" style="3005"/>
    <col min="8449" max="8449" width="4.5703125" style="3005" customWidth="1"/>
    <col min="8450" max="8450" width="81.28515625" style="3005" customWidth="1"/>
    <col min="8451" max="8451" width="38.42578125" style="3005" customWidth="1"/>
    <col min="8452" max="8452" width="24.5703125" style="3005" customWidth="1"/>
    <col min="8453" max="8453" width="26.42578125" style="3005" customWidth="1"/>
    <col min="8454" max="8454" width="22.7109375" style="3005" customWidth="1"/>
    <col min="8455" max="8455" width="15.85546875" style="3005" customWidth="1"/>
    <col min="8456" max="8456" width="14.85546875" style="3005" customWidth="1"/>
    <col min="8457" max="8458" width="22.7109375" style="3005" customWidth="1"/>
    <col min="8459" max="8459" width="17.7109375" style="3005" customWidth="1"/>
    <col min="8460" max="8460" width="10.85546875" style="3005" customWidth="1"/>
    <col min="8461" max="8461" width="11.140625" style="3005" customWidth="1"/>
    <col min="8462" max="8462" width="8.85546875" style="3005"/>
    <col min="8463" max="8463" width="27.5703125" style="3005" customWidth="1"/>
    <col min="8464" max="8704" width="8.85546875" style="3005"/>
    <col min="8705" max="8705" width="4.5703125" style="3005" customWidth="1"/>
    <col min="8706" max="8706" width="81.28515625" style="3005" customWidth="1"/>
    <col min="8707" max="8707" width="38.42578125" style="3005" customWidth="1"/>
    <col min="8708" max="8708" width="24.5703125" style="3005" customWidth="1"/>
    <col min="8709" max="8709" width="26.42578125" style="3005" customWidth="1"/>
    <col min="8710" max="8710" width="22.7109375" style="3005" customWidth="1"/>
    <col min="8711" max="8711" width="15.85546875" style="3005" customWidth="1"/>
    <col min="8712" max="8712" width="14.85546875" style="3005" customWidth="1"/>
    <col min="8713" max="8714" width="22.7109375" style="3005" customWidth="1"/>
    <col min="8715" max="8715" width="17.7109375" style="3005" customWidth="1"/>
    <col min="8716" max="8716" width="10.85546875" style="3005" customWidth="1"/>
    <col min="8717" max="8717" width="11.140625" style="3005" customWidth="1"/>
    <col min="8718" max="8718" width="8.85546875" style="3005"/>
    <col min="8719" max="8719" width="27.5703125" style="3005" customWidth="1"/>
    <col min="8720" max="8960" width="8.85546875" style="3005"/>
    <col min="8961" max="8961" width="4.5703125" style="3005" customWidth="1"/>
    <col min="8962" max="8962" width="81.28515625" style="3005" customWidth="1"/>
    <col min="8963" max="8963" width="38.42578125" style="3005" customWidth="1"/>
    <col min="8964" max="8964" width="24.5703125" style="3005" customWidth="1"/>
    <col min="8965" max="8965" width="26.42578125" style="3005" customWidth="1"/>
    <col min="8966" max="8966" width="22.7109375" style="3005" customWidth="1"/>
    <col min="8967" max="8967" width="15.85546875" style="3005" customWidth="1"/>
    <col min="8968" max="8968" width="14.85546875" style="3005" customWidth="1"/>
    <col min="8969" max="8970" width="22.7109375" style="3005" customWidth="1"/>
    <col min="8971" max="8971" width="17.7109375" style="3005" customWidth="1"/>
    <col min="8972" max="8972" width="10.85546875" style="3005" customWidth="1"/>
    <col min="8973" max="8973" width="11.140625" style="3005" customWidth="1"/>
    <col min="8974" max="8974" width="8.85546875" style="3005"/>
    <col min="8975" max="8975" width="27.5703125" style="3005" customWidth="1"/>
    <col min="8976" max="9216" width="8.85546875" style="3005"/>
    <col min="9217" max="9217" width="4.5703125" style="3005" customWidth="1"/>
    <col min="9218" max="9218" width="81.28515625" style="3005" customWidth="1"/>
    <col min="9219" max="9219" width="38.42578125" style="3005" customWidth="1"/>
    <col min="9220" max="9220" width="24.5703125" style="3005" customWidth="1"/>
    <col min="9221" max="9221" width="26.42578125" style="3005" customWidth="1"/>
    <col min="9222" max="9222" width="22.7109375" style="3005" customWidth="1"/>
    <col min="9223" max="9223" width="15.85546875" style="3005" customWidth="1"/>
    <col min="9224" max="9224" width="14.85546875" style="3005" customWidth="1"/>
    <col min="9225" max="9226" width="22.7109375" style="3005" customWidth="1"/>
    <col min="9227" max="9227" width="17.7109375" style="3005" customWidth="1"/>
    <col min="9228" max="9228" width="10.85546875" style="3005" customWidth="1"/>
    <col min="9229" max="9229" width="11.140625" style="3005" customWidth="1"/>
    <col min="9230" max="9230" width="8.85546875" style="3005"/>
    <col min="9231" max="9231" width="27.5703125" style="3005" customWidth="1"/>
    <col min="9232" max="9472" width="8.85546875" style="3005"/>
    <col min="9473" max="9473" width="4.5703125" style="3005" customWidth="1"/>
    <col min="9474" max="9474" width="81.28515625" style="3005" customWidth="1"/>
    <col min="9475" max="9475" width="38.42578125" style="3005" customWidth="1"/>
    <col min="9476" max="9476" width="24.5703125" style="3005" customWidth="1"/>
    <col min="9477" max="9477" width="26.42578125" style="3005" customWidth="1"/>
    <col min="9478" max="9478" width="22.7109375" style="3005" customWidth="1"/>
    <col min="9479" max="9479" width="15.85546875" style="3005" customWidth="1"/>
    <col min="9480" max="9480" width="14.85546875" style="3005" customWidth="1"/>
    <col min="9481" max="9482" width="22.7109375" style="3005" customWidth="1"/>
    <col min="9483" max="9483" width="17.7109375" style="3005" customWidth="1"/>
    <col min="9484" max="9484" width="10.85546875" style="3005" customWidth="1"/>
    <col min="9485" max="9485" width="11.140625" style="3005" customWidth="1"/>
    <col min="9486" max="9486" width="8.85546875" style="3005"/>
    <col min="9487" max="9487" width="27.5703125" style="3005" customWidth="1"/>
    <col min="9488" max="9728" width="8.85546875" style="3005"/>
    <col min="9729" max="9729" width="4.5703125" style="3005" customWidth="1"/>
    <col min="9730" max="9730" width="81.28515625" style="3005" customWidth="1"/>
    <col min="9731" max="9731" width="38.42578125" style="3005" customWidth="1"/>
    <col min="9732" max="9732" width="24.5703125" style="3005" customWidth="1"/>
    <col min="9733" max="9733" width="26.42578125" style="3005" customWidth="1"/>
    <col min="9734" max="9734" width="22.7109375" style="3005" customWidth="1"/>
    <col min="9735" max="9735" width="15.85546875" style="3005" customWidth="1"/>
    <col min="9736" max="9736" width="14.85546875" style="3005" customWidth="1"/>
    <col min="9737" max="9738" width="22.7109375" style="3005" customWidth="1"/>
    <col min="9739" max="9739" width="17.7109375" style="3005" customWidth="1"/>
    <col min="9740" max="9740" width="10.85546875" style="3005" customWidth="1"/>
    <col min="9741" max="9741" width="11.140625" style="3005" customWidth="1"/>
    <col min="9742" max="9742" width="8.85546875" style="3005"/>
    <col min="9743" max="9743" width="27.5703125" style="3005" customWidth="1"/>
    <col min="9744" max="9984" width="8.85546875" style="3005"/>
    <col min="9985" max="9985" width="4.5703125" style="3005" customWidth="1"/>
    <col min="9986" max="9986" width="81.28515625" style="3005" customWidth="1"/>
    <col min="9987" max="9987" width="38.42578125" style="3005" customWidth="1"/>
    <col min="9988" max="9988" width="24.5703125" style="3005" customWidth="1"/>
    <col min="9989" max="9989" width="26.42578125" style="3005" customWidth="1"/>
    <col min="9990" max="9990" width="22.7109375" style="3005" customWidth="1"/>
    <col min="9991" max="9991" width="15.85546875" style="3005" customWidth="1"/>
    <col min="9992" max="9992" width="14.85546875" style="3005" customWidth="1"/>
    <col min="9993" max="9994" width="22.7109375" style="3005" customWidth="1"/>
    <col min="9995" max="9995" width="17.7109375" style="3005" customWidth="1"/>
    <col min="9996" max="9996" width="10.85546875" style="3005" customWidth="1"/>
    <col min="9997" max="9997" width="11.140625" style="3005" customWidth="1"/>
    <col min="9998" max="9998" width="8.85546875" style="3005"/>
    <col min="9999" max="9999" width="27.5703125" style="3005" customWidth="1"/>
    <col min="10000" max="10240" width="8.85546875" style="3005"/>
    <col min="10241" max="10241" width="4.5703125" style="3005" customWidth="1"/>
    <col min="10242" max="10242" width="81.28515625" style="3005" customWidth="1"/>
    <col min="10243" max="10243" width="38.42578125" style="3005" customWidth="1"/>
    <col min="10244" max="10244" width="24.5703125" style="3005" customWidth="1"/>
    <col min="10245" max="10245" width="26.42578125" style="3005" customWidth="1"/>
    <col min="10246" max="10246" width="22.7109375" style="3005" customWidth="1"/>
    <col min="10247" max="10247" width="15.85546875" style="3005" customWidth="1"/>
    <col min="10248" max="10248" width="14.85546875" style="3005" customWidth="1"/>
    <col min="10249" max="10250" width="22.7109375" style="3005" customWidth="1"/>
    <col min="10251" max="10251" width="17.7109375" style="3005" customWidth="1"/>
    <col min="10252" max="10252" width="10.85546875" style="3005" customWidth="1"/>
    <col min="10253" max="10253" width="11.140625" style="3005" customWidth="1"/>
    <col min="10254" max="10254" width="8.85546875" style="3005"/>
    <col min="10255" max="10255" width="27.5703125" style="3005" customWidth="1"/>
    <col min="10256" max="10496" width="8.85546875" style="3005"/>
    <col min="10497" max="10497" width="4.5703125" style="3005" customWidth="1"/>
    <col min="10498" max="10498" width="81.28515625" style="3005" customWidth="1"/>
    <col min="10499" max="10499" width="38.42578125" style="3005" customWidth="1"/>
    <col min="10500" max="10500" width="24.5703125" style="3005" customWidth="1"/>
    <col min="10501" max="10501" width="26.42578125" style="3005" customWidth="1"/>
    <col min="10502" max="10502" width="22.7109375" style="3005" customWidth="1"/>
    <col min="10503" max="10503" width="15.85546875" style="3005" customWidth="1"/>
    <col min="10504" max="10504" width="14.85546875" style="3005" customWidth="1"/>
    <col min="10505" max="10506" width="22.7109375" style="3005" customWidth="1"/>
    <col min="10507" max="10507" width="17.7109375" style="3005" customWidth="1"/>
    <col min="10508" max="10508" width="10.85546875" style="3005" customWidth="1"/>
    <col min="10509" max="10509" width="11.140625" style="3005" customWidth="1"/>
    <col min="10510" max="10510" width="8.85546875" style="3005"/>
    <col min="10511" max="10511" width="27.5703125" style="3005" customWidth="1"/>
    <col min="10512" max="10752" width="8.85546875" style="3005"/>
    <col min="10753" max="10753" width="4.5703125" style="3005" customWidth="1"/>
    <col min="10754" max="10754" width="81.28515625" style="3005" customWidth="1"/>
    <col min="10755" max="10755" width="38.42578125" style="3005" customWidth="1"/>
    <col min="10756" max="10756" width="24.5703125" style="3005" customWidth="1"/>
    <col min="10757" max="10757" width="26.42578125" style="3005" customWidth="1"/>
    <col min="10758" max="10758" width="22.7109375" style="3005" customWidth="1"/>
    <col min="10759" max="10759" width="15.85546875" style="3005" customWidth="1"/>
    <col min="10760" max="10760" width="14.85546875" style="3005" customWidth="1"/>
    <col min="10761" max="10762" width="22.7109375" style="3005" customWidth="1"/>
    <col min="10763" max="10763" width="17.7109375" style="3005" customWidth="1"/>
    <col min="10764" max="10764" width="10.85546875" style="3005" customWidth="1"/>
    <col min="10765" max="10765" width="11.140625" style="3005" customWidth="1"/>
    <col min="10766" max="10766" width="8.85546875" style="3005"/>
    <col min="10767" max="10767" width="27.5703125" style="3005" customWidth="1"/>
    <col min="10768" max="11008" width="8.85546875" style="3005"/>
    <col min="11009" max="11009" width="4.5703125" style="3005" customWidth="1"/>
    <col min="11010" max="11010" width="81.28515625" style="3005" customWidth="1"/>
    <col min="11011" max="11011" width="38.42578125" style="3005" customWidth="1"/>
    <col min="11012" max="11012" width="24.5703125" style="3005" customWidth="1"/>
    <col min="11013" max="11013" width="26.42578125" style="3005" customWidth="1"/>
    <col min="11014" max="11014" width="22.7109375" style="3005" customWidth="1"/>
    <col min="11015" max="11015" width="15.85546875" style="3005" customWidth="1"/>
    <col min="11016" max="11016" width="14.85546875" style="3005" customWidth="1"/>
    <col min="11017" max="11018" width="22.7109375" style="3005" customWidth="1"/>
    <col min="11019" max="11019" width="17.7109375" style="3005" customWidth="1"/>
    <col min="11020" max="11020" width="10.85546875" style="3005" customWidth="1"/>
    <col min="11021" max="11021" width="11.140625" style="3005" customWidth="1"/>
    <col min="11022" max="11022" width="8.85546875" style="3005"/>
    <col min="11023" max="11023" width="27.5703125" style="3005" customWidth="1"/>
    <col min="11024" max="11264" width="8.85546875" style="3005"/>
    <col min="11265" max="11265" width="4.5703125" style="3005" customWidth="1"/>
    <col min="11266" max="11266" width="81.28515625" style="3005" customWidth="1"/>
    <col min="11267" max="11267" width="38.42578125" style="3005" customWidth="1"/>
    <col min="11268" max="11268" width="24.5703125" style="3005" customWidth="1"/>
    <col min="11269" max="11269" width="26.42578125" style="3005" customWidth="1"/>
    <col min="11270" max="11270" width="22.7109375" style="3005" customWidth="1"/>
    <col min="11271" max="11271" width="15.85546875" style="3005" customWidth="1"/>
    <col min="11272" max="11272" width="14.85546875" style="3005" customWidth="1"/>
    <col min="11273" max="11274" width="22.7109375" style="3005" customWidth="1"/>
    <col min="11275" max="11275" width="17.7109375" style="3005" customWidth="1"/>
    <col min="11276" max="11276" width="10.85546875" style="3005" customWidth="1"/>
    <col min="11277" max="11277" width="11.140625" style="3005" customWidth="1"/>
    <col min="11278" max="11278" width="8.85546875" style="3005"/>
    <col min="11279" max="11279" width="27.5703125" style="3005" customWidth="1"/>
    <col min="11280" max="11520" width="8.85546875" style="3005"/>
    <col min="11521" max="11521" width="4.5703125" style="3005" customWidth="1"/>
    <col min="11522" max="11522" width="81.28515625" style="3005" customWidth="1"/>
    <col min="11523" max="11523" width="38.42578125" style="3005" customWidth="1"/>
    <col min="11524" max="11524" width="24.5703125" style="3005" customWidth="1"/>
    <col min="11525" max="11525" width="26.42578125" style="3005" customWidth="1"/>
    <col min="11526" max="11526" width="22.7109375" style="3005" customWidth="1"/>
    <col min="11527" max="11527" width="15.85546875" style="3005" customWidth="1"/>
    <col min="11528" max="11528" width="14.85546875" style="3005" customWidth="1"/>
    <col min="11529" max="11530" width="22.7109375" style="3005" customWidth="1"/>
    <col min="11531" max="11531" width="17.7109375" style="3005" customWidth="1"/>
    <col min="11532" max="11532" width="10.85546875" style="3005" customWidth="1"/>
    <col min="11533" max="11533" width="11.140625" style="3005" customWidth="1"/>
    <col min="11534" max="11534" width="8.85546875" style="3005"/>
    <col min="11535" max="11535" width="27.5703125" style="3005" customWidth="1"/>
    <col min="11536" max="11776" width="8.85546875" style="3005"/>
    <col min="11777" max="11777" width="4.5703125" style="3005" customWidth="1"/>
    <col min="11778" max="11778" width="81.28515625" style="3005" customWidth="1"/>
    <col min="11779" max="11779" width="38.42578125" style="3005" customWidth="1"/>
    <col min="11780" max="11780" width="24.5703125" style="3005" customWidth="1"/>
    <col min="11781" max="11781" width="26.42578125" style="3005" customWidth="1"/>
    <col min="11782" max="11782" width="22.7109375" style="3005" customWidth="1"/>
    <col min="11783" max="11783" width="15.85546875" style="3005" customWidth="1"/>
    <col min="11784" max="11784" width="14.85546875" style="3005" customWidth="1"/>
    <col min="11785" max="11786" width="22.7109375" style="3005" customWidth="1"/>
    <col min="11787" max="11787" width="17.7109375" style="3005" customWidth="1"/>
    <col min="11788" max="11788" width="10.85546875" style="3005" customWidth="1"/>
    <col min="11789" max="11789" width="11.140625" style="3005" customWidth="1"/>
    <col min="11790" max="11790" width="8.85546875" style="3005"/>
    <col min="11791" max="11791" width="27.5703125" style="3005" customWidth="1"/>
    <col min="11792" max="12032" width="8.85546875" style="3005"/>
    <col min="12033" max="12033" width="4.5703125" style="3005" customWidth="1"/>
    <col min="12034" max="12034" width="81.28515625" style="3005" customWidth="1"/>
    <col min="12035" max="12035" width="38.42578125" style="3005" customWidth="1"/>
    <col min="12036" max="12036" width="24.5703125" style="3005" customWidth="1"/>
    <col min="12037" max="12037" width="26.42578125" style="3005" customWidth="1"/>
    <col min="12038" max="12038" width="22.7109375" style="3005" customWidth="1"/>
    <col min="12039" max="12039" width="15.85546875" style="3005" customWidth="1"/>
    <col min="12040" max="12040" width="14.85546875" style="3005" customWidth="1"/>
    <col min="12041" max="12042" width="22.7109375" style="3005" customWidth="1"/>
    <col min="12043" max="12043" width="17.7109375" style="3005" customWidth="1"/>
    <col min="12044" max="12044" width="10.85546875" style="3005" customWidth="1"/>
    <col min="12045" max="12045" width="11.140625" style="3005" customWidth="1"/>
    <col min="12046" max="12046" width="8.85546875" style="3005"/>
    <col min="12047" max="12047" width="27.5703125" style="3005" customWidth="1"/>
    <col min="12048" max="12288" width="8.85546875" style="3005"/>
    <col min="12289" max="12289" width="4.5703125" style="3005" customWidth="1"/>
    <col min="12290" max="12290" width="81.28515625" style="3005" customWidth="1"/>
    <col min="12291" max="12291" width="38.42578125" style="3005" customWidth="1"/>
    <col min="12292" max="12292" width="24.5703125" style="3005" customWidth="1"/>
    <col min="12293" max="12293" width="26.42578125" style="3005" customWidth="1"/>
    <col min="12294" max="12294" width="22.7109375" style="3005" customWidth="1"/>
    <col min="12295" max="12295" width="15.85546875" style="3005" customWidth="1"/>
    <col min="12296" max="12296" width="14.85546875" style="3005" customWidth="1"/>
    <col min="12297" max="12298" width="22.7109375" style="3005" customWidth="1"/>
    <col min="12299" max="12299" width="17.7109375" style="3005" customWidth="1"/>
    <col min="12300" max="12300" width="10.85546875" style="3005" customWidth="1"/>
    <col min="12301" max="12301" width="11.140625" style="3005" customWidth="1"/>
    <col min="12302" max="12302" width="8.85546875" style="3005"/>
    <col min="12303" max="12303" width="27.5703125" style="3005" customWidth="1"/>
    <col min="12304" max="12544" width="8.85546875" style="3005"/>
    <col min="12545" max="12545" width="4.5703125" style="3005" customWidth="1"/>
    <col min="12546" max="12546" width="81.28515625" style="3005" customWidth="1"/>
    <col min="12547" max="12547" width="38.42578125" style="3005" customWidth="1"/>
    <col min="12548" max="12548" width="24.5703125" style="3005" customWidth="1"/>
    <col min="12549" max="12549" width="26.42578125" style="3005" customWidth="1"/>
    <col min="12550" max="12550" width="22.7109375" style="3005" customWidth="1"/>
    <col min="12551" max="12551" width="15.85546875" style="3005" customWidth="1"/>
    <col min="12552" max="12552" width="14.85546875" style="3005" customWidth="1"/>
    <col min="12553" max="12554" width="22.7109375" style="3005" customWidth="1"/>
    <col min="12555" max="12555" width="17.7109375" style="3005" customWidth="1"/>
    <col min="12556" max="12556" width="10.85546875" style="3005" customWidth="1"/>
    <col min="12557" max="12557" width="11.140625" style="3005" customWidth="1"/>
    <col min="12558" max="12558" width="8.85546875" style="3005"/>
    <col min="12559" max="12559" width="27.5703125" style="3005" customWidth="1"/>
    <col min="12560" max="12800" width="8.85546875" style="3005"/>
    <col min="12801" max="12801" width="4.5703125" style="3005" customWidth="1"/>
    <col min="12802" max="12802" width="81.28515625" style="3005" customWidth="1"/>
    <col min="12803" max="12803" width="38.42578125" style="3005" customWidth="1"/>
    <col min="12804" max="12804" width="24.5703125" style="3005" customWidth="1"/>
    <col min="12805" max="12805" width="26.42578125" style="3005" customWidth="1"/>
    <col min="12806" max="12806" width="22.7109375" style="3005" customWidth="1"/>
    <col min="12807" max="12807" width="15.85546875" style="3005" customWidth="1"/>
    <col min="12808" max="12808" width="14.85546875" style="3005" customWidth="1"/>
    <col min="12809" max="12810" width="22.7109375" style="3005" customWidth="1"/>
    <col min="12811" max="12811" width="17.7109375" style="3005" customWidth="1"/>
    <col min="12812" max="12812" width="10.85546875" style="3005" customWidth="1"/>
    <col min="12813" max="12813" width="11.140625" style="3005" customWidth="1"/>
    <col min="12814" max="12814" width="8.85546875" style="3005"/>
    <col min="12815" max="12815" width="27.5703125" style="3005" customWidth="1"/>
    <col min="12816" max="13056" width="8.85546875" style="3005"/>
    <col min="13057" max="13057" width="4.5703125" style="3005" customWidth="1"/>
    <col min="13058" max="13058" width="81.28515625" style="3005" customWidth="1"/>
    <col min="13059" max="13059" width="38.42578125" style="3005" customWidth="1"/>
    <col min="13060" max="13060" width="24.5703125" style="3005" customWidth="1"/>
    <col min="13061" max="13061" width="26.42578125" style="3005" customWidth="1"/>
    <col min="13062" max="13062" width="22.7109375" style="3005" customWidth="1"/>
    <col min="13063" max="13063" width="15.85546875" style="3005" customWidth="1"/>
    <col min="13064" max="13064" width="14.85546875" style="3005" customWidth="1"/>
    <col min="13065" max="13066" width="22.7109375" style="3005" customWidth="1"/>
    <col min="13067" max="13067" width="17.7109375" style="3005" customWidth="1"/>
    <col min="13068" max="13068" width="10.85546875" style="3005" customWidth="1"/>
    <col min="13069" max="13069" width="11.140625" style="3005" customWidth="1"/>
    <col min="13070" max="13070" width="8.85546875" style="3005"/>
    <col min="13071" max="13071" width="27.5703125" style="3005" customWidth="1"/>
    <col min="13072" max="13312" width="8.85546875" style="3005"/>
    <col min="13313" max="13313" width="4.5703125" style="3005" customWidth="1"/>
    <col min="13314" max="13314" width="81.28515625" style="3005" customWidth="1"/>
    <col min="13315" max="13315" width="38.42578125" style="3005" customWidth="1"/>
    <col min="13316" max="13316" width="24.5703125" style="3005" customWidth="1"/>
    <col min="13317" max="13317" width="26.42578125" style="3005" customWidth="1"/>
    <col min="13318" max="13318" width="22.7109375" style="3005" customWidth="1"/>
    <col min="13319" max="13319" width="15.85546875" style="3005" customWidth="1"/>
    <col min="13320" max="13320" width="14.85546875" style="3005" customWidth="1"/>
    <col min="13321" max="13322" width="22.7109375" style="3005" customWidth="1"/>
    <col min="13323" max="13323" width="17.7109375" style="3005" customWidth="1"/>
    <col min="13324" max="13324" width="10.85546875" style="3005" customWidth="1"/>
    <col min="13325" max="13325" width="11.140625" style="3005" customWidth="1"/>
    <col min="13326" max="13326" width="8.85546875" style="3005"/>
    <col min="13327" max="13327" width="27.5703125" style="3005" customWidth="1"/>
    <col min="13328" max="13568" width="8.85546875" style="3005"/>
    <col min="13569" max="13569" width="4.5703125" style="3005" customWidth="1"/>
    <col min="13570" max="13570" width="81.28515625" style="3005" customWidth="1"/>
    <col min="13571" max="13571" width="38.42578125" style="3005" customWidth="1"/>
    <col min="13572" max="13572" width="24.5703125" style="3005" customWidth="1"/>
    <col min="13573" max="13573" width="26.42578125" style="3005" customWidth="1"/>
    <col min="13574" max="13574" width="22.7109375" style="3005" customWidth="1"/>
    <col min="13575" max="13575" width="15.85546875" style="3005" customWidth="1"/>
    <col min="13576" max="13576" width="14.85546875" style="3005" customWidth="1"/>
    <col min="13577" max="13578" width="22.7109375" style="3005" customWidth="1"/>
    <col min="13579" max="13579" width="17.7109375" style="3005" customWidth="1"/>
    <col min="13580" max="13580" width="10.85546875" style="3005" customWidth="1"/>
    <col min="13581" max="13581" width="11.140625" style="3005" customWidth="1"/>
    <col min="13582" max="13582" width="8.85546875" style="3005"/>
    <col min="13583" max="13583" width="27.5703125" style="3005" customWidth="1"/>
    <col min="13584" max="13824" width="8.85546875" style="3005"/>
    <col min="13825" max="13825" width="4.5703125" style="3005" customWidth="1"/>
    <col min="13826" max="13826" width="81.28515625" style="3005" customWidth="1"/>
    <col min="13827" max="13827" width="38.42578125" style="3005" customWidth="1"/>
    <col min="13828" max="13828" width="24.5703125" style="3005" customWidth="1"/>
    <col min="13829" max="13829" width="26.42578125" style="3005" customWidth="1"/>
    <col min="13830" max="13830" width="22.7109375" style="3005" customWidth="1"/>
    <col min="13831" max="13831" width="15.85546875" style="3005" customWidth="1"/>
    <col min="13832" max="13832" width="14.85546875" style="3005" customWidth="1"/>
    <col min="13833" max="13834" width="22.7109375" style="3005" customWidth="1"/>
    <col min="13835" max="13835" width="17.7109375" style="3005" customWidth="1"/>
    <col min="13836" max="13836" width="10.85546875" style="3005" customWidth="1"/>
    <col min="13837" max="13837" width="11.140625" style="3005" customWidth="1"/>
    <col min="13838" max="13838" width="8.85546875" style="3005"/>
    <col min="13839" max="13839" width="27.5703125" style="3005" customWidth="1"/>
    <col min="13840" max="14080" width="8.85546875" style="3005"/>
    <col min="14081" max="14081" width="4.5703125" style="3005" customWidth="1"/>
    <col min="14082" max="14082" width="81.28515625" style="3005" customWidth="1"/>
    <col min="14083" max="14083" width="38.42578125" style="3005" customWidth="1"/>
    <col min="14084" max="14084" width="24.5703125" style="3005" customWidth="1"/>
    <col min="14085" max="14085" width="26.42578125" style="3005" customWidth="1"/>
    <col min="14086" max="14086" width="22.7109375" style="3005" customWidth="1"/>
    <col min="14087" max="14087" width="15.85546875" style="3005" customWidth="1"/>
    <col min="14088" max="14088" width="14.85546875" style="3005" customWidth="1"/>
    <col min="14089" max="14090" width="22.7109375" style="3005" customWidth="1"/>
    <col min="14091" max="14091" width="17.7109375" style="3005" customWidth="1"/>
    <col min="14092" max="14092" width="10.85546875" style="3005" customWidth="1"/>
    <col min="14093" max="14093" width="11.140625" style="3005" customWidth="1"/>
    <col min="14094" max="14094" width="8.85546875" style="3005"/>
    <col min="14095" max="14095" width="27.5703125" style="3005" customWidth="1"/>
    <col min="14096" max="14336" width="8.85546875" style="3005"/>
    <col min="14337" max="14337" width="4.5703125" style="3005" customWidth="1"/>
    <col min="14338" max="14338" width="81.28515625" style="3005" customWidth="1"/>
    <col min="14339" max="14339" width="38.42578125" style="3005" customWidth="1"/>
    <col min="14340" max="14340" width="24.5703125" style="3005" customWidth="1"/>
    <col min="14341" max="14341" width="26.42578125" style="3005" customWidth="1"/>
    <col min="14342" max="14342" width="22.7109375" style="3005" customWidth="1"/>
    <col min="14343" max="14343" width="15.85546875" style="3005" customWidth="1"/>
    <col min="14344" max="14344" width="14.85546875" style="3005" customWidth="1"/>
    <col min="14345" max="14346" width="22.7109375" style="3005" customWidth="1"/>
    <col min="14347" max="14347" width="17.7109375" style="3005" customWidth="1"/>
    <col min="14348" max="14348" width="10.85546875" style="3005" customWidth="1"/>
    <col min="14349" max="14349" width="11.140625" style="3005" customWidth="1"/>
    <col min="14350" max="14350" width="8.85546875" style="3005"/>
    <col min="14351" max="14351" width="27.5703125" style="3005" customWidth="1"/>
    <col min="14352" max="14592" width="8.85546875" style="3005"/>
    <col min="14593" max="14593" width="4.5703125" style="3005" customWidth="1"/>
    <col min="14594" max="14594" width="81.28515625" style="3005" customWidth="1"/>
    <col min="14595" max="14595" width="38.42578125" style="3005" customWidth="1"/>
    <col min="14596" max="14596" width="24.5703125" style="3005" customWidth="1"/>
    <col min="14597" max="14597" width="26.42578125" style="3005" customWidth="1"/>
    <col min="14598" max="14598" width="22.7109375" style="3005" customWidth="1"/>
    <col min="14599" max="14599" width="15.85546875" style="3005" customWidth="1"/>
    <col min="14600" max="14600" width="14.85546875" style="3005" customWidth="1"/>
    <col min="14601" max="14602" width="22.7109375" style="3005" customWidth="1"/>
    <col min="14603" max="14603" width="17.7109375" style="3005" customWidth="1"/>
    <col min="14604" max="14604" width="10.85546875" style="3005" customWidth="1"/>
    <col min="14605" max="14605" width="11.140625" style="3005" customWidth="1"/>
    <col min="14606" max="14606" width="8.85546875" style="3005"/>
    <col min="14607" max="14607" width="27.5703125" style="3005" customWidth="1"/>
    <col min="14608" max="14848" width="8.85546875" style="3005"/>
    <col min="14849" max="14849" width="4.5703125" style="3005" customWidth="1"/>
    <col min="14850" max="14850" width="81.28515625" style="3005" customWidth="1"/>
    <col min="14851" max="14851" width="38.42578125" style="3005" customWidth="1"/>
    <col min="14852" max="14852" width="24.5703125" style="3005" customWidth="1"/>
    <col min="14853" max="14853" width="26.42578125" style="3005" customWidth="1"/>
    <col min="14854" max="14854" width="22.7109375" style="3005" customWidth="1"/>
    <col min="14855" max="14855" width="15.85546875" style="3005" customWidth="1"/>
    <col min="14856" max="14856" width="14.85546875" style="3005" customWidth="1"/>
    <col min="14857" max="14858" width="22.7109375" style="3005" customWidth="1"/>
    <col min="14859" max="14859" width="17.7109375" style="3005" customWidth="1"/>
    <col min="14860" max="14860" width="10.85546875" style="3005" customWidth="1"/>
    <col min="14861" max="14861" width="11.140625" style="3005" customWidth="1"/>
    <col min="14862" max="14862" width="8.85546875" style="3005"/>
    <col min="14863" max="14863" width="27.5703125" style="3005" customWidth="1"/>
    <col min="14864" max="15104" width="8.85546875" style="3005"/>
    <col min="15105" max="15105" width="4.5703125" style="3005" customWidth="1"/>
    <col min="15106" max="15106" width="81.28515625" style="3005" customWidth="1"/>
    <col min="15107" max="15107" width="38.42578125" style="3005" customWidth="1"/>
    <col min="15108" max="15108" width="24.5703125" style="3005" customWidth="1"/>
    <col min="15109" max="15109" width="26.42578125" style="3005" customWidth="1"/>
    <col min="15110" max="15110" width="22.7109375" style="3005" customWidth="1"/>
    <col min="15111" max="15111" width="15.85546875" style="3005" customWidth="1"/>
    <col min="15112" max="15112" width="14.85546875" style="3005" customWidth="1"/>
    <col min="15113" max="15114" width="22.7109375" style="3005" customWidth="1"/>
    <col min="15115" max="15115" width="17.7109375" style="3005" customWidth="1"/>
    <col min="15116" max="15116" width="10.85546875" style="3005" customWidth="1"/>
    <col min="15117" max="15117" width="11.140625" style="3005" customWidth="1"/>
    <col min="15118" max="15118" width="8.85546875" style="3005"/>
    <col min="15119" max="15119" width="27.5703125" style="3005" customWidth="1"/>
    <col min="15120" max="15360" width="8.85546875" style="3005"/>
    <col min="15361" max="15361" width="4.5703125" style="3005" customWidth="1"/>
    <col min="15362" max="15362" width="81.28515625" style="3005" customWidth="1"/>
    <col min="15363" max="15363" width="38.42578125" style="3005" customWidth="1"/>
    <col min="15364" max="15364" width="24.5703125" style="3005" customWidth="1"/>
    <col min="15365" max="15365" width="26.42578125" style="3005" customWidth="1"/>
    <col min="15366" max="15366" width="22.7109375" style="3005" customWidth="1"/>
    <col min="15367" max="15367" width="15.85546875" style="3005" customWidth="1"/>
    <col min="15368" max="15368" width="14.85546875" style="3005" customWidth="1"/>
    <col min="15369" max="15370" width="22.7109375" style="3005" customWidth="1"/>
    <col min="15371" max="15371" width="17.7109375" style="3005" customWidth="1"/>
    <col min="15372" max="15372" width="10.85546875" style="3005" customWidth="1"/>
    <col min="15373" max="15373" width="11.140625" style="3005" customWidth="1"/>
    <col min="15374" max="15374" width="8.85546875" style="3005"/>
    <col min="15375" max="15375" width="27.5703125" style="3005" customWidth="1"/>
    <col min="15376" max="15616" width="8.85546875" style="3005"/>
    <col min="15617" max="15617" width="4.5703125" style="3005" customWidth="1"/>
    <col min="15618" max="15618" width="81.28515625" style="3005" customWidth="1"/>
    <col min="15619" max="15619" width="38.42578125" style="3005" customWidth="1"/>
    <col min="15620" max="15620" width="24.5703125" style="3005" customWidth="1"/>
    <col min="15621" max="15621" width="26.42578125" style="3005" customWidth="1"/>
    <col min="15622" max="15622" width="22.7109375" style="3005" customWidth="1"/>
    <col min="15623" max="15623" width="15.85546875" style="3005" customWidth="1"/>
    <col min="15624" max="15624" width="14.85546875" style="3005" customWidth="1"/>
    <col min="15625" max="15626" width="22.7109375" style="3005" customWidth="1"/>
    <col min="15627" max="15627" width="17.7109375" style="3005" customWidth="1"/>
    <col min="15628" max="15628" width="10.85546875" style="3005" customWidth="1"/>
    <col min="15629" max="15629" width="11.140625" style="3005" customWidth="1"/>
    <col min="15630" max="15630" width="8.85546875" style="3005"/>
    <col min="15631" max="15631" width="27.5703125" style="3005" customWidth="1"/>
    <col min="15632" max="15872" width="8.85546875" style="3005"/>
    <col min="15873" max="15873" width="4.5703125" style="3005" customWidth="1"/>
    <col min="15874" max="15874" width="81.28515625" style="3005" customWidth="1"/>
    <col min="15875" max="15875" width="38.42578125" style="3005" customWidth="1"/>
    <col min="15876" max="15876" width="24.5703125" style="3005" customWidth="1"/>
    <col min="15877" max="15877" width="26.42578125" style="3005" customWidth="1"/>
    <col min="15878" max="15878" width="22.7109375" style="3005" customWidth="1"/>
    <col min="15879" max="15879" width="15.85546875" style="3005" customWidth="1"/>
    <col min="15880" max="15880" width="14.85546875" style="3005" customWidth="1"/>
    <col min="15881" max="15882" width="22.7109375" style="3005" customWidth="1"/>
    <col min="15883" max="15883" width="17.7109375" style="3005" customWidth="1"/>
    <col min="15884" max="15884" width="10.85546875" style="3005" customWidth="1"/>
    <col min="15885" max="15885" width="11.140625" style="3005" customWidth="1"/>
    <col min="15886" max="15886" width="8.85546875" style="3005"/>
    <col min="15887" max="15887" width="27.5703125" style="3005" customWidth="1"/>
    <col min="15888" max="16128" width="8.85546875" style="3005"/>
    <col min="16129" max="16129" width="4.5703125" style="3005" customWidth="1"/>
    <col min="16130" max="16130" width="81.28515625" style="3005" customWidth="1"/>
    <col min="16131" max="16131" width="38.42578125" style="3005" customWidth="1"/>
    <col min="16132" max="16132" width="24.5703125" style="3005" customWidth="1"/>
    <col min="16133" max="16133" width="26.42578125" style="3005" customWidth="1"/>
    <col min="16134" max="16134" width="22.7109375" style="3005" customWidth="1"/>
    <col min="16135" max="16135" width="15.85546875" style="3005" customWidth="1"/>
    <col min="16136" max="16136" width="14.85546875" style="3005" customWidth="1"/>
    <col min="16137" max="16138" width="22.7109375" style="3005" customWidth="1"/>
    <col min="16139" max="16139" width="17.7109375" style="3005" customWidth="1"/>
    <col min="16140" max="16140" width="10.85546875" style="3005" customWidth="1"/>
    <col min="16141" max="16141" width="11.140625" style="3005" customWidth="1"/>
    <col min="16142" max="16142" width="8.85546875" style="3005"/>
    <col min="16143" max="16143" width="27.5703125" style="3005" customWidth="1"/>
    <col min="16144" max="16384" width="8.85546875" style="3005"/>
  </cols>
  <sheetData>
    <row r="1" spans="1:15" s="393" customFormat="1" ht="21.75" customHeight="1" x14ac:dyDescent="0.25">
      <c r="A1" s="5812" t="s">
        <v>390</v>
      </c>
      <c r="B1" s="5812"/>
      <c r="C1" s="5812"/>
      <c r="D1" s="5812"/>
      <c r="E1" s="5812"/>
      <c r="F1" s="5812"/>
      <c r="G1" s="5812"/>
      <c r="H1" s="5812"/>
      <c r="I1" s="5812"/>
      <c r="J1" s="5812"/>
      <c r="K1" s="5812"/>
      <c r="L1" s="5812"/>
      <c r="M1" s="5812"/>
    </row>
    <row r="2" spans="1:15" s="393" customFormat="1" ht="21.75" customHeight="1" x14ac:dyDescent="0.25">
      <c r="A2" s="5813" t="s">
        <v>391</v>
      </c>
      <c r="B2" s="5813"/>
      <c r="C2" s="5813"/>
      <c r="D2" s="5813"/>
      <c r="E2" s="5813"/>
      <c r="F2" s="5813"/>
      <c r="G2" s="5813"/>
      <c r="H2" s="5813"/>
      <c r="I2" s="5813"/>
      <c r="J2" s="5813"/>
      <c r="K2" s="5813"/>
      <c r="L2" s="5813"/>
      <c r="M2" s="5813"/>
    </row>
    <row r="3" spans="1:15" s="393" customFormat="1" ht="21.75" customHeight="1" x14ac:dyDescent="0.3">
      <c r="A3" s="5814" t="s">
        <v>2579</v>
      </c>
      <c r="B3" s="5814"/>
      <c r="C3" s="5814"/>
      <c r="D3" s="5814"/>
      <c r="E3" s="5814"/>
      <c r="F3" s="5814"/>
      <c r="G3" s="5814"/>
      <c r="H3" s="5814"/>
      <c r="I3" s="5814"/>
      <c r="J3" s="5814"/>
      <c r="K3" s="5814"/>
      <c r="L3" s="5814"/>
      <c r="M3" s="5814"/>
    </row>
    <row r="4" spans="1:15" s="393" customFormat="1" ht="21.75" customHeight="1" x14ac:dyDescent="0.3">
      <c r="A4" s="3019"/>
      <c r="B4" s="3162"/>
      <c r="C4" s="3309"/>
      <c r="D4" s="3019"/>
      <c r="E4" s="3019"/>
      <c r="F4" s="3019"/>
      <c r="G4" s="3018"/>
      <c r="H4" s="3018"/>
      <c r="I4" s="3019"/>
      <c r="J4" s="3013"/>
      <c r="K4" s="3019"/>
      <c r="L4" s="3019"/>
      <c r="M4" s="3019"/>
    </row>
    <row r="5" spans="1:15" ht="20.25" customHeight="1" x14ac:dyDescent="0.25">
      <c r="A5" s="5815" t="s">
        <v>2463</v>
      </c>
      <c r="B5" s="5815"/>
      <c r="F5" s="3163"/>
      <c r="H5" s="3164"/>
    </row>
    <row r="6" spans="1:15" ht="20.25" customHeight="1" x14ac:dyDescent="0.35">
      <c r="A6" s="5816" t="s">
        <v>2580</v>
      </c>
      <c r="B6" s="5816"/>
      <c r="M6" s="282" t="s">
        <v>1337</v>
      </c>
    </row>
    <row r="7" spans="1:15" ht="14.1" customHeight="1" thickBot="1" x14ac:dyDescent="0.3">
      <c r="A7" s="3021"/>
      <c r="B7" s="395"/>
    </row>
    <row r="8" spans="1:15" ht="26.25" customHeight="1" thickTop="1" thickBot="1" x14ac:dyDescent="0.3">
      <c r="A8" s="5807" t="s">
        <v>1</v>
      </c>
      <c r="B8" s="5809" t="s">
        <v>2</v>
      </c>
      <c r="C8" s="5824" t="s">
        <v>3</v>
      </c>
      <c r="D8" s="5825"/>
      <c r="E8" s="5826" t="s">
        <v>30</v>
      </c>
      <c r="F8" s="5827"/>
      <c r="G8" s="5827"/>
      <c r="H8" s="5828"/>
      <c r="I8" s="5811" t="s">
        <v>31</v>
      </c>
      <c r="J8" s="5811"/>
      <c r="K8" s="5811"/>
      <c r="L8" s="5811"/>
      <c r="M8" s="5820" t="s">
        <v>423</v>
      </c>
    </row>
    <row r="9" spans="1:15" s="399" customFormat="1" ht="81.75" customHeight="1" thickBot="1" x14ac:dyDescent="0.3">
      <c r="A9" s="5808"/>
      <c r="B9" s="5810"/>
      <c r="C9" s="396" t="s">
        <v>33</v>
      </c>
      <c r="D9" s="397" t="s">
        <v>133</v>
      </c>
      <c r="E9" s="396" t="s">
        <v>33</v>
      </c>
      <c r="F9" s="396" t="s">
        <v>134</v>
      </c>
      <c r="G9" s="398" t="s">
        <v>54</v>
      </c>
      <c r="H9" s="398" t="s">
        <v>137</v>
      </c>
      <c r="I9" s="397" t="s">
        <v>33</v>
      </c>
      <c r="J9" s="397" t="s">
        <v>397</v>
      </c>
      <c r="K9" s="397" t="s">
        <v>54</v>
      </c>
      <c r="L9" s="397" t="s">
        <v>138</v>
      </c>
      <c r="M9" s="5821"/>
    </row>
    <row r="10" spans="1:15" ht="17.25" customHeight="1" thickTop="1" thickBot="1" x14ac:dyDescent="0.3">
      <c r="A10" s="255" t="s">
        <v>8</v>
      </c>
      <c r="B10" s="400" t="s">
        <v>9</v>
      </c>
      <c r="C10" s="3310" t="s">
        <v>10</v>
      </c>
      <c r="D10" s="401" t="s">
        <v>11</v>
      </c>
      <c r="E10" s="401" t="s">
        <v>12</v>
      </c>
      <c r="F10" s="401" t="s">
        <v>13</v>
      </c>
      <c r="G10" s="402" t="s">
        <v>35</v>
      </c>
      <c r="H10" s="402" t="s">
        <v>36</v>
      </c>
      <c r="I10" s="401" t="s">
        <v>37</v>
      </c>
      <c r="J10" s="401" t="s">
        <v>38</v>
      </c>
      <c r="K10" s="403" t="s">
        <v>39</v>
      </c>
      <c r="L10" s="401" t="s">
        <v>107</v>
      </c>
      <c r="M10" s="403" t="s">
        <v>108</v>
      </c>
    </row>
    <row r="11" spans="1:15" ht="12" customHeight="1" thickTop="1" x14ac:dyDescent="0.25">
      <c r="A11" s="3165"/>
      <c r="B11" s="405"/>
      <c r="C11" s="3311"/>
      <c r="D11" s="406"/>
      <c r="E11" s="406"/>
      <c r="F11" s="406"/>
      <c r="G11" s="698"/>
      <c r="H11" s="699"/>
      <c r="I11" s="406"/>
      <c r="J11" s="406"/>
      <c r="K11" s="406"/>
      <c r="L11" s="406"/>
      <c r="M11" s="408"/>
    </row>
    <row r="12" spans="1:15" s="414" customFormat="1" ht="23.25" customHeight="1" x14ac:dyDescent="0.25">
      <c r="A12" s="3301" t="s">
        <v>59</v>
      </c>
      <c r="B12" s="410" t="s">
        <v>109</v>
      </c>
      <c r="C12" s="594">
        <f>SUM(C13,C186)</f>
        <v>1440553463000</v>
      </c>
      <c r="D12" s="411">
        <f>C12/1440553463000*100</f>
        <v>100</v>
      </c>
      <c r="E12" s="594"/>
      <c r="F12" s="594"/>
      <c r="G12" s="700"/>
      <c r="H12" s="594"/>
      <c r="I12" s="594"/>
      <c r="J12" s="594"/>
      <c r="K12" s="700"/>
      <c r="L12" s="594"/>
      <c r="M12" s="413"/>
    </row>
    <row r="13" spans="1:15" s="414" customFormat="1" ht="26.25" customHeight="1" x14ac:dyDescent="0.25">
      <c r="A13" s="3302">
        <v>1</v>
      </c>
      <c r="B13" s="479" t="s">
        <v>234</v>
      </c>
      <c r="C13" s="595">
        <f>SUM(C14,C52,C91,C100,C114,C119,C131,C146,C149,C155,C182)</f>
        <v>1304750000017</v>
      </c>
      <c r="D13" s="595">
        <f>C13/C12*100</f>
        <v>90.572827286799566</v>
      </c>
      <c r="E13" s="595"/>
      <c r="F13" s="595"/>
      <c r="G13" s="701"/>
      <c r="H13" s="701"/>
      <c r="I13" s="595"/>
      <c r="J13" s="3167"/>
      <c r="K13" s="701"/>
      <c r="L13" s="701"/>
      <c r="M13" s="418"/>
      <c r="O13" s="419"/>
    </row>
    <row r="14" spans="1:15" s="414" customFormat="1" ht="18.75" hidden="1" customHeight="1" x14ac:dyDescent="0.25">
      <c r="A14" s="3303"/>
      <c r="B14" s="420" t="s">
        <v>1372</v>
      </c>
      <c r="C14" s="421">
        <f>SUM(C15:C50)</f>
        <v>554000000000</v>
      </c>
      <c r="D14" s="440">
        <f>C14/C12*100</f>
        <v>38.457441131429917</v>
      </c>
      <c r="E14" s="421"/>
      <c r="F14" s="421"/>
      <c r="G14" s="703"/>
      <c r="H14" s="703"/>
      <c r="I14" s="3168"/>
      <c r="J14" s="3169"/>
      <c r="K14" s="703"/>
      <c r="L14" s="703"/>
      <c r="M14" s="423"/>
    </row>
    <row r="15" spans="1:15" s="432" customFormat="1" ht="17.25" hidden="1" customHeight="1" x14ac:dyDescent="0.2">
      <c r="A15" s="3304"/>
      <c r="B15" s="425" t="s">
        <v>2862</v>
      </c>
      <c r="C15" s="3298">
        <v>23000000000</v>
      </c>
      <c r="D15" s="488">
        <f>C15/C12*100</f>
        <v>1.5966085668283176</v>
      </c>
      <c r="E15" s="488"/>
      <c r="F15" s="488"/>
      <c r="G15" s="705"/>
      <c r="H15" s="488"/>
      <c r="I15" s="488"/>
      <c r="J15" s="3170"/>
      <c r="K15" s="705"/>
      <c r="L15" s="430"/>
      <c r="M15" s="431"/>
    </row>
    <row r="16" spans="1:15" s="432" customFormat="1" ht="15.75" hidden="1" customHeight="1" x14ac:dyDescent="0.2">
      <c r="A16" s="3304"/>
      <c r="B16" s="425" t="s">
        <v>2861</v>
      </c>
      <c r="C16" s="3298">
        <v>10000000000</v>
      </c>
      <c r="D16" s="426">
        <f>C16/C12*100</f>
        <v>0.69417763775144248</v>
      </c>
      <c r="E16" s="426"/>
      <c r="F16" s="426"/>
      <c r="G16" s="705"/>
      <c r="H16" s="426"/>
      <c r="I16" s="426"/>
      <c r="J16" s="3171"/>
      <c r="K16" s="705"/>
      <c r="L16" s="429"/>
      <c r="M16" s="431"/>
    </row>
    <row r="17" spans="1:13" s="432" customFormat="1" ht="15.75" hidden="1" customHeight="1" x14ac:dyDescent="0.2">
      <c r="A17" s="3304"/>
      <c r="B17" s="425" t="s">
        <v>2748</v>
      </c>
      <c r="C17" s="3298">
        <v>40000000000</v>
      </c>
      <c r="D17" s="426">
        <f>C17/C12*100</f>
        <v>2.7767105510057699</v>
      </c>
      <c r="E17" s="426"/>
      <c r="F17" s="426"/>
      <c r="G17" s="705"/>
      <c r="H17" s="426"/>
      <c r="I17" s="426"/>
      <c r="J17" s="3171"/>
      <c r="K17" s="705"/>
      <c r="L17" s="429"/>
      <c r="M17" s="431"/>
    </row>
    <row r="18" spans="1:13" s="432" customFormat="1" ht="15.75" hidden="1" customHeight="1" x14ac:dyDescent="0.2">
      <c r="A18" s="3304"/>
      <c r="B18" s="425" t="s">
        <v>2860</v>
      </c>
      <c r="C18" s="3298">
        <v>17000000000</v>
      </c>
      <c r="D18" s="426">
        <f>C18/C12*100</f>
        <v>1.1801019841774523</v>
      </c>
      <c r="E18" s="426"/>
      <c r="F18" s="426"/>
      <c r="G18" s="705"/>
      <c r="H18" s="426"/>
      <c r="I18" s="426"/>
      <c r="J18" s="3171"/>
      <c r="K18" s="705"/>
      <c r="L18" s="429"/>
      <c r="M18" s="431"/>
    </row>
    <row r="19" spans="1:13" s="432" customFormat="1" ht="15.75" hidden="1" customHeight="1" x14ac:dyDescent="0.2">
      <c r="A19" s="3304"/>
      <c r="B19" s="425" t="s">
        <v>2859</v>
      </c>
      <c r="C19" s="3298">
        <v>8000000000</v>
      </c>
      <c r="D19" s="426">
        <f>C19/C12*100</f>
        <v>0.55534211020115398</v>
      </c>
      <c r="E19" s="426"/>
      <c r="F19" s="426"/>
      <c r="G19" s="705"/>
      <c r="H19" s="705"/>
      <c r="I19" s="426"/>
      <c r="J19" s="3171"/>
      <c r="K19" s="705"/>
      <c r="L19" s="429"/>
      <c r="M19" s="431"/>
    </row>
    <row r="20" spans="1:13" s="432" customFormat="1" ht="15.75" hidden="1" customHeight="1" x14ac:dyDescent="0.2">
      <c r="A20" s="3304"/>
      <c r="B20" s="425" t="s">
        <v>2858</v>
      </c>
      <c r="C20" s="3298">
        <v>15000000000</v>
      </c>
      <c r="D20" s="426">
        <f>C20/C12*100</f>
        <v>1.0412664566271637</v>
      </c>
      <c r="E20" s="426"/>
      <c r="F20" s="426"/>
      <c r="G20" s="705"/>
      <c r="H20" s="426"/>
      <c r="I20" s="426"/>
      <c r="J20" s="3171"/>
      <c r="K20" s="705"/>
      <c r="L20" s="429"/>
      <c r="M20" s="431"/>
    </row>
    <row r="21" spans="1:13" s="432" customFormat="1" ht="15.75" hidden="1" customHeight="1" x14ac:dyDescent="0.2">
      <c r="A21" s="3304"/>
      <c r="B21" s="425" t="s">
        <v>2857</v>
      </c>
      <c r="C21" s="3298">
        <v>25000000000</v>
      </c>
      <c r="D21" s="426">
        <f>C21/C12*100</f>
        <v>1.7354440943786063</v>
      </c>
      <c r="E21" s="426"/>
      <c r="F21" s="426"/>
      <c r="G21" s="705"/>
      <c r="H21" s="426"/>
      <c r="I21" s="426"/>
      <c r="J21" s="3171"/>
      <c r="K21" s="705"/>
      <c r="L21" s="429"/>
      <c r="M21" s="431"/>
    </row>
    <row r="22" spans="1:13" s="432" customFormat="1" ht="15.75" hidden="1" customHeight="1" x14ac:dyDescent="0.2">
      <c r="A22" s="3304"/>
      <c r="B22" s="425" t="s">
        <v>2847</v>
      </c>
      <c r="C22" s="3305">
        <v>5000000000</v>
      </c>
      <c r="D22" s="426">
        <f>C22/C12*100</f>
        <v>0.34708881887572124</v>
      </c>
      <c r="E22" s="426"/>
      <c r="F22" s="426"/>
      <c r="G22" s="705"/>
      <c r="H22" s="426"/>
      <c r="I22" s="426"/>
      <c r="J22" s="3171"/>
      <c r="K22" s="705"/>
      <c r="L22" s="429"/>
      <c r="M22" s="431"/>
    </row>
    <row r="23" spans="1:13" s="432" customFormat="1" ht="15.75" hidden="1" customHeight="1" x14ac:dyDescent="0.2">
      <c r="A23" s="3304"/>
      <c r="B23" s="425" t="s">
        <v>2856</v>
      </c>
      <c r="C23" s="3305">
        <v>45000000000</v>
      </c>
      <c r="D23" s="426">
        <f>C23/C12*100</f>
        <v>3.1237993698814912</v>
      </c>
      <c r="E23" s="426"/>
      <c r="F23" s="426"/>
      <c r="G23" s="705"/>
      <c r="H23" s="426"/>
      <c r="I23" s="426"/>
      <c r="J23" s="3171"/>
      <c r="K23" s="705"/>
      <c r="L23" s="429"/>
      <c r="M23" s="431"/>
    </row>
    <row r="24" spans="1:13" s="432" customFormat="1" ht="15.75" hidden="1" customHeight="1" x14ac:dyDescent="0.2">
      <c r="A24" s="3304"/>
      <c r="B24" s="425" t="s">
        <v>2848</v>
      </c>
      <c r="C24" s="3305">
        <v>10000000000</v>
      </c>
      <c r="D24" s="426">
        <f>C24/C12*100</f>
        <v>0.69417763775144248</v>
      </c>
      <c r="E24" s="426"/>
      <c r="F24" s="426"/>
      <c r="G24" s="705"/>
      <c r="H24" s="426"/>
      <c r="I24" s="426"/>
      <c r="J24" s="3171"/>
      <c r="K24" s="705"/>
      <c r="L24" s="429"/>
      <c r="M24" s="431"/>
    </row>
    <row r="25" spans="1:13" s="432" customFormat="1" ht="18" hidden="1" customHeight="1" x14ac:dyDescent="0.2">
      <c r="A25" s="3304"/>
      <c r="B25" s="425" t="s">
        <v>2849</v>
      </c>
      <c r="C25" s="3305">
        <v>25000000000</v>
      </c>
      <c r="D25" s="480">
        <f>C25/C12*100</f>
        <v>1.7354440943786063</v>
      </c>
      <c r="E25" s="480"/>
      <c r="F25" s="480"/>
      <c r="G25" s="3172"/>
      <c r="H25" s="480"/>
      <c r="I25" s="480"/>
      <c r="J25" s="3173"/>
      <c r="K25" s="705"/>
      <c r="L25" s="705"/>
      <c r="M25" s="431"/>
    </row>
    <row r="26" spans="1:13" s="432" customFormat="1" ht="15.75" hidden="1" customHeight="1" x14ac:dyDescent="0.2">
      <c r="A26" s="3304"/>
      <c r="B26" s="425" t="s">
        <v>2855</v>
      </c>
      <c r="C26" s="3305">
        <v>10000000000</v>
      </c>
      <c r="D26" s="426">
        <f>C26/C12*100</f>
        <v>0.69417763775144248</v>
      </c>
      <c r="E26" s="426"/>
      <c r="F26" s="426"/>
      <c r="G26" s="705"/>
      <c r="H26" s="705"/>
      <c r="I26" s="426"/>
      <c r="J26" s="3171"/>
      <c r="K26" s="705"/>
      <c r="L26" s="429"/>
      <c r="M26" s="431"/>
    </row>
    <row r="27" spans="1:13" s="432" customFormat="1" ht="20.25" hidden="1" customHeight="1" x14ac:dyDescent="0.2">
      <c r="A27" s="3304"/>
      <c r="B27" s="425" t="s">
        <v>2749</v>
      </c>
      <c r="C27" s="3305">
        <v>10000000000</v>
      </c>
      <c r="D27" s="488">
        <f>C27/C12*100</f>
        <v>0.69417763775144248</v>
      </c>
      <c r="E27" s="488"/>
      <c r="F27" s="488"/>
      <c r="G27" s="705"/>
      <c r="H27" s="488"/>
      <c r="I27" s="488"/>
      <c r="J27" s="3174"/>
      <c r="K27" s="705"/>
      <c r="L27" s="705"/>
      <c r="M27" s="3175"/>
    </row>
    <row r="28" spans="1:13" s="432" customFormat="1" ht="15.75" hidden="1" customHeight="1" x14ac:dyDescent="0.2">
      <c r="A28" s="3304"/>
      <c r="B28" s="425" t="s">
        <v>2854</v>
      </c>
      <c r="C28" s="3305">
        <v>10000000000</v>
      </c>
      <c r="D28" s="426">
        <f>C28/C12*100</f>
        <v>0.69417763775144248</v>
      </c>
      <c r="E28" s="426"/>
      <c r="F28" s="426"/>
      <c r="G28" s="705"/>
      <c r="H28" s="426"/>
      <c r="I28" s="426"/>
      <c r="J28" s="3171"/>
      <c r="K28" s="705"/>
      <c r="L28" s="429"/>
      <c r="M28" s="431"/>
    </row>
    <row r="29" spans="1:13" s="432" customFormat="1" ht="15.75" hidden="1" customHeight="1" x14ac:dyDescent="0.2">
      <c r="A29" s="3304"/>
      <c r="B29" s="425" t="s">
        <v>2850</v>
      </c>
      <c r="C29" s="3305">
        <v>45000000000</v>
      </c>
      <c r="D29" s="426">
        <f>C29/C12*100</f>
        <v>3.1237993698814912</v>
      </c>
      <c r="E29" s="426"/>
      <c r="F29" s="426"/>
      <c r="G29" s="705"/>
      <c r="H29" s="426"/>
      <c r="I29" s="426"/>
      <c r="J29" s="3171"/>
      <c r="K29" s="705"/>
      <c r="L29" s="429"/>
      <c r="M29" s="431"/>
    </row>
    <row r="30" spans="1:13" s="432" customFormat="1" ht="15.75" hidden="1" customHeight="1" x14ac:dyDescent="0.2">
      <c r="A30" s="3304"/>
      <c r="B30" s="425" t="s">
        <v>2853</v>
      </c>
      <c r="C30" s="3305">
        <v>15000000000</v>
      </c>
      <c r="D30" s="488">
        <f>C30/C12*100</f>
        <v>1.0412664566271637</v>
      </c>
      <c r="E30" s="488"/>
      <c r="F30" s="488"/>
      <c r="G30" s="705"/>
      <c r="H30" s="705"/>
      <c r="I30" s="488"/>
      <c r="J30" s="3174"/>
      <c r="K30" s="705"/>
      <c r="L30" s="429"/>
      <c r="M30" s="431"/>
    </row>
    <row r="31" spans="1:13" s="432" customFormat="1" ht="17.25" hidden="1" customHeight="1" x14ac:dyDescent="0.2">
      <c r="A31" s="3304"/>
      <c r="B31" s="425" t="s">
        <v>2863</v>
      </c>
      <c r="C31" s="3305">
        <v>5000000000</v>
      </c>
      <c r="D31" s="488">
        <f>C31/C12*100</f>
        <v>0.34708881887572124</v>
      </c>
      <c r="E31" s="488"/>
      <c r="F31" s="488"/>
      <c r="G31" s="705"/>
      <c r="H31" s="488"/>
      <c r="I31" s="488"/>
      <c r="J31" s="3174"/>
      <c r="K31" s="705"/>
      <c r="L31" s="429"/>
      <c r="M31" s="431"/>
    </row>
    <row r="32" spans="1:13" s="432" customFormat="1" ht="15.75" hidden="1" customHeight="1" x14ac:dyDescent="0.2">
      <c r="A32" s="3304"/>
      <c r="B32" s="425" t="s">
        <v>2852</v>
      </c>
      <c r="C32" s="3305">
        <v>10000000000</v>
      </c>
      <c r="D32" s="426">
        <f>C32/C12*100</f>
        <v>0.69417763775144248</v>
      </c>
      <c r="E32" s="426"/>
      <c r="F32" s="426"/>
      <c r="G32" s="705"/>
      <c r="H32" s="705"/>
      <c r="I32" s="426"/>
      <c r="J32" s="3171"/>
      <c r="K32" s="705"/>
      <c r="L32" s="429"/>
      <c r="M32" s="431"/>
    </row>
    <row r="33" spans="1:13" s="432" customFormat="1" ht="20.25" hidden="1" customHeight="1" x14ac:dyDescent="0.2">
      <c r="A33" s="3304"/>
      <c r="B33" s="425" t="s">
        <v>2851</v>
      </c>
      <c r="C33" s="3305">
        <v>10000000000</v>
      </c>
      <c r="D33" s="488">
        <f>C33/C12*100</f>
        <v>0.69417763775144248</v>
      </c>
      <c r="E33" s="488"/>
      <c r="F33" s="488"/>
      <c r="G33" s="488"/>
      <c r="H33" s="488"/>
      <c r="I33" s="488"/>
      <c r="J33" s="3174"/>
      <c r="K33" s="705"/>
      <c r="L33" s="705"/>
      <c r="M33" s="431"/>
    </row>
    <row r="34" spans="1:13" s="432" customFormat="1" ht="15.75" hidden="1" customHeight="1" x14ac:dyDescent="0.2">
      <c r="A34" s="3304"/>
      <c r="B34" s="425" t="s">
        <v>2864</v>
      </c>
      <c r="C34" s="3305">
        <v>13000000000</v>
      </c>
      <c r="D34" s="426">
        <f>C34/C12*100</f>
        <v>0.90243092907687528</v>
      </c>
      <c r="E34" s="426"/>
      <c r="F34" s="426"/>
      <c r="G34" s="426"/>
      <c r="H34" s="426"/>
      <c r="I34" s="426"/>
      <c r="J34" s="3171"/>
      <c r="K34" s="705"/>
      <c r="L34" s="429"/>
      <c r="M34" s="431"/>
    </row>
    <row r="35" spans="1:13" s="432" customFormat="1" ht="15.75" hidden="1" customHeight="1" x14ac:dyDescent="0.2">
      <c r="A35" s="3304"/>
      <c r="B35" s="425" t="s">
        <v>2865</v>
      </c>
      <c r="C35" s="3305">
        <v>15000000000</v>
      </c>
      <c r="D35" s="426">
        <f>C35/C12*100</f>
        <v>1.0412664566271637</v>
      </c>
      <c r="E35" s="426"/>
      <c r="F35" s="426"/>
      <c r="G35" s="426"/>
      <c r="H35" s="426"/>
      <c r="I35" s="426"/>
      <c r="J35" s="3171"/>
      <c r="K35" s="705"/>
      <c r="L35" s="429"/>
      <c r="M35" s="431"/>
    </row>
    <row r="36" spans="1:13" s="432" customFormat="1" ht="15.75" hidden="1" customHeight="1" x14ac:dyDescent="0.2">
      <c r="A36" s="3304"/>
      <c r="B36" s="425" t="s">
        <v>2866</v>
      </c>
      <c r="C36" s="3305">
        <v>30000000000</v>
      </c>
      <c r="D36" s="426">
        <f>C36/C12*100</f>
        <v>2.0825329132543273</v>
      </c>
      <c r="E36" s="426"/>
      <c r="F36" s="426"/>
      <c r="G36" s="426"/>
      <c r="H36" s="426"/>
      <c r="I36" s="426"/>
      <c r="J36" s="3171"/>
      <c r="K36" s="705"/>
      <c r="L36" s="429"/>
      <c r="M36" s="431"/>
    </row>
    <row r="37" spans="1:13" s="432" customFormat="1" ht="15.75" hidden="1" customHeight="1" x14ac:dyDescent="0.2">
      <c r="A37" s="3304"/>
      <c r="B37" s="425" t="s">
        <v>2867</v>
      </c>
      <c r="C37" s="3305">
        <v>7000000000</v>
      </c>
      <c r="D37" s="426">
        <f>C37/C12*100</f>
        <v>0.48592434642600973</v>
      </c>
      <c r="E37" s="426"/>
      <c r="F37" s="426"/>
      <c r="G37" s="426"/>
      <c r="H37" s="426"/>
      <c r="I37" s="426"/>
      <c r="J37" s="3171"/>
      <c r="K37" s="705"/>
      <c r="L37" s="429"/>
      <c r="M37" s="431"/>
    </row>
    <row r="38" spans="1:13" s="432" customFormat="1" ht="17.25" hidden="1" customHeight="1" x14ac:dyDescent="0.2">
      <c r="A38" s="3304"/>
      <c r="B38" s="425" t="s">
        <v>2750</v>
      </c>
      <c r="C38" s="3305">
        <v>5000000000</v>
      </c>
      <c r="D38" s="426">
        <f>C38/C12*100</f>
        <v>0.34708881887572124</v>
      </c>
      <c r="E38" s="426"/>
      <c r="F38" s="426"/>
      <c r="G38" s="705"/>
      <c r="H38" s="705"/>
      <c r="I38" s="426"/>
      <c r="J38" s="3171"/>
      <c r="K38" s="705"/>
      <c r="L38" s="429"/>
      <c r="M38" s="431"/>
    </row>
    <row r="39" spans="1:13" s="432" customFormat="1" ht="15.75" hidden="1" customHeight="1" x14ac:dyDescent="0.2">
      <c r="A39" s="3304"/>
      <c r="B39" s="425" t="s">
        <v>2751</v>
      </c>
      <c r="C39" s="3305">
        <v>10000000000</v>
      </c>
      <c r="D39" s="426">
        <f>C39/C12*100</f>
        <v>0.69417763775144248</v>
      </c>
      <c r="E39" s="426"/>
      <c r="F39" s="426"/>
      <c r="G39" s="426"/>
      <c r="H39" s="426"/>
      <c r="I39" s="426"/>
      <c r="J39" s="3171"/>
      <c r="K39" s="705"/>
      <c r="L39" s="429"/>
      <c r="M39" s="431"/>
    </row>
    <row r="40" spans="1:13" s="432" customFormat="1" ht="15.75" hidden="1" customHeight="1" x14ac:dyDescent="0.2">
      <c r="A40" s="3304"/>
      <c r="B40" s="425" t="s">
        <v>2868</v>
      </c>
      <c r="C40" s="3298">
        <v>15000000000</v>
      </c>
      <c r="D40" s="426">
        <f>C40/C12*100</f>
        <v>1.0412664566271637</v>
      </c>
      <c r="E40" s="426"/>
      <c r="F40" s="426"/>
      <c r="G40" s="426"/>
      <c r="H40" s="426"/>
      <c r="I40" s="426"/>
      <c r="J40" s="3171"/>
      <c r="K40" s="705"/>
      <c r="L40" s="429"/>
      <c r="M40" s="431"/>
    </row>
    <row r="41" spans="1:13" s="432" customFormat="1" ht="15.75" hidden="1" customHeight="1" x14ac:dyDescent="0.2">
      <c r="A41" s="3304"/>
      <c r="B41" s="425" t="s">
        <v>2869</v>
      </c>
      <c r="C41" s="3298">
        <v>15000000000</v>
      </c>
      <c r="D41" s="426">
        <f>C41/C12*100</f>
        <v>1.0412664566271637</v>
      </c>
      <c r="E41" s="426"/>
      <c r="F41" s="426"/>
      <c r="G41" s="426"/>
      <c r="H41" s="426"/>
      <c r="I41" s="426"/>
      <c r="J41" s="3171"/>
      <c r="K41" s="705"/>
      <c r="L41" s="429"/>
      <c r="M41" s="431"/>
    </row>
    <row r="42" spans="1:13" s="432" customFormat="1" ht="15.75" hidden="1" customHeight="1" x14ac:dyDescent="0.2">
      <c r="A42" s="3304"/>
      <c r="B42" s="425" t="s">
        <v>2752</v>
      </c>
      <c r="C42" s="3298">
        <v>20000000000</v>
      </c>
      <c r="D42" s="426">
        <f>C42/C12*100</f>
        <v>1.388355275502885</v>
      </c>
      <c r="E42" s="426"/>
      <c r="F42" s="426"/>
      <c r="G42" s="426"/>
      <c r="H42" s="426"/>
      <c r="I42" s="426"/>
      <c r="J42" s="3171"/>
      <c r="K42" s="705"/>
      <c r="L42" s="429"/>
      <c r="M42" s="431"/>
    </row>
    <row r="43" spans="1:13" s="432" customFormat="1" ht="16.5" hidden="1" customHeight="1" x14ac:dyDescent="0.2">
      <c r="A43" s="3304"/>
      <c r="B43" s="425" t="s">
        <v>2870</v>
      </c>
      <c r="C43" s="3298">
        <v>20000000000</v>
      </c>
      <c r="D43" s="426">
        <f>C43/C12*100</f>
        <v>1.388355275502885</v>
      </c>
      <c r="E43" s="426"/>
      <c r="F43" s="426"/>
      <c r="G43" s="705"/>
      <c r="H43" s="705"/>
      <c r="I43" s="426"/>
      <c r="J43" s="3171"/>
      <c r="K43" s="429"/>
      <c r="L43" s="429"/>
      <c r="M43" s="431"/>
    </row>
    <row r="44" spans="1:13" s="432" customFormat="1" ht="15.75" hidden="1" customHeight="1" x14ac:dyDescent="0.2">
      <c r="A44" s="3304"/>
      <c r="B44" s="425" t="s">
        <v>2871</v>
      </c>
      <c r="C44" s="3298">
        <v>1000000000</v>
      </c>
      <c r="D44" s="426">
        <f>C44/C12*100</f>
        <v>6.9417763775144248E-2</v>
      </c>
      <c r="E44" s="426"/>
      <c r="F44" s="426"/>
      <c r="G44" s="705"/>
      <c r="H44" s="705"/>
      <c r="I44" s="426"/>
      <c r="J44" s="3171"/>
      <c r="K44" s="429"/>
      <c r="L44" s="429"/>
      <c r="M44" s="431"/>
    </row>
    <row r="45" spans="1:13" s="432" customFormat="1" ht="16.5" hidden="1" customHeight="1" x14ac:dyDescent="0.2">
      <c r="A45" s="3304"/>
      <c r="B45" s="425" t="s">
        <v>2872</v>
      </c>
      <c r="C45" s="3298">
        <v>5000000000</v>
      </c>
      <c r="D45" s="426">
        <f>C45/C12*100</f>
        <v>0.34708881887572124</v>
      </c>
      <c r="E45" s="426"/>
      <c r="F45" s="426"/>
      <c r="G45" s="705"/>
      <c r="H45" s="705"/>
      <c r="I45" s="426"/>
      <c r="J45" s="3171"/>
      <c r="K45" s="429"/>
      <c r="L45" s="429"/>
      <c r="M45" s="431"/>
    </row>
    <row r="46" spans="1:13" s="432" customFormat="1" ht="15.75" hidden="1" customHeight="1" x14ac:dyDescent="0.2">
      <c r="A46" s="3304"/>
      <c r="B46" s="425" t="s">
        <v>2873</v>
      </c>
      <c r="C46" s="3298">
        <v>20000000000</v>
      </c>
      <c r="D46" s="426">
        <f>C46/C12*100</f>
        <v>1.388355275502885</v>
      </c>
      <c r="E46" s="426"/>
      <c r="F46" s="426"/>
      <c r="G46" s="705"/>
      <c r="H46" s="705"/>
      <c r="I46" s="426"/>
      <c r="J46" s="3171"/>
      <c r="K46" s="429"/>
      <c r="L46" s="429"/>
      <c r="M46" s="431"/>
    </row>
    <row r="47" spans="1:13" s="432" customFormat="1" ht="14.25" hidden="1" customHeight="1" x14ac:dyDescent="0.2">
      <c r="A47" s="3304"/>
      <c r="B47" s="425" t="s">
        <v>2874</v>
      </c>
      <c r="C47" s="3298">
        <v>10000000000</v>
      </c>
      <c r="D47" s="426">
        <f>C47/C12*100</f>
        <v>0.69417763775144248</v>
      </c>
      <c r="E47" s="426"/>
      <c r="F47" s="426"/>
      <c r="G47" s="705"/>
      <c r="H47" s="705"/>
      <c r="I47" s="426"/>
      <c r="J47" s="3171"/>
      <c r="K47" s="429"/>
      <c r="L47" s="429"/>
      <c r="M47" s="431"/>
    </row>
    <row r="48" spans="1:13" s="432" customFormat="1" ht="15.75" hidden="1" customHeight="1" x14ac:dyDescent="0.2">
      <c r="A48" s="3304"/>
      <c r="B48" s="425" t="s">
        <v>2875</v>
      </c>
      <c r="C48" s="3298">
        <v>5000000000</v>
      </c>
      <c r="D48" s="426">
        <f>C48/C12*100</f>
        <v>0.34708881887572124</v>
      </c>
      <c r="E48" s="426"/>
      <c r="F48" s="426"/>
      <c r="G48" s="705"/>
      <c r="H48" s="705"/>
      <c r="I48" s="426"/>
      <c r="J48" s="3171"/>
      <c r="K48" s="429"/>
      <c r="L48" s="429"/>
      <c r="M48" s="431"/>
    </row>
    <row r="49" spans="1:13" s="432" customFormat="1" ht="16.5" hidden="1" customHeight="1" x14ac:dyDescent="0.2">
      <c r="A49" s="3304"/>
      <c r="B49" s="425" t="s">
        <v>2876</v>
      </c>
      <c r="C49" s="3298">
        <v>10000000000</v>
      </c>
      <c r="D49" s="426">
        <f>C49/C12*100</f>
        <v>0.69417763775144248</v>
      </c>
      <c r="E49" s="426"/>
      <c r="F49" s="426"/>
      <c r="G49" s="705"/>
      <c r="H49" s="705"/>
      <c r="I49" s="426"/>
      <c r="J49" s="3171"/>
      <c r="K49" s="429"/>
      <c r="L49" s="429"/>
      <c r="M49" s="431"/>
    </row>
    <row r="50" spans="1:13" s="432" customFormat="1" ht="18.75" hidden="1" customHeight="1" x14ac:dyDescent="0.2">
      <c r="A50" s="3304"/>
      <c r="B50" s="425" t="s">
        <v>2877</v>
      </c>
      <c r="C50" s="3298">
        <v>15000000000</v>
      </c>
      <c r="D50" s="426">
        <f>C50/C12*100</f>
        <v>1.0412664566271637</v>
      </c>
      <c r="E50" s="426"/>
      <c r="F50" s="426"/>
      <c r="G50" s="705"/>
      <c r="H50" s="705"/>
      <c r="I50" s="426"/>
      <c r="J50" s="3171"/>
      <c r="K50" s="429"/>
      <c r="L50" s="429"/>
      <c r="M50" s="431"/>
    </row>
    <row r="51" spans="1:13" s="432" customFormat="1" ht="14.25" hidden="1" customHeight="1" x14ac:dyDescent="0.2">
      <c r="A51" s="424"/>
      <c r="B51" s="425"/>
      <c r="C51" s="426"/>
      <c r="D51" s="427"/>
      <c r="E51" s="426"/>
      <c r="F51" s="426"/>
      <c r="G51" s="705"/>
      <c r="H51" s="705"/>
      <c r="I51" s="426"/>
      <c r="J51" s="3171"/>
      <c r="K51" s="429"/>
      <c r="L51" s="429"/>
      <c r="M51" s="431"/>
    </row>
    <row r="52" spans="1:13" s="414" customFormat="1" ht="20.25" hidden="1" customHeight="1" x14ac:dyDescent="0.25">
      <c r="A52" s="415"/>
      <c r="B52" s="433" t="s">
        <v>1430</v>
      </c>
      <c r="C52" s="434">
        <f>SUM(C53:C89)</f>
        <v>419125000000</v>
      </c>
      <c r="D52" s="448">
        <f>C52/C12*100</f>
        <v>29.094720242257331</v>
      </c>
      <c r="E52" s="434"/>
      <c r="F52" s="434"/>
      <c r="G52" s="703"/>
      <c r="H52" s="703"/>
      <c r="I52" s="493"/>
      <c r="J52" s="3176"/>
      <c r="K52" s="703"/>
      <c r="L52" s="703"/>
      <c r="M52" s="423"/>
    </row>
    <row r="53" spans="1:13" s="394" customFormat="1" ht="18" hidden="1" customHeight="1" x14ac:dyDescent="0.25">
      <c r="A53" s="424"/>
      <c r="B53" s="3299" t="s">
        <v>2878</v>
      </c>
      <c r="C53" s="3305">
        <v>20000000000</v>
      </c>
      <c r="D53" s="426">
        <f>C53/C12*100</f>
        <v>1.388355275502885</v>
      </c>
      <c r="E53" s="426"/>
      <c r="F53" s="426"/>
      <c r="G53" s="426"/>
      <c r="H53" s="426"/>
      <c r="I53" s="426"/>
      <c r="J53" s="3171"/>
      <c r="K53" s="705"/>
      <c r="L53" s="429"/>
      <c r="M53" s="431"/>
    </row>
    <row r="54" spans="1:13" s="394" customFormat="1" ht="16.5" hidden="1" customHeight="1" x14ac:dyDescent="0.25">
      <c r="A54" s="424"/>
      <c r="B54" s="3299" t="s">
        <v>2879</v>
      </c>
      <c r="C54" s="3305">
        <v>25000000000</v>
      </c>
      <c r="D54" s="426">
        <f>C54/C12*100</f>
        <v>1.7354440943786063</v>
      </c>
      <c r="E54" s="426"/>
      <c r="F54" s="426"/>
      <c r="G54" s="426"/>
      <c r="H54" s="426"/>
      <c r="I54" s="426"/>
      <c r="J54" s="428"/>
      <c r="K54" s="705"/>
      <c r="L54" s="430"/>
      <c r="M54" s="431"/>
    </row>
    <row r="55" spans="1:13" s="394" customFormat="1" ht="18.75" hidden="1" customHeight="1" x14ac:dyDescent="0.25">
      <c r="A55" s="424"/>
      <c r="B55" s="3299" t="s">
        <v>2880</v>
      </c>
      <c r="C55" s="3305">
        <v>20000000000</v>
      </c>
      <c r="D55" s="426">
        <f>C55/C12*100</f>
        <v>1.388355275502885</v>
      </c>
      <c r="E55" s="426"/>
      <c r="F55" s="428"/>
      <c r="G55" s="705"/>
      <c r="H55" s="426"/>
      <c r="I55" s="488"/>
      <c r="J55" s="3170"/>
      <c r="K55" s="705"/>
      <c r="L55" s="430"/>
      <c r="M55" s="431"/>
    </row>
    <row r="56" spans="1:13" s="394" customFormat="1" ht="18.75" hidden="1" customHeight="1" x14ac:dyDescent="0.25">
      <c r="A56" s="424"/>
      <c r="B56" s="3299" t="s">
        <v>2881</v>
      </c>
      <c r="C56" s="3305">
        <v>7000000000</v>
      </c>
      <c r="D56" s="426">
        <f>C56/C12*100</f>
        <v>0.48592434642600973</v>
      </c>
      <c r="E56" s="426"/>
      <c r="F56" s="426"/>
      <c r="G56" s="426"/>
      <c r="H56" s="426"/>
      <c r="I56" s="488"/>
      <c r="J56" s="3170"/>
      <c r="K56" s="705"/>
      <c r="L56" s="430"/>
      <c r="M56" s="431"/>
    </row>
    <row r="57" spans="1:13" s="394" customFormat="1" ht="15" hidden="1" customHeight="1" x14ac:dyDescent="0.25">
      <c r="A57" s="424"/>
      <c r="B57" s="3299" t="s">
        <v>2882</v>
      </c>
      <c r="C57" s="3305">
        <v>50000000000</v>
      </c>
      <c r="D57" s="426">
        <f>C57/C12*100</f>
        <v>3.4708881887572125</v>
      </c>
      <c r="E57" s="426"/>
      <c r="F57" s="426"/>
      <c r="G57" s="426"/>
      <c r="H57" s="426"/>
      <c r="I57" s="426"/>
      <c r="J57" s="428"/>
      <c r="K57" s="705"/>
      <c r="L57" s="430"/>
      <c r="M57" s="431"/>
    </row>
    <row r="58" spans="1:13" s="394" customFormat="1" ht="18.75" hidden="1" customHeight="1" x14ac:dyDescent="0.25">
      <c r="A58" s="424"/>
      <c r="B58" s="3299" t="s">
        <v>2883</v>
      </c>
      <c r="C58" s="3305">
        <v>20000000000</v>
      </c>
      <c r="D58" s="426">
        <f>C58/C12*100</f>
        <v>1.388355275502885</v>
      </c>
      <c r="E58" s="426"/>
      <c r="F58" s="426"/>
      <c r="G58" s="426"/>
      <c r="H58" s="426"/>
      <c r="I58" s="426"/>
      <c r="J58" s="428"/>
      <c r="K58" s="705"/>
      <c r="L58" s="430"/>
      <c r="M58" s="431"/>
    </row>
    <row r="59" spans="1:13" s="394" customFormat="1" ht="32.25" hidden="1" customHeight="1" x14ac:dyDescent="0.25">
      <c r="A59" s="424"/>
      <c r="B59" s="425" t="s">
        <v>2884</v>
      </c>
      <c r="C59" s="3305">
        <v>20000000000</v>
      </c>
      <c r="D59" s="488">
        <f>C59/C12*100</f>
        <v>1.388355275502885</v>
      </c>
      <c r="E59" s="488"/>
      <c r="F59" s="488"/>
      <c r="G59" s="488"/>
      <c r="H59" s="488"/>
      <c r="I59" s="488"/>
      <c r="J59" s="3170"/>
      <c r="K59" s="705"/>
      <c r="L59" s="707"/>
      <c r="M59" s="431"/>
    </row>
    <row r="60" spans="1:13" s="394" customFormat="1" ht="15" hidden="1" customHeight="1" x14ac:dyDescent="0.25">
      <c r="A60" s="424"/>
      <c r="B60" s="3299" t="s">
        <v>2885</v>
      </c>
      <c r="C60" s="3305">
        <v>12000000000</v>
      </c>
      <c r="D60" s="426">
        <f>C60/C12*100</f>
        <v>0.83301316530173097</v>
      </c>
      <c r="E60" s="426"/>
      <c r="F60" s="426"/>
      <c r="G60" s="426"/>
      <c r="H60" s="426"/>
      <c r="I60" s="426"/>
      <c r="J60" s="428"/>
      <c r="K60" s="705"/>
      <c r="L60" s="430"/>
      <c r="M60" s="431"/>
    </row>
    <row r="61" spans="1:13" s="394" customFormat="1" ht="15.75" hidden="1" customHeight="1" x14ac:dyDescent="0.25">
      <c r="A61" s="424"/>
      <c r="B61" s="3299" t="s">
        <v>2886</v>
      </c>
      <c r="C61" s="3305">
        <v>3000000000</v>
      </c>
      <c r="D61" s="426">
        <f>C61/C12*100</f>
        <v>0.20825329132543274</v>
      </c>
      <c r="E61" s="426"/>
      <c r="F61" s="426"/>
      <c r="G61" s="426"/>
      <c r="H61" s="426"/>
      <c r="I61" s="426"/>
      <c r="J61" s="428"/>
      <c r="K61" s="705"/>
      <c r="L61" s="430"/>
      <c r="M61" s="431"/>
    </row>
    <row r="62" spans="1:13" s="394" customFormat="1" ht="15" hidden="1" customHeight="1" x14ac:dyDescent="0.25">
      <c r="A62" s="424"/>
      <c r="B62" s="3299" t="s">
        <v>2753</v>
      </c>
      <c r="C62" s="3305">
        <v>10000000000</v>
      </c>
      <c r="D62" s="426">
        <f>C62/C12*100</f>
        <v>0.69417763775144248</v>
      </c>
      <c r="E62" s="426"/>
      <c r="F62" s="426"/>
      <c r="G62" s="426"/>
      <c r="H62" s="426"/>
      <c r="I62" s="426"/>
      <c r="J62" s="428"/>
      <c r="K62" s="705"/>
      <c r="L62" s="430"/>
      <c r="M62" s="431"/>
    </row>
    <row r="63" spans="1:13" s="394" customFormat="1" ht="18.75" hidden="1" customHeight="1" x14ac:dyDescent="0.25">
      <c r="A63" s="424"/>
      <c r="B63" s="3299" t="s">
        <v>2754</v>
      </c>
      <c r="C63" s="3305">
        <v>8000000000</v>
      </c>
      <c r="D63" s="426">
        <f>C63/C12*100</f>
        <v>0.55534211020115398</v>
      </c>
      <c r="E63" s="426"/>
      <c r="F63" s="428"/>
      <c r="G63" s="705"/>
      <c r="H63" s="705"/>
      <c r="I63" s="426"/>
      <c r="J63" s="428"/>
      <c r="K63" s="705"/>
      <c r="L63" s="430"/>
      <c r="M63" s="431"/>
    </row>
    <row r="64" spans="1:13" s="394" customFormat="1" ht="17.25" hidden="1" customHeight="1" x14ac:dyDescent="0.25">
      <c r="A64" s="424"/>
      <c r="B64" s="3299" t="s">
        <v>2755</v>
      </c>
      <c r="C64" s="3305">
        <v>8000000000</v>
      </c>
      <c r="D64" s="480">
        <f>C64/C12*100</f>
        <v>0.55534211020115398</v>
      </c>
      <c r="E64" s="480"/>
      <c r="F64" s="480"/>
      <c r="G64" s="480"/>
      <c r="H64" s="480"/>
      <c r="I64" s="480"/>
      <c r="J64" s="3177"/>
      <c r="K64" s="705"/>
      <c r="L64" s="707"/>
      <c r="M64" s="431"/>
    </row>
    <row r="65" spans="1:13" s="394" customFormat="1" ht="19.5" hidden="1" customHeight="1" x14ac:dyDescent="0.25">
      <c r="A65" s="424"/>
      <c r="B65" s="3299" t="s">
        <v>2756</v>
      </c>
      <c r="C65" s="3305">
        <v>8000000000</v>
      </c>
      <c r="D65" s="488">
        <f>C65/C12*100</f>
        <v>0.55534211020115398</v>
      </c>
      <c r="E65" s="488"/>
      <c r="F65" s="488"/>
      <c r="G65" s="488"/>
      <c r="H65" s="488"/>
      <c r="I65" s="488"/>
      <c r="J65" s="3174"/>
      <c r="K65" s="705"/>
      <c r="L65" s="488"/>
      <c r="M65" s="431"/>
    </row>
    <row r="66" spans="1:13" s="394" customFormat="1" ht="32.25" hidden="1" customHeight="1" x14ac:dyDescent="0.25">
      <c r="A66" s="424"/>
      <c r="B66" s="425" t="s">
        <v>2887</v>
      </c>
      <c r="C66" s="3305">
        <v>15000000000</v>
      </c>
      <c r="D66" s="426">
        <f>C66/C12*100</f>
        <v>1.0412664566271637</v>
      </c>
      <c r="E66" s="426"/>
      <c r="F66" s="428"/>
      <c r="G66" s="705"/>
      <c r="H66" s="426"/>
      <c r="I66" s="426"/>
      <c r="J66" s="428"/>
      <c r="K66" s="705"/>
      <c r="L66" s="707"/>
      <c r="M66" s="431"/>
    </row>
    <row r="67" spans="1:13" s="394" customFormat="1" ht="18.75" hidden="1" customHeight="1" x14ac:dyDescent="0.25">
      <c r="A67" s="424"/>
      <c r="B67" s="3299" t="s">
        <v>2888</v>
      </c>
      <c r="C67" s="3305">
        <v>15000000000</v>
      </c>
      <c r="D67" s="480">
        <f>C67/C12*100</f>
        <v>1.0412664566271637</v>
      </c>
      <c r="E67" s="480"/>
      <c r="F67" s="480"/>
      <c r="G67" s="480"/>
      <c r="H67" s="480"/>
      <c r="I67" s="480"/>
      <c r="J67" s="3170"/>
      <c r="K67" s="705"/>
      <c r="L67" s="707"/>
      <c r="M67" s="431"/>
    </row>
    <row r="68" spans="1:13" s="394" customFormat="1" ht="18.75" hidden="1" customHeight="1" x14ac:dyDescent="0.25">
      <c r="A68" s="424"/>
      <c r="B68" s="3299" t="s">
        <v>2889</v>
      </c>
      <c r="C68" s="3305">
        <v>15000000000</v>
      </c>
      <c r="D68" s="426">
        <f>C68/C12*100</f>
        <v>1.0412664566271637</v>
      </c>
      <c r="E68" s="426"/>
      <c r="F68" s="426"/>
      <c r="G68" s="426"/>
      <c r="H68" s="426"/>
      <c r="I68" s="426"/>
      <c r="J68" s="428"/>
      <c r="K68" s="705"/>
      <c r="L68" s="707"/>
      <c r="M68" s="431"/>
    </row>
    <row r="69" spans="1:13" s="394" customFormat="1" ht="18" hidden="1" customHeight="1" x14ac:dyDescent="0.25">
      <c r="A69" s="424"/>
      <c r="B69" s="3299" t="s">
        <v>2890</v>
      </c>
      <c r="C69" s="3305">
        <v>10000000000</v>
      </c>
      <c r="D69" s="426">
        <f>C69/C12*100</f>
        <v>0.69417763775144248</v>
      </c>
      <c r="E69" s="426"/>
      <c r="F69" s="428"/>
      <c r="G69" s="705"/>
      <c r="H69" s="705"/>
      <c r="I69" s="426"/>
      <c r="J69" s="428"/>
      <c r="K69" s="705"/>
      <c r="L69" s="707"/>
      <c r="M69" s="431"/>
    </row>
    <row r="70" spans="1:13" s="394" customFormat="1" ht="18.75" hidden="1" customHeight="1" x14ac:dyDescent="0.25">
      <c r="A70" s="424"/>
      <c r="B70" s="3299" t="s">
        <v>2891</v>
      </c>
      <c r="C70" s="3305">
        <v>5000000000</v>
      </c>
      <c r="D70" s="426">
        <f>C70/C12*100</f>
        <v>0.34708881887572124</v>
      </c>
      <c r="E70" s="426"/>
      <c r="F70" s="428"/>
      <c r="G70" s="705"/>
      <c r="H70" s="705"/>
      <c r="I70" s="426"/>
      <c r="J70" s="428"/>
      <c r="K70" s="705"/>
      <c r="L70" s="707"/>
      <c r="M70" s="431"/>
    </row>
    <row r="71" spans="1:13" s="394" customFormat="1" ht="17.25" hidden="1" customHeight="1" x14ac:dyDescent="0.25">
      <c r="A71" s="424"/>
      <c r="B71" s="3299" t="s">
        <v>2892</v>
      </c>
      <c r="C71" s="3305">
        <v>3000000000</v>
      </c>
      <c r="D71" s="426">
        <f>C71/C12*100</f>
        <v>0.20825329132543274</v>
      </c>
      <c r="E71" s="426"/>
      <c r="F71" s="426"/>
      <c r="G71" s="426"/>
      <c r="H71" s="426"/>
      <c r="I71" s="426"/>
      <c r="J71" s="428"/>
      <c r="K71" s="705"/>
      <c r="L71" s="707"/>
      <c r="M71" s="431"/>
    </row>
    <row r="72" spans="1:13" s="394" customFormat="1" ht="20.25" hidden="1" customHeight="1" x14ac:dyDescent="0.25">
      <c r="A72" s="424"/>
      <c r="B72" s="3299" t="s">
        <v>2893</v>
      </c>
      <c r="C72" s="3305">
        <v>4000000000</v>
      </c>
      <c r="D72" s="480">
        <f>C72/C12*100</f>
        <v>0.27767105510057699</v>
      </c>
      <c r="E72" s="480"/>
      <c r="F72" s="3177"/>
      <c r="G72" s="3172"/>
      <c r="H72" s="3172"/>
      <c r="I72" s="480"/>
      <c r="J72" s="3170"/>
      <c r="K72" s="705"/>
      <c r="L72" s="707"/>
      <c r="M72" s="431"/>
    </row>
    <row r="73" spans="1:13" s="394" customFormat="1" ht="17.25" hidden="1" customHeight="1" x14ac:dyDescent="0.25">
      <c r="A73" s="424"/>
      <c r="B73" s="3299" t="s">
        <v>2894</v>
      </c>
      <c r="C73" s="3305">
        <v>12000000000</v>
      </c>
      <c r="D73" s="480">
        <f>C73/C12*100</f>
        <v>0.83301316530173097</v>
      </c>
      <c r="E73" s="480"/>
      <c r="F73" s="480"/>
      <c r="G73" s="480"/>
      <c r="H73" s="480"/>
      <c r="I73" s="480"/>
      <c r="J73" s="3177"/>
      <c r="K73" s="705"/>
      <c r="L73" s="707"/>
      <c r="M73" s="431"/>
    </row>
    <row r="74" spans="1:13" s="394" customFormat="1" ht="15.75" hidden="1" customHeight="1" x14ac:dyDescent="0.25">
      <c r="A74" s="424"/>
      <c r="B74" s="3299" t="s">
        <v>2895</v>
      </c>
      <c r="C74" s="3305">
        <v>10000000000</v>
      </c>
      <c r="D74" s="480">
        <f>C74/C12*100</f>
        <v>0.69417763775144248</v>
      </c>
      <c r="E74" s="480"/>
      <c r="F74" s="480"/>
      <c r="G74" s="480"/>
      <c r="H74" s="480"/>
      <c r="I74" s="480"/>
      <c r="J74" s="3173"/>
      <c r="K74" s="480"/>
      <c r="L74" s="480"/>
      <c r="M74" s="431"/>
    </row>
    <row r="75" spans="1:13" s="394" customFormat="1" ht="17.25" hidden="1" customHeight="1" x14ac:dyDescent="0.25">
      <c r="A75" s="424"/>
      <c r="B75" s="3299" t="s">
        <v>2757</v>
      </c>
      <c r="C75" s="3305">
        <v>7000000000</v>
      </c>
      <c r="D75" s="426">
        <f>C75/C12*100</f>
        <v>0.48592434642600973</v>
      </c>
      <c r="E75" s="426"/>
      <c r="F75" s="426"/>
      <c r="G75" s="426"/>
      <c r="H75" s="426"/>
      <c r="I75" s="426"/>
      <c r="J75" s="428"/>
      <c r="K75" s="705"/>
      <c r="L75" s="707"/>
      <c r="M75" s="431"/>
    </row>
    <row r="76" spans="1:13" s="394" customFormat="1" ht="15.75" hidden="1" customHeight="1" x14ac:dyDescent="0.25">
      <c r="A76" s="424"/>
      <c r="B76" s="3299" t="s">
        <v>2896</v>
      </c>
      <c r="C76" s="3305">
        <v>5000000000</v>
      </c>
      <c r="D76" s="426">
        <f>C76/C12*100</f>
        <v>0.34708881887572124</v>
      </c>
      <c r="E76" s="426"/>
      <c r="F76" s="426"/>
      <c r="G76" s="426"/>
      <c r="H76" s="426"/>
      <c r="I76" s="426"/>
      <c r="J76" s="428"/>
      <c r="K76" s="705"/>
      <c r="L76" s="707"/>
      <c r="M76" s="431"/>
    </row>
    <row r="77" spans="1:13" s="394" customFormat="1" ht="14.25" hidden="1" customHeight="1" x14ac:dyDescent="0.25">
      <c r="A77" s="424"/>
      <c r="B77" s="3299" t="s">
        <v>2897</v>
      </c>
      <c r="C77" s="3305">
        <v>5000000000</v>
      </c>
      <c r="D77" s="426">
        <f>C77/C12*100</f>
        <v>0.34708881887572124</v>
      </c>
      <c r="E77" s="426"/>
      <c r="F77" s="428"/>
      <c r="G77" s="705"/>
      <c r="H77" s="705"/>
      <c r="I77" s="426"/>
      <c r="J77" s="428"/>
      <c r="K77" s="705"/>
      <c r="L77" s="707"/>
      <c r="M77" s="431"/>
    </row>
    <row r="78" spans="1:13" s="394" customFormat="1" ht="16.5" hidden="1" customHeight="1" x14ac:dyDescent="0.25">
      <c r="A78" s="424"/>
      <c r="B78" s="3299" t="s">
        <v>2898</v>
      </c>
      <c r="C78" s="3305">
        <v>5000000000</v>
      </c>
      <c r="D78" s="426">
        <f>C78/C12*100</f>
        <v>0.34708881887572124</v>
      </c>
      <c r="E78" s="426"/>
      <c r="F78" s="426"/>
      <c r="G78" s="426"/>
      <c r="H78" s="426"/>
      <c r="I78" s="426"/>
      <c r="J78" s="428"/>
      <c r="K78" s="705"/>
      <c r="L78" s="707"/>
      <c r="M78" s="431"/>
    </row>
    <row r="79" spans="1:13" s="394" customFormat="1" ht="17.25" hidden="1" customHeight="1" x14ac:dyDescent="0.25">
      <c r="A79" s="424"/>
      <c r="B79" s="3299" t="s">
        <v>2758</v>
      </c>
      <c r="C79" s="3305">
        <v>3000000000</v>
      </c>
      <c r="D79" s="426">
        <f>C79/C12*100</f>
        <v>0.20825329132543274</v>
      </c>
      <c r="E79" s="426"/>
      <c r="F79" s="428"/>
      <c r="G79" s="705"/>
      <c r="H79" s="705"/>
      <c r="I79" s="426"/>
      <c r="J79" s="428"/>
      <c r="K79" s="705"/>
      <c r="L79" s="707"/>
      <c r="M79" s="431"/>
    </row>
    <row r="80" spans="1:13" s="394" customFormat="1" ht="15" hidden="1" customHeight="1" x14ac:dyDescent="0.25">
      <c r="A80" s="424"/>
      <c r="B80" s="3299" t="s">
        <v>2899</v>
      </c>
      <c r="C80" s="3305">
        <v>10000000000</v>
      </c>
      <c r="D80" s="426">
        <f>C80/C12*100</f>
        <v>0.69417763775144248</v>
      </c>
      <c r="E80" s="426"/>
      <c r="F80" s="428"/>
      <c r="G80" s="705"/>
      <c r="H80" s="705"/>
      <c r="I80" s="426"/>
      <c r="J80" s="428"/>
      <c r="K80" s="705"/>
      <c r="L80" s="707"/>
      <c r="M80" s="431"/>
    </row>
    <row r="81" spans="1:13" s="394" customFormat="1" ht="15" hidden="1" customHeight="1" x14ac:dyDescent="0.25">
      <c r="A81" s="424"/>
      <c r="B81" s="3299" t="s">
        <v>2759</v>
      </c>
      <c r="C81" s="3305">
        <v>8000000000</v>
      </c>
      <c r="D81" s="426">
        <f>C81/C12*100</f>
        <v>0.55534211020115398</v>
      </c>
      <c r="E81" s="426"/>
      <c r="F81" s="426"/>
      <c r="G81" s="426"/>
      <c r="H81" s="426"/>
      <c r="I81" s="426"/>
      <c r="J81" s="428"/>
      <c r="K81" s="705"/>
      <c r="L81" s="707"/>
      <c r="M81" s="431"/>
    </row>
    <row r="82" spans="1:13" s="394" customFormat="1" ht="15" hidden="1" customHeight="1" x14ac:dyDescent="0.25">
      <c r="A82" s="424"/>
      <c r="B82" s="3299" t="s">
        <v>2900</v>
      </c>
      <c r="C82" s="3305">
        <v>6000000000</v>
      </c>
      <c r="D82" s="426">
        <f>C82/C12*100</f>
        <v>0.41650658265086549</v>
      </c>
      <c r="E82" s="426"/>
      <c r="F82" s="426"/>
      <c r="G82" s="426"/>
      <c r="H82" s="426"/>
      <c r="I82" s="426"/>
      <c r="J82" s="3171"/>
      <c r="K82" s="426"/>
      <c r="L82" s="426"/>
      <c r="M82" s="431"/>
    </row>
    <row r="83" spans="1:13" s="394" customFormat="1" ht="16.5" hidden="1" customHeight="1" x14ac:dyDescent="0.25">
      <c r="A83" s="424"/>
      <c r="B83" s="3299" t="s">
        <v>2901</v>
      </c>
      <c r="C83" s="3305">
        <v>3000000000</v>
      </c>
      <c r="D83" s="426">
        <f>C83/C12*100</f>
        <v>0.20825329132543274</v>
      </c>
      <c r="E83" s="426"/>
      <c r="F83" s="426"/>
      <c r="G83" s="426"/>
      <c r="H83" s="426"/>
      <c r="I83" s="426"/>
      <c r="J83" s="3171"/>
      <c r="K83" s="426"/>
      <c r="L83" s="426"/>
      <c r="M83" s="431"/>
    </row>
    <row r="84" spans="1:13" s="394" customFormat="1" ht="20.25" hidden="1" customHeight="1" x14ac:dyDescent="0.25">
      <c r="A84" s="424"/>
      <c r="B84" s="3299" t="s">
        <v>2902</v>
      </c>
      <c r="C84" s="3305">
        <v>10000000000</v>
      </c>
      <c r="D84" s="488">
        <f>C84/C12*100</f>
        <v>0.69417763775144248</v>
      </c>
      <c r="E84" s="488"/>
      <c r="F84" s="488"/>
      <c r="G84" s="488"/>
      <c r="H84" s="488"/>
      <c r="I84" s="488"/>
      <c r="J84" s="3170"/>
      <c r="K84" s="705"/>
      <c r="L84" s="707"/>
      <c r="M84" s="431"/>
    </row>
    <row r="85" spans="1:13" s="394" customFormat="1" ht="17.25" hidden="1" customHeight="1" x14ac:dyDescent="0.25">
      <c r="A85" s="424"/>
      <c r="B85" s="3299" t="s">
        <v>2903</v>
      </c>
      <c r="C85" s="3305">
        <v>20000000000</v>
      </c>
      <c r="D85" s="426">
        <f>C85/C12*100</f>
        <v>1.388355275502885</v>
      </c>
      <c r="E85" s="426"/>
      <c r="F85" s="426"/>
      <c r="G85" s="426"/>
      <c r="H85" s="426"/>
      <c r="I85" s="426"/>
      <c r="J85" s="428"/>
      <c r="K85" s="705"/>
      <c r="L85" s="707"/>
      <c r="M85" s="431"/>
    </row>
    <row r="86" spans="1:13" s="394" customFormat="1" ht="17.25" hidden="1" customHeight="1" x14ac:dyDescent="0.25">
      <c r="A86" s="424"/>
      <c r="B86" s="3299" t="s">
        <v>2904</v>
      </c>
      <c r="C86" s="3305">
        <v>5000000000</v>
      </c>
      <c r="D86" s="426">
        <f>C86/C12*100</f>
        <v>0.34708881887572124</v>
      </c>
      <c r="E86" s="426"/>
      <c r="F86" s="426"/>
      <c r="G86" s="426"/>
      <c r="H86" s="426"/>
      <c r="I86" s="488"/>
      <c r="J86" s="3170"/>
      <c r="K86" s="705"/>
      <c r="L86" s="707"/>
      <c r="M86" s="431"/>
    </row>
    <row r="87" spans="1:13" s="394" customFormat="1" ht="18.75" hidden="1" customHeight="1" x14ac:dyDescent="0.25">
      <c r="A87" s="424"/>
      <c r="B87" s="3299" t="s">
        <v>2905</v>
      </c>
      <c r="C87" s="3305">
        <v>2125000000</v>
      </c>
      <c r="D87" s="426">
        <f>C87/C12*100</f>
        <v>0.14751274802218153</v>
      </c>
      <c r="E87" s="426"/>
      <c r="F87" s="428"/>
      <c r="G87" s="705"/>
      <c r="H87" s="705"/>
      <c r="I87" s="426"/>
      <c r="J87" s="428"/>
      <c r="K87" s="407"/>
      <c r="L87" s="407"/>
      <c r="M87" s="431"/>
    </row>
    <row r="88" spans="1:13" s="414" customFormat="1" ht="20.25" hidden="1" customHeight="1" x14ac:dyDescent="0.25">
      <c r="A88" s="415"/>
      <c r="B88" s="3299" t="s">
        <v>2906</v>
      </c>
      <c r="C88" s="3305">
        <v>10000000000</v>
      </c>
      <c r="D88" s="495">
        <f>C88/C12*100</f>
        <v>0.69417763775144248</v>
      </c>
      <c r="E88" s="493"/>
      <c r="F88" s="493"/>
      <c r="G88" s="703"/>
      <c r="H88" s="704"/>
      <c r="I88" s="484"/>
      <c r="J88" s="3178"/>
      <c r="K88" s="703"/>
      <c r="L88" s="703"/>
      <c r="M88" s="423"/>
    </row>
    <row r="89" spans="1:13" s="394" customFormat="1" ht="22.5" hidden="1" customHeight="1" x14ac:dyDescent="0.25">
      <c r="A89" s="424"/>
      <c r="B89" s="3299" t="s">
        <v>2907</v>
      </c>
      <c r="C89" s="3305">
        <v>20000000000</v>
      </c>
      <c r="D89" s="488">
        <f>C89/C12*100</f>
        <v>1.388355275502885</v>
      </c>
      <c r="E89" s="488"/>
      <c r="F89" s="488"/>
      <c r="G89" s="705"/>
      <c r="H89" s="488"/>
      <c r="I89" s="488"/>
      <c r="J89" s="3174"/>
      <c r="K89" s="705"/>
      <c r="L89" s="705"/>
      <c r="M89" s="431"/>
    </row>
    <row r="90" spans="1:13" s="394" customFormat="1" ht="12" hidden="1" customHeight="1" x14ac:dyDescent="0.25">
      <c r="A90" s="424"/>
      <c r="B90" s="425"/>
      <c r="C90" s="426"/>
      <c r="D90" s="427"/>
      <c r="E90" s="426"/>
      <c r="F90" s="427"/>
      <c r="G90" s="707"/>
      <c r="H90" s="707"/>
      <c r="I90" s="426"/>
      <c r="J90" s="3171"/>
      <c r="K90" s="430"/>
      <c r="L90" s="430"/>
      <c r="M90" s="487"/>
    </row>
    <row r="91" spans="1:13" s="394" customFormat="1" ht="19.5" hidden="1" customHeight="1" x14ac:dyDescent="0.25">
      <c r="A91" s="424"/>
      <c r="B91" s="3306" t="s">
        <v>1451</v>
      </c>
      <c r="C91" s="493">
        <f>SUM(C92:C98)</f>
        <v>42000000000</v>
      </c>
      <c r="D91" s="494">
        <f>C91/C12*100</f>
        <v>2.9155460785560585</v>
      </c>
      <c r="E91" s="493"/>
      <c r="F91" s="493"/>
      <c r="G91" s="709"/>
      <c r="H91" s="709"/>
      <c r="I91" s="493"/>
      <c r="J91" s="3176"/>
      <c r="K91" s="709"/>
      <c r="L91" s="709"/>
      <c r="M91" s="487"/>
    </row>
    <row r="92" spans="1:13" s="394" customFormat="1" ht="17.25" hidden="1" customHeight="1" x14ac:dyDescent="0.25">
      <c r="A92" s="424"/>
      <c r="B92" s="3299" t="s">
        <v>2908</v>
      </c>
      <c r="C92" s="3305">
        <v>8000000000</v>
      </c>
      <c r="D92" s="426">
        <f>C92/C12*100</f>
        <v>0.55534211020115398</v>
      </c>
      <c r="E92" s="426"/>
      <c r="F92" s="426"/>
      <c r="G92" s="707"/>
      <c r="H92" s="426"/>
      <c r="I92" s="426"/>
      <c r="J92" s="3171"/>
      <c r="K92" s="707"/>
      <c r="L92" s="430"/>
      <c r="M92" s="487"/>
    </row>
    <row r="93" spans="1:13" s="394" customFormat="1" ht="18" hidden="1" customHeight="1" x14ac:dyDescent="0.25">
      <c r="A93" s="424"/>
      <c r="B93" s="3299" t="s">
        <v>2909</v>
      </c>
      <c r="C93" s="3305">
        <v>10000000000</v>
      </c>
      <c r="D93" s="488">
        <f>C93/C12*100</f>
        <v>0.69417763775144248</v>
      </c>
      <c r="E93" s="488"/>
      <c r="F93" s="488"/>
      <c r="G93" s="707"/>
      <c r="H93" s="488"/>
      <c r="I93" s="488"/>
      <c r="J93" s="3174"/>
      <c r="K93" s="707"/>
      <c r="L93" s="3181"/>
      <c r="M93" s="487"/>
    </row>
    <row r="94" spans="1:13" s="394" customFormat="1" ht="18.75" hidden="1" customHeight="1" x14ac:dyDescent="0.25">
      <c r="A94" s="424"/>
      <c r="B94" s="3299" t="s">
        <v>2910</v>
      </c>
      <c r="C94" s="3305">
        <v>8000000000</v>
      </c>
      <c r="D94" s="488">
        <f>C94/C12*100</f>
        <v>0.55534211020115398</v>
      </c>
      <c r="E94" s="488"/>
      <c r="F94" s="488"/>
      <c r="G94" s="707"/>
      <c r="H94" s="488"/>
      <c r="I94" s="488"/>
      <c r="J94" s="3174"/>
      <c r="K94" s="707"/>
      <c r="L94" s="707"/>
      <c r="M94" s="487"/>
    </row>
    <row r="95" spans="1:13" s="394" customFormat="1" ht="18.75" hidden="1" customHeight="1" x14ac:dyDescent="0.25">
      <c r="A95" s="424"/>
      <c r="B95" s="3299" t="s">
        <v>2911</v>
      </c>
      <c r="C95" s="3305">
        <v>7000000000</v>
      </c>
      <c r="D95" s="426">
        <f>C95/C12*100</f>
        <v>0.48592434642600973</v>
      </c>
      <c r="E95" s="426"/>
      <c r="F95" s="426"/>
      <c r="G95" s="707"/>
      <c r="H95" s="426"/>
      <c r="I95" s="426"/>
      <c r="J95" s="3171"/>
      <c r="K95" s="707"/>
      <c r="L95" s="430"/>
      <c r="M95" s="487"/>
    </row>
    <row r="96" spans="1:13" s="394" customFormat="1" ht="15" hidden="1" customHeight="1" x14ac:dyDescent="0.25">
      <c r="A96" s="424"/>
      <c r="B96" s="3299" t="s">
        <v>2912</v>
      </c>
      <c r="C96" s="3305">
        <v>3000000000</v>
      </c>
      <c r="D96" s="426">
        <f>C96/C12*100</f>
        <v>0.20825329132543274</v>
      </c>
      <c r="E96" s="426"/>
      <c r="F96" s="426"/>
      <c r="G96" s="707"/>
      <c r="H96" s="426"/>
      <c r="I96" s="426"/>
      <c r="J96" s="3171"/>
      <c r="K96" s="707"/>
      <c r="L96" s="430"/>
      <c r="M96" s="487"/>
    </row>
    <row r="97" spans="1:13" s="394" customFormat="1" ht="16.5" hidden="1" customHeight="1" x14ac:dyDescent="0.25">
      <c r="A97" s="424"/>
      <c r="B97" s="3299" t="s">
        <v>2913</v>
      </c>
      <c r="C97" s="3305">
        <v>3000000000</v>
      </c>
      <c r="D97" s="426">
        <f>C97/C12*100</f>
        <v>0.20825329132543274</v>
      </c>
      <c r="E97" s="426"/>
      <c r="F97" s="426"/>
      <c r="G97" s="707"/>
      <c r="H97" s="426"/>
      <c r="I97" s="426"/>
      <c r="J97" s="3171"/>
      <c r="K97" s="707"/>
      <c r="L97" s="430"/>
      <c r="M97" s="487"/>
    </row>
    <row r="98" spans="1:13" s="394" customFormat="1" ht="15.75" hidden="1" customHeight="1" x14ac:dyDescent="0.25">
      <c r="A98" s="424"/>
      <c r="B98" s="3299" t="s">
        <v>2914</v>
      </c>
      <c r="C98" s="3305">
        <v>3000000000</v>
      </c>
      <c r="D98" s="426">
        <f>C98/C12*100</f>
        <v>0.20825329132543274</v>
      </c>
      <c r="E98" s="426"/>
      <c r="F98" s="426"/>
      <c r="G98" s="706"/>
      <c r="H98" s="426"/>
      <c r="I98" s="426"/>
      <c r="J98" s="3171"/>
      <c r="K98" s="707"/>
      <c r="L98" s="430"/>
      <c r="M98" s="487"/>
    </row>
    <row r="99" spans="1:13" s="394" customFormat="1" ht="12" hidden="1" customHeight="1" x14ac:dyDescent="0.25">
      <c r="A99" s="424"/>
      <c r="B99" s="447"/>
      <c r="C99" s="442"/>
      <c r="D99" s="427"/>
      <c r="E99" s="442"/>
      <c r="F99" s="427"/>
      <c r="G99" s="707"/>
      <c r="H99" s="707"/>
      <c r="I99" s="442"/>
      <c r="J99" s="3171"/>
      <c r="K99" s="430"/>
      <c r="L99" s="430"/>
      <c r="M99" s="487"/>
    </row>
    <row r="100" spans="1:13" s="394" customFormat="1" ht="18.75" hidden="1" customHeight="1" x14ac:dyDescent="0.25">
      <c r="A100" s="424"/>
      <c r="B100" s="3306" t="s">
        <v>1458</v>
      </c>
      <c r="C100" s="493">
        <f>SUM(C101:C112)</f>
        <v>60000000000</v>
      </c>
      <c r="D100" s="494">
        <f>C100/C12*100</f>
        <v>4.1650658265086546</v>
      </c>
      <c r="E100" s="493"/>
      <c r="F100" s="493"/>
      <c r="G100" s="709"/>
      <c r="H100" s="709"/>
      <c r="I100" s="493"/>
      <c r="J100" s="3176"/>
      <c r="K100" s="709"/>
      <c r="L100" s="709"/>
      <c r="M100" s="487"/>
    </row>
    <row r="101" spans="1:13" s="394" customFormat="1" ht="18" hidden="1" customHeight="1" x14ac:dyDescent="0.25">
      <c r="A101" s="424"/>
      <c r="B101" s="3299" t="s">
        <v>2760</v>
      </c>
      <c r="C101" s="3298">
        <v>5000000000</v>
      </c>
      <c r="D101" s="426">
        <f>C101/C12*100</f>
        <v>0.34708881887572124</v>
      </c>
      <c r="E101" s="426"/>
      <c r="F101" s="426"/>
      <c r="G101" s="707"/>
      <c r="H101" s="426"/>
      <c r="I101" s="426"/>
      <c r="J101" s="3171"/>
      <c r="K101" s="707"/>
      <c r="L101" s="430"/>
      <c r="M101" s="487"/>
    </row>
    <row r="102" spans="1:13" s="394" customFormat="1" ht="15.75" hidden="1" customHeight="1" x14ac:dyDescent="0.25">
      <c r="A102" s="424"/>
      <c r="B102" s="3299" t="s">
        <v>2761</v>
      </c>
      <c r="C102" s="3305">
        <v>5000000000</v>
      </c>
      <c r="D102" s="426">
        <f>C102/C12*100</f>
        <v>0.34708881887572124</v>
      </c>
      <c r="E102" s="426"/>
      <c r="F102" s="426"/>
      <c r="G102" s="707"/>
      <c r="H102" s="426"/>
      <c r="I102" s="426"/>
      <c r="J102" s="3171"/>
      <c r="K102" s="707"/>
      <c r="L102" s="430"/>
      <c r="M102" s="487"/>
    </row>
    <row r="103" spans="1:13" s="394" customFormat="1" ht="18.75" hidden="1" customHeight="1" x14ac:dyDescent="0.25">
      <c r="A103" s="424"/>
      <c r="B103" s="3299" t="s">
        <v>2762</v>
      </c>
      <c r="C103" s="3305">
        <v>5000000000</v>
      </c>
      <c r="D103" s="426">
        <f>C103/C12*100</f>
        <v>0.34708881887572124</v>
      </c>
      <c r="E103" s="426"/>
      <c r="F103" s="426"/>
      <c r="G103" s="707"/>
      <c r="H103" s="426"/>
      <c r="I103" s="426"/>
      <c r="J103" s="3171"/>
      <c r="K103" s="707"/>
      <c r="L103" s="430"/>
      <c r="M103" s="487"/>
    </row>
    <row r="104" spans="1:13" s="394" customFormat="1" ht="15" hidden="1" customHeight="1" x14ac:dyDescent="0.25">
      <c r="A104" s="424"/>
      <c r="B104" s="3299" t="s">
        <v>2763</v>
      </c>
      <c r="C104" s="3305">
        <v>5000000000</v>
      </c>
      <c r="D104" s="426">
        <f>C104/C12*100</f>
        <v>0.34708881887572124</v>
      </c>
      <c r="E104" s="426"/>
      <c r="F104" s="426"/>
      <c r="G104" s="707"/>
      <c r="H104" s="426"/>
      <c r="I104" s="426"/>
      <c r="J104" s="3171"/>
      <c r="K104" s="707"/>
      <c r="L104" s="430"/>
      <c r="M104" s="487"/>
    </row>
    <row r="105" spans="1:13" s="394" customFormat="1" ht="16.5" hidden="1" customHeight="1" x14ac:dyDescent="0.25">
      <c r="A105" s="424"/>
      <c r="B105" s="3299" t="s">
        <v>2764</v>
      </c>
      <c r="C105" s="3305">
        <v>5000000000</v>
      </c>
      <c r="D105" s="426">
        <f>C105/C12*100</f>
        <v>0.34708881887572124</v>
      </c>
      <c r="E105" s="426"/>
      <c r="F105" s="427"/>
      <c r="G105" s="707"/>
      <c r="H105" s="707"/>
      <c r="I105" s="426"/>
      <c r="J105" s="3171"/>
      <c r="K105" s="430"/>
      <c r="L105" s="430"/>
      <c r="M105" s="487"/>
    </row>
    <row r="106" spans="1:13" s="394" customFormat="1" ht="18" hidden="1" customHeight="1" x14ac:dyDescent="0.25">
      <c r="A106" s="424"/>
      <c r="B106" s="3299" t="s">
        <v>2765</v>
      </c>
      <c r="C106" s="3305">
        <v>5000000000</v>
      </c>
      <c r="D106" s="426">
        <f>C106/C12*100</f>
        <v>0.34708881887572124</v>
      </c>
      <c r="E106" s="426"/>
      <c r="F106" s="427"/>
      <c r="G106" s="707"/>
      <c r="H106" s="707"/>
      <c r="I106" s="426"/>
      <c r="J106" s="3171"/>
      <c r="K106" s="430"/>
      <c r="L106" s="430"/>
      <c r="M106" s="487"/>
    </row>
    <row r="107" spans="1:13" s="394" customFormat="1" ht="16.5" hidden="1" customHeight="1" x14ac:dyDescent="0.25">
      <c r="A107" s="424"/>
      <c r="B107" s="3299" t="s">
        <v>2766</v>
      </c>
      <c r="C107" s="3305">
        <v>5000000000</v>
      </c>
      <c r="D107" s="426">
        <f>C107/C12*100</f>
        <v>0.34708881887572124</v>
      </c>
      <c r="E107" s="426"/>
      <c r="F107" s="427"/>
      <c r="G107" s="707"/>
      <c r="H107" s="707"/>
      <c r="I107" s="426"/>
      <c r="J107" s="3171"/>
      <c r="K107" s="430"/>
      <c r="L107" s="430"/>
      <c r="M107" s="487"/>
    </row>
    <row r="108" spans="1:13" s="394" customFormat="1" ht="15.75" hidden="1" customHeight="1" x14ac:dyDescent="0.25">
      <c r="A108" s="424"/>
      <c r="B108" s="3299" t="s">
        <v>2767</v>
      </c>
      <c r="C108" s="3305">
        <v>5000000000</v>
      </c>
      <c r="D108" s="426">
        <f>C108/C12*100</f>
        <v>0.34708881887572124</v>
      </c>
      <c r="E108" s="426"/>
      <c r="F108" s="427"/>
      <c r="G108" s="707"/>
      <c r="H108" s="707"/>
      <c r="I108" s="426"/>
      <c r="J108" s="3171"/>
      <c r="K108" s="430"/>
      <c r="L108" s="430"/>
      <c r="M108" s="487"/>
    </row>
    <row r="109" spans="1:13" s="394" customFormat="1" ht="15.75" hidden="1" customHeight="1" x14ac:dyDescent="0.25">
      <c r="A109" s="424"/>
      <c r="B109" s="3299" t="s">
        <v>2768</v>
      </c>
      <c r="C109" s="3305">
        <v>5000000000</v>
      </c>
      <c r="D109" s="426">
        <f>C109/C12*100</f>
        <v>0.34708881887572124</v>
      </c>
      <c r="E109" s="426"/>
      <c r="F109" s="427"/>
      <c r="G109" s="707"/>
      <c r="H109" s="707"/>
      <c r="I109" s="426"/>
      <c r="J109" s="3171"/>
      <c r="K109" s="430"/>
      <c r="L109" s="430"/>
      <c r="M109" s="487"/>
    </row>
    <row r="110" spans="1:13" s="394" customFormat="1" ht="18.75" hidden="1" customHeight="1" x14ac:dyDescent="0.25">
      <c r="A110" s="424"/>
      <c r="B110" s="3299" t="s">
        <v>2769</v>
      </c>
      <c r="C110" s="3305">
        <v>5000000000</v>
      </c>
      <c r="D110" s="426">
        <f>C110/C12*100</f>
        <v>0.34708881887572124</v>
      </c>
      <c r="E110" s="426"/>
      <c r="F110" s="427"/>
      <c r="G110" s="707"/>
      <c r="H110" s="707"/>
      <c r="I110" s="426"/>
      <c r="J110" s="3171"/>
      <c r="K110" s="430"/>
      <c r="L110" s="430"/>
      <c r="M110" s="487"/>
    </row>
    <row r="111" spans="1:13" s="394" customFormat="1" ht="18" hidden="1" customHeight="1" x14ac:dyDescent="0.25">
      <c r="A111" s="424"/>
      <c r="B111" s="3299" t="s">
        <v>2770</v>
      </c>
      <c r="C111" s="3305">
        <v>5000000000</v>
      </c>
      <c r="D111" s="426">
        <f>C111/C12*100</f>
        <v>0.34708881887572124</v>
      </c>
      <c r="E111" s="426"/>
      <c r="F111" s="427"/>
      <c r="G111" s="707"/>
      <c r="H111" s="707"/>
      <c r="I111" s="426"/>
      <c r="J111" s="3171"/>
      <c r="K111" s="430"/>
      <c r="L111" s="430"/>
      <c r="M111" s="487"/>
    </row>
    <row r="112" spans="1:13" s="394" customFormat="1" ht="17.25" hidden="1" customHeight="1" x14ac:dyDescent="0.25">
      <c r="A112" s="424"/>
      <c r="B112" s="3299" t="s">
        <v>2771</v>
      </c>
      <c r="C112" s="3305">
        <v>5000000000</v>
      </c>
      <c r="D112" s="426">
        <f>C112/C12*100</f>
        <v>0.34708881887572124</v>
      </c>
      <c r="E112" s="426"/>
      <c r="F112" s="427"/>
      <c r="G112" s="707"/>
      <c r="H112" s="707"/>
      <c r="I112" s="426"/>
      <c r="J112" s="3171"/>
      <c r="K112" s="430"/>
      <c r="L112" s="430"/>
      <c r="M112" s="487"/>
    </row>
    <row r="113" spans="1:13" s="394" customFormat="1" ht="12" hidden="1" customHeight="1" x14ac:dyDescent="0.25">
      <c r="A113" s="424"/>
      <c r="B113" s="425"/>
      <c r="C113" s="426"/>
      <c r="D113" s="427"/>
      <c r="E113" s="426"/>
      <c r="F113" s="427"/>
      <c r="G113" s="707"/>
      <c r="H113" s="707"/>
      <c r="I113" s="426"/>
      <c r="J113" s="3171"/>
      <c r="K113" s="430"/>
      <c r="L113" s="430"/>
      <c r="M113" s="487"/>
    </row>
    <row r="114" spans="1:13" s="394" customFormat="1" ht="33" hidden="1" customHeight="1" x14ac:dyDescent="0.25">
      <c r="A114" s="424"/>
      <c r="B114" s="433" t="s">
        <v>1469</v>
      </c>
      <c r="C114" s="493">
        <f>SUM(C115:C117)</f>
        <v>9000000000</v>
      </c>
      <c r="D114" s="494">
        <f>C114/C12*100</f>
        <v>0.62475987397629829</v>
      </c>
      <c r="E114" s="434"/>
      <c r="F114" s="434"/>
      <c r="G114" s="709"/>
      <c r="H114" s="709"/>
      <c r="I114" s="434"/>
      <c r="J114" s="3182"/>
      <c r="K114" s="434"/>
      <c r="L114" s="434"/>
      <c r="M114" s="487"/>
    </row>
    <row r="115" spans="1:13" s="394" customFormat="1" ht="15.75" hidden="1" customHeight="1" x14ac:dyDescent="0.25">
      <c r="A115" s="424"/>
      <c r="B115" s="3299" t="s">
        <v>2915</v>
      </c>
      <c r="C115" s="3307">
        <v>3000000000</v>
      </c>
      <c r="D115" s="426">
        <f>C115/C12*100</f>
        <v>0.20825329132543274</v>
      </c>
      <c r="E115" s="426"/>
      <c r="F115" s="426"/>
      <c r="G115" s="707"/>
      <c r="H115" s="426"/>
      <c r="I115" s="426"/>
      <c r="J115" s="3171"/>
      <c r="K115" s="426"/>
      <c r="L115" s="426"/>
      <c r="M115" s="487"/>
    </row>
    <row r="116" spans="1:13" s="394" customFormat="1" ht="15.75" hidden="1" customHeight="1" x14ac:dyDescent="0.25">
      <c r="A116" s="424"/>
      <c r="B116" s="3299" t="s">
        <v>2916</v>
      </c>
      <c r="C116" s="3308">
        <v>3000000000</v>
      </c>
      <c r="D116" s="426">
        <f>C116/C12*100</f>
        <v>0.20825329132543274</v>
      </c>
      <c r="E116" s="426"/>
      <c r="F116" s="428"/>
      <c r="G116" s="705"/>
      <c r="H116" s="705"/>
      <c r="I116" s="426"/>
      <c r="J116" s="441"/>
      <c r="K116" s="429"/>
      <c r="L116" s="407"/>
      <c r="M116" s="431"/>
    </row>
    <row r="117" spans="1:13" s="394" customFormat="1" ht="14.25" hidden="1" customHeight="1" x14ac:dyDescent="0.25">
      <c r="A117" s="424"/>
      <c r="B117" s="3299" t="s">
        <v>2917</v>
      </c>
      <c r="C117" s="3308">
        <v>3000000000</v>
      </c>
      <c r="D117" s="426">
        <f>C117/C12*100</f>
        <v>0.20825329132543274</v>
      </c>
      <c r="E117" s="426"/>
      <c r="F117" s="428"/>
      <c r="G117" s="705"/>
      <c r="H117" s="705"/>
      <c r="I117" s="426"/>
      <c r="J117" s="441"/>
      <c r="K117" s="429"/>
      <c r="L117" s="407"/>
      <c r="M117" s="431"/>
    </row>
    <row r="118" spans="1:13" s="394" customFormat="1" ht="12" hidden="1" customHeight="1" x14ac:dyDescent="0.25">
      <c r="A118" s="424"/>
      <c r="B118" s="425"/>
      <c r="C118" s="426"/>
      <c r="D118" s="427"/>
      <c r="E118" s="426"/>
      <c r="F118" s="428"/>
      <c r="G118" s="705"/>
      <c r="H118" s="705"/>
      <c r="I118" s="426"/>
      <c r="J118" s="441"/>
      <c r="K118" s="429"/>
      <c r="L118" s="407"/>
      <c r="M118" s="431"/>
    </row>
    <row r="119" spans="1:13" s="414" customFormat="1" ht="19.5" hidden="1" customHeight="1" x14ac:dyDescent="0.25">
      <c r="A119" s="415"/>
      <c r="B119" s="433" t="s">
        <v>2772</v>
      </c>
      <c r="C119" s="493">
        <f>SUM(C120:C129)</f>
        <v>9300000000</v>
      </c>
      <c r="D119" s="494">
        <f>C119/C12*100</f>
        <v>0.6455852031088416</v>
      </c>
      <c r="E119" s="493"/>
      <c r="F119" s="493"/>
      <c r="G119" s="703"/>
      <c r="H119" s="704"/>
      <c r="I119" s="493"/>
      <c r="J119" s="3176"/>
      <c r="K119" s="703"/>
      <c r="L119" s="703"/>
      <c r="M119" s="423"/>
    </row>
    <row r="120" spans="1:13" s="394" customFormat="1" ht="17.25" hidden="1" customHeight="1" x14ac:dyDescent="0.25">
      <c r="A120" s="424"/>
      <c r="B120" s="3300" t="s">
        <v>2773</v>
      </c>
      <c r="C120" s="3305">
        <v>1000000000</v>
      </c>
      <c r="D120" s="426">
        <f>C120/C12*100</f>
        <v>6.9417763775144248E-2</v>
      </c>
      <c r="E120" s="426"/>
      <c r="F120" s="426"/>
      <c r="G120" s="707"/>
      <c r="H120" s="426"/>
      <c r="I120" s="426"/>
      <c r="J120" s="3171"/>
      <c r="K120" s="707"/>
      <c r="L120" s="429"/>
      <c r="M120" s="431"/>
    </row>
    <row r="121" spans="1:13" s="394" customFormat="1" ht="16.5" hidden="1" customHeight="1" x14ac:dyDescent="0.25">
      <c r="A121" s="424"/>
      <c r="B121" s="3299" t="s">
        <v>2774</v>
      </c>
      <c r="C121" s="3305">
        <v>1000000000</v>
      </c>
      <c r="D121" s="426">
        <f>C121/C12*100</f>
        <v>6.9417763775144248E-2</v>
      </c>
      <c r="E121" s="426"/>
      <c r="F121" s="426"/>
      <c r="G121" s="707"/>
      <c r="H121" s="426"/>
      <c r="I121" s="426"/>
      <c r="J121" s="3179"/>
      <c r="K121" s="707"/>
      <c r="L121" s="705"/>
      <c r="M121" s="431"/>
    </row>
    <row r="122" spans="1:13" s="394" customFormat="1" ht="15.75" hidden="1" customHeight="1" x14ac:dyDescent="0.25">
      <c r="A122" s="424"/>
      <c r="B122" s="3299" t="s">
        <v>2775</v>
      </c>
      <c r="C122" s="3305">
        <v>1000000000</v>
      </c>
      <c r="D122" s="426">
        <f>C122/C12*100</f>
        <v>6.9417763775144248E-2</v>
      </c>
      <c r="E122" s="426"/>
      <c r="F122" s="426"/>
      <c r="G122" s="707"/>
      <c r="H122" s="426"/>
      <c r="I122" s="426"/>
      <c r="J122" s="3171"/>
      <c r="K122" s="707"/>
      <c r="L122" s="429"/>
      <c r="M122" s="431"/>
    </row>
    <row r="123" spans="1:13" s="394" customFormat="1" ht="15" hidden="1" customHeight="1" x14ac:dyDescent="0.25">
      <c r="A123" s="424"/>
      <c r="B123" s="3299" t="s">
        <v>2776</v>
      </c>
      <c r="C123" s="3305">
        <v>1000000000</v>
      </c>
      <c r="D123" s="426">
        <f>C123/C12*100</f>
        <v>6.9417763775144248E-2</v>
      </c>
      <c r="E123" s="426"/>
      <c r="F123" s="426"/>
      <c r="G123" s="707"/>
      <c r="H123" s="426"/>
      <c r="I123" s="426"/>
      <c r="J123" s="428"/>
      <c r="K123" s="707"/>
      <c r="L123" s="443"/>
      <c r="M123" s="431"/>
    </row>
    <row r="124" spans="1:13" s="394" customFormat="1" ht="16.5" hidden="1" customHeight="1" x14ac:dyDescent="0.25">
      <c r="A124" s="424"/>
      <c r="B124" s="3299" t="s">
        <v>2777</v>
      </c>
      <c r="C124" s="3305">
        <v>1000000000</v>
      </c>
      <c r="D124" s="488">
        <f>C124/C12*100</f>
        <v>6.9417763775144248E-2</v>
      </c>
      <c r="E124" s="488"/>
      <c r="F124" s="488"/>
      <c r="G124" s="707"/>
      <c r="H124" s="488"/>
      <c r="I124" s="488"/>
      <c r="J124" s="3183"/>
      <c r="K124" s="707"/>
      <c r="L124" s="488"/>
      <c r="M124" s="431"/>
    </row>
    <row r="125" spans="1:13" s="394" customFormat="1" ht="17.25" hidden="1" customHeight="1" x14ac:dyDescent="0.25">
      <c r="A125" s="424"/>
      <c r="B125" s="3299" t="s">
        <v>2778</v>
      </c>
      <c r="C125" s="3305">
        <v>1000000000</v>
      </c>
      <c r="D125" s="488">
        <f>C125/C12*100</f>
        <v>6.9417763775144248E-2</v>
      </c>
      <c r="E125" s="488"/>
      <c r="F125" s="3315"/>
      <c r="G125" s="705"/>
      <c r="H125" s="708"/>
      <c r="I125" s="488"/>
      <c r="J125" s="3187"/>
      <c r="K125" s="705"/>
      <c r="L125" s="708"/>
      <c r="M125" s="431"/>
    </row>
    <row r="126" spans="1:13" s="394" customFormat="1" ht="18" hidden="1" customHeight="1" x14ac:dyDescent="0.25">
      <c r="A126" s="424"/>
      <c r="B126" s="3299" t="s">
        <v>2779</v>
      </c>
      <c r="C126" s="3305">
        <v>500000000</v>
      </c>
      <c r="D126" s="488">
        <f>C126/C12*100</f>
        <v>3.4708881887572124E-2</v>
      </c>
      <c r="E126" s="488"/>
      <c r="F126" s="3315"/>
      <c r="G126" s="705"/>
      <c r="H126" s="708"/>
      <c r="I126" s="488"/>
      <c r="J126" s="3187"/>
      <c r="K126" s="705"/>
      <c r="L126" s="708"/>
      <c r="M126" s="431"/>
    </row>
    <row r="127" spans="1:13" s="394" customFormat="1" ht="17.25" hidden="1" customHeight="1" x14ac:dyDescent="0.25">
      <c r="A127" s="424"/>
      <c r="B127" s="3299" t="s">
        <v>2780</v>
      </c>
      <c r="C127" s="3305">
        <v>1000000000</v>
      </c>
      <c r="D127" s="488">
        <f>C127/C12*100</f>
        <v>6.9417763775144248E-2</v>
      </c>
      <c r="E127" s="488"/>
      <c r="F127" s="3315"/>
      <c r="G127" s="705"/>
      <c r="H127" s="708"/>
      <c r="I127" s="488"/>
      <c r="J127" s="3187"/>
      <c r="K127" s="705"/>
      <c r="L127" s="708"/>
      <c r="M127" s="431"/>
    </row>
    <row r="128" spans="1:13" s="394" customFormat="1" ht="16.5" hidden="1" customHeight="1" x14ac:dyDescent="0.25">
      <c r="A128" s="424"/>
      <c r="B128" s="3299" t="s">
        <v>2781</v>
      </c>
      <c r="C128" s="3305">
        <v>1000000000</v>
      </c>
      <c r="D128" s="488">
        <f>C128/C12*100</f>
        <v>6.9417763775144248E-2</v>
      </c>
      <c r="E128" s="426"/>
      <c r="F128" s="482"/>
      <c r="G128" s="705"/>
      <c r="H128" s="705"/>
      <c r="I128" s="426"/>
      <c r="J128" s="482"/>
      <c r="K128" s="429"/>
      <c r="L128" s="407"/>
      <c r="M128" s="431"/>
    </row>
    <row r="129" spans="1:13" s="414" customFormat="1" ht="18" hidden="1" customHeight="1" x14ac:dyDescent="0.25">
      <c r="A129" s="415"/>
      <c r="B129" s="3299" t="s">
        <v>2782</v>
      </c>
      <c r="C129" s="3305">
        <v>800000000</v>
      </c>
      <c r="D129" s="427">
        <f>C129/C12*100</f>
        <v>5.5534211020115395E-2</v>
      </c>
      <c r="E129" s="434"/>
      <c r="F129" s="434"/>
      <c r="G129" s="703"/>
      <c r="H129" s="493"/>
      <c r="I129" s="434"/>
      <c r="J129" s="3182"/>
      <c r="K129" s="703"/>
      <c r="L129" s="703"/>
      <c r="M129" s="423"/>
    </row>
    <row r="130" spans="1:13" s="414" customFormat="1" ht="14.25" hidden="1" customHeight="1" x14ac:dyDescent="0.25">
      <c r="A130" s="415"/>
      <c r="B130" s="3299"/>
      <c r="C130" s="3305"/>
      <c r="D130" s="448"/>
      <c r="E130" s="434"/>
      <c r="F130" s="434"/>
      <c r="G130" s="703"/>
      <c r="H130" s="493"/>
      <c r="I130" s="434"/>
      <c r="J130" s="3316"/>
      <c r="K130" s="703"/>
      <c r="L130" s="703"/>
      <c r="M130" s="423"/>
    </row>
    <row r="131" spans="1:13" s="414" customFormat="1" ht="20.25" hidden="1" customHeight="1" x14ac:dyDescent="0.25">
      <c r="A131" s="415"/>
      <c r="B131" s="3317" t="s">
        <v>2783</v>
      </c>
      <c r="C131" s="3318">
        <f>SUM(C132:C144)</f>
        <v>24150000000</v>
      </c>
      <c r="D131" s="494">
        <f>C131/C12*100</f>
        <v>1.6764389951697336</v>
      </c>
      <c r="E131" s="434"/>
      <c r="F131" s="434"/>
      <c r="G131" s="703"/>
      <c r="H131" s="493"/>
      <c r="I131" s="434"/>
      <c r="J131" s="3316"/>
      <c r="K131" s="703"/>
      <c r="L131" s="703"/>
      <c r="M131" s="423"/>
    </row>
    <row r="132" spans="1:13" s="394" customFormat="1" ht="18" hidden="1" customHeight="1" x14ac:dyDescent="0.25">
      <c r="A132" s="424"/>
      <c r="B132" s="3299" t="s">
        <v>2918</v>
      </c>
      <c r="C132" s="3298">
        <v>1000000000</v>
      </c>
      <c r="D132" s="426">
        <f>C132/C12*100</f>
        <v>6.9417763775144248E-2</v>
      </c>
      <c r="E132" s="426"/>
      <c r="F132" s="426"/>
      <c r="G132" s="705"/>
      <c r="H132" s="426"/>
      <c r="I132" s="426"/>
      <c r="J132" s="3183"/>
      <c r="K132" s="705"/>
      <c r="L132" s="443"/>
      <c r="M132" s="431"/>
    </row>
    <row r="133" spans="1:13" s="394" customFormat="1" ht="15.75" hidden="1" customHeight="1" x14ac:dyDescent="0.25">
      <c r="A133" s="424"/>
      <c r="B133" s="3299" t="s">
        <v>2919</v>
      </c>
      <c r="C133" s="3305">
        <v>500000000</v>
      </c>
      <c r="D133" s="426">
        <f>C133/C12*100</f>
        <v>3.4708881887572124E-2</v>
      </c>
      <c r="E133" s="426"/>
      <c r="F133" s="426"/>
      <c r="G133" s="705"/>
      <c r="H133" s="426"/>
      <c r="I133" s="426"/>
      <c r="J133" s="441"/>
      <c r="K133" s="705"/>
      <c r="L133" s="443"/>
      <c r="M133" s="431"/>
    </row>
    <row r="134" spans="1:13" s="394" customFormat="1" ht="16.5" hidden="1" customHeight="1" x14ac:dyDescent="0.25">
      <c r="A134" s="424"/>
      <c r="B134" s="3299" t="s">
        <v>2920</v>
      </c>
      <c r="C134" s="3305">
        <v>1000000000</v>
      </c>
      <c r="D134" s="426">
        <f>C134/C12*100</f>
        <v>6.9417763775144248E-2</v>
      </c>
      <c r="E134" s="426"/>
      <c r="F134" s="426"/>
      <c r="G134" s="705"/>
      <c r="H134" s="426"/>
      <c r="I134" s="426"/>
      <c r="J134" s="441"/>
      <c r="K134" s="705"/>
      <c r="L134" s="443"/>
      <c r="M134" s="431"/>
    </row>
    <row r="135" spans="1:13" s="394" customFormat="1" ht="14.25" hidden="1" customHeight="1" x14ac:dyDescent="0.25">
      <c r="A135" s="424"/>
      <c r="B135" s="3299" t="s">
        <v>2921</v>
      </c>
      <c r="C135" s="3305">
        <v>7000000000</v>
      </c>
      <c r="D135" s="426">
        <f>C135/C12*100</f>
        <v>0.48592434642600973</v>
      </c>
      <c r="E135" s="426"/>
      <c r="F135" s="426"/>
      <c r="G135" s="705"/>
      <c r="H135" s="426"/>
      <c r="I135" s="426"/>
      <c r="J135" s="441"/>
      <c r="K135" s="705"/>
      <c r="L135" s="443"/>
      <c r="M135" s="431"/>
    </row>
    <row r="136" spans="1:13" s="394" customFormat="1" ht="15" hidden="1" customHeight="1" x14ac:dyDescent="0.25">
      <c r="A136" s="424"/>
      <c r="B136" s="3299" t="s">
        <v>2784</v>
      </c>
      <c r="C136" s="3305">
        <v>500000000</v>
      </c>
      <c r="D136" s="426">
        <f>C136/C12*100</f>
        <v>3.4708881887572124E-2</v>
      </c>
      <c r="E136" s="426"/>
      <c r="F136" s="426"/>
      <c r="G136" s="705"/>
      <c r="H136" s="426"/>
      <c r="I136" s="426"/>
      <c r="J136" s="441"/>
      <c r="K136" s="705"/>
      <c r="L136" s="443"/>
      <c r="M136" s="431"/>
    </row>
    <row r="137" spans="1:13" s="394" customFormat="1" ht="33" hidden="1" customHeight="1" x14ac:dyDescent="0.25">
      <c r="A137" s="424"/>
      <c r="B137" s="425" t="s">
        <v>2785</v>
      </c>
      <c r="C137" s="3321">
        <v>700000000</v>
      </c>
      <c r="D137" s="480">
        <f>C137/C12*100</f>
        <v>4.8592434642600969E-2</v>
      </c>
      <c r="E137" s="426"/>
      <c r="F137" s="426"/>
      <c r="G137" s="705"/>
      <c r="H137" s="426"/>
      <c r="I137" s="426"/>
      <c r="J137" s="441"/>
      <c r="K137" s="705"/>
      <c r="L137" s="443"/>
      <c r="M137" s="431"/>
    </row>
    <row r="138" spans="1:13" s="394" customFormat="1" ht="15.75" hidden="1" customHeight="1" x14ac:dyDescent="0.25">
      <c r="A138" s="424"/>
      <c r="B138" s="3299" t="s">
        <v>2922</v>
      </c>
      <c r="C138" s="3305">
        <v>1000000000</v>
      </c>
      <c r="D138" s="426">
        <f>C138/C12*100</f>
        <v>6.9417763775144248E-2</v>
      </c>
      <c r="E138" s="426"/>
      <c r="F138" s="426"/>
      <c r="G138" s="705"/>
      <c r="H138" s="426"/>
      <c r="I138" s="426"/>
      <c r="J138" s="441"/>
      <c r="K138" s="705"/>
      <c r="L138" s="443"/>
      <c r="M138" s="431"/>
    </row>
    <row r="139" spans="1:13" s="394" customFormat="1" ht="18.75" hidden="1" customHeight="1" x14ac:dyDescent="0.25">
      <c r="A139" s="424"/>
      <c r="B139" s="3299" t="s">
        <v>2923</v>
      </c>
      <c r="C139" s="3305">
        <v>1500000000</v>
      </c>
      <c r="D139" s="488">
        <f>C139/C12*100</f>
        <v>0.10412664566271637</v>
      </c>
      <c r="E139" s="488"/>
      <c r="F139" s="488"/>
      <c r="G139" s="705"/>
      <c r="H139" s="488"/>
      <c r="I139" s="488"/>
      <c r="J139" s="3183"/>
      <c r="K139" s="705"/>
      <c r="L139" s="3184"/>
      <c r="M139" s="431"/>
    </row>
    <row r="140" spans="1:13" s="394" customFormat="1" ht="17.25" hidden="1" customHeight="1" x14ac:dyDescent="0.25">
      <c r="A140" s="424"/>
      <c r="B140" s="3299" t="s">
        <v>2786</v>
      </c>
      <c r="C140" s="3305">
        <v>1000000000</v>
      </c>
      <c r="D140" s="488">
        <f>C140/C12*100</f>
        <v>6.9417763775144248E-2</v>
      </c>
      <c r="E140" s="480"/>
      <c r="F140" s="488"/>
      <c r="G140" s="705"/>
      <c r="H140" s="488"/>
      <c r="I140" s="480"/>
      <c r="J140" s="3183"/>
      <c r="K140" s="705"/>
      <c r="L140" s="3184"/>
      <c r="M140" s="431"/>
    </row>
    <row r="141" spans="1:13" s="394" customFormat="1" ht="18" hidden="1" customHeight="1" x14ac:dyDescent="0.25">
      <c r="A141" s="424"/>
      <c r="B141" s="3299" t="s">
        <v>2924</v>
      </c>
      <c r="C141" s="3305">
        <v>1000000000</v>
      </c>
      <c r="D141" s="488">
        <f>C141/C12*100</f>
        <v>6.9417763775144248E-2</v>
      </c>
      <c r="E141" s="488"/>
      <c r="F141" s="488"/>
      <c r="G141" s="705"/>
      <c r="H141" s="488"/>
      <c r="I141" s="488"/>
      <c r="J141" s="3183"/>
      <c r="K141" s="705"/>
      <c r="L141" s="3184"/>
      <c r="M141" s="431"/>
    </row>
    <row r="142" spans="1:13" s="394" customFormat="1" ht="20.25" hidden="1" customHeight="1" x14ac:dyDescent="0.25">
      <c r="A142" s="424"/>
      <c r="B142" s="3299" t="s">
        <v>2925</v>
      </c>
      <c r="C142" s="3305">
        <v>8000000000</v>
      </c>
      <c r="D142" s="488">
        <f>C142/C12*100</f>
        <v>0.55534211020115398</v>
      </c>
      <c r="E142" s="488"/>
      <c r="F142" s="488"/>
      <c r="G142" s="705"/>
      <c r="H142" s="488"/>
      <c r="I142" s="488"/>
      <c r="J142" s="3183"/>
      <c r="K142" s="705"/>
      <c r="L142" s="3184"/>
      <c r="M142" s="431"/>
    </row>
    <row r="143" spans="1:13" s="394" customFormat="1" ht="18.75" hidden="1" customHeight="1" x14ac:dyDescent="0.25">
      <c r="A143" s="424"/>
      <c r="B143" s="3299" t="s">
        <v>2926</v>
      </c>
      <c r="C143" s="3305">
        <v>500000000</v>
      </c>
      <c r="D143" s="488">
        <f>C143/C12*100</f>
        <v>3.4708881887572124E-2</v>
      </c>
      <c r="E143" s="426"/>
      <c r="F143" s="441"/>
      <c r="G143" s="705"/>
      <c r="H143" s="705"/>
      <c r="I143" s="426"/>
      <c r="J143" s="428"/>
      <c r="K143" s="444"/>
      <c r="L143" s="407"/>
      <c r="M143" s="431"/>
    </row>
    <row r="144" spans="1:13" s="414" customFormat="1" ht="22.5" hidden="1" customHeight="1" x14ac:dyDescent="0.25">
      <c r="A144" s="415"/>
      <c r="B144" s="3299" t="s">
        <v>2927</v>
      </c>
      <c r="C144" s="3298">
        <v>450000000</v>
      </c>
      <c r="D144" s="488">
        <f>C144/C12*100</f>
        <v>3.1237993698814911E-2</v>
      </c>
      <c r="E144" s="493"/>
      <c r="F144" s="493"/>
      <c r="G144" s="493"/>
      <c r="H144" s="493"/>
      <c r="I144" s="493"/>
      <c r="J144" s="3176"/>
      <c r="K144" s="493"/>
      <c r="L144" s="703"/>
      <c r="M144" s="423"/>
    </row>
    <row r="145" spans="1:13" s="414" customFormat="1" ht="13.5" hidden="1" customHeight="1" x14ac:dyDescent="0.25">
      <c r="A145" s="415"/>
      <c r="B145" s="3297"/>
      <c r="C145" s="493"/>
      <c r="D145" s="494"/>
      <c r="E145" s="493"/>
      <c r="F145" s="493"/>
      <c r="G145" s="493"/>
      <c r="H145" s="493"/>
      <c r="I145" s="493"/>
      <c r="J145" s="3176"/>
      <c r="K145" s="493"/>
      <c r="L145" s="703"/>
      <c r="M145" s="423"/>
    </row>
    <row r="146" spans="1:13" s="394" customFormat="1" ht="33.75" hidden="1" customHeight="1" x14ac:dyDescent="0.25">
      <c r="A146" s="424"/>
      <c r="B146" s="433" t="s">
        <v>2787</v>
      </c>
      <c r="C146" s="484">
        <f>C147</f>
        <v>1500000000</v>
      </c>
      <c r="D146" s="493">
        <f>C146/C12*100</f>
        <v>0.10412664566271637</v>
      </c>
      <c r="E146" s="426"/>
      <c r="F146" s="426"/>
      <c r="G146" s="488"/>
      <c r="H146" s="426"/>
      <c r="I146" s="426"/>
      <c r="J146" s="3171"/>
      <c r="K146" s="488"/>
      <c r="L146" s="429"/>
      <c r="M146" s="431"/>
    </row>
    <row r="147" spans="1:13" s="394" customFormat="1" ht="16.5" hidden="1" customHeight="1" x14ac:dyDescent="0.25">
      <c r="A147" s="424"/>
      <c r="B147" s="3299" t="s">
        <v>2788</v>
      </c>
      <c r="C147" s="3298">
        <v>1500000000</v>
      </c>
      <c r="D147" s="488">
        <f>C147/C12*100</f>
        <v>0.10412664566271637</v>
      </c>
      <c r="E147" s="426"/>
      <c r="F147" s="483"/>
      <c r="G147" s="708"/>
      <c r="H147" s="708"/>
      <c r="I147" s="426"/>
      <c r="J147" s="3171"/>
      <c r="K147" s="708"/>
      <c r="L147" s="429"/>
      <c r="M147" s="431"/>
    </row>
    <row r="148" spans="1:13" s="394" customFormat="1" ht="12" hidden="1" customHeight="1" x14ac:dyDescent="0.25">
      <c r="A148" s="424"/>
      <c r="B148" s="425"/>
      <c r="C148" s="426"/>
      <c r="D148" s="427"/>
      <c r="E148" s="426"/>
      <c r="F148" s="441"/>
      <c r="G148" s="705"/>
      <c r="H148" s="705"/>
      <c r="I148" s="426"/>
      <c r="J148" s="428"/>
      <c r="K148" s="412"/>
      <c r="L148" s="445"/>
      <c r="M148" s="431"/>
    </row>
    <row r="149" spans="1:13" s="414" customFormat="1" ht="22.5" hidden="1" customHeight="1" x14ac:dyDescent="0.25">
      <c r="A149" s="415"/>
      <c r="B149" s="3317" t="s">
        <v>2789</v>
      </c>
      <c r="C149" s="493">
        <f>SUM(C150:C153)</f>
        <v>14000000000</v>
      </c>
      <c r="D149" s="494">
        <f>C149/C12*100</f>
        <v>0.97184869285201947</v>
      </c>
      <c r="E149" s="484"/>
      <c r="F149" s="484"/>
      <c r="G149" s="703"/>
      <c r="H149" s="704"/>
      <c r="I149" s="484"/>
      <c r="J149" s="3178"/>
      <c r="K149" s="703"/>
      <c r="L149" s="3186"/>
      <c r="M149" s="423"/>
    </row>
    <row r="150" spans="1:13" s="394" customFormat="1" ht="18" hidden="1" customHeight="1" x14ac:dyDescent="0.25">
      <c r="A150" s="424"/>
      <c r="B150" s="3299" t="s">
        <v>2790</v>
      </c>
      <c r="C150" s="3305">
        <v>7500000000</v>
      </c>
      <c r="D150" s="488">
        <f>C150/C12*100</f>
        <v>0.52063322831358183</v>
      </c>
      <c r="E150" s="426"/>
      <c r="F150" s="426"/>
      <c r="G150" s="705"/>
      <c r="H150" s="426"/>
      <c r="I150" s="426"/>
      <c r="J150" s="3171"/>
      <c r="K150" s="705"/>
      <c r="L150" s="426"/>
      <c r="M150" s="431"/>
    </row>
    <row r="151" spans="1:13" s="394" customFormat="1" ht="18" hidden="1" customHeight="1" x14ac:dyDescent="0.25">
      <c r="A151" s="424"/>
      <c r="B151" s="3299" t="s">
        <v>2791</v>
      </c>
      <c r="C151" s="3305">
        <v>2500000000</v>
      </c>
      <c r="D151" s="488">
        <f>C151/C12*100</f>
        <v>0.17354440943786062</v>
      </c>
      <c r="E151" s="426"/>
      <c r="F151" s="426"/>
      <c r="G151" s="705"/>
      <c r="H151" s="426"/>
      <c r="I151" s="426"/>
      <c r="J151" s="3171"/>
      <c r="K151" s="705"/>
      <c r="L151" s="426"/>
      <c r="M151" s="431"/>
    </row>
    <row r="152" spans="1:13" s="394" customFormat="1" ht="20.25" hidden="1" customHeight="1" x14ac:dyDescent="0.25">
      <c r="A152" s="424"/>
      <c r="B152" s="3299" t="s">
        <v>2792</v>
      </c>
      <c r="C152" s="3305">
        <v>3500000000</v>
      </c>
      <c r="D152" s="488">
        <f>C152/C12*100</f>
        <v>0.24296217321300487</v>
      </c>
      <c r="E152" s="488"/>
      <c r="F152" s="488"/>
      <c r="G152" s="705"/>
      <c r="H152" s="488"/>
      <c r="I152" s="488"/>
      <c r="J152" s="3174"/>
      <c r="K152" s="488"/>
      <c r="L152" s="488"/>
      <c r="M152" s="431"/>
    </row>
    <row r="153" spans="1:13" s="394" customFormat="1" ht="18.75" hidden="1" customHeight="1" x14ac:dyDescent="0.25">
      <c r="A153" s="424"/>
      <c r="B153" s="3299" t="s">
        <v>2928</v>
      </c>
      <c r="C153" s="3305">
        <v>500000000</v>
      </c>
      <c r="D153" s="488">
        <f>C153/C12*100</f>
        <v>3.4708881887572124E-2</v>
      </c>
      <c r="E153" s="426"/>
      <c r="F153" s="426"/>
      <c r="G153" s="705"/>
      <c r="H153" s="426"/>
      <c r="I153" s="426"/>
      <c r="J153" s="3187"/>
      <c r="K153" s="705"/>
      <c r="L153" s="705"/>
      <c r="M153" s="431"/>
    </row>
    <row r="154" spans="1:13" s="394" customFormat="1" ht="12.75" hidden="1" customHeight="1" x14ac:dyDescent="0.25">
      <c r="A154" s="424"/>
      <c r="B154" s="425"/>
      <c r="C154" s="426"/>
      <c r="D154" s="427"/>
      <c r="E154" s="426"/>
      <c r="F154" s="428"/>
      <c r="G154" s="705"/>
      <c r="H154" s="705"/>
      <c r="I154" s="426"/>
      <c r="J154" s="482"/>
      <c r="K154" s="429"/>
      <c r="L154" s="407"/>
      <c r="M154" s="431"/>
    </row>
    <row r="155" spans="1:13" s="414" customFormat="1" ht="21" hidden="1" customHeight="1" x14ac:dyDescent="0.25">
      <c r="A155" s="415"/>
      <c r="B155" s="3317" t="s">
        <v>2793</v>
      </c>
      <c r="C155" s="434">
        <f>SUM(C156:C180)</f>
        <v>160800000000</v>
      </c>
      <c r="D155" s="448">
        <f>C155/C12*100</f>
        <v>11.162376415043195</v>
      </c>
      <c r="E155" s="434"/>
      <c r="F155" s="434"/>
      <c r="G155" s="703"/>
      <c r="H155" s="704"/>
      <c r="I155" s="493"/>
      <c r="J155" s="3176"/>
      <c r="K155" s="703"/>
      <c r="L155" s="703"/>
      <c r="M155" s="423"/>
    </row>
    <row r="156" spans="1:13" s="394" customFormat="1" ht="20.25" hidden="1" customHeight="1" x14ac:dyDescent="0.25">
      <c r="A156" s="424"/>
      <c r="B156" s="3299" t="s">
        <v>2794</v>
      </c>
      <c r="C156" s="3305">
        <v>10000000000</v>
      </c>
      <c r="D156" s="488">
        <f>C156/C12*100</f>
        <v>0.69417763775144248</v>
      </c>
      <c r="E156" s="488"/>
      <c r="F156" s="488"/>
      <c r="G156" s="705"/>
      <c r="H156" s="488"/>
      <c r="I156" s="488"/>
      <c r="J156" s="3183"/>
      <c r="K156" s="705"/>
      <c r="L156" s="3184"/>
      <c r="M156" s="431"/>
    </row>
    <row r="157" spans="1:13" s="394" customFormat="1" ht="19.5" hidden="1" customHeight="1" x14ac:dyDescent="0.25">
      <c r="A157" s="424"/>
      <c r="B157" s="3299" t="s">
        <v>2795</v>
      </c>
      <c r="C157" s="3305">
        <v>10000000000</v>
      </c>
      <c r="D157" s="488">
        <f>C157/C12*100</f>
        <v>0.69417763775144248</v>
      </c>
      <c r="E157" s="426"/>
      <c r="F157" s="426"/>
      <c r="G157" s="705"/>
      <c r="H157" s="426"/>
      <c r="I157" s="488"/>
      <c r="J157" s="3183"/>
      <c r="K157" s="705"/>
      <c r="L157" s="443"/>
      <c r="M157" s="431"/>
    </row>
    <row r="158" spans="1:13" s="394" customFormat="1" ht="20.25" hidden="1" customHeight="1" x14ac:dyDescent="0.25">
      <c r="A158" s="424"/>
      <c r="B158" s="3299" t="s">
        <v>2796</v>
      </c>
      <c r="C158" s="3305">
        <v>10000000000</v>
      </c>
      <c r="D158" s="488">
        <f>C158/C12*100</f>
        <v>0.69417763775144248</v>
      </c>
      <c r="E158" s="488"/>
      <c r="F158" s="480"/>
      <c r="G158" s="705"/>
      <c r="H158" s="480"/>
      <c r="I158" s="488"/>
      <c r="J158" s="3188"/>
      <c r="K158" s="705"/>
      <c r="L158" s="705"/>
      <c r="M158" s="431"/>
    </row>
    <row r="159" spans="1:13" s="394" customFormat="1" ht="21.75" hidden="1" customHeight="1" x14ac:dyDescent="0.25">
      <c r="A159" s="424"/>
      <c r="B159" s="3299" t="s">
        <v>2797</v>
      </c>
      <c r="C159" s="3305">
        <v>3200000000</v>
      </c>
      <c r="D159" s="488">
        <f>C159/C12*100</f>
        <v>0.22213684408046158</v>
      </c>
      <c r="E159" s="488"/>
      <c r="F159" s="488"/>
      <c r="G159" s="705"/>
      <c r="H159" s="488"/>
      <c r="I159" s="488"/>
      <c r="J159" s="3174"/>
      <c r="K159" s="705"/>
      <c r="L159" s="705"/>
      <c r="M159" s="431"/>
    </row>
    <row r="160" spans="1:13" s="394" customFormat="1" ht="21" hidden="1" customHeight="1" x14ac:dyDescent="0.25">
      <c r="A160" s="424"/>
      <c r="B160" s="3299" t="s">
        <v>2798</v>
      </c>
      <c r="C160" s="3305">
        <v>3200000000</v>
      </c>
      <c r="D160" s="488">
        <f>C160/C12*100</f>
        <v>0.22213684408046158</v>
      </c>
      <c r="E160" s="426"/>
      <c r="F160" s="426"/>
      <c r="G160" s="705"/>
      <c r="H160" s="426"/>
      <c r="I160" s="426"/>
      <c r="J160" s="3179"/>
      <c r="K160" s="705"/>
      <c r="L160" s="705"/>
      <c r="M160" s="431"/>
    </row>
    <row r="161" spans="1:13" s="394" customFormat="1" ht="21" hidden="1" customHeight="1" x14ac:dyDescent="0.25">
      <c r="A161" s="424"/>
      <c r="B161" s="3299" t="s">
        <v>2799</v>
      </c>
      <c r="C161" s="3305">
        <v>3200000000</v>
      </c>
      <c r="D161" s="488">
        <f>C161/C12*100</f>
        <v>0.22213684408046158</v>
      </c>
      <c r="E161" s="488"/>
      <c r="F161" s="488"/>
      <c r="G161" s="705"/>
      <c r="H161" s="488"/>
      <c r="I161" s="488"/>
      <c r="J161" s="3174"/>
      <c r="K161" s="705"/>
      <c r="L161" s="705"/>
      <c r="M161" s="431"/>
    </row>
    <row r="162" spans="1:13" s="394" customFormat="1" ht="21" hidden="1" customHeight="1" x14ac:dyDescent="0.25">
      <c r="A162" s="424"/>
      <c r="B162" s="3299" t="s">
        <v>2800</v>
      </c>
      <c r="C162" s="3305">
        <v>3200000000</v>
      </c>
      <c r="D162" s="488">
        <f>C162/C12*100</f>
        <v>0.22213684408046158</v>
      </c>
      <c r="E162" s="480"/>
      <c r="F162" s="480"/>
      <c r="G162" s="705"/>
      <c r="H162" s="488"/>
      <c r="I162" s="3189"/>
      <c r="J162" s="3173"/>
      <c r="K162" s="705"/>
      <c r="L162" s="705"/>
      <c r="M162" s="431"/>
    </row>
    <row r="163" spans="1:13" s="394" customFormat="1" ht="22.5" hidden="1" customHeight="1" x14ac:dyDescent="0.25">
      <c r="A163" s="424"/>
      <c r="B163" s="3299" t="s">
        <v>2801</v>
      </c>
      <c r="C163" s="3305">
        <v>3200000000</v>
      </c>
      <c r="D163" s="488">
        <f>C163/C12*100</f>
        <v>0.22213684408046158</v>
      </c>
      <c r="E163" s="480"/>
      <c r="F163" s="480"/>
      <c r="G163" s="705"/>
      <c r="H163" s="426"/>
      <c r="I163" s="480"/>
      <c r="J163" s="3173"/>
      <c r="K163" s="705"/>
      <c r="L163" s="705"/>
      <c r="M163" s="431"/>
    </row>
    <row r="164" spans="1:13" s="394" customFormat="1" ht="17.25" hidden="1" customHeight="1" x14ac:dyDescent="0.25">
      <c r="A164" s="424"/>
      <c r="B164" s="3299" t="s">
        <v>2802</v>
      </c>
      <c r="C164" s="3305">
        <v>3200000000</v>
      </c>
      <c r="D164" s="488">
        <f>C164/C12*100</f>
        <v>0.22213684408046158</v>
      </c>
      <c r="E164" s="488"/>
      <c r="F164" s="488"/>
      <c r="G164" s="705"/>
      <c r="H164" s="488"/>
      <c r="I164" s="488"/>
      <c r="J164" s="3174"/>
      <c r="K164" s="705"/>
      <c r="L164" s="705"/>
      <c r="M164" s="431"/>
    </row>
    <row r="165" spans="1:13" s="394" customFormat="1" ht="22.5" hidden="1" customHeight="1" x14ac:dyDescent="0.25">
      <c r="A165" s="424"/>
      <c r="B165" s="3299" t="s">
        <v>2803</v>
      </c>
      <c r="C165" s="3305">
        <v>3200000000</v>
      </c>
      <c r="D165" s="488">
        <f>C165/C12*100</f>
        <v>0.22213684408046158</v>
      </c>
      <c r="E165" s="488"/>
      <c r="F165" s="488"/>
      <c r="G165" s="488"/>
      <c r="H165" s="488"/>
      <c r="I165" s="3190"/>
      <c r="J165" s="3174"/>
      <c r="K165" s="488"/>
      <c r="L165" s="488"/>
      <c r="M165" s="431"/>
    </row>
    <row r="166" spans="1:13" s="394" customFormat="1" ht="18.75" hidden="1" customHeight="1" x14ac:dyDescent="0.25">
      <c r="A166" s="424"/>
      <c r="B166" s="3299" t="s">
        <v>2804</v>
      </c>
      <c r="C166" s="3305">
        <v>3200000000</v>
      </c>
      <c r="D166" s="488">
        <f>C166/C12*100</f>
        <v>0.22213684408046158</v>
      </c>
      <c r="F166" s="426"/>
      <c r="G166" s="705"/>
      <c r="H166" s="705"/>
      <c r="I166" s="3191"/>
      <c r="J166" s="3171"/>
      <c r="K166" s="430"/>
      <c r="L166" s="429"/>
      <c r="M166" s="431"/>
    </row>
    <row r="167" spans="1:13" s="394" customFormat="1" ht="18.75" hidden="1" customHeight="1" x14ac:dyDescent="0.25">
      <c r="A167" s="424"/>
      <c r="B167" s="3299" t="s">
        <v>2805</v>
      </c>
      <c r="C167" s="3305">
        <v>3200000000</v>
      </c>
      <c r="D167" s="488">
        <f>C167/C12*100</f>
        <v>0.22213684408046158</v>
      </c>
      <c r="E167" s="3320"/>
      <c r="F167" s="426"/>
      <c r="G167" s="705"/>
      <c r="H167" s="705"/>
      <c r="I167" s="3191"/>
      <c r="J167" s="3171"/>
      <c r="K167" s="429"/>
      <c r="L167" s="429"/>
      <c r="M167" s="431"/>
    </row>
    <row r="168" spans="1:13" s="394" customFormat="1" ht="18" hidden="1" customHeight="1" x14ac:dyDescent="0.25">
      <c r="A168" s="424"/>
      <c r="B168" s="3299" t="s">
        <v>2806</v>
      </c>
      <c r="C168" s="3305">
        <v>3200000000</v>
      </c>
      <c r="D168" s="488">
        <f>C168/C12*100</f>
        <v>0.22213684408046158</v>
      </c>
      <c r="E168" s="3320"/>
      <c r="F168" s="426"/>
      <c r="G168" s="705"/>
      <c r="H168" s="705"/>
      <c r="I168" s="3191"/>
      <c r="J168" s="3171"/>
      <c r="K168" s="429"/>
      <c r="L168" s="429"/>
      <c r="M168" s="431"/>
    </row>
    <row r="169" spans="1:13" s="394" customFormat="1" ht="18.75" hidden="1" customHeight="1" x14ac:dyDescent="0.25">
      <c r="A169" s="424"/>
      <c r="B169" s="3299" t="s">
        <v>2807</v>
      </c>
      <c r="C169" s="3305">
        <v>1800000000</v>
      </c>
      <c r="D169" s="488">
        <f>C169/C12*100</f>
        <v>0.12495197479525964</v>
      </c>
      <c r="E169" s="3320"/>
      <c r="F169" s="426"/>
      <c r="G169" s="705"/>
      <c r="H169" s="705"/>
      <c r="I169" s="3191"/>
      <c r="J169" s="3171"/>
      <c r="K169" s="429"/>
      <c r="L169" s="429"/>
      <c r="M169" s="431"/>
    </row>
    <row r="170" spans="1:13" s="394" customFormat="1" ht="18" hidden="1" customHeight="1" x14ac:dyDescent="0.25">
      <c r="A170" s="424"/>
      <c r="B170" s="3299" t="s">
        <v>2808</v>
      </c>
      <c r="C170" s="3305">
        <v>78000000000</v>
      </c>
      <c r="D170" s="488">
        <f>C170/C12*100</f>
        <v>5.4145855744612508</v>
      </c>
      <c r="E170" s="3320"/>
      <c r="F170" s="426"/>
      <c r="G170" s="705"/>
      <c r="H170" s="705"/>
      <c r="I170" s="3191"/>
      <c r="J170" s="3171"/>
      <c r="K170" s="429"/>
      <c r="L170" s="429"/>
      <c r="M170" s="431"/>
    </row>
    <row r="171" spans="1:13" s="394" customFormat="1" ht="16.5" hidden="1" customHeight="1" x14ac:dyDescent="0.25">
      <c r="A171" s="424"/>
      <c r="B171" s="3299" t="s">
        <v>2929</v>
      </c>
      <c r="C171" s="3305">
        <v>600000000</v>
      </c>
      <c r="D171" s="488">
        <f>C171/C12*100</f>
        <v>4.165065826508655E-2</v>
      </c>
      <c r="E171" s="3320"/>
      <c r="F171" s="426"/>
      <c r="G171" s="705"/>
      <c r="H171" s="705"/>
      <c r="I171" s="3191"/>
      <c r="J171" s="3171"/>
      <c r="K171" s="429"/>
      <c r="L171" s="429"/>
      <c r="M171" s="431"/>
    </row>
    <row r="172" spans="1:13" s="394" customFormat="1" ht="19.5" hidden="1" customHeight="1" x14ac:dyDescent="0.25">
      <c r="A172" s="424"/>
      <c r="B172" s="3299" t="s">
        <v>2930</v>
      </c>
      <c r="C172" s="3305">
        <v>500000000</v>
      </c>
      <c r="D172" s="488">
        <f>C172/C12*100</f>
        <v>3.4708881887572124E-2</v>
      </c>
      <c r="E172" s="3320"/>
      <c r="F172" s="426"/>
      <c r="G172" s="705"/>
      <c r="H172" s="705"/>
      <c r="I172" s="3191"/>
      <c r="J172" s="3171"/>
      <c r="K172" s="429"/>
      <c r="L172" s="429"/>
      <c r="M172" s="431"/>
    </row>
    <row r="173" spans="1:13" s="394" customFormat="1" ht="17.25" hidden="1" customHeight="1" x14ac:dyDescent="0.25">
      <c r="A173" s="424"/>
      <c r="B173" s="3299" t="s">
        <v>2931</v>
      </c>
      <c r="C173" s="3305">
        <v>1000000000</v>
      </c>
      <c r="D173" s="488">
        <f>C173/C12*100</f>
        <v>6.9417763775144248E-2</v>
      </c>
      <c r="E173" s="3320"/>
      <c r="F173" s="426"/>
      <c r="G173" s="705"/>
      <c r="H173" s="705"/>
      <c r="I173" s="3191"/>
      <c r="J173" s="3171"/>
      <c r="K173" s="429"/>
      <c r="L173" s="429"/>
      <c r="M173" s="431"/>
    </row>
    <row r="174" spans="1:13" s="394" customFormat="1" ht="18.75" hidden="1" customHeight="1" x14ac:dyDescent="0.25">
      <c r="A174" s="424"/>
      <c r="B174" s="3299" t="s">
        <v>2809</v>
      </c>
      <c r="C174" s="3305">
        <v>4000000000</v>
      </c>
      <c r="D174" s="488">
        <f>C174/C12*100</f>
        <v>0.27767105510057699</v>
      </c>
      <c r="E174" s="3320"/>
      <c r="F174" s="426"/>
      <c r="G174" s="705"/>
      <c r="H174" s="705"/>
      <c r="I174" s="3191"/>
      <c r="J174" s="3171"/>
      <c r="K174" s="429"/>
      <c r="L174" s="429"/>
      <c r="M174" s="431"/>
    </row>
    <row r="175" spans="1:13" s="394" customFormat="1" ht="15.75" hidden="1" customHeight="1" x14ac:dyDescent="0.25">
      <c r="A175" s="424"/>
      <c r="B175" s="3299" t="s">
        <v>2810</v>
      </c>
      <c r="C175" s="3305">
        <v>1000000000</v>
      </c>
      <c r="D175" s="488">
        <f>C175/C12*100</f>
        <v>6.9417763775144248E-2</v>
      </c>
      <c r="E175" s="3320"/>
      <c r="F175" s="426"/>
      <c r="G175" s="705"/>
      <c r="H175" s="705"/>
      <c r="I175" s="3191"/>
      <c r="J175" s="3171"/>
      <c r="K175" s="429"/>
      <c r="L175" s="429"/>
      <c r="M175" s="431"/>
    </row>
    <row r="176" spans="1:13" s="394" customFormat="1" ht="19.5" hidden="1" customHeight="1" x14ac:dyDescent="0.25">
      <c r="A176" s="424"/>
      <c r="B176" s="3299" t="s">
        <v>2811</v>
      </c>
      <c r="C176" s="3305">
        <v>300000000</v>
      </c>
      <c r="D176" s="488">
        <f>C176/C12*100</f>
        <v>2.0825329132543275E-2</v>
      </c>
      <c r="E176" s="3320"/>
      <c r="F176" s="426"/>
      <c r="G176" s="705"/>
      <c r="H176" s="705"/>
      <c r="I176" s="3191"/>
      <c r="J176" s="3171"/>
      <c r="K176" s="429"/>
      <c r="L176" s="429"/>
      <c r="M176" s="431"/>
    </row>
    <row r="177" spans="1:15" s="394" customFormat="1" ht="15" hidden="1" customHeight="1" x14ac:dyDescent="0.25">
      <c r="A177" s="424"/>
      <c r="B177" s="3299" t="s">
        <v>2812</v>
      </c>
      <c r="C177" s="3305">
        <v>300000000</v>
      </c>
      <c r="D177" s="488">
        <f>C177/C12*100</f>
        <v>2.0825329132543275E-2</v>
      </c>
      <c r="E177" s="3320"/>
      <c r="F177" s="426"/>
      <c r="G177" s="705"/>
      <c r="H177" s="705"/>
      <c r="I177" s="3191"/>
      <c r="J177" s="3171"/>
      <c r="K177" s="429"/>
      <c r="L177" s="429"/>
      <c r="M177" s="431"/>
    </row>
    <row r="178" spans="1:15" s="394" customFormat="1" ht="16.5" hidden="1" customHeight="1" x14ac:dyDescent="0.25">
      <c r="A178" s="424"/>
      <c r="B178" s="3299" t="s">
        <v>2813</v>
      </c>
      <c r="C178" s="3305">
        <v>300000000</v>
      </c>
      <c r="D178" s="488">
        <f>C178/C12*100</f>
        <v>2.0825329132543275E-2</v>
      </c>
      <c r="F178" s="426"/>
      <c r="G178" s="705"/>
      <c r="H178" s="705"/>
      <c r="I178" s="3191"/>
      <c r="J178" s="3171"/>
      <c r="K178" s="429"/>
      <c r="L178" s="429"/>
      <c r="M178" s="431"/>
    </row>
    <row r="179" spans="1:15" s="394" customFormat="1" ht="28.5" hidden="1" customHeight="1" x14ac:dyDescent="0.25">
      <c r="A179" s="424"/>
      <c r="B179" s="425" t="s">
        <v>2814</v>
      </c>
      <c r="C179" s="3321">
        <v>1000000000</v>
      </c>
      <c r="D179" s="488">
        <f>C179/C12*100</f>
        <v>6.9417763775144248E-2</v>
      </c>
      <c r="E179" s="493"/>
      <c r="F179" s="493"/>
      <c r="G179" s="703"/>
      <c r="H179" s="703"/>
      <c r="I179" s="493"/>
      <c r="J179" s="3176"/>
      <c r="K179" s="703"/>
      <c r="L179" s="703"/>
      <c r="M179" s="431"/>
    </row>
    <row r="180" spans="1:15" s="394" customFormat="1" ht="22.5" hidden="1" customHeight="1" x14ac:dyDescent="0.25">
      <c r="A180" s="424"/>
      <c r="B180" s="3299" t="s">
        <v>2815</v>
      </c>
      <c r="C180" s="3305">
        <v>10000000000</v>
      </c>
      <c r="D180" s="488">
        <f>C180/C12*100</f>
        <v>0.69417763775144248</v>
      </c>
      <c r="E180" s="488"/>
      <c r="F180" s="480"/>
      <c r="G180" s="705"/>
      <c r="H180" s="480"/>
      <c r="I180" s="488"/>
      <c r="J180" s="3180"/>
      <c r="K180" s="705"/>
      <c r="L180" s="705"/>
      <c r="M180" s="431"/>
    </row>
    <row r="181" spans="1:15" s="394" customFormat="1" ht="13.5" hidden="1" customHeight="1" x14ac:dyDescent="0.25">
      <c r="A181" s="424"/>
      <c r="B181" s="3299"/>
      <c r="C181" s="3319"/>
      <c r="D181" s="488"/>
      <c r="E181" s="488"/>
      <c r="F181" s="480"/>
      <c r="G181" s="705"/>
      <c r="H181" s="480"/>
      <c r="I181" s="488"/>
      <c r="J181" s="3180"/>
      <c r="K181" s="705"/>
      <c r="L181" s="705"/>
      <c r="M181" s="431"/>
    </row>
    <row r="182" spans="1:15" s="394" customFormat="1" ht="17.25" hidden="1" customHeight="1" x14ac:dyDescent="0.25">
      <c r="A182" s="424"/>
      <c r="B182" s="3317" t="s">
        <v>2816</v>
      </c>
      <c r="C182" s="494">
        <f>SUM(C183:C184)</f>
        <v>10875000017</v>
      </c>
      <c r="D182" s="493">
        <f>C182/C12*100</f>
        <v>0.75491818223479568</v>
      </c>
      <c r="E182" s="488"/>
      <c r="F182" s="480"/>
      <c r="G182" s="705"/>
      <c r="H182" s="480"/>
      <c r="I182" s="488"/>
      <c r="J182" s="3180"/>
      <c r="K182" s="705"/>
      <c r="L182" s="705"/>
      <c r="M182" s="431"/>
    </row>
    <row r="183" spans="1:15" s="394" customFormat="1" ht="21" hidden="1" customHeight="1" x14ac:dyDescent="0.25">
      <c r="A183" s="424"/>
      <c r="B183" s="3299" t="s">
        <v>2817</v>
      </c>
      <c r="C183" s="3305">
        <v>1000000000</v>
      </c>
      <c r="D183" s="488">
        <f>C183/C12*100</f>
        <v>6.9417763775144248E-2</v>
      </c>
      <c r="E183" s="488"/>
      <c r="F183" s="488"/>
      <c r="G183" s="705"/>
      <c r="H183" s="488"/>
      <c r="I183" s="488"/>
      <c r="J183" s="3174"/>
      <c r="K183" s="705"/>
      <c r="L183" s="705"/>
      <c r="M183" s="431"/>
    </row>
    <row r="184" spans="1:15" s="394" customFormat="1" ht="20.25" hidden="1" customHeight="1" x14ac:dyDescent="0.25">
      <c r="A184" s="424"/>
      <c r="B184" s="3299" t="s">
        <v>2818</v>
      </c>
      <c r="C184" s="3305">
        <v>9875000017</v>
      </c>
      <c r="D184" s="488">
        <f>C184/C12*100</f>
        <v>0.68550041845965148</v>
      </c>
      <c r="E184" s="426"/>
      <c r="F184" s="426"/>
      <c r="G184" s="705"/>
      <c r="H184" s="426"/>
      <c r="I184" s="426"/>
      <c r="J184" s="3179"/>
      <c r="K184" s="705"/>
      <c r="L184" s="429"/>
      <c r="M184" s="431"/>
    </row>
    <row r="185" spans="1:15" ht="12" hidden="1" customHeight="1" x14ac:dyDescent="0.25">
      <c r="A185" s="404"/>
      <c r="B185" s="435"/>
      <c r="C185" s="436"/>
      <c r="D185" s="442"/>
      <c r="E185" s="436"/>
      <c r="F185" s="438"/>
      <c r="G185" s="700"/>
      <c r="H185" s="706"/>
      <c r="I185" s="436"/>
      <c r="J185" s="482"/>
      <c r="K185" s="705"/>
      <c r="L185" s="437"/>
      <c r="M185" s="439"/>
    </row>
    <row r="186" spans="1:15" s="414" customFormat="1" ht="20.25" customHeight="1" thickBot="1" x14ac:dyDescent="0.3">
      <c r="A186" s="415">
        <v>2</v>
      </c>
      <c r="B186" s="416" t="s">
        <v>235</v>
      </c>
      <c r="C186" s="417">
        <f>SUM(C187,C190,C195,C209,C223,C227)</f>
        <v>135803462983</v>
      </c>
      <c r="D186" s="417">
        <f>C186/C12*100</f>
        <v>9.4271727132004415</v>
      </c>
      <c r="E186" s="417"/>
      <c r="F186" s="417"/>
      <c r="G186" s="701"/>
      <c r="H186" s="702"/>
      <c r="I186" s="417"/>
      <c r="J186" s="3195"/>
      <c r="K186" s="701"/>
      <c r="L186" s="701"/>
      <c r="M186" s="446"/>
      <c r="O186" s="419"/>
    </row>
    <row r="187" spans="1:15" s="414" customFormat="1" ht="16.5" hidden="1" customHeight="1" x14ac:dyDescent="0.25">
      <c r="A187" s="415"/>
      <c r="B187" s="3317" t="s">
        <v>289</v>
      </c>
      <c r="C187" s="440">
        <f>SUM(C188:C188)</f>
        <v>457469683</v>
      </c>
      <c r="D187" s="440">
        <f>C187/C12*100</f>
        <v>3.1756522388784125E-2</v>
      </c>
      <c r="E187" s="440"/>
      <c r="F187" s="440"/>
      <c r="G187" s="703"/>
      <c r="H187" s="704"/>
      <c r="I187" s="440"/>
      <c r="J187" s="3196"/>
      <c r="K187" s="703"/>
      <c r="L187" s="422"/>
      <c r="M187" s="423"/>
    </row>
    <row r="188" spans="1:15" s="394" customFormat="1" ht="14.25" hidden="1" customHeight="1" x14ac:dyDescent="0.25">
      <c r="A188" s="424"/>
      <c r="B188" s="3299" t="s">
        <v>2819</v>
      </c>
      <c r="C188" s="3305">
        <v>457469683</v>
      </c>
      <c r="D188" s="427">
        <f>C188/C12*100</f>
        <v>3.1756522388784125E-2</v>
      </c>
      <c r="E188" s="426"/>
      <c r="F188" s="480"/>
      <c r="G188" s="705"/>
      <c r="H188" s="480"/>
      <c r="I188" s="426"/>
      <c r="J188" s="441"/>
      <c r="K188" s="705"/>
      <c r="L188" s="443"/>
      <c r="M188" s="431"/>
    </row>
    <row r="189" spans="1:15" s="394" customFormat="1" ht="12" hidden="1" customHeight="1" x14ac:dyDescent="0.25">
      <c r="A189" s="424"/>
      <c r="B189" s="425"/>
      <c r="C189" s="426"/>
      <c r="D189" s="427"/>
      <c r="E189" s="426"/>
      <c r="F189" s="428"/>
      <c r="G189" s="705"/>
      <c r="H189" s="705"/>
      <c r="I189" s="426"/>
      <c r="J189" s="428"/>
      <c r="K189" s="705"/>
      <c r="L189" s="407"/>
      <c r="M189" s="431"/>
    </row>
    <row r="190" spans="1:15" s="414" customFormat="1" ht="20.25" hidden="1" customHeight="1" x14ac:dyDescent="0.25">
      <c r="A190" s="415"/>
      <c r="B190" s="433" t="s">
        <v>2820</v>
      </c>
      <c r="C190" s="434">
        <f>SUM(C191:C193)</f>
        <v>9000000000</v>
      </c>
      <c r="D190" s="448">
        <f>C190/C12*100</f>
        <v>0.62475987397629829</v>
      </c>
      <c r="E190" s="434"/>
      <c r="F190" s="434"/>
      <c r="G190" s="703"/>
      <c r="H190" s="704"/>
      <c r="I190" s="434"/>
      <c r="J190" s="3182"/>
      <c r="K190" s="703"/>
      <c r="L190" s="3197"/>
      <c r="M190" s="423"/>
    </row>
    <row r="191" spans="1:15" s="394" customFormat="1" ht="19.5" hidden="1" customHeight="1" x14ac:dyDescent="0.25">
      <c r="A191" s="424"/>
      <c r="B191" s="425" t="s">
        <v>2932</v>
      </c>
      <c r="C191" s="426">
        <v>5000000000</v>
      </c>
      <c r="D191" s="427">
        <f>C191/C12*100</f>
        <v>0.34708881887572124</v>
      </c>
      <c r="E191" s="426"/>
      <c r="F191" s="480"/>
      <c r="G191" s="705"/>
      <c r="H191" s="480"/>
      <c r="I191" s="488"/>
      <c r="J191" s="3170"/>
      <c r="K191" s="705"/>
      <c r="L191" s="426"/>
      <c r="M191" s="431"/>
    </row>
    <row r="192" spans="1:15" s="394" customFormat="1" ht="19.5" hidden="1" customHeight="1" x14ac:dyDescent="0.25">
      <c r="A192" s="424"/>
      <c r="B192" s="425" t="s">
        <v>2933</v>
      </c>
      <c r="C192" s="426">
        <v>1000000000</v>
      </c>
      <c r="D192" s="427">
        <f>C192/C12*100</f>
        <v>6.9417763775144248E-2</v>
      </c>
      <c r="E192" s="426"/>
      <c r="F192" s="480"/>
      <c r="G192" s="705"/>
      <c r="H192" s="480"/>
      <c r="I192" s="488"/>
      <c r="J192" s="3173"/>
      <c r="K192" s="705"/>
      <c r="L192" s="480"/>
      <c r="M192" s="431"/>
    </row>
    <row r="193" spans="1:13" s="394" customFormat="1" ht="19.5" hidden="1" customHeight="1" x14ac:dyDescent="0.25">
      <c r="A193" s="424"/>
      <c r="B193" s="489" t="s">
        <v>2934</v>
      </c>
      <c r="C193" s="426">
        <v>3000000000</v>
      </c>
      <c r="D193" s="427">
        <f>C193/C12*100</f>
        <v>0.20825329132543274</v>
      </c>
      <c r="E193" s="426"/>
      <c r="F193" s="480"/>
      <c r="G193" s="705"/>
      <c r="H193" s="480"/>
      <c r="I193" s="488"/>
      <c r="J193" s="3170"/>
      <c r="K193" s="705"/>
      <c r="L193" s="426"/>
      <c r="M193" s="431"/>
    </row>
    <row r="194" spans="1:13" s="394" customFormat="1" ht="12" hidden="1" customHeight="1" x14ac:dyDescent="0.25">
      <c r="A194" s="424"/>
      <c r="B194" s="425"/>
      <c r="C194" s="426"/>
      <c r="D194" s="427"/>
      <c r="E194" s="426"/>
      <c r="F194" s="428"/>
      <c r="G194" s="705"/>
      <c r="H194" s="705"/>
      <c r="I194" s="426"/>
      <c r="J194" s="428"/>
      <c r="K194" s="429"/>
      <c r="L194" s="444"/>
      <c r="M194" s="431"/>
    </row>
    <row r="195" spans="1:13" s="414" customFormat="1" ht="18.75" hidden="1" customHeight="1" x14ac:dyDescent="0.25">
      <c r="A195" s="415"/>
      <c r="B195" s="433" t="s">
        <v>2821</v>
      </c>
      <c r="C195" s="434">
        <f>SUM(C196:C207)</f>
        <v>67980643300</v>
      </c>
      <c r="D195" s="448">
        <f>C195/C12*100</f>
        <v>4.7190642378817422</v>
      </c>
      <c r="E195" s="434"/>
      <c r="F195" s="434"/>
      <c r="G195" s="703"/>
      <c r="H195" s="703"/>
      <c r="I195" s="434"/>
      <c r="J195" s="3182"/>
      <c r="K195" s="703"/>
      <c r="L195" s="703"/>
      <c r="M195" s="423"/>
    </row>
    <row r="196" spans="1:13" s="394" customFormat="1" ht="18" hidden="1" customHeight="1" x14ac:dyDescent="0.25">
      <c r="A196" s="424"/>
      <c r="B196" s="425" t="s">
        <v>2935</v>
      </c>
      <c r="C196" s="426">
        <v>1611897600</v>
      </c>
      <c r="D196" s="427">
        <f>C196/C12*100</f>
        <v>0.11189432682652195</v>
      </c>
      <c r="E196" s="426"/>
      <c r="F196" s="480"/>
      <c r="G196" s="705"/>
      <c r="H196" s="480"/>
      <c r="I196" s="488"/>
      <c r="J196" s="3170"/>
      <c r="K196" s="705"/>
      <c r="L196" s="443"/>
      <c r="M196" s="431"/>
    </row>
    <row r="197" spans="1:13" s="394" customFormat="1" ht="18" hidden="1" customHeight="1" x14ac:dyDescent="0.25">
      <c r="A197" s="424"/>
      <c r="B197" s="425" t="s">
        <v>2822</v>
      </c>
      <c r="C197" s="426">
        <v>5949672700</v>
      </c>
      <c r="D197" s="427">
        <f>C197/C12*100</f>
        <v>0.41301297402802467</v>
      </c>
      <c r="E197" s="426"/>
      <c r="F197" s="480"/>
      <c r="G197" s="705"/>
      <c r="H197" s="480"/>
      <c r="I197" s="488"/>
      <c r="J197" s="3170"/>
      <c r="K197" s="705"/>
      <c r="L197" s="443"/>
      <c r="M197" s="431"/>
    </row>
    <row r="198" spans="1:13" s="394" customFormat="1" ht="15" hidden="1" customHeight="1" x14ac:dyDescent="0.25">
      <c r="A198" s="424"/>
      <c r="B198" s="425" t="s">
        <v>2823</v>
      </c>
      <c r="C198" s="426">
        <v>1000000000</v>
      </c>
      <c r="D198" s="427">
        <f>C198/C12*100</f>
        <v>6.9417763775144248E-2</v>
      </c>
      <c r="E198" s="426"/>
      <c r="F198" s="428"/>
      <c r="G198" s="705"/>
      <c r="H198" s="705"/>
      <c r="I198" s="426"/>
      <c r="J198" s="428"/>
      <c r="K198" s="705"/>
      <c r="L198" s="407"/>
      <c r="M198" s="431"/>
    </row>
    <row r="199" spans="1:13" s="394" customFormat="1" ht="15" hidden="1" customHeight="1" x14ac:dyDescent="0.25">
      <c r="A199" s="424"/>
      <c r="B199" s="425" t="s">
        <v>2936</v>
      </c>
      <c r="C199" s="426">
        <v>1600000000</v>
      </c>
      <c r="D199" s="427">
        <f>C199/C12*100</f>
        <v>0.11106842204023079</v>
      </c>
      <c r="E199" s="426"/>
      <c r="F199" s="428"/>
      <c r="G199" s="705"/>
      <c r="H199" s="705"/>
      <c r="I199" s="426"/>
      <c r="J199" s="428"/>
      <c r="K199" s="705"/>
      <c r="L199" s="407"/>
      <c r="M199" s="431"/>
    </row>
    <row r="200" spans="1:13" s="394" customFormat="1" ht="15" hidden="1" customHeight="1" x14ac:dyDescent="0.25">
      <c r="A200" s="424"/>
      <c r="B200" s="425" t="s">
        <v>2824</v>
      </c>
      <c r="C200" s="426">
        <v>2000000000</v>
      </c>
      <c r="D200" s="427">
        <f>C200/C12*100</f>
        <v>0.1388355275502885</v>
      </c>
      <c r="E200" s="426"/>
      <c r="F200" s="428"/>
      <c r="G200" s="705"/>
      <c r="H200" s="705"/>
      <c r="I200" s="426"/>
      <c r="J200" s="428"/>
      <c r="K200" s="705"/>
      <c r="L200" s="407"/>
      <c r="M200" s="431"/>
    </row>
    <row r="201" spans="1:13" s="394" customFormat="1" ht="15.75" hidden="1" customHeight="1" x14ac:dyDescent="0.25">
      <c r="A201" s="424"/>
      <c r="B201" s="425" t="s">
        <v>2825</v>
      </c>
      <c r="C201" s="426">
        <v>1500000000</v>
      </c>
      <c r="D201" s="427">
        <f>C201/C12*100</f>
        <v>0.10412664566271637</v>
      </c>
      <c r="E201" s="426"/>
      <c r="F201" s="428"/>
      <c r="G201" s="705"/>
      <c r="H201" s="705"/>
      <c r="I201" s="426"/>
      <c r="J201" s="428"/>
      <c r="K201" s="705"/>
      <c r="L201" s="407"/>
      <c r="M201" s="431"/>
    </row>
    <row r="202" spans="1:13" s="394" customFormat="1" ht="16.5" hidden="1" customHeight="1" x14ac:dyDescent="0.25">
      <c r="A202" s="424"/>
      <c r="B202" s="425" t="s">
        <v>2937</v>
      </c>
      <c r="C202" s="426">
        <v>1250000000</v>
      </c>
      <c r="D202" s="427">
        <f>C202/C12*100</f>
        <v>8.677220471893031E-2</v>
      </c>
      <c r="E202" s="426"/>
      <c r="F202" s="428"/>
      <c r="G202" s="705"/>
      <c r="H202" s="705"/>
      <c r="I202" s="426"/>
      <c r="J202" s="428"/>
      <c r="K202" s="705"/>
      <c r="L202" s="407"/>
      <c r="M202" s="431"/>
    </row>
    <row r="203" spans="1:13" s="394" customFormat="1" ht="16.5" hidden="1" customHeight="1" x14ac:dyDescent="0.25">
      <c r="A203" s="424"/>
      <c r="B203" s="425" t="s">
        <v>2826</v>
      </c>
      <c r="C203" s="426">
        <v>31600000000</v>
      </c>
      <c r="D203" s="427">
        <f>C203/C12*100</f>
        <v>2.1936013352945585</v>
      </c>
      <c r="E203" s="426"/>
      <c r="F203" s="428"/>
      <c r="G203" s="705"/>
      <c r="H203" s="705"/>
      <c r="I203" s="426"/>
      <c r="J203" s="428"/>
      <c r="K203" s="705"/>
      <c r="L203" s="407"/>
      <c r="M203" s="431"/>
    </row>
    <row r="204" spans="1:13" s="394" customFormat="1" ht="15" hidden="1" customHeight="1" x14ac:dyDescent="0.25">
      <c r="A204" s="424"/>
      <c r="B204" s="425" t="s">
        <v>2938</v>
      </c>
      <c r="C204" s="426">
        <v>4619073000</v>
      </c>
      <c r="D204" s="427">
        <f>C204/C12*100</f>
        <v>0.3206457183741469</v>
      </c>
      <c r="E204" s="426"/>
      <c r="F204" s="428"/>
      <c r="G204" s="705"/>
      <c r="H204" s="705"/>
      <c r="I204" s="426"/>
      <c r="J204" s="428"/>
      <c r="K204" s="705"/>
      <c r="L204" s="407"/>
      <c r="M204" s="431"/>
    </row>
    <row r="205" spans="1:13" s="394" customFormat="1" ht="16.5" hidden="1" customHeight="1" x14ac:dyDescent="0.25">
      <c r="A205" s="424"/>
      <c r="B205" s="425" t="s">
        <v>2827</v>
      </c>
      <c r="C205" s="426">
        <v>4350000000</v>
      </c>
      <c r="D205" s="427">
        <f>C205/C12*100</f>
        <v>0.30196727242187749</v>
      </c>
      <c r="E205" s="426"/>
      <c r="F205" s="428"/>
      <c r="G205" s="705"/>
      <c r="H205" s="705"/>
      <c r="I205" s="426"/>
      <c r="J205" s="428"/>
      <c r="K205" s="705"/>
      <c r="L205" s="407"/>
      <c r="M205" s="431"/>
    </row>
    <row r="206" spans="1:13" s="394" customFormat="1" ht="14.25" hidden="1" customHeight="1" x14ac:dyDescent="0.25">
      <c r="A206" s="424"/>
      <c r="B206" s="425" t="s">
        <v>2939</v>
      </c>
      <c r="C206" s="426">
        <v>500000000</v>
      </c>
      <c r="D206" s="427">
        <f>C206/C12*100</f>
        <v>3.4708881887572124E-2</v>
      </c>
      <c r="E206" s="426"/>
      <c r="F206" s="428"/>
      <c r="G206" s="705"/>
      <c r="H206" s="705"/>
      <c r="I206" s="426"/>
      <c r="J206" s="428"/>
      <c r="K206" s="705"/>
      <c r="L206" s="407"/>
      <c r="M206" s="431"/>
    </row>
    <row r="207" spans="1:13" s="394" customFormat="1" ht="15.75" hidden="1" customHeight="1" x14ac:dyDescent="0.25">
      <c r="A207" s="424"/>
      <c r="B207" s="425" t="s">
        <v>2828</v>
      </c>
      <c r="C207" s="426">
        <v>12000000000</v>
      </c>
      <c r="D207" s="427">
        <f>C207/C12*100</f>
        <v>0.83301316530173097</v>
      </c>
      <c r="E207" s="426"/>
      <c r="F207" s="428"/>
      <c r="G207" s="705"/>
      <c r="H207" s="705"/>
      <c r="I207" s="426"/>
      <c r="J207" s="428"/>
      <c r="K207" s="705"/>
      <c r="L207" s="407"/>
      <c r="M207" s="431"/>
    </row>
    <row r="208" spans="1:13" s="394" customFormat="1" ht="12" hidden="1" customHeight="1" x14ac:dyDescent="0.25">
      <c r="A208" s="424"/>
      <c r="B208" s="425"/>
      <c r="C208" s="426"/>
      <c r="D208" s="427"/>
      <c r="E208" s="426"/>
      <c r="F208" s="428"/>
      <c r="G208" s="705"/>
      <c r="H208" s="705"/>
      <c r="I208" s="426"/>
      <c r="J208" s="428"/>
      <c r="K208" s="705"/>
      <c r="L208" s="407"/>
      <c r="M208" s="431"/>
    </row>
    <row r="209" spans="1:15" s="414" customFormat="1" ht="21" hidden="1" customHeight="1" x14ac:dyDescent="0.25">
      <c r="A209" s="415"/>
      <c r="B209" s="433" t="s">
        <v>2829</v>
      </c>
      <c r="C209" s="434">
        <f>SUM(C210:C221)</f>
        <v>20965350000</v>
      </c>
      <c r="D209" s="448">
        <f>C209/C12*100</f>
        <v>1.4553677137632206</v>
      </c>
      <c r="E209" s="434"/>
      <c r="F209" s="434"/>
      <c r="G209" s="703"/>
      <c r="H209" s="703"/>
      <c r="I209" s="434"/>
      <c r="J209" s="3182"/>
      <c r="K209" s="703"/>
      <c r="L209" s="703"/>
      <c r="M209" s="423"/>
    </row>
    <row r="210" spans="1:15" s="394" customFormat="1" ht="15" hidden="1" customHeight="1" x14ac:dyDescent="0.25">
      <c r="A210" s="424"/>
      <c r="B210" s="425" t="s">
        <v>2830</v>
      </c>
      <c r="C210" s="426">
        <v>5000000000</v>
      </c>
      <c r="D210" s="427">
        <f>C210/C12*100</f>
        <v>0.34708881887572124</v>
      </c>
      <c r="E210" s="426"/>
      <c r="F210" s="480"/>
      <c r="G210" s="705"/>
      <c r="H210" s="480"/>
      <c r="I210" s="426"/>
      <c r="J210" s="3171"/>
      <c r="K210" s="705"/>
      <c r="L210" s="429"/>
      <c r="M210" s="431"/>
    </row>
    <row r="211" spans="1:15" s="394" customFormat="1" ht="16.5" hidden="1" customHeight="1" x14ac:dyDescent="0.25">
      <c r="A211" s="424"/>
      <c r="B211" s="425" t="s">
        <v>2831</v>
      </c>
      <c r="C211" s="426">
        <v>481550000</v>
      </c>
      <c r="D211" s="427">
        <f>C211/C12*100</f>
        <v>3.3428124145920717E-2</v>
      </c>
      <c r="E211" s="426"/>
      <c r="F211" s="480"/>
      <c r="G211" s="705"/>
      <c r="H211" s="480"/>
      <c r="I211" s="426"/>
      <c r="J211" s="3171"/>
      <c r="K211" s="705"/>
      <c r="L211" s="429"/>
      <c r="M211" s="431"/>
    </row>
    <row r="212" spans="1:15" s="394" customFormat="1" ht="15.75" hidden="1" customHeight="1" x14ac:dyDescent="0.25">
      <c r="A212" s="424"/>
      <c r="B212" s="425" t="s">
        <v>2940</v>
      </c>
      <c r="C212" s="426">
        <v>1000000000</v>
      </c>
      <c r="D212" s="427">
        <f>C212/C12*100</f>
        <v>6.9417763775144248E-2</v>
      </c>
      <c r="E212" s="426"/>
      <c r="F212" s="480"/>
      <c r="G212" s="705"/>
      <c r="H212" s="480"/>
      <c r="I212" s="426"/>
      <c r="J212" s="441"/>
      <c r="K212" s="705"/>
      <c r="L212" s="429"/>
      <c r="M212" s="431"/>
    </row>
    <row r="213" spans="1:15" s="394" customFormat="1" ht="17.25" hidden="1" customHeight="1" x14ac:dyDescent="0.25">
      <c r="A213" s="424"/>
      <c r="B213" s="425" t="s">
        <v>2941</v>
      </c>
      <c r="C213" s="488">
        <v>500000000</v>
      </c>
      <c r="D213" s="495">
        <f>C213/C12*100</f>
        <v>3.4708881887572124E-2</v>
      </c>
      <c r="E213" s="488"/>
      <c r="F213" s="480"/>
      <c r="G213" s="705"/>
      <c r="H213" s="480"/>
      <c r="I213" s="488"/>
      <c r="J213" s="3183"/>
      <c r="K213" s="705"/>
      <c r="L213" s="705"/>
      <c r="M213" s="431"/>
    </row>
    <row r="214" spans="1:15" s="394" customFormat="1" ht="15" hidden="1" customHeight="1" x14ac:dyDescent="0.25">
      <c r="A214" s="424"/>
      <c r="B214" s="425" t="s">
        <v>2942</v>
      </c>
      <c r="C214" s="426">
        <v>2000000000</v>
      </c>
      <c r="D214" s="427">
        <f>C214/C12*100</f>
        <v>0.1388355275502885</v>
      </c>
      <c r="E214" s="426"/>
      <c r="F214" s="480"/>
      <c r="G214" s="705"/>
      <c r="H214" s="480"/>
      <c r="I214" s="426"/>
      <c r="J214" s="3173"/>
      <c r="K214" s="705"/>
      <c r="L214" s="480"/>
      <c r="M214" s="431"/>
    </row>
    <row r="215" spans="1:15" s="394" customFormat="1" ht="15" hidden="1" customHeight="1" x14ac:dyDescent="0.25">
      <c r="A215" s="424"/>
      <c r="B215" s="425" t="s">
        <v>2832</v>
      </c>
      <c r="C215" s="426">
        <v>1050000000</v>
      </c>
      <c r="D215" s="427">
        <f>C215/C12*100</f>
        <v>7.2888651963901457E-2</v>
      </c>
      <c r="E215" s="426"/>
      <c r="F215" s="480"/>
      <c r="G215" s="705"/>
      <c r="H215" s="480"/>
      <c r="I215" s="426"/>
      <c r="J215" s="441"/>
      <c r="K215" s="705"/>
      <c r="L215" s="3198"/>
      <c r="M215" s="431"/>
    </row>
    <row r="216" spans="1:15" s="394" customFormat="1" ht="30.75" hidden="1" customHeight="1" x14ac:dyDescent="0.25">
      <c r="A216" s="424"/>
      <c r="B216" s="425" t="s">
        <v>2833</v>
      </c>
      <c r="C216" s="480">
        <v>583800000</v>
      </c>
      <c r="D216" s="3189">
        <f>C216/C12*100</f>
        <v>4.0526090491929213E-2</v>
      </c>
      <c r="E216" s="426"/>
      <c r="F216" s="480"/>
      <c r="G216" s="705"/>
      <c r="H216" s="480"/>
      <c r="I216" s="426"/>
      <c r="J216" s="441"/>
      <c r="K216" s="705"/>
      <c r="L216" s="3198"/>
      <c r="M216" s="431"/>
    </row>
    <row r="217" spans="1:15" s="394" customFormat="1" ht="18" hidden="1" customHeight="1" x14ac:dyDescent="0.25">
      <c r="A217" s="424"/>
      <c r="B217" s="425" t="s">
        <v>2834</v>
      </c>
      <c r="C217" s="426">
        <v>4000000000</v>
      </c>
      <c r="D217" s="427">
        <f>C217/C12*100</f>
        <v>0.27767105510057699</v>
      </c>
      <c r="E217" s="426"/>
      <c r="F217" s="480"/>
      <c r="G217" s="705"/>
      <c r="H217" s="480"/>
      <c r="I217" s="426"/>
      <c r="J217" s="441"/>
      <c r="K217" s="705"/>
      <c r="L217" s="3198"/>
      <c r="M217" s="431"/>
    </row>
    <row r="218" spans="1:15" s="394" customFormat="1" ht="22.5" hidden="1" customHeight="1" x14ac:dyDescent="0.25">
      <c r="A218" s="424"/>
      <c r="B218" s="425" t="s">
        <v>2944</v>
      </c>
      <c r="C218" s="488">
        <v>1000000000</v>
      </c>
      <c r="D218" s="495">
        <f>C218/C12*100</f>
        <v>6.9417763775144248E-2</v>
      </c>
      <c r="E218" s="488"/>
      <c r="F218" s="480"/>
      <c r="G218" s="705"/>
      <c r="H218" s="480"/>
      <c r="I218" s="488"/>
      <c r="J218" s="3183"/>
      <c r="K218" s="705"/>
      <c r="L218" s="3199"/>
      <c r="M218" s="431"/>
    </row>
    <row r="219" spans="1:15" s="394" customFormat="1" ht="20.25" hidden="1" customHeight="1" x14ac:dyDescent="0.25">
      <c r="A219" s="424"/>
      <c r="B219" s="425" t="s">
        <v>2835</v>
      </c>
      <c r="C219" s="488">
        <v>350000000</v>
      </c>
      <c r="D219" s="495">
        <f>C219/C12*100</f>
        <v>2.4296217321300485E-2</v>
      </c>
      <c r="E219" s="488"/>
      <c r="F219" s="480"/>
      <c r="G219" s="705"/>
      <c r="H219" s="480"/>
      <c r="I219" s="488"/>
      <c r="J219" s="3183"/>
      <c r="K219" s="705"/>
      <c r="L219" s="3199"/>
      <c r="M219" s="431"/>
    </row>
    <row r="220" spans="1:15" s="394" customFormat="1" ht="21.75" hidden="1" customHeight="1" x14ac:dyDescent="0.25">
      <c r="A220" s="424"/>
      <c r="B220" s="425" t="s">
        <v>2836</v>
      </c>
      <c r="C220" s="488">
        <v>1000000000</v>
      </c>
      <c r="D220" s="495">
        <f>C220/C12*100</f>
        <v>6.9417763775144248E-2</v>
      </c>
      <c r="E220" s="488"/>
      <c r="F220" s="480"/>
      <c r="G220" s="705"/>
      <c r="H220" s="480"/>
      <c r="I220" s="488"/>
      <c r="J220" s="3183"/>
      <c r="K220" s="705"/>
      <c r="L220" s="480"/>
      <c r="M220" s="431"/>
    </row>
    <row r="221" spans="1:15" s="394" customFormat="1" ht="19.5" hidden="1" customHeight="1" x14ac:dyDescent="0.25">
      <c r="A221" s="424"/>
      <c r="B221" s="425" t="s">
        <v>2943</v>
      </c>
      <c r="C221" s="426">
        <v>4000000000</v>
      </c>
      <c r="D221" s="495">
        <f>C221/C12*100</f>
        <v>0.27767105510057699</v>
      </c>
      <c r="E221" s="426"/>
      <c r="F221" s="480"/>
      <c r="G221" s="705"/>
      <c r="H221" s="480"/>
      <c r="I221" s="426"/>
      <c r="J221" s="441"/>
      <c r="K221" s="705"/>
      <c r="L221" s="407"/>
      <c r="M221" s="431"/>
    </row>
    <row r="222" spans="1:15" ht="12" hidden="1" customHeight="1" x14ac:dyDescent="0.25">
      <c r="A222" s="404"/>
      <c r="B222" s="490"/>
      <c r="C222" s="486"/>
      <c r="D222" s="427"/>
      <c r="E222" s="486"/>
      <c r="F222" s="438"/>
      <c r="G222" s="706"/>
      <c r="H222" s="480"/>
      <c r="I222" s="486"/>
      <c r="J222" s="438"/>
      <c r="K222" s="706"/>
      <c r="L222" s="437"/>
      <c r="M222" s="439"/>
    </row>
    <row r="223" spans="1:15" s="414" customFormat="1" ht="18" hidden="1" customHeight="1" x14ac:dyDescent="0.25">
      <c r="A223" s="415"/>
      <c r="B223" s="433" t="s">
        <v>2837</v>
      </c>
      <c r="C223" s="434">
        <f>SUM(C224,C225)</f>
        <v>3000000000</v>
      </c>
      <c r="D223" s="434">
        <f>C223/C12*100</f>
        <v>0.20825329132543274</v>
      </c>
      <c r="E223" s="434"/>
      <c r="F223" s="434"/>
      <c r="G223" s="709"/>
      <c r="H223" s="484"/>
      <c r="I223" s="434"/>
      <c r="J223" s="3182"/>
      <c r="K223" s="709"/>
      <c r="L223" s="412"/>
      <c r="M223" s="418"/>
      <c r="O223" s="419"/>
    </row>
    <row r="224" spans="1:15" s="394" customFormat="1" ht="15.75" hidden="1" customHeight="1" x14ac:dyDescent="0.25">
      <c r="A224" s="424"/>
      <c r="B224" s="491" t="s">
        <v>2838</v>
      </c>
      <c r="C224" s="483">
        <v>1500000000</v>
      </c>
      <c r="D224" s="483">
        <f>C224/C12*100</f>
        <v>0.10412664566271637</v>
      </c>
      <c r="E224" s="483"/>
      <c r="F224" s="480"/>
      <c r="G224" s="705"/>
      <c r="H224" s="480"/>
      <c r="I224" s="483"/>
      <c r="J224" s="441"/>
      <c r="K224" s="705"/>
      <c r="L224" s="429"/>
      <c r="M224" s="431"/>
    </row>
    <row r="225" spans="1:13" s="394" customFormat="1" ht="21.75" hidden="1" customHeight="1" x14ac:dyDescent="0.25">
      <c r="A225" s="424"/>
      <c r="B225" s="425" t="s">
        <v>2839</v>
      </c>
      <c r="C225" s="426">
        <v>1500000000</v>
      </c>
      <c r="D225" s="483">
        <f>C225/C12*100</f>
        <v>0.10412664566271637</v>
      </c>
      <c r="E225" s="426"/>
      <c r="F225" s="480"/>
      <c r="G225" s="705"/>
      <c r="H225" s="480"/>
      <c r="I225" s="488"/>
      <c r="J225" s="3170"/>
      <c r="K225" s="705"/>
      <c r="L225" s="705"/>
      <c r="M225" s="431"/>
    </row>
    <row r="226" spans="1:13" s="394" customFormat="1" ht="21.75" hidden="1" customHeight="1" x14ac:dyDescent="0.25">
      <c r="A226" s="424"/>
      <c r="B226" s="491"/>
      <c r="C226" s="483"/>
      <c r="D226" s="483"/>
      <c r="E226" s="483"/>
      <c r="F226" s="3322"/>
      <c r="G226" s="705"/>
      <c r="H226" s="3244"/>
      <c r="I226" s="708"/>
      <c r="J226" s="3323"/>
      <c r="K226" s="705"/>
      <c r="L226" s="705"/>
      <c r="M226" s="431"/>
    </row>
    <row r="227" spans="1:13" s="394" customFormat="1" ht="21.75" hidden="1" customHeight="1" x14ac:dyDescent="0.25">
      <c r="A227" s="424"/>
      <c r="B227" s="3324" t="s">
        <v>2840</v>
      </c>
      <c r="C227" s="3325">
        <f>SUM(C228:C233)</f>
        <v>34400000000</v>
      </c>
      <c r="D227" s="434">
        <f>C227/C12*100</f>
        <v>2.3879710738649624</v>
      </c>
      <c r="E227" s="483"/>
      <c r="F227" s="3322"/>
      <c r="G227" s="705"/>
      <c r="H227" s="3244"/>
      <c r="I227" s="708"/>
      <c r="J227" s="3323"/>
      <c r="K227" s="705"/>
      <c r="L227" s="705"/>
      <c r="M227" s="431"/>
    </row>
    <row r="228" spans="1:13" s="394" customFormat="1" ht="21.75" hidden="1" customHeight="1" x14ac:dyDescent="0.25">
      <c r="A228" s="424"/>
      <c r="B228" s="491" t="s">
        <v>2841</v>
      </c>
      <c r="C228" s="483">
        <v>13400000000</v>
      </c>
      <c r="D228" s="483">
        <f>C228/C12*100</f>
        <v>0.93019803458693295</v>
      </c>
      <c r="E228" s="483"/>
      <c r="F228" s="3322"/>
      <c r="G228" s="705"/>
      <c r="H228" s="3244"/>
      <c r="I228" s="708"/>
      <c r="J228" s="3323"/>
      <c r="K228" s="705"/>
      <c r="L228" s="705"/>
      <c r="M228" s="431"/>
    </row>
    <row r="229" spans="1:13" s="394" customFormat="1" ht="21.75" hidden="1" customHeight="1" x14ac:dyDescent="0.25">
      <c r="A229" s="424"/>
      <c r="B229" s="491" t="s">
        <v>2842</v>
      </c>
      <c r="C229" s="483">
        <v>16500000000</v>
      </c>
      <c r="D229" s="483">
        <f>C229/C12*100</f>
        <v>1.1453931022898802</v>
      </c>
      <c r="E229" s="483"/>
      <c r="F229" s="3322"/>
      <c r="G229" s="705"/>
      <c r="H229" s="3244"/>
      <c r="I229" s="708"/>
      <c r="J229" s="3323"/>
      <c r="K229" s="705"/>
      <c r="L229" s="705"/>
      <c r="M229" s="431"/>
    </row>
    <row r="230" spans="1:13" s="394" customFormat="1" ht="21.75" hidden="1" customHeight="1" x14ac:dyDescent="0.25">
      <c r="A230" s="424"/>
      <c r="B230" s="491" t="s">
        <v>2843</v>
      </c>
      <c r="C230" s="483">
        <v>3600000000</v>
      </c>
      <c r="D230" s="483">
        <f>C230/C12*100</f>
        <v>0.24990394959051929</v>
      </c>
      <c r="E230" s="483"/>
      <c r="F230" s="3322"/>
      <c r="G230" s="705"/>
      <c r="H230" s="3244"/>
      <c r="I230" s="708"/>
      <c r="J230" s="3323"/>
      <c r="K230" s="705"/>
      <c r="L230" s="705"/>
      <c r="M230" s="431"/>
    </row>
    <row r="231" spans="1:13" s="394" customFormat="1" ht="21.75" hidden="1" customHeight="1" x14ac:dyDescent="0.25">
      <c r="A231" s="424"/>
      <c r="B231" s="491" t="s">
        <v>2844</v>
      </c>
      <c r="C231" s="483">
        <v>300000000</v>
      </c>
      <c r="D231" s="483">
        <f>C231/C12*100</f>
        <v>2.0825329132543275E-2</v>
      </c>
      <c r="E231" s="483"/>
      <c r="F231" s="3322"/>
      <c r="G231" s="705"/>
      <c r="H231" s="3244"/>
      <c r="I231" s="708"/>
      <c r="J231" s="3323"/>
      <c r="K231" s="705"/>
      <c r="L231" s="705"/>
      <c r="M231" s="431"/>
    </row>
    <row r="232" spans="1:13" s="394" customFormat="1" ht="21.75" hidden="1" customHeight="1" x14ac:dyDescent="0.25">
      <c r="A232" s="424"/>
      <c r="B232" s="491" t="s">
        <v>2845</v>
      </c>
      <c r="C232" s="483">
        <v>300000000</v>
      </c>
      <c r="D232" s="483">
        <f>C232/C12*100</f>
        <v>2.0825329132543275E-2</v>
      </c>
      <c r="E232" s="483"/>
      <c r="F232" s="3322"/>
      <c r="G232" s="705"/>
      <c r="H232" s="3244"/>
      <c r="I232" s="708"/>
      <c r="J232" s="3323"/>
      <c r="K232" s="705"/>
      <c r="L232" s="705"/>
      <c r="M232" s="431"/>
    </row>
    <row r="233" spans="1:13" s="394" customFormat="1" ht="21.75" hidden="1" customHeight="1" x14ac:dyDescent="0.25">
      <c r="A233" s="424"/>
      <c r="B233" s="491" t="s">
        <v>2846</v>
      </c>
      <c r="C233" s="483">
        <v>300000000</v>
      </c>
      <c r="D233" s="483">
        <f>C233/C12*100</f>
        <v>2.0825329132543275E-2</v>
      </c>
      <c r="E233" s="483"/>
      <c r="F233" s="3322"/>
      <c r="G233" s="705"/>
      <c r="H233" s="3244"/>
      <c r="I233" s="708"/>
      <c r="J233" s="3323"/>
      <c r="K233" s="705"/>
      <c r="L233" s="705"/>
      <c r="M233" s="431"/>
    </row>
    <row r="234" spans="1:13" ht="12" hidden="1" customHeight="1" thickBot="1" x14ac:dyDescent="0.3">
      <c r="A234" s="449"/>
      <c r="B234" s="450"/>
      <c r="C234" s="3312"/>
      <c r="D234" s="451"/>
      <c r="E234" s="451"/>
      <c r="F234" s="451"/>
      <c r="G234" s="710"/>
      <c r="H234" s="711"/>
      <c r="I234" s="451"/>
      <c r="J234" s="451"/>
      <c r="K234" s="451"/>
      <c r="L234" s="451"/>
      <c r="M234" s="452"/>
    </row>
    <row r="235" spans="1:13" ht="23.25" customHeight="1" thickTop="1" thickBot="1" x14ac:dyDescent="0.3">
      <c r="A235" s="453"/>
      <c r="B235" s="492" t="s">
        <v>18</v>
      </c>
      <c r="C235" s="713">
        <f>C12</f>
        <v>1440553463000</v>
      </c>
      <c r="D235" s="454">
        <f>C235/1440553463000*100</f>
        <v>100</v>
      </c>
      <c r="E235" s="713"/>
      <c r="F235" s="713"/>
      <c r="G235" s="712"/>
      <c r="H235" s="713"/>
      <c r="I235" s="713"/>
      <c r="J235" s="713"/>
      <c r="K235" s="712"/>
      <c r="L235" s="713"/>
      <c r="M235" s="455"/>
    </row>
    <row r="236" spans="1:13" ht="11.25" customHeight="1" thickTop="1" x14ac:dyDescent="0.25">
      <c r="A236" s="456"/>
      <c r="B236" s="457"/>
      <c r="C236" s="3313"/>
      <c r="D236" s="458"/>
      <c r="E236" s="458"/>
      <c r="F236" s="458"/>
      <c r="G236" s="714"/>
      <c r="H236" s="715"/>
      <c r="I236" s="458"/>
      <c r="J236" s="458"/>
      <c r="K236" s="458"/>
      <c r="L236" s="458"/>
      <c r="M236" s="459"/>
    </row>
    <row r="237" spans="1:13" x14ac:dyDescent="0.25">
      <c r="A237" s="460"/>
      <c r="B237" s="461"/>
      <c r="C237" s="602"/>
      <c r="D237" s="462"/>
      <c r="E237" s="462"/>
      <c r="F237" s="462"/>
      <c r="G237" s="716"/>
      <c r="H237" s="717"/>
      <c r="I237" s="462"/>
      <c r="J237" s="462"/>
      <c r="K237" s="462"/>
      <c r="L237" s="462"/>
      <c r="M237" s="463"/>
    </row>
    <row r="238" spans="1:13" x14ac:dyDescent="0.25">
      <c r="A238" s="460"/>
      <c r="B238" s="5829"/>
      <c r="C238" s="5829"/>
      <c r="D238" s="5829"/>
      <c r="E238" s="462"/>
      <c r="F238" s="462"/>
      <c r="G238" s="716"/>
      <c r="H238" s="718"/>
      <c r="I238" s="5822" t="s">
        <v>7124</v>
      </c>
      <c r="J238" s="5822"/>
      <c r="K238" s="5822"/>
      <c r="L238" s="462"/>
      <c r="M238" s="463"/>
    </row>
    <row r="239" spans="1:13" ht="15" customHeight="1" x14ac:dyDescent="0.25">
      <c r="A239" s="460"/>
      <c r="B239" s="465"/>
      <c r="C239" s="464"/>
      <c r="D239" s="3017"/>
      <c r="E239" s="462"/>
      <c r="F239" s="462"/>
      <c r="G239" s="716"/>
      <c r="H239" s="717"/>
      <c r="I239" s="5832" t="s">
        <v>2276</v>
      </c>
      <c r="J239" s="5832"/>
      <c r="K239" s="5832"/>
      <c r="M239" s="463"/>
    </row>
    <row r="240" spans="1:13" ht="15" customHeight="1" x14ac:dyDescent="0.25">
      <c r="A240" s="460"/>
      <c r="B240" s="5829"/>
      <c r="C240" s="5829"/>
      <c r="D240" s="5829"/>
      <c r="E240" s="462"/>
      <c r="F240" s="462"/>
      <c r="G240" s="716"/>
      <c r="H240" s="717"/>
      <c r="I240" s="5832" t="s">
        <v>2067</v>
      </c>
      <c r="J240" s="5832"/>
      <c r="K240" s="5832"/>
      <c r="M240" s="463"/>
    </row>
    <row r="241" spans="1:13" x14ac:dyDescent="0.25">
      <c r="A241" s="460"/>
      <c r="B241" s="5829"/>
      <c r="C241" s="5829"/>
      <c r="D241" s="5829"/>
      <c r="E241" s="462"/>
      <c r="F241" s="462"/>
      <c r="G241" s="716"/>
      <c r="H241" s="717"/>
      <c r="I241" s="602"/>
      <c r="J241" s="3200"/>
      <c r="K241" s="602"/>
      <c r="L241" s="462"/>
      <c r="M241" s="463"/>
    </row>
    <row r="242" spans="1:13" x14ac:dyDescent="0.25">
      <c r="A242" s="460"/>
      <c r="B242" s="3201"/>
      <c r="C242" s="464"/>
      <c r="D242" s="464"/>
      <c r="E242" s="462"/>
      <c r="F242" s="462"/>
      <c r="G242" s="716"/>
      <c r="H242" s="717"/>
      <c r="I242" s="602"/>
      <c r="J242" s="3202"/>
      <c r="K242" s="602"/>
      <c r="L242" s="462"/>
      <c r="M242" s="463"/>
    </row>
    <row r="243" spans="1:13" x14ac:dyDescent="0.25">
      <c r="A243" s="460"/>
      <c r="B243" s="3201"/>
      <c r="C243" s="464"/>
      <c r="D243" s="3017"/>
      <c r="E243" s="462"/>
      <c r="F243" s="462"/>
      <c r="G243" s="716"/>
      <c r="H243" s="717"/>
      <c r="I243" s="602"/>
      <c r="J243" s="3200"/>
      <c r="K243" s="602"/>
      <c r="L243" s="462"/>
      <c r="M243" s="463"/>
    </row>
    <row r="244" spans="1:13" x14ac:dyDescent="0.25">
      <c r="A244" s="460"/>
      <c r="B244" s="3201"/>
      <c r="C244" s="464"/>
      <c r="D244" s="3017"/>
      <c r="E244" s="462"/>
      <c r="F244" s="462"/>
      <c r="G244" s="716"/>
      <c r="H244" s="717"/>
      <c r="I244" s="602"/>
      <c r="J244" s="3203"/>
      <c r="K244" s="602"/>
      <c r="L244" s="462"/>
      <c r="M244" s="463"/>
    </row>
    <row r="245" spans="1:13" ht="15" customHeight="1" x14ac:dyDescent="0.25">
      <c r="A245" s="460"/>
      <c r="B245" s="3201"/>
      <c r="C245" s="464"/>
      <c r="D245" s="3017"/>
      <c r="E245" s="462"/>
      <c r="F245" s="462"/>
      <c r="G245" s="716"/>
      <c r="H245" s="717"/>
      <c r="I245" s="5817" t="s">
        <v>2070</v>
      </c>
      <c r="J245" s="5817"/>
      <c r="K245" s="5817"/>
      <c r="L245" s="462"/>
      <c r="M245" s="463"/>
    </row>
    <row r="246" spans="1:13" ht="15.75" x14ac:dyDescent="0.25">
      <c r="A246" s="460"/>
      <c r="B246" s="3201"/>
      <c r="C246" s="464"/>
      <c r="D246" s="3017"/>
      <c r="E246" s="462"/>
      <c r="F246" s="462"/>
      <c r="G246" s="716"/>
      <c r="H246" s="717"/>
      <c r="I246" s="5830" t="s">
        <v>2071</v>
      </c>
      <c r="J246" s="5830"/>
      <c r="K246" s="5830"/>
      <c r="L246" s="3016"/>
      <c r="M246" s="463"/>
    </row>
    <row r="247" spans="1:13" ht="15" customHeight="1" x14ac:dyDescent="0.25">
      <c r="A247" s="460"/>
      <c r="B247" s="3201"/>
      <c r="C247" s="464"/>
      <c r="D247" s="464"/>
      <c r="E247" s="462"/>
      <c r="F247" s="462"/>
      <c r="G247" s="716"/>
      <c r="H247" s="717"/>
      <c r="I247" s="5831" t="s">
        <v>2072</v>
      </c>
      <c r="J247" s="5831"/>
      <c r="K247" s="5831"/>
      <c r="M247" s="463"/>
    </row>
    <row r="248" spans="1:13" ht="15" customHeight="1" x14ac:dyDescent="0.25">
      <c r="A248" s="460"/>
      <c r="B248" s="3201"/>
      <c r="C248" s="3201"/>
      <c r="D248" s="465" t="s">
        <v>2068</v>
      </c>
      <c r="E248" s="462"/>
      <c r="F248" s="462"/>
      <c r="G248" s="716"/>
      <c r="H248" s="717"/>
      <c r="I248" s="3015"/>
      <c r="J248" s="3015"/>
      <c r="K248" s="3015"/>
      <c r="M248" s="463"/>
    </row>
    <row r="249" spans="1:13" ht="15.75" x14ac:dyDescent="0.25">
      <c r="A249" s="460"/>
      <c r="B249" s="3201"/>
      <c r="C249" s="3201"/>
      <c r="D249" s="465"/>
      <c r="E249" s="462"/>
      <c r="F249" s="462"/>
      <c r="G249" s="716"/>
      <c r="H249" s="717"/>
      <c r="I249" s="645"/>
      <c r="J249" s="645"/>
      <c r="K249" s="645"/>
      <c r="L249" s="466"/>
      <c r="M249" s="463"/>
    </row>
    <row r="250" spans="1:13" ht="15.75" x14ac:dyDescent="0.25">
      <c r="A250" s="460"/>
      <c r="B250" s="3201"/>
      <c r="C250" s="464"/>
      <c r="D250" s="464"/>
      <c r="E250" s="462"/>
      <c r="F250" s="462"/>
      <c r="G250" s="716"/>
      <c r="H250" s="717"/>
      <c r="I250" s="602"/>
      <c r="J250" s="602"/>
      <c r="K250" s="602"/>
      <c r="L250" s="466"/>
      <c r="M250" s="463"/>
    </row>
    <row r="251" spans="1:13" ht="15.75" x14ac:dyDescent="0.25">
      <c r="A251" s="460"/>
      <c r="B251" s="3201"/>
      <c r="C251" s="464"/>
      <c r="D251" s="464"/>
      <c r="E251" s="462"/>
      <c r="F251" s="462"/>
      <c r="G251" s="716"/>
      <c r="H251" s="717"/>
      <c r="I251" s="462"/>
      <c r="J251" s="462"/>
      <c r="K251" s="462"/>
      <c r="L251" s="466"/>
      <c r="M251" s="463"/>
    </row>
    <row r="252" spans="1:13" ht="15.75" x14ac:dyDescent="0.25">
      <c r="A252" s="460"/>
      <c r="B252" s="3201"/>
      <c r="C252" s="464"/>
      <c r="D252" s="464"/>
      <c r="E252" s="462"/>
      <c r="F252" s="462"/>
      <c r="G252" s="716"/>
      <c r="H252" s="717"/>
      <c r="I252" s="462"/>
      <c r="J252" s="462"/>
      <c r="K252" s="462"/>
      <c r="L252" s="466"/>
      <c r="M252" s="463"/>
    </row>
    <row r="253" spans="1:13" ht="15.75" x14ac:dyDescent="0.25">
      <c r="A253" s="460"/>
      <c r="B253" s="3201"/>
      <c r="C253" s="467"/>
      <c r="D253" s="467"/>
      <c r="E253" s="462"/>
      <c r="F253" s="462"/>
      <c r="G253" s="716"/>
      <c r="H253" s="717"/>
      <c r="I253" s="462"/>
      <c r="J253" s="462"/>
      <c r="K253" s="462"/>
      <c r="L253" s="468"/>
      <c r="M253" s="463"/>
    </row>
    <row r="254" spans="1:13" ht="15.75" x14ac:dyDescent="0.25">
      <c r="A254" s="460"/>
      <c r="B254" s="3201"/>
      <c r="C254" s="464"/>
      <c r="D254" s="467"/>
      <c r="E254" s="462"/>
      <c r="F254" s="462"/>
      <c r="G254" s="716"/>
      <c r="H254" s="717"/>
      <c r="I254" s="462"/>
      <c r="J254" s="462"/>
      <c r="K254" s="462"/>
      <c r="L254" s="469"/>
      <c r="M254" s="463"/>
    </row>
    <row r="255" spans="1:13" ht="15.75" x14ac:dyDescent="0.25">
      <c r="A255" s="460"/>
      <c r="B255" s="3201"/>
      <c r="C255" s="464"/>
      <c r="D255" s="464"/>
      <c r="E255" s="462"/>
      <c r="F255" s="462"/>
      <c r="G255" s="716"/>
      <c r="H255" s="717"/>
      <c r="I255" s="462"/>
      <c r="J255" s="462"/>
      <c r="K255" s="462"/>
      <c r="L255" s="468"/>
      <c r="M255" s="463"/>
    </row>
    <row r="256" spans="1:13" ht="15.75" x14ac:dyDescent="0.25">
      <c r="A256" s="460"/>
      <c r="B256" s="461"/>
      <c r="C256" s="602"/>
      <c r="D256" s="462"/>
      <c r="E256" s="462"/>
      <c r="F256" s="462"/>
      <c r="G256" s="716"/>
      <c r="H256" s="717"/>
      <c r="I256" s="462"/>
      <c r="J256" s="462"/>
      <c r="K256" s="462"/>
      <c r="L256" s="466"/>
      <c r="M256" s="463"/>
    </row>
    <row r="257" spans="1:13" ht="15.75" x14ac:dyDescent="0.25">
      <c r="A257" s="470"/>
      <c r="B257" s="471"/>
      <c r="C257" s="3314"/>
      <c r="D257" s="472"/>
      <c r="E257" s="472"/>
      <c r="F257" s="472"/>
      <c r="G257" s="719"/>
      <c r="H257" s="720"/>
      <c r="I257" s="472"/>
      <c r="J257" s="472"/>
      <c r="K257" s="472"/>
      <c r="L257" s="473"/>
      <c r="M257" s="474"/>
    </row>
  </sheetData>
  <mergeCells count="20">
    <mergeCell ref="B241:D241"/>
    <mergeCell ref="I245:K245"/>
    <mergeCell ref="I246:K246"/>
    <mergeCell ref="I247:K247"/>
    <mergeCell ref="M8:M9"/>
    <mergeCell ref="B238:D238"/>
    <mergeCell ref="I238:K238"/>
    <mergeCell ref="I239:K239"/>
    <mergeCell ref="B240:D240"/>
    <mergeCell ref="I240:K240"/>
    <mergeCell ref="A1:M1"/>
    <mergeCell ref="A2:M2"/>
    <mergeCell ref="A3:M3"/>
    <mergeCell ref="A5:B5"/>
    <mergeCell ref="A6:B6"/>
    <mergeCell ref="A8:A9"/>
    <mergeCell ref="B8:B9"/>
    <mergeCell ref="C8:D8"/>
    <mergeCell ref="E8:H8"/>
    <mergeCell ref="I8:L8"/>
  </mergeCells>
  <printOptions horizontalCentered="1"/>
  <pageMargins left="0.75" right="0.5" top="0.5" bottom="0.75" header="0.3" footer="0.3"/>
  <pageSetup paperSize="258" scale="56" fitToHeight="0" orientation="landscape" r:id="rId1"/>
  <rowBreaks count="1" manualBreakCount="1">
    <brk id="221" max="16383"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66"/>
  <sheetViews>
    <sheetView topLeftCell="A40" workbookViewId="0">
      <selection activeCell="C49" sqref="C49"/>
    </sheetView>
  </sheetViews>
  <sheetFormatPr defaultRowHeight="15" x14ac:dyDescent="0.25"/>
  <cols>
    <col min="1" max="1" width="33.5703125" customWidth="1"/>
    <col min="2" max="2" width="23.28515625" customWidth="1"/>
    <col min="3" max="3" width="22.5703125" customWidth="1"/>
    <col min="4" max="4" width="16.42578125" customWidth="1"/>
    <col min="5" max="5" width="25.5703125" customWidth="1"/>
    <col min="6" max="6" width="17.5703125" customWidth="1"/>
    <col min="8" max="8" width="20.85546875" customWidth="1"/>
  </cols>
  <sheetData>
    <row r="1" spans="1:8" s="1351" customFormat="1" x14ac:dyDescent="0.25"/>
    <row r="2" spans="1:8" s="1351" customFormat="1" ht="15.75" thickBot="1" x14ac:dyDescent="0.3"/>
    <row r="3" spans="1:8" s="1317" customFormat="1" ht="15.75" thickBot="1" x14ac:dyDescent="0.3">
      <c r="C3" s="5833" t="s">
        <v>2375</v>
      </c>
      <c r="D3" s="5834"/>
      <c r="E3" s="5833" t="s">
        <v>2324</v>
      </c>
      <c r="F3" s="5834"/>
    </row>
    <row r="4" spans="1:8" s="721" customFormat="1" x14ac:dyDescent="0.25">
      <c r="A4" s="1360"/>
      <c r="B4" s="1377" t="s">
        <v>2270</v>
      </c>
      <c r="C4" s="1377" t="s">
        <v>2269</v>
      </c>
      <c r="D4" s="1377" t="s">
        <v>2273</v>
      </c>
      <c r="E4" s="1377" t="s">
        <v>2269</v>
      </c>
      <c r="F4" s="1377" t="s">
        <v>2273</v>
      </c>
    </row>
    <row r="5" spans="1:8" x14ac:dyDescent="0.25">
      <c r="A5" s="1361" t="s">
        <v>15</v>
      </c>
      <c r="B5" s="665">
        <v>216804373020</v>
      </c>
      <c r="C5" s="674">
        <v>161657587480</v>
      </c>
      <c r="D5" s="1215">
        <f>SUM(C5/B5*100)</f>
        <v>74.563803869900369</v>
      </c>
      <c r="E5" s="1362">
        <v>158146250480</v>
      </c>
      <c r="F5" s="1216">
        <f t="shared" ref="F5:F19" si="0">SUM(E5/B5)*100</f>
        <v>72.944216150755949</v>
      </c>
    </row>
    <row r="6" spans="1:8" x14ac:dyDescent="0.25">
      <c r="A6" s="1361" t="s">
        <v>17</v>
      </c>
      <c r="B6" s="665">
        <v>1926421190520</v>
      </c>
      <c r="C6" s="665">
        <f>SUM(C7:C19)</f>
        <v>560185087794</v>
      </c>
      <c r="D6" s="1215">
        <f>SUM(C6/B6*100)</f>
        <v>29.079055533166603</v>
      </c>
      <c r="E6" s="665">
        <f>SUM(E7:E19)</f>
        <v>547989170351</v>
      </c>
      <c r="F6" s="1319">
        <f t="shared" si="0"/>
        <v>28.445968776074405</v>
      </c>
    </row>
    <row r="7" spans="1:8" x14ac:dyDescent="0.25">
      <c r="A7" s="1220" t="s">
        <v>40</v>
      </c>
      <c r="B7" s="674">
        <v>174750518000</v>
      </c>
      <c r="C7" s="674">
        <v>83381791411</v>
      </c>
      <c r="D7" s="1215">
        <f>SUM(C7/B7*100)</f>
        <v>47.714760657247382</v>
      </c>
      <c r="E7" s="1363">
        <v>83381791411</v>
      </c>
      <c r="F7" s="1364">
        <f t="shared" si="0"/>
        <v>47.714760657247382</v>
      </c>
    </row>
    <row r="8" spans="1:8" x14ac:dyDescent="0.25">
      <c r="A8" s="1220" t="s">
        <v>41</v>
      </c>
      <c r="B8" s="674">
        <v>171334691000</v>
      </c>
      <c r="C8" s="674">
        <v>52757587300</v>
      </c>
      <c r="D8" s="1215">
        <f t="shared" ref="D8:D19" si="1">SUM(C8/B8*100)</f>
        <v>30.79212212779489</v>
      </c>
      <c r="E8" s="1365">
        <v>52757587300</v>
      </c>
      <c r="F8" s="1364">
        <f t="shared" si="0"/>
        <v>30.79212212779489</v>
      </c>
    </row>
    <row r="9" spans="1:8" x14ac:dyDescent="0.25">
      <c r="A9" s="1220" t="s">
        <v>424</v>
      </c>
      <c r="B9" s="674">
        <v>165387155000</v>
      </c>
      <c r="C9" s="674">
        <v>50635902740</v>
      </c>
      <c r="D9" s="1215">
        <f t="shared" si="1"/>
        <v>30.616587328078776</v>
      </c>
      <c r="E9" s="1365">
        <v>50635902740</v>
      </c>
      <c r="F9" s="1364">
        <f t="shared" si="0"/>
        <v>30.616587328078776</v>
      </c>
    </row>
    <row r="10" spans="1:8" x14ac:dyDescent="0.25">
      <c r="A10" s="1220" t="s">
        <v>425</v>
      </c>
      <c r="B10" s="674">
        <v>159498383000</v>
      </c>
      <c r="C10" s="674">
        <v>56292991337</v>
      </c>
      <c r="D10" s="1215">
        <f t="shared" si="1"/>
        <v>35.29376930235086</v>
      </c>
      <c r="E10" s="859">
        <v>57028756640</v>
      </c>
      <c r="F10" s="1364">
        <f t="shared" si="0"/>
        <v>35.755068839788798</v>
      </c>
    </row>
    <row r="11" spans="1:8" x14ac:dyDescent="0.25">
      <c r="A11" s="1220" t="s">
        <v>426</v>
      </c>
      <c r="B11" s="674">
        <v>158622035000</v>
      </c>
      <c r="C11" s="1366">
        <v>33500000000</v>
      </c>
      <c r="D11" s="1367">
        <f t="shared" si="1"/>
        <v>21.119386092859042</v>
      </c>
      <c r="E11" s="1365">
        <v>33500000000</v>
      </c>
      <c r="F11" s="1364">
        <f t="shared" si="0"/>
        <v>21.119386092859042</v>
      </c>
    </row>
    <row r="12" spans="1:8" x14ac:dyDescent="0.25">
      <c r="A12" s="1220" t="s">
        <v>42</v>
      </c>
      <c r="B12" s="674">
        <v>151090858000</v>
      </c>
      <c r="C12" s="1710">
        <v>13050000000</v>
      </c>
      <c r="D12" s="1711">
        <f>SUM(C12/B12*100)</f>
        <v>8.6371870361607197</v>
      </c>
      <c r="E12" s="1712">
        <v>30347133000</v>
      </c>
      <c r="F12" s="1364">
        <f t="shared" si="0"/>
        <v>20.085353542700776</v>
      </c>
      <c r="H12" s="1368"/>
    </row>
    <row r="13" spans="1:8" x14ac:dyDescent="0.25">
      <c r="A13" s="1220" t="s">
        <v>43</v>
      </c>
      <c r="B13" s="674">
        <v>148459001000</v>
      </c>
      <c r="C13" s="674">
        <v>39995780000</v>
      </c>
      <c r="D13" s="1215">
        <f t="shared" si="1"/>
        <v>26.940623155614524</v>
      </c>
      <c r="E13" s="1362">
        <v>39995780000</v>
      </c>
      <c r="F13" s="1364">
        <f t="shared" si="0"/>
        <v>26.940623155614524</v>
      </c>
      <c r="H13" s="1368"/>
    </row>
    <row r="14" spans="1:8" x14ac:dyDescent="0.25">
      <c r="A14" s="1220" t="s">
        <v>2330</v>
      </c>
      <c r="B14" s="674">
        <v>141822234000</v>
      </c>
      <c r="C14" s="1366">
        <v>30894251900</v>
      </c>
      <c r="D14" s="1367">
        <f t="shared" si="1"/>
        <v>21.783785961233697</v>
      </c>
      <c r="E14" s="1362">
        <v>32229617000</v>
      </c>
      <c r="F14" s="1364">
        <f t="shared" si="0"/>
        <v>22.725362653644279</v>
      </c>
      <c r="H14" s="1699"/>
    </row>
    <row r="15" spans="1:8" x14ac:dyDescent="0.25">
      <c r="A15" s="1220" t="s">
        <v>2331</v>
      </c>
      <c r="B15" s="674">
        <v>139409886520</v>
      </c>
      <c r="C15" s="674">
        <v>50159303000</v>
      </c>
      <c r="D15" s="1215">
        <f t="shared" si="1"/>
        <v>35.979731604475596</v>
      </c>
      <c r="E15" s="1362">
        <v>50159303000</v>
      </c>
      <c r="F15" s="1364">
        <f t="shared" si="0"/>
        <v>35.979731604475596</v>
      </c>
    </row>
    <row r="16" spans="1:8" x14ac:dyDescent="0.25">
      <c r="A16" s="1220" t="s">
        <v>429</v>
      </c>
      <c r="B16" s="674">
        <v>135982127000</v>
      </c>
      <c r="C16" s="1366">
        <v>28009622316</v>
      </c>
      <c r="D16" s="1367">
        <f t="shared" si="1"/>
        <v>20.598017499755684</v>
      </c>
      <c r="E16" s="1362">
        <v>28009622316</v>
      </c>
      <c r="F16" s="1364">
        <f t="shared" si="0"/>
        <v>20.598017499755684</v>
      </c>
    </row>
    <row r="17" spans="1:8" x14ac:dyDescent="0.25">
      <c r="A17" s="1220" t="s">
        <v>430</v>
      </c>
      <c r="B17" s="674">
        <v>133767520000</v>
      </c>
      <c r="C17" s="674">
        <v>36506300000</v>
      </c>
      <c r="D17" s="1215">
        <f t="shared" si="1"/>
        <v>27.290855059583969</v>
      </c>
      <c r="E17" s="1362">
        <v>36506300000</v>
      </c>
      <c r="F17" s="1364">
        <f t="shared" si="0"/>
        <v>27.290855059583969</v>
      </c>
    </row>
    <row r="18" spans="1:8" x14ac:dyDescent="0.25">
      <c r="A18" s="1220" t="s">
        <v>431</v>
      </c>
      <c r="B18" s="674">
        <v>123371722000</v>
      </c>
      <c r="C18" s="674">
        <v>57346999290</v>
      </c>
      <c r="D18" s="1215">
        <f>SUM(C18/B18*100)</f>
        <v>46.48309868772035</v>
      </c>
      <c r="E18" s="1362">
        <v>25666677244</v>
      </c>
      <c r="F18" s="1364">
        <f t="shared" si="0"/>
        <v>20.804343838209537</v>
      </c>
      <c r="H18" s="1708"/>
    </row>
    <row r="19" spans="1:8" x14ac:dyDescent="0.25">
      <c r="A19" s="1220" t="s">
        <v>432</v>
      </c>
      <c r="B19" s="674">
        <v>122925060000</v>
      </c>
      <c r="C19" s="1366">
        <v>27654558500</v>
      </c>
      <c r="D19" s="1367">
        <f t="shared" si="1"/>
        <v>22.497087656495754</v>
      </c>
      <c r="E19" s="1362">
        <v>27770699700</v>
      </c>
      <c r="F19" s="1216">
        <f t="shared" si="0"/>
        <v>22.591568960796117</v>
      </c>
      <c r="H19" s="1708"/>
    </row>
    <row r="20" spans="1:8" x14ac:dyDescent="0.25">
      <c r="A20" s="1373" t="s">
        <v>433</v>
      </c>
      <c r="B20" s="388">
        <v>240893747800</v>
      </c>
      <c r="C20" s="1374"/>
      <c r="D20" s="1375"/>
      <c r="E20" s="1375"/>
      <c r="F20" s="1375"/>
      <c r="H20" s="1699"/>
    </row>
    <row r="21" spans="1:8" x14ac:dyDescent="0.25">
      <c r="A21" s="1376" t="s">
        <v>2327</v>
      </c>
      <c r="B21" s="388">
        <v>24818166660</v>
      </c>
      <c r="C21" s="1374"/>
      <c r="D21" s="1375"/>
      <c r="E21" s="1375"/>
      <c r="F21" s="1375"/>
    </row>
    <row r="22" spans="1:8" ht="15.75" thickBot="1" x14ac:dyDescent="0.3">
      <c r="A22" s="1369" t="s">
        <v>18</v>
      </c>
      <c r="B22" s="1370">
        <v>2408937478000</v>
      </c>
      <c r="C22" s="1371"/>
      <c r="D22" s="1357"/>
      <c r="E22" s="1357"/>
      <c r="F22" s="1357"/>
    </row>
    <row r="24" spans="1:8" s="1351" customFormat="1" ht="15.75" thickBot="1" x14ac:dyDescent="0.3"/>
    <row r="25" spans="1:8" ht="15.75" thickBot="1" x14ac:dyDescent="0.3">
      <c r="A25" s="2947"/>
      <c r="B25" s="2948"/>
      <c r="C25" s="5835" t="s">
        <v>2375</v>
      </c>
      <c r="D25" s="5836"/>
      <c r="E25" s="1372" t="s">
        <v>2324</v>
      </c>
      <c r="F25" s="1359"/>
    </row>
    <row r="26" spans="1:8" x14ac:dyDescent="0.25">
      <c r="A26" s="289"/>
      <c r="B26" s="2949" t="s">
        <v>2270</v>
      </c>
      <c r="C26" s="1377" t="s">
        <v>2271</v>
      </c>
      <c r="D26" s="1377" t="s">
        <v>2272</v>
      </c>
      <c r="E26" s="1377" t="s">
        <v>2271</v>
      </c>
      <c r="F26" s="1377" t="s">
        <v>2272</v>
      </c>
    </row>
    <row r="27" spans="1:8" x14ac:dyDescent="0.25">
      <c r="A27" s="2950" t="s">
        <v>15</v>
      </c>
      <c r="B27" s="2951">
        <v>216804373020</v>
      </c>
      <c r="C27" s="674">
        <v>44610000000</v>
      </c>
      <c r="D27" s="1215">
        <f>SUM(C27/B27*100)</f>
        <v>20.576153229107039</v>
      </c>
      <c r="E27" s="674">
        <v>44610000000</v>
      </c>
      <c r="F27" s="1216">
        <f>SUM(E27/B27)*100</f>
        <v>20.576153229107039</v>
      </c>
    </row>
    <row r="28" spans="1:8" x14ac:dyDescent="0.25">
      <c r="A28" s="2950" t="s">
        <v>17</v>
      </c>
      <c r="B28" s="2951">
        <v>1926421190520</v>
      </c>
      <c r="C28" s="665">
        <f>SUM(C29:C41)</f>
        <v>262742804264</v>
      </c>
      <c r="D28" s="1215">
        <f>SUM(C28/B28*100)</f>
        <v>13.6389075014835</v>
      </c>
      <c r="E28" s="665">
        <f>SUM(E29:E41)</f>
        <v>274126105420</v>
      </c>
      <c r="F28" s="1319">
        <f>SUM(E28/B28)*100</f>
        <v>14.22981156815478</v>
      </c>
    </row>
    <row r="29" spans="1:8" x14ac:dyDescent="0.25">
      <c r="A29" s="289" t="s">
        <v>40</v>
      </c>
      <c r="B29" s="2952">
        <v>174750518000</v>
      </c>
      <c r="C29" s="674">
        <v>22109260000</v>
      </c>
      <c r="D29" s="1215">
        <f>SUM(C29/B29*100)</f>
        <v>12.651899549734097</v>
      </c>
      <c r="E29" s="674">
        <v>22109260000</v>
      </c>
      <c r="F29" s="1216">
        <f>SUM(E29/B29)*100</f>
        <v>12.651899549734097</v>
      </c>
    </row>
    <row r="30" spans="1:8" x14ac:dyDescent="0.25">
      <c r="A30" s="289" t="s">
        <v>41</v>
      </c>
      <c r="B30" s="2952">
        <v>171334691000</v>
      </c>
      <c r="C30" s="674">
        <v>26682970484</v>
      </c>
      <c r="D30" s="1215">
        <f t="shared" ref="D30:D41" si="2">SUM(C30/B30*100)</f>
        <v>15.57359477421884</v>
      </c>
      <c r="E30" s="674">
        <v>26682970484</v>
      </c>
      <c r="F30" s="1216">
        <f>SUM(E30/B30)*100</f>
        <v>15.57359477421884</v>
      </c>
    </row>
    <row r="31" spans="1:8" x14ac:dyDescent="0.25">
      <c r="A31" s="289" t="s">
        <v>424</v>
      </c>
      <c r="B31" s="2952">
        <v>165387155000</v>
      </c>
      <c r="C31" s="674">
        <v>25433373250</v>
      </c>
      <c r="D31" s="1215">
        <f t="shared" si="2"/>
        <v>15.378082566327475</v>
      </c>
      <c r="E31" s="674">
        <v>25433373250</v>
      </c>
      <c r="F31" s="1216">
        <f t="shared" ref="F31:F37" si="3">SUM(E31/B31)*100</f>
        <v>15.378082566327475</v>
      </c>
    </row>
    <row r="32" spans="1:8" x14ac:dyDescent="0.25">
      <c r="A32" s="289" t="s">
        <v>425</v>
      </c>
      <c r="B32" s="2952">
        <v>159498383000</v>
      </c>
      <c r="C32" s="674">
        <v>23888371864</v>
      </c>
      <c r="D32" s="1215">
        <f t="shared" si="2"/>
        <v>14.977187489104512</v>
      </c>
      <c r="E32" s="674">
        <v>23654259864</v>
      </c>
      <c r="F32" s="1216">
        <f t="shared" si="3"/>
        <v>14.830407317671678</v>
      </c>
    </row>
    <row r="33" spans="1:7" x14ac:dyDescent="0.25">
      <c r="A33" s="289" t="s">
        <v>426</v>
      </c>
      <c r="B33" s="2952">
        <v>158622035000</v>
      </c>
      <c r="C33" s="1366">
        <v>32500000000</v>
      </c>
      <c r="D33" s="1367">
        <f t="shared" si="2"/>
        <v>20.488956657251308</v>
      </c>
      <c r="E33" s="674">
        <v>32500000000</v>
      </c>
      <c r="F33" s="1216">
        <f t="shared" si="3"/>
        <v>20.488956657251308</v>
      </c>
    </row>
    <row r="34" spans="1:7" x14ac:dyDescent="0.25">
      <c r="A34" s="289" t="s">
        <v>42</v>
      </c>
      <c r="B34" s="2952">
        <v>151090858000</v>
      </c>
      <c r="C34" s="1366">
        <v>18261000000</v>
      </c>
      <c r="D34" s="1367">
        <f t="shared" si="2"/>
        <v>12.086105169910413</v>
      </c>
      <c r="E34" s="674">
        <v>18604725000</v>
      </c>
      <c r="F34" s="1216">
        <f t="shared" si="3"/>
        <v>12.313600734201934</v>
      </c>
    </row>
    <row r="35" spans="1:7" x14ac:dyDescent="0.25">
      <c r="A35" s="289" t="s">
        <v>43</v>
      </c>
      <c r="B35" s="2952">
        <v>148459001000</v>
      </c>
      <c r="C35" s="674">
        <v>16225821000</v>
      </c>
      <c r="D35" s="1215">
        <f t="shared" si="2"/>
        <v>10.929496285644547</v>
      </c>
      <c r="E35" s="674">
        <v>16225821000</v>
      </c>
      <c r="F35" s="1216">
        <f t="shared" si="3"/>
        <v>10.929496285644547</v>
      </c>
    </row>
    <row r="36" spans="1:7" x14ac:dyDescent="0.25">
      <c r="A36" s="289" t="s">
        <v>2328</v>
      </c>
      <c r="B36" s="2952">
        <v>141822234000</v>
      </c>
      <c r="C36" s="1366">
        <v>17478925600</v>
      </c>
      <c r="D36" s="1367">
        <f t="shared" si="2"/>
        <v>12.324531286116956</v>
      </c>
      <c r="E36" s="674">
        <v>18718399000</v>
      </c>
      <c r="F36" s="1216">
        <f t="shared" si="3"/>
        <v>13.198493968160168</v>
      </c>
    </row>
    <row r="37" spans="1:7" x14ac:dyDescent="0.25">
      <c r="A37" s="289" t="s">
        <v>2329</v>
      </c>
      <c r="B37" s="2952">
        <v>139409886520</v>
      </c>
      <c r="C37" s="674">
        <v>19447048520</v>
      </c>
      <c r="D37" s="1215">
        <f t="shared" si="2"/>
        <v>13.949547629256617</v>
      </c>
      <c r="E37" s="674">
        <v>19447048520</v>
      </c>
      <c r="F37" s="1216">
        <f t="shared" si="3"/>
        <v>13.949547629256617</v>
      </c>
    </row>
    <row r="38" spans="1:7" x14ac:dyDescent="0.25">
      <c r="A38" s="289" t="s">
        <v>429</v>
      </c>
      <c r="B38" s="2952">
        <v>135982127000</v>
      </c>
      <c r="C38" s="674">
        <v>23332868384</v>
      </c>
      <c r="D38" s="1367">
        <f t="shared" si="2"/>
        <v>17.158775861771893</v>
      </c>
      <c r="E38" s="674">
        <v>23332868384</v>
      </c>
      <c r="F38" s="1216">
        <f>SUM(E38/B38)*100</f>
        <v>17.158775861771893</v>
      </c>
    </row>
    <row r="39" spans="1:7" x14ac:dyDescent="0.25">
      <c r="A39" s="289" t="s">
        <v>430</v>
      </c>
      <c r="B39" s="2952">
        <v>133767520000</v>
      </c>
      <c r="C39" s="674">
        <v>21167000000</v>
      </c>
      <c r="D39" s="1215">
        <f t="shared" si="2"/>
        <v>15.823721632874706</v>
      </c>
      <c r="E39" s="674">
        <v>21167000000</v>
      </c>
      <c r="F39" s="1216">
        <f>SUM(E39/B39)*100</f>
        <v>15.823721632874706</v>
      </c>
    </row>
    <row r="40" spans="1:7" x14ac:dyDescent="0.25">
      <c r="A40" s="289" t="s">
        <v>431</v>
      </c>
      <c r="B40" s="2952">
        <v>123371722000</v>
      </c>
      <c r="C40" s="1218">
        <v>6406240976</v>
      </c>
      <c r="D40" s="1217">
        <f t="shared" si="2"/>
        <v>5.1926331838020392</v>
      </c>
      <c r="E40" s="674">
        <v>13815440500</v>
      </c>
      <c r="F40" s="1216">
        <f>SUM(E40/B40)*100</f>
        <v>11.198222960687863</v>
      </c>
    </row>
    <row r="41" spans="1:7" x14ac:dyDescent="0.25">
      <c r="A41" s="289" t="s">
        <v>432</v>
      </c>
      <c r="B41" s="2952">
        <v>122925060000</v>
      </c>
      <c r="C41" s="1218">
        <v>9809924186</v>
      </c>
      <c r="D41" s="1217">
        <f t="shared" si="2"/>
        <v>7.9804103296756583</v>
      </c>
      <c r="E41" s="674">
        <v>12434939418</v>
      </c>
      <c r="F41" s="2010">
        <f>SUM(E41/B41)*100</f>
        <v>10.115870122821173</v>
      </c>
      <c r="G41" s="2008"/>
    </row>
    <row r="42" spans="1:7" x14ac:dyDescent="0.25">
      <c r="A42" s="2950" t="s">
        <v>433</v>
      </c>
      <c r="B42" s="2951">
        <v>240893747800</v>
      </c>
      <c r="C42" s="674"/>
      <c r="D42" s="1220"/>
      <c r="E42" s="1220"/>
      <c r="F42" s="1216"/>
    </row>
    <row r="43" spans="1:7" x14ac:dyDescent="0.25">
      <c r="A43" s="2950" t="s">
        <v>2327</v>
      </c>
      <c r="B43" s="2951">
        <v>24818166660</v>
      </c>
      <c r="C43" s="674"/>
      <c r="D43" s="1220"/>
      <c r="E43" s="1220"/>
      <c r="F43" s="1220"/>
    </row>
    <row r="44" spans="1:7" ht="15.75" thickBot="1" x14ac:dyDescent="0.3">
      <c r="A44" s="2953" t="s">
        <v>18</v>
      </c>
      <c r="B44" s="2954">
        <v>2408937478000</v>
      </c>
      <c r="C44" s="1371"/>
      <c r="D44" s="1357"/>
      <c r="E44" s="1357"/>
      <c r="F44" s="1357"/>
    </row>
    <row r="46" spans="1:7" s="4099" customFormat="1" x14ac:dyDescent="0.25">
      <c r="A46" s="4532" t="s">
        <v>7308</v>
      </c>
      <c r="D46" s="522"/>
    </row>
    <row r="47" spans="1:7" ht="7.5" customHeight="1" thickBot="1" x14ac:dyDescent="0.3"/>
    <row r="48" spans="1:7" ht="15.75" thickBot="1" x14ac:dyDescent="0.3">
      <c r="A48" s="4533"/>
      <c r="B48" s="4534" t="s">
        <v>2270</v>
      </c>
      <c r="C48" s="1377" t="s">
        <v>2269</v>
      </c>
      <c r="D48" s="1377" t="s">
        <v>7305</v>
      </c>
      <c r="E48" s="1377" t="s">
        <v>2271</v>
      </c>
      <c r="F48" s="1377" t="s">
        <v>7306</v>
      </c>
    </row>
    <row r="49" spans="1:8" x14ac:dyDescent="0.25">
      <c r="A49" s="2950" t="s">
        <v>15</v>
      </c>
      <c r="B49" s="665">
        <v>250724149600</v>
      </c>
      <c r="C49" s="674">
        <v>135664071697</v>
      </c>
      <c r="D49" s="1215">
        <f>SUM(C49/B49*100)</f>
        <v>54.108896934513716</v>
      </c>
      <c r="E49" s="1218">
        <v>33561155500</v>
      </c>
      <c r="F49" s="1219">
        <f>SUM(E49/B49)*100</f>
        <v>13.385689233981951</v>
      </c>
      <c r="H49" s="522"/>
    </row>
    <row r="50" spans="1:8" x14ac:dyDescent="0.25">
      <c r="A50" s="2950" t="s">
        <v>17</v>
      </c>
      <c r="B50" s="665">
        <f>SUM(B51:B63)</f>
        <v>1980975030140</v>
      </c>
      <c r="C50" s="665">
        <f>SUM(C51:C63)</f>
        <v>569078990902</v>
      </c>
      <c r="D50" s="672">
        <f>SUM(C50/B50*100)</f>
        <v>28.727216761625808</v>
      </c>
      <c r="E50" s="665">
        <f>SUM(E51:E63)</f>
        <v>374230355598</v>
      </c>
      <c r="F50" s="1319">
        <f>SUM(E50/B50)*100</f>
        <v>18.89122022762459</v>
      </c>
      <c r="H50" s="522"/>
    </row>
    <row r="51" spans="1:8" x14ac:dyDescent="0.25">
      <c r="A51" s="289" t="s">
        <v>40</v>
      </c>
      <c r="B51" s="674">
        <v>183431447000</v>
      </c>
      <c r="C51" s="674">
        <v>58434414000</v>
      </c>
      <c r="D51" s="1215">
        <f>SUM(C51/B51*100)</f>
        <v>31.856268352939505</v>
      </c>
      <c r="E51" s="1366">
        <v>43814781895</v>
      </c>
      <c r="F51" s="1364">
        <f>SUM(E51/B51)*100</f>
        <v>23.886188879598162</v>
      </c>
    </row>
    <row r="52" spans="1:8" x14ac:dyDescent="0.25">
      <c r="A52" s="289" t="s">
        <v>41</v>
      </c>
      <c r="B52" s="674">
        <v>178986879000</v>
      </c>
      <c r="C52" s="674">
        <v>48975786400</v>
      </c>
      <c r="D52" s="1215">
        <f t="shared" ref="D52:D63" si="4">SUM(C52/B52*100)</f>
        <v>27.362780262792334</v>
      </c>
      <c r="E52" s="1366">
        <v>26848031850</v>
      </c>
      <c r="F52" s="1364">
        <f>SUM(E52/B52)*100</f>
        <v>15</v>
      </c>
      <c r="H52" s="1699"/>
    </row>
    <row r="53" spans="1:8" x14ac:dyDescent="0.25">
      <c r="A53" s="289" t="s">
        <v>424</v>
      </c>
      <c r="B53" s="674">
        <v>165355445000</v>
      </c>
      <c r="C53" s="674">
        <v>45144789174</v>
      </c>
      <c r="D53" s="1215">
        <f t="shared" si="4"/>
        <v>27.301664710224692</v>
      </c>
      <c r="E53" s="674">
        <v>25433373250</v>
      </c>
      <c r="F53" s="1216">
        <f t="shared" ref="F53:F59" si="5">SUM(E53/B53)*100</f>
        <v>15.381031601348235</v>
      </c>
      <c r="H53" s="1699"/>
    </row>
    <row r="54" spans="1:8" x14ac:dyDescent="0.25">
      <c r="A54" s="289" t="s">
        <v>6962</v>
      </c>
      <c r="B54" s="674">
        <v>164852857000</v>
      </c>
      <c r="C54" s="1218">
        <v>36476757000</v>
      </c>
      <c r="D54" s="1217">
        <f>SUM(C54/B54*100)</f>
        <v>22.126857649788867</v>
      </c>
      <c r="E54" s="674">
        <v>29236000000</v>
      </c>
      <c r="F54" s="1216">
        <f t="shared" si="5"/>
        <v>17.734603167963296</v>
      </c>
      <c r="H54" s="1699"/>
    </row>
    <row r="55" spans="1:8" x14ac:dyDescent="0.25">
      <c r="A55" s="289" t="s">
        <v>6963</v>
      </c>
      <c r="B55" s="674">
        <v>164029053000</v>
      </c>
      <c r="C55" s="1366">
        <v>53589103444</v>
      </c>
      <c r="D55" s="1367">
        <f t="shared" si="4"/>
        <v>32.670494929943906</v>
      </c>
      <c r="E55" s="674">
        <v>27037599428</v>
      </c>
      <c r="F55" s="1216">
        <f t="shared" si="5"/>
        <v>16.483421036394084</v>
      </c>
      <c r="H55" s="1699"/>
    </row>
    <row r="56" spans="1:8" x14ac:dyDescent="0.25">
      <c r="A56" s="289" t="s">
        <v>42</v>
      </c>
      <c r="B56" s="674">
        <v>153448669000</v>
      </c>
      <c r="C56" s="1366">
        <v>53869200000</v>
      </c>
      <c r="D56" s="1367">
        <f t="shared" si="4"/>
        <v>35.105680844973634</v>
      </c>
      <c r="E56" s="674">
        <v>30001590000</v>
      </c>
      <c r="F56" s="1216">
        <f t="shared" si="5"/>
        <v>19.551547886023044</v>
      </c>
    </row>
    <row r="57" spans="1:8" x14ac:dyDescent="0.25">
      <c r="A57" s="289" t="s">
        <v>43</v>
      </c>
      <c r="B57" s="674">
        <v>147784925000</v>
      </c>
      <c r="C57" s="674">
        <v>43179450000</v>
      </c>
      <c r="D57" s="1215">
        <f t="shared" si="4"/>
        <v>29.217763584479268</v>
      </c>
      <c r="E57" s="1218">
        <v>15605076000</v>
      </c>
      <c r="F57" s="1219">
        <f t="shared" si="5"/>
        <v>10.559315166956305</v>
      </c>
    </row>
    <row r="58" spans="1:8" x14ac:dyDescent="0.25">
      <c r="A58" s="289" t="s">
        <v>2328</v>
      </c>
      <c r="B58" s="674">
        <v>146478382000</v>
      </c>
      <c r="C58" s="1366">
        <v>42655020000</v>
      </c>
      <c r="D58" s="1367">
        <f t="shared" si="4"/>
        <v>29.120351698041013</v>
      </c>
      <c r="E58" s="1218">
        <v>18536772733</v>
      </c>
      <c r="F58" s="1219">
        <f t="shared" si="5"/>
        <v>12.654954594596765</v>
      </c>
    </row>
    <row r="59" spans="1:8" x14ac:dyDescent="0.25">
      <c r="A59" s="289" t="s">
        <v>6964</v>
      </c>
      <c r="B59" s="674">
        <v>144432461000</v>
      </c>
      <c r="C59" s="1218">
        <v>17469870084</v>
      </c>
      <c r="D59" s="1217">
        <f t="shared" si="4"/>
        <v>12.095528915760841</v>
      </c>
      <c r="E59" s="1366">
        <v>37853320093</v>
      </c>
      <c r="F59" s="1364">
        <f t="shared" si="5"/>
        <v>26.208318982392747</v>
      </c>
    </row>
    <row r="60" spans="1:8" x14ac:dyDescent="0.25">
      <c r="A60" s="289" t="s">
        <v>6965</v>
      </c>
      <c r="B60" s="674">
        <v>138203382000</v>
      </c>
      <c r="C60" s="1366">
        <v>37830000000</v>
      </c>
      <c r="D60" s="1367">
        <f t="shared" si="4"/>
        <v>27.372702066002986</v>
      </c>
      <c r="E60" s="1366">
        <v>27987580000</v>
      </c>
      <c r="F60" s="1364">
        <f>SUM(E60/B60)*100</f>
        <v>20.251009486873485</v>
      </c>
    </row>
    <row r="61" spans="1:8" x14ac:dyDescent="0.25">
      <c r="A61" s="289" t="s">
        <v>6966</v>
      </c>
      <c r="B61" s="674">
        <v>137286690000</v>
      </c>
      <c r="C61" s="674">
        <v>54425640000</v>
      </c>
      <c r="D61" s="1215">
        <f t="shared" si="4"/>
        <v>39.64378484177891</v>
      </c>
      <c r="E61" s="674">
        <v>23002600000</v>
      </c>
      <c r="F61" s="1216">
        <f>SUM(E61/B61)*100</f>
        <v>16.755156672507727</v>
      </c>
    </row>
    <row r="62" spans="1:8" x14ac:dyDescent="0.25">
      <c r="A62" s="289" t="s">
        <v>431</v>
      </c>
      <c r="B62" s="674">
        <v>128915048140</v>
      </c>
      <c r="C62" s="1366">
        <v>41620660800</v>
      </c>
      <c r="D62" s="1367">
        <f t="shared" si="4"/>
        <v>32.285339376982989</v>
      </c>
      <c r="E62" s="1366">
        <v>44905623849</v>
      </c>
      <c r="F62" s="1364">
        <f>SUM(E62/B62)*100</f>
        <v>34.833500430634835</v>
      </c>
    </row>
    <row r="63" spans="1:8" x14ac:dyDescent="0.25">
      <c r="A63" s="289" t="s">
        <v>432</v>
      </c>
      <c r="B63" s="674">
        <v>127769792000</v>
      </c>
      <c r="C63" s="1366">
        <v>35408300000</v>
      </c>
      <c r="D63" s="1367">
        <f t="shared" si="4"/>
        <v>27.712575441932312</v>
      </c>
      <c r="E63" s="674">
        <v>23968006500</v>
      </c>
      <c r="F63" s="2010">
        <f>SUM(E63/B63)*100</f>
        <v>18.758742676829275</v>
      </c>
    </row>
    <row r="64" spans="1:8" x14ac:dyDescent="0.25">
      <c r="A64" s="2950" t="s">
        <v>433</v>
      </c>
      <c r="B64" s="665">
        <v>250724149600</v>
      </c>
      <c r="C64" s="674"/>
      <c r="D64" s="1220"/>
      <c r="E64" s="1220"/>
      <c r="F64" s="1216"/>
    </row>
    <row r="65" spans="1:6" ht="15.75" thickBot="1" x14ac:dyDescent="0.3">
      <c r="A65" s="2950" t="s">
        <v>2327</v>
      </c>
      <c r="B65" s="665">
        <v>24818166660</v>
      </c>
      <c r="C65" s="5586" t="s">
        <v>7307</v>
      </c>
      <c r="D65" s="1367"/>
      <c r="E65" s="1220"/>
      <c r="F65" s="1220"/>
    </row>
    <row r="66" spans="1:6" ht="15.75" thickBot="1" x14ac:dyDescent="0.3">
      <c r="A66" s="4535" t="s">
        <v>18</v>
      </c>
      <c r="B66" s="4536">
        <f>SUM(B49+B50+B64+B65)</f>
        <v>2507241496000</v>
      </c>
      <c r="C66" s="4536">
        <f>SUM(C49+C50+C64)</f>
        <v>704743062599</v>
      </c>
      <c r="D66" s="4540">
        <f>SUM(C66/B66*100)</f>
        <v>28.108304035464158</v>
      </c>
      <c r="E66" s="4536">
        <f>SUM(E49+E50+E64+E65)</f>
        <v>407791511098</v>
      </c>
      <c r="F66" s="4541">
        <f>SUM(E66/B66)*100</f>
        <v>16.264548578530704</v>
      </c>
    </row>
  </sheetData>
  <mergeCells count="3">
    <mergeCell ref="C3:D3"/>
    <mergeCell ref="E3:F3"/>
    <mergeCell ref="C25:D25"/>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51"/>
  <sheetViews>
    <sheetView topLeftCell="A49" workbookViewId="0">
      <selection activeCell="G25" sqref="G25"/>
    </sheetView>
  </sheetViews>
  <sheetFormatPr defaultRowHeight="15" x14ac:dyDescent="0.25"/>
  <cols>
    <col min="1" max="1" width="30.85546875" customWidth="1"/>
    <col min="2" max="2" width="20" customWidth="1"/>
    <col min="3" max="3" width="21.7109375" customWidth="1"/>
    <col min="4" max="4" width="19.7109375" customWidth="1"/>
    <col min="5" max="5" width="12.140625" customWidth="1"/>
    <col min="6" max="6" width="21.85546875" customWidth="1"/>
    <col min="7" max="7" width="20" style="1318" customWidth="1"/>
    <col min="8" max="8" width="22.42578125" customWidth="1"/>
  </cols>
  <sheetData>
    <row r="1" spans="1:11" s="643" customFormat="1" ht="25.5" customHeight="1" thickBot="1" x14ac:dyDescent="0.3">
      <c r="A1" s="1358" t="s">
        <v>2373</v>
      </c>
      <c r="B1" s="1358" t="s">
        <v>2243</v>
      </c>
      <c r="C1" s="1358" t="s">
        <v>2244</v>
      </c>
      <c r="D1" s="1358" t="s">
        <v>2245</v>
      </c>
      <c r="E1" s="1358" t="s">
        <v>2371</v>
      </c>
      <c r="F1" s="1358" t="s">
        <v>2325</v>
      </c>
      <c r="G1" s="1358" t="s">
        <v>2326</v>
      </c>
      <c r="H1" s="1358" t="s">
        <v>2374</v>
      </c>
      <c r="I1" s="1358" t="s">
        <v>2372</v>
      </c>
    </row>
    <row r="2" spans="1:11" x14ac:dyDescent="0.25">
      <c r="A2" s="229" t="s">
        <v>15</v>
      </c>
      <c r="B2" s="1356">
        <v>482516287480</v>
      </c>
      <c r="C2" s="672">
        <f>B2*30%</f>
        <v>144754886244</v>
      </c>
      <c r="D2" s="2946">
        <v>117511572731</v>
      </c>
      <c r="E2" s="1319">
        <f>D2/C2*100</f>
        <v>81.179693328570295</v>
      </c>
      <c r="F2" s="672">
        <f>SUM(B2*45%)</f>
        <v>217132329366</v>
      </c>
      <c r="G2" s="1321">
        <f>SUM(C2+F2)</f>
        <v>361887215610</v>
      </c>
      <c r="H2" s="665">
        <v>343497315062</v>
      </c>
      <c r="I2" s="1319">
        <f>SUM(H2/G2)*100</f>
        <v>94.918333736381982</v>
      </c>
    </row>
    <row r="3" spans="1:11" x14ac:dyDescent="0.25">
      <c r="A3" s="229" t="s">
        <v>17</v>
      </c>
      <c r="B3" s="234">
        <f>SUM(B4:B16)</f>
        <v>1926421190520</v>
      </c>
      <c r="C3" s="672">
        <f>SUM(C4:C16)</f>
        <v>577926357156</v>
      </c>
      <c r="D3" s="672">
        <f>SUM(D4:D16)</f>
        <v>372354286992</v>
      </c>
      <c r="E3" s="1319">
        <f>D3/C3*100</f>
        <v>64.429365849374165</v>
      </c>
      <c r="F3" s="672">
        <f t="shared" ref="F3:F18" si="0">SUM(B3*45%)</f>
        <v>866889535734</v>
      </c>
      <c r="G3" s="1321">
        <f t="shared" ref="G3:G16" si="1">SUM(C3+F3)</f>
        <v>1444815892890</v>
      </c>
      <c r="H3" s="672">
        <f>SUM(H4:H16)</f>
        <v>962489298349</v>
      </c>
      <c r="I3" s="1319">
        <f>H3/G3*100</f>
        <v>66.616743564730314</v>
      </c>
    </row>
    <row r="4" spans="1:11" x14ac:dyDescent="0.25">
      <c r="A4" s="196" t="s">
        <v>40</v>
      </c>
      <c r="B4" s="236">
        <v>174750518000</v>
      </c>
      <c r="C4" s="1215">
        <f>B4*30%</f>
        <v>52425155400</v>
      </c>
      <c r="D4" s="674">
        <v>38452637000</v>
      </c>
      <c r="E4" s="1216">
        <f t="shared" ref="E4:E16" si="2">D4/C4*100</f>
        <v>73.347683390939451</v>
      </c>
      <c r="F4" s="1215">
        <f t="shared" si="0"/>
        <v>78637733100</v>
      </c>
      <c r="G4" s="1320">
        <f t="shared" si="1"/>
        <v>131062888500</v>
      </c>
      <c r="H4" s="674">
        <v>69734233750</v>
      </c>
      <c r="I4" s="1219">
        <f>SUM(H4/G4)*100</f>
        <v>53.206696836992116</v>
      </c>
    </row>
    <row r="5" spans="1:11" x14ac:dyDescent="0.25">
      <c r="A5" s="196" t="s">
        <v>41</v>
      </c>
      <c r="B5" s="236">
        <v>171334691000</v>
      </c>
      <c r="C5" s="1215">
        <f t="shared" ref="C5:C16" si="3">B5*30%</f>
        <v>51400407300</v>
      </c>
      <c r="D5" s="674">
        <v>45175030765</v>
      </c>
      <c r="E5" s="1216">
        <f t="shared" si="2"/>
        <v>87.888468473283865</v>
      </c>
      <c r="F5" s="1215">
        <f t="shared" si="0"/>
        <v>77100610950</v>
      </c>
      <c r="G5" s="1320">
        <f t="shared" si="1"/>
        <v>128501018250</v>
      </c>
      <c r="H5" s="674">
        <v>90710031677</v>
      </c>
      <c r="I5" s="1216">
        <f t="shared" ref="I5:I16" si="4">SUM(H5/G5)*100</f>
        <v>70.590904968957318</v>
      </c>
    </row>
    <row r="6" spans="1:11" x14ac:dyDescent="0.25">
      <c r="A6" s="2940" t="s">
        <v>424</v>
      </c>
      <c r="B6" s="2941">
        <v>165387155000</v>
      </c>
      <c r="C6" s="2942">
        <f t="shared" si="3"/>
        <v>49616146500</v>
      </c>
      <c r="D6" s="1366">
        <v>18142886807</v>
      </c>
      <c r="E6" s="1219">
        <f t="shared" si="2"/>
        <v>36.566497172447683</v>
      </c>
      <c r="F6" s="1215">
        <f t="shared" si="0"/>
        <v>74424219750</v>
      </c>
      <c r="G6" s="1320">
        <f t="shared" si="1"/>
        <v>124040366250</v>
      </c>
      <c r="H6" s="674">
        <v>70895670240</v>
      </c>
      <c r="I6" s="1219">
        <f t="shared" si="4"/>
        <v>57.155321596770925</v>
      </c>
    </row>
    <row r="7" spans="1:11" x14ac:dyDescent="0.25">
      <c r="A7" s="2943" t="s">
        <v>425</v>
      </c>
      <c r="B7" s="2941">
        <v>159498383000</v>
      </c>
      <c r="C7" s="2942">
        <f t="shared" si="3"/>
        <v>47849514900</v>
      </c>
      <c r="D7" s="1366">
        <v>12667763836</v>
      </c>
      <c r="E7" s="1219">
        <f t="shared" si="2"/>
        <v>26.474174006725406</v>
      </c>
      <c r="F7" s="1215">
        <f t="shared" si="0"/>
        <v>71774272350</v>
      </c>
      <c r="G7" s="1320">
        <f t="shared" si="1"/>
        <v>119623787250</v>
      </c>
      <c r="H7" s="674">
        <v>60017128889</v>
      </c>
      <c r="I7" s="2009">
        <f t="shared" si="4"/>
        <v>50.171567268281748</v>
      </c>
      <c r="K7" s="2008"/>
    </row>
    <row r="8" spans="1:11" x14ac:dyDescent="0.25">
      <c r="A8" s="194" t="s">
        <v>426</v>
      </c>
      <c r="B8" s="236">
        <v>158622035000</v>
      </c>
      <c r="C8" s="1215">
        <f t="shared" si="3"/>
        <v>47586610500</v>
      </c>
      <c r="D8" s="674">
        <v>28078594500</v>
      </c>
      <c r="E8" s="1216">
        <f t="shared" si="2"/>
        <v>59.00524161097794</v>
      </c>
      <c r="F8" s="1215">
        <f t="shared" si="0"/>
        <v>71379915750</v>
      </c>
      <c r="G8" s="1320">
        <f t="shared" si="1"/>
        <v>118966526250</v>
      </c>
      <c r="H8" s="674">
        <v>88293231740</v>
      </c>
      <c r="I8" s="2011">
        <f t="shared" si="4"/>
        <v>74.216869671774589</v>
      </c>
    </row>
    <row r="9" spans="1:11" x14ac:dyDescent="0.25">
      <c r="A9" s="194" t="s">
        <v>42</v>
      </c>
      <c r="B9" s="236">
        <v>151090858000</v>
      </c>
      <c r="C9" s="1215">
        <f t="shared" si="3"/>
        <v>45327257400</v>
      </c>
      <c r="D9" s="674">
        <v>31238306875</v>
      </c>
      <c r="E9" s="1216">
        <f t="shared" si="2"/>
        <v>68.917266710692275</v>
      </c>
      <c r="F9" s="1215">
        <f t="shared" si="0"/>
        <v>67990886100</v>
      </c>
      <c r="G9" s="1320">
        <f t="shared" si="1"/>
        <v>113318143500</v>
      </c>
      <c r="H9" s="674">
        <v>60627319875</v>
      </c>
      <c r="I9" s="2009">
        <f t="shared" si="4"/>
        <v>53.501864752134779</v>
      </c>
      <c r="K9" s="2008"/>
    </row>
    <row r="10" spans="1:11" x14ac:dyDescent="0.25">
      <c r="A10" s="194" t="s">
        <v>43</v>
      </c>
      <c r="B10" s="236">
        <v>148459001000</v>
      </c>
      <c r="C10" s="1215">
        <f t="shared" si="3"/>
        <v>44537700300</v>
      </c>
      <c r="D10" s="674">
        <v>17333993000</v>
      </c>
      <c r="E10" s="1216">
        <f t="shared" si="2"/>
        <v>38.91982047398168</v>
      </c>
      <c r="F10" s="1215">
        <f t="shared" si="0"/>
        <v>66806550450</v>
      </c>
      <c r="G10" s="1320">
        <f t="shared" si="1"/>
        <v>111344250750</v>
      </c>
      <c r="H10" s="674">
        <v>70457690600</v>
      </c>
      <c r="I10" s="2009">
        <f>SUM(H10/G10)*100</f>
        <v>63.279145645515065</v>
      </c>
      <c r="K10" s="2008"/>
    </row>
    <row r="11" spans="1:11" x14ac:dyDescent="0.25">
      <c r="A11" s="161" t="s">
        <v>427</v>
      </c>
      <c r="B11" s="694">
        <v>141822234000</v>
      </c>
      <c r="C11" s="1215">
        <f t="shared" si="3"/>
        <v>42546670200</v>
      </c>
      <c r="D11" s="674">
        <v>30375366206</v>
      </c>
      <c r="E11" s="1216">
        <f t="shared" si="2"/>
        <v>71.39305159067419</v>
      </c>
      <c r="F11" s="1215">
        <f t="shared" si="0"/>
        <v>63820005300</v>
      </c>
      <c r="G11" s="1320">
        <f t="shared" si="1"/>
        <v>106366675500</v>
      </c>
      <c r="H11" s="674">
        <v>75389852066</v>
      </c>
      <c r="I11" s="1364">
        <f>SUM(H11/G11)*100</f>
        <v>70.87732291303962</v>
      </c>
    </row>
    <row r="12" spans="1:11" x14ac:dyDescent="0.25">
      <c r="A12" s="161" t="s">
        <v>428</v>
      </c>
      <c r="B12" s="694">
        <v>139409886520</v>
      </c>
      <c r="C12" s="1215">
        <f t="shared" si="3"/>
        <v>41822965956</v>
      </c>
      <c r="D12" s="859">
        <v>46153902618</v>
      </c>
      <c r="E12" s="1216">
        <f>D12/C12*100</f>
        <v>110.35540297777153</v>
      </c>
      <c r="F12" s="1215">
        <f t="shared" si="0"/>
        <v>62734448934</v>
      </c>
      <c r="G12" s="1320">
        <f t="shared" si="1"/>
        <v>104557414890</v>
      </c>
      <c r="H12" s="674">
        <v>60369422300</v>
      </c>
      <c r="I12" s="1219">
        <f t="shared" si="4"/>
        <v>57.738059384417518</v>
      </c>
    </row>
    <row r="13" spans="1:11" x14ac:dyDescent="0.25">
      <c r="A13" s="161" t="s">
        <v>429</v>
      </c>
      <c r="B13" s="694">
        <v>135982127000</v>
      </c>
      <c r="C13" s="1215">
        <f t="shared" si="3"/>
        <v>40794638100</v>
      </c>
      <c r="D13" s="674">
        <v>29950607790</v>
      </c>
      <c r="E13" s="1216">
        <f t="shared" si="2"/>
        <v>73.418000955375547</v>
      </c>
      <c r="F13" s="1215">
        <f t="shared" si="0"/>
        <v>61191957150</v>
      </c>
      <c r="G13" s="1320">
        <f t="shared" si="1"/>
        <v>101986595250</v>
      </c>
      <c r="H13" s="1365">
        <v>99720303030</v>
      </c>
      <c r="I13" s="1216">
        <f>SUM(H13/G13)*100</f>
        <v>97.777852849735169</v>
      </c>
    </row>
    <row r="14" spans="1:11" x14ac:dyDescent="0.25">
      <c r="A14" s="230" t="s">
        <v>430</v>
      </c>
      <c r="B14" s="694">
        <v>133767520000</v>
      </c>
      <c r="C14" s="1215">
        <f t="shared" si="3"/>
        <v>40130256000</v>
      </c>
      <c r="D14" s="674">
        <v>30475404264</v>
      </c>
      <c r="E14" s="1216">
        <f t="shared" si="2"/>
        <v>75.941215685242582</v>
      </c>
      <c r="F14" s="1215">
        <f t="shared" si="0"/>
        <v>60195384000</v>
      </c>
      <c r="G14" s="1320">
        <f t="shared" si="1"/>
        <v>100325640000</v>
      </c>
      <c r="H14" s="674">
        <v>78122701307</v>
      </c>
      <c r="I14" s="1216">
        <f t="shared" si="4"/>
        <v>77.869128277676566</v>
      </c>
    </row>
    <row r="15" spans="1:11" x14ac:dyDescent="0.25">
      <c r="A15" s="230" t="s">
        <v>431</v>
      </c>
      <c r="B15" s="694">
        <v>123371722000</v>
      </c>
      <c r="C15" s="1215">
        <f t="shared" si="3"/>
        <v>37011516600</v>
      </c>
      <c r="D15" s="674">
        <v>26218741250</v>
      </c>
      <c r="E15" s="1216">
        <f t="shared" si="2"/>
        <v>70.839413400314427</v>
      </c>
      <c r="F15" s="1215">
        <f t="shared" si="0"/>
        <v>55517274900</v>
      </c>
      <c r="G15" s="1320">
        <f t="shared" si="1"/>
        <v>92528791500</v>
      </c>
      <c r="H15" s="674">
        <v>70895093370</v>
      </c>
      <c r="I15" s="1216">
        <f t="shared" si="4"/>
        <v>76.619495640986514</v>
      </c>
    </row>
    <row r="16" spans="1:11" x14ac:dyDescent="0.25">
      <c r="A16" s="2944" t="s">
        <v>432</v>
      </c>
      <c r="B16" s="2945">
        <v>122925060000</v>
      </c>
      <c r="C16" s="1367">
        <f t="shared" si="3"/>
        <v>36877518000</v>
      </c>
      <c r="D16" s="1366">
        <v>18091052081</v>
      </c>
      <c r="E16" s="1219">
        <f t="shared" si="2"/>
        <v>49.057130365986126</v>
      </c>
      <c r="F16" s="1215">
        <f t="shared" si="0"/>
        <v>55316277000</v>
      </c>
      <c r="G16" s="1320">
        <f t="shared" si="1"/>
        <v>92193795000</v>
      </c>
      <c r="H16" s="674">
        <v>67256619505</v>
      </c>
      <c r="I16" s="1216">
        <f t="shared" si="4"/>
        <v>72.951351557878709</v>
      </c>
    </row>
    <row r="17" spans="1:9" x14ac:dyDescent="0.25">
      <c r="A17" s="227"/>
      <c r="B17" s="239"/>
      <c r="C17" s="1220"/>
      <c r="D17" s="1220"/>
      <c r="E17" s="1220"/>
      <c r="F17" s="1215">
        <f t="shared" si="0"/>
        <v>0</v>
      </c>
      <c r="G17" s="1320"/>
      <c r="H17" s="1220"/>
      <c r="I17" s="1216"/>
    </row>
    <row r="18" spans="1:9" ht="15.75" thickBot="1" x14ac:dyDescent="0.3">
      <c r="A18" s="309"/>
      <c r="B18" s="310"/>
      <c r="C18" s="1220"/>
      <c r="D18" s="1220"/>
      <c r="E18" s="1220"/>
      <c r="F18" s="1215">
        <f t="shared" si="0"/>
        <v>0</v>
      </c>
      <c r="G18" s="1320"/>
      <c r="H18" s="1220"/>
      <c r="I18" s="1220"/>
    </row>
    <row r="19" spans="1:9" ht="16.5" thickTop="1" thickBot="1" x14ac:dyDescent="0.3">
      <c r="A19" s="199" t="s">
        <v>18</v>
      </c>
      <c r="B19" s="240">
        <f>SUM(B2+B3+B17+B18)</f>
        <v>2408937478000</v>
      </c>
      <c r="C19" s="1221">
        <f>SUM(C2:C3)</f>
        <v>722681243400</v>
      </c>
      <c r="D19" s="1221">
        <f>SUM(D2:D3)</f>
        <v>489865859723</v>
      </c>
      <c r="E19" s="1222">
        <f>D19/C19*100</f>
        <v>67.784498933212518</v>
      </c>
      <c r="F19" s="1221">
        <f>SUM(F2:F3)</f>
        <v>1084021865100</v>
      </c>
      <c r="G19" s="1322">
        <f>SUM(G2:G3)</f>
        <v>1806703108500</v>
      </c>
      <c r="H19" s="1322">
        <f>SUM(H2:H3)</f>
        <v>1305986613411</v>
      </c>
      <c r="I19" s="2938">
        <f>H19/G19*100</f>
        <v>72.285623867403672</v>
      </c>
    </row>
    <row r="20" spans="1:9" ht="15.75" thickTop="1" x14ac:dyDescent="0.25">
      <c r="D20" s="500"/>
    </row>
    <row r="21" spans="1:9" x14ac:dyDescent="0.25">
      <c r="H21" s="2939"/>
    </row>
    <row r="22" spans="1:9" s="4099" customFormat="1" ht="21.75" customHeight="1" thickBot="1" x14ac:dyDescent="0.3">
      <c r="A22" s="3598" t="s">
        <v>7361</v>
      </c>
      <c r="H22" s="2939"/>
    </row>
    <row r="23" spans="1:9" ht="42.75" customHeight="1" thickBot="1" x14ac:dyDescent="0.3">
      <c r="A23" s="1358" t="s">
        <v>2373</v>
      </c>
      <c r="B23" s="1358" t="s">
        <v>2243</v>
      </c>
      <c r="C23" s="5587" t="s">
        <v>7359</v>
      </c>
      <c r="D23" s="5588" t="s">
        <v>54</v>
      </c>
      <c r="E23" s="5588" t="s">
        <v>106</v>
      </c>
      <c r="F23" s="5588" t="s">
        <v>7360</v>
      </c>
    </row>
    <row r="24" spans="1:9" x14ac:dyDescent="0.25">
      <c r="A24" s="229" t="s">
        <v>15</v>
      </c>
      <c r="B24" s="5450">
        <v>216804373020</v>
      </c>
      <c r="C24" s="1453">
        <v>163452753321</v>
      </c>
      <c r="D24" s="5596">
        <f>C24/B24*100</f>
        <v>75.391815692722048</v>
      </c>
      <c r="E24" s="5604">
        <v>86.6</v>
      </c>
      <c r="F24" s="5607">
        <v>86.6</v>
      </c>
    </row>
    <row r="25" spans="1:9" x14ac:dyDescent="0.25">
      <c r="A25" s="5592" t="s">
        <v>17</v>
      </c>
      <c r="B25" s="5593">
        <f>SUM(B26:B38)</f>
        <v>1926421190520</v>
      </c>
      <c r="C25" s="5593">
        <f>SUM(C26:C38)</f>
        <v>1767824258542</v>
      </c>
      <c r="D25" s="5597">
        <f>C25/B25*100</f>
        <v>91.767276400484889</v>
      </c>
      <c r="E25" s="5606">
        <f>SUM(E26:E38)/13</f>
        <v>94.493409657186447</v>
      </c>
      <c r="F25" s="5608">
        <f>SUM(F26:F38)/13</f>
        <v>85.29538461538462</v>
      </c>
      <c r="G25" s="1699"/>
    </row>
    <row r="26" spans="1:9" x14ac:dyDescent="0.25">
      <c r="A26" s="194" t="s">
        <v>40</v>
      </c>
      <c r="B26" s="236">
        <v>174750518000</v>
      </c>
      <c r="C26" s="389">
        <v>155250770403</v>
      </c>
      <c r="D26" s="5598">
        <f t="shared" ref="D26:D43" si="5">C26/B26*100</f>
        <v>88.841379230131963</v>
      </c>
      <c r="E26" s="5599">
        <v>89.538034188034189</v>
      </c>
      <c r="F26" s="5605">
        <v>87.96</v>
      </c>
    </row>
    <row r="27" spans="1:9" x14ac:dyDescent="0.25">
      <c r="A27" s="196" t="s">
        <v>41</v>
      </c>
      <c r="B27" s="236">
        <v>171334691000</v>
      </c>
      <c r="C27" s="389">
        <v>150575639218</v>
      </c>
      <c r="D27" s="5600">
        <f t="shared" si="5"/>
        <v>87.883917926463596</v>
      </c>
      <c r="E27" s="5599">
        <v>94.462899278931232</v>
      </c>
      <c r="F27" s="5605">
        <v>92.71</v>
      </c>
    </row>
    <row r="28" spans="1:9" x14ac:dyDescent="0.25">
      <c r="A28" s="2940" t="s">
        <v>424</v>
      </c>
      <c r="B28" s="2941">
        <v>165387155000</v>
      </c>
      <c r="C28" s="389">
        <v>147311574792</v>
      </c>
      <c r="D28" s="5600">
        <f t="shared" si="5"/>
        <v>89.070747236688362</v>
      </c>
      <c r="E28" s="5599">
        <v>96.622613008971697</v>
      </c>
      <c r="F28" s="5605">
        <v>96.59</v>
      </c>
    </row>
    <row r="29" spans="1:9" x14ac:dyDescent="0.25">
      <c r="A29" s="2943" t="s">
        <v>425</v>
      </c>
      <c r="B29" s="2941">
        <v>159498383000</v>
      </c>
      <c r="C29" s="389">
        <v>142226967268</v>
      </c>
      <c r="D29" s="5600">
        <f t="shared" si="5"/>
        <v>89.171416407400201</v>
      </c>
      <c r="E29" s="5599">
        <v>95.772602397602412</v>
      </c>
      <c r="F29" s="5605">
        <v>97</v>
      </c>
    </row>
    <row r="30" spans="1:9" x14ac:dyDescent="0.25">
      <c r="A30" s="194" t="s">
        <v>426</v>
      </c>
      <c r="B30" s="236">
        <v>158622035000</v>
      </c>
      <c r="C30" s="389">
        <v>152286114046</v>
      </c>
      <c r="D30" s="5600">
        <f t="shared" si="5"/>
        <v>96.005648928914582</v>
      </c>
      <c r="E30" s="5599">
        <v>97.73555555555555</v>
      </c>
      <c r="F30" s="5605">
        <v>97.76</v>
      </c>
    </row>
    <row r="31" spans="1:9" x14ac:dyDescent="0.25">
      <c r="A31" s="194" t="s">
        <v>42</v>
      </c>
      <c r="B31" s="236">
        <v>151090858000</v>
      </c>
      <c r="C31" s="389">
        <v>136468776700</v>
      </c>
      <c r="D31" s="5600">
        <f t="shared" si="5"/>
        <v>90.322325590341151</v>
      </c>
      <c r="E31" s="5599">
        <v>90.032821166577207</v>
      </c>
      <c r="F31" s="5605">
        <v>90.34</v>
      </c>
    </row>
    <row r="32" spans="1:9" x14ac:dyDescent="0.25">
      <c r="A32" s="194" t="s">
        <v>43</v>
      </c>
      <c r="B32" s="236">
        <v>148459001000</v>
      </c>
      <c r="C32" s="389">
        <v>130635177732</v>
      </c>
      <c r="D32" s="5600">
        <f t="shared" si="5"/>
        <v>87.994110732295709</v>
      </c>
      <c r="E32" s="5599">
        <v>95.306653911564624</v>
      </c>
      <c r="F32" s="5605">
        <v>77.22</v>
      </c>
    </row>
    <row r="33" spans="1:6" x14ac:dyDescent="0.25">
      <c r="A33" s="161" t="s">
        <v>427</v>
      </c>
      <c r="B33" s="694">
        <v>141822234000</v>
      </c>
      <c r="C33" s="389">
        <v>139131351850</v>
      </c>
      <c r="D33" s="5600">
        <f t="shared" si="5"/>
        <v>98.102637312848984</v>
      </c>
      <c r="E33" s="5599">
        <v>97.814232755214405</v>
      </c>
      <c r="F33" s="5605">
        <v>93.65</v>
      </c>
    </row>
    <row r="34" spans="1:6" x14ac:dyDescent="0.25">
      <c r="A34" s="161" t="s">
        <v>428</v>
      </c>
      <c r="B34" s="694">
        <v>139409886520</v>
      </c>
      <c r="C34" s="389">
        <v>130299253205</v>
      </c>
      <c r="D34" s="5600">
        <f t="shared" si="5"/>
        <v>93.464858524439748</v>
      </c>
      <c r="E34" s="5599">
        <v>91.948908730158735</v>
      </c>
      <c r="F34" s="5605">
        <v>96.36</v>
      </c>
    </row>
    <row r="35" spans="1:6" x14ac:dyDescent="0.25">
      <c r="A35" s="161" t="s">
        <v>429</v>
      </c>
      <c r="B35" s="694">
        <v>135982127000</v>
      </c>
      <c r="C35" s="389">
        <v>130132124937</v>
      </c>
      <c r="D35" s="5600">
        <f t="shared" si="5"/>
        <v>95.697962524883877</v>
      </c>
      <c r="E35" s="5599">
        <v>96.663194444444443</v>
      </c>
      <c r="F35" s="5605">
        <v>95.7</v>
      </c>
    </row>
    <row r="36" spans="1:6" x14ac:dyDescent="0.25">
      <c r="A36" s="230" t="s">
        <v>430</v>
      </c>
      <c r="B36" s="694">
        <v>133767520000</v>
      </c>
      <c r="C36" s="389">
        <v>124000318038</v>
      </c>
      <c r="D36" s="5600">
        <f t="shared" si="5"/>
        <v>92.69837553839676</v>
      </c>
      <c r="E36" s="5599">
        <v>87.142857142857153</v>
      </c>
      <c r="F36" s="5605">
        <v>83.97</v>
      </c>
    </row>
    <row r="37" spans="1:6" x14ac:dyDescent="0.25">
      <c r="A37" s="230" t="s">
        <v>431</v>
      </c>
      <c r="B37" s="694">
        <v>123371722000</v>
      </c>
      <c r="C37" s="389">
        <v>110854747911</v>
      </c>
      <c r="D37" s="5600">
        <f t="shared" si="5"/>
        <v>89.854260047533415</v>
      </c>
      <c r="E37" s="5599">
        <v>95.773237475296582</v>
      </c>
      <c r="F37" s="5605"/>
    </row>
    <row r="38" spans="1:6" x14ac:dyDescent="0.25">
      <c r="A38" s="2944" t="s">
        <v>432</v>
      </c>
      <c r="B38" s="2945">
        <v>122925060000</v>
      </c>
      <c r="C38" s="389">
        <v>118651442442</v>
      </c>
      <c r="D38" s="5600">
        <f t="shared" si="5"/>
        <v>96.523395995901893</v>
      </c>
      <c r="E38" s="5599">
        <v>99.600715488215485</v>
      </c>
      <c r="F38" s="5605">
        <v>99.58</v>
      </c>
    </row>
    <row r="39" spans="1:6" s="4099" customFormat="1" ht="9.75" customHeight="1" x14ac:dyDescent="0.25">
      <c r="A39" s="2944"/>
      <c r="B39" s="2945"/>
      <c r="C39" s="389"/>
      <c r="D39" s="5600"/>
      <c r="E39" s="5599"/>
      <c r="F39" s="161"/>
    </row>
    <row r="40" spans="1:6" x14ac:dyDescent="0.25">
      <c r="A40" s="227" t="s">
        <v>433</v>
      </c>
      <c r="B40" s="239">
        <v>240893747800</v>
      </c>
      <c r="C40" s="390">
        <v>223061747800</v>
      </c>
      <c r="D40" s="5597">
        <f t="shared" si="5"/>
        <v>92.597566286857358</v>
      </c>
      <c r="E40" s="1485">
        <v>100</v>
      </c>
      <c r="F40" s="161"/>
    </row>
    <row r="41" spans="1:6" s="4099" customFormat="1" ht="7.5" customHeight="1" x14ac:dyDescent="0.25">
      <c r="A41" s="5590"/>
      <c r="B41" s="310"/>
      <c r="C41" s="5591"/>
      <c r="D41" s="5597"/>
      <c r="E41" s="5601"/>
      <c r="F41" s="161"/>
    </row>
    <row r="42" spans="1:6" ht="15.75" thickBot="1" x14ac:dyDescent="0.3">
      <c r="A42" s="309" t="s">
        <v>7115</v>
      </c>
      <c r="B42" s="310">
        <v>24818166660</v>
      </c>
      <c r="C42" s="5591">
        <v>24818166660</v>
      </c>
      <c r="D42" s="5597">
        <f t="shared" si="5"/>
        <v>100</v>
      </c>
      <c r="E42" s="5601">
        <v>100</v>
      </c>
      <c r="F42" s="5589"/>
    </row>
    <row r="43" spans="1:6" ht="16.5" thickTop="1" thickBot="1" x14ac:dyDescent="0.3">
      <c r="A43" s="5595" t="s">
        <v>18</v>
      </c>
      <c r="B43" s="240">
        <f>SUM(B24+B25+B40+B42)</f>
        <v>2408937478000</v>
      </c>
      <c r="C43" s="240">
        <f>SUM(C24+C25+C40+C42)</f>
        <v>2179156926323</v>
      </c>
      <c r="D43" s="5602">
        <f t="shared" si="5"/>
        <v>90.461331862055076</v>
      </c>
      <c r="E43" s="5603">
        <v>95.272657969852162</v>
      </c>
      <c r="F43" s="5594"/>
    </row>
    <row r="44" spans="1:6" ht="16.5" thickTop="1" thickBot="1" x14ac:dyDescent="0.3">
      <c r="A44" s="5609"/>
      <c r="B44" s="5609"/>
      <c r="C44" s="5609"/>
      <c r="D44" s="5609"/>
      <c r="E44" s="5609"/>
      <c r="F44" s="5609"/>
    </row>
    <row r="45" spans="1:6" ht="15.75" thickBot="1" x14ac:dyDescent="0.3">
      <c r="A45" s="4533" t="s">
        <v>7362</v>
      </c>
      <c r="B45" s="5610"/>
      <c r="C45" s="5610"/>
      <c r="D45" s="5610"/>
      <c r="E45" s="5610"/>
      <c r="F45" s="1359"/>
    </row>
    <row r="46" spans="1:6" x14ac:dyDescent="0.25">
      <c r="A46" s="1220"/>
      <c r="B46" s="1220"/>
      <c r="C46" s="1220"/>
      <c r="D46" s="1220"/>
      <c r="E46" s="1220"/>
      <c r="F46" s="1220"/>
    </row>
    <row r="47" spans="1:6" x14ac:dyDescent="0.25">
      <c r="A47" s="4353" t="s">
        <v>15</v>
      </c>
      <c r="B47" s="4353"/>
      <c r="C47" s="4353"/>
      <c r="D47" s="4353"/>
      <c r="E47" s="4353"/>
      <c r="F47" s="4353"/>
    </row>
    <row r="48" spans="1:6" s="4099" customFormat="1" x14ac:dyDescent="0.25">
      <c r="A48" s="5611" t="s">
        <v>7363</v>
      </c>
      <c r="B48" s="389">
        <v>1417450000000</v>
      </c>
      <c r="C48" s="389">
        <v>1136730865443</v>
      </c>
      <c r="D48" s="311">
        <f>C48/B48*100</f>
        <v>80.19548241158418</v>
      </c>
      <c r="E48" s="4107">
        <v>76.16</v>
      </c>
      <c r="F48" s="4107"/>
    </row>
    <row r="49" spans="1:6" s="4099" customFormat="1" x14ac:dyDescent="0.25">
      <c r="A49" s="161" t="s">
        <v>7364</v>
      </c>
      <c r="B49" s="389">
        <v>182550000000</v>
      </c>
      <c r="C49" s="389">
        <v>142756812520</v>
      </c>
      <c r="D49" s="311">
        <f>C49/B49*100</f>
        <v>78.201485905231436</v>
      </c>
      <c r="E49" s="161">
        <v>91.11</v>
      </c>
      <c r="F49" s="161"/>
    </row>
    <row r="50" spans="1:6" s="4099" customFormat="1" ht="15.75" thickBot="1" x14ac:dyDescent="0.3">
      <c r="A50" s="5589"/>
      <c r="B50" s="675"/>
      <c r="C50" s="675"/>
      <c r="D50" s="5589"/>
      <c r="E50" s="5589"/>
      <c r="F50" s="5589"/>
    </row>
    <row r="51" spans="1:6" ht="16.5" thickTop="1" thickBot="1" x14ac:dyDescent="0.3">
      <c r="A51" s="5612" t="s">
        <v>18</v>
      </c>
      <c r="B51" s="5613">
        <f>SUM(B48:B49)</f>
        <v>1600000000000</v>
      </c>
      <c r="C51" s="5613">
        <f>SUM(C48:C49)</f>
        <v>1279487677963</v>
      </c>
      <c r="D51" s="5615">
        <f>C51/B51*100</f>
        <v>79.967979872687494</v>
      </c>
      <c r="E51" s="5614">
        <v>83.64</v>
      </c>
      <c r="F51" s="5614">
        <v>83.64</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2"/>
  <sheetViews>
    <sheetView workbookViewId="0">
      <selection activeCell="C15" sqref="C15"/>
    </sheetView>
  </sheetViews>
  <sheetFormatPr defaultRowHeight="15" x14ac:dyDescent="0.25"/>
  <sheetData>
    <row r="1" spans="1:1" x14ac:dyDescent="0.25">
      <c r="A1" t="s">
        <v>7309</v>
      </c>
    </row>
    <row r="2" spans="1:1" x14ac:dyDescent="0.25">
      <c r="A2" t="s">
        <v>7310</v>
      </c>
    </row>
    <row r="3" spans="1:1" x14ac:dyDescent="0.25">
      <c r="A3" t="s">
        <v>7311</v>
      </c>
    </row>
    <row r="4" spans="1:1" x14ac:dyDescent="0.25">
      <c r="A4" t="s">
        <v>7312</v>
      </c>
    </row>
    <row r="5" spans="1:1" x14ac:dyDescent="0.25">
      <c r="A5" t="s">
        <v>7320</v>
      </c>
    </row>
    <row r="6" spans="1:1" x14ac:dyDescent="0.25">
      <c r="A6" t="s">
        <v>7313</v>
      </c>
    </row>
    <row r="7" spans="1:1" x14ac:dyDescent="0.25">
      <c r="A7" t="s">
        <v>7314</v>
      </c>
    </row>
    <row r="8" spans="1:1" x14ac:dyDescent="0.25">
      <c r="A8" t="s">
        <v>7315</v>
      </c>
    </row>
    <row r="9" spans="1:1" x14ac:dyDescent="0.25">
      <c r="A9" t="s">
        <v>7316</v>
      </c>
    </row>
    <row r="10" spans="1:1" x14ac:dyDescent="0.25">
      <c r="A10" t="s">
        <v>7317</v>
      </c>
    </row>
    <row r="11" spans="1:1" x14ac:dyDescent="0.25">
      <c r="A11" t="s">
        <v>7318</v>
      </c>
    </row>
    <row r="12" spans="1:1" x14ac:dyDescent="0.25">
      <c r="A12" t="s">
        <v>7319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H43"/>
  <sheetViews>
    <sheetView view="pageBreakPreview" topLeftCell="B19" zoomScaleNormal="70" workbookViewId="0">
      <selection activeCell="C33" sqref="C33"/>
    </sheetView>
  </sheetViews>
  <sheetFormatPr defaultColWidth="8.85546875" defaultRowHeight="15" x14ac:dyDescent="0.25"/>
  <cols>
    <col min="1" max="1" width="18.140625" customWidth="1"/>
    <col min="2" max="2" width="8.140625" style="103" customWidth="1"/>
    <col min="3" max="3" width="39" customWidth="1"/>
    <col min="4" max="6" width="17.7109375" style="104" customWidth="1"/>
    <col min="7" max="7" width="35.42578125" customWidth="1"/>
  </cols>
  <sheetData>
    <row r="1" spans="2:7" ht="20.100000000000001" customHeight="1" x14ac:dyDescent="0.3">
      <c r="B1" s="4"/>
      <c r="C1" s="3"/>
      <c r="D1" s="76"/>
      <c r="E1" s="76"/>
      <c r="F1" s="76"/>
      <c r="G1" s="212" t="s">
        <v>139</v>
      </c>
    </row>
    <row r="2" spans="2:7" ht="26.1" customHeight="1" x14ac:dyDescent="0.25">
      <c r="B2" s="5856" t="s">
        <v>0</v>
      </c>
      <c r="C2" s="5856"/>
      <c r="D2" s="6"/>
      <c r="E2" s="5857" t="s">
        <v>140</v>
      </c>
      <c r="F2" s="5857"/>
      <c r="G2" s="5857"/>
    </row>
    <row r="3" spans="2:7" ht="26.1" customHeight="1" x14ac:dyDescent="0.25">
      <c r="B3" s="187"/>
      <c r="C3" s="187"/>
      <c r="D3" s="6"/>
      <c r="E3" s="7"/>
      <c r="F3" s="7"/>
      <c r="G3" s="7"/>
    </row>
    <row r="4" spans="2:7" ht="38.25" customHeight="1" x14ac:dyDescent="0.25">
      <c r="B4" s="5858" t="s">
        <v>141</v>
      </c>
      <c r="C4" s="5858"/>
      <c r="D4" s="5858"/>
      <c r="E4" s="5858"/>
      <c r="F4" s="5858"/>
      <c r="G4" s="5858"/>
    </row>
    <row r="5" spans="2:7" ht="20.100000000000001" customHeight="1" x14ac:dyDescent="0.25">
      <c r="B5" s="5859"/>
      <c r="C5" s="5859"/>
      <c r="D5" s="5859"/>
      <c r="E5" s="5859"/>
      <c r="F5" s="5859"/>
      <c r="G5" s="5859"/>
    </row>
    <row r="6" spans="2:7" ht="15.95" customHeight="1" x14ac:dyDescent="0.25">
      <c r="B6" s="5693" t="s">
        <v>28</v>
      </c>
      <c r="C6" s="5693"/>
      <c r="D6" s="5693"/>
      <c r="E6" s="5693"/>
      <c r="F6" s="5693"/>
      <c r="G6" s="5693"/>
    </row>
    <row r="7" spans="2:7" x14ac:dyDescent="0.25">
      <c r="B7" s="5694" t="s">
        <v>142</v>
      </c>
      <c r="C7" s="5694"/>
      <c r="D7" s="5694"/>
      <c r="E7" s="5694"/>
      <c r="F7" s="5694"/>
      <c r="G7" s="5694"/>
    </row>
    <row r="8" spans="2:7" x14ac:dyDescent="0.25">
      <c r="B8" s="5694" t="s">
        <v>143</v>
      </c>
      <c r="C8" s="5694"/>
      <c r="D8" s="5694"/>
      <c r="E8" s="5694"/>
      <c r="F8" s="5694"/>
      <c r="G8" s="108"/>
    </row>
    <row r="9" spans="2:7" x14ac:dyDescent="0.25">
      <c r="B9" s="188"/>
      <c r="C9" s="188"/>
      <c r="D9" s="189"/>
      <c r="E9" s="189"/>
      <c r="F9" s="189"/>
      <c r="G9" s="213"/>
    </row>
    <row r="10" spans="2:7" ht="15.75" x14ac:dyDescent="0.25">
      <c r="B10" s="5839" t="s">
        <v>1</v>
      </c>
      <c r="C10" s="5702" t="s">
        <v>2</v>
      </c>
      <c r="D10" s="5849" t="s">
        <v>124</v>
      </c>
      <c r="E10" s="5849"/>
      <c r="F10" s="5849"/>
      <c r="G10" s="5846" t="s">
        <v>4</v>
      </c>
    </row>
    <row r="11" spans="2:7" ht="27.75" customHeight="1" x14ac:dyDescent="0.25">
      <c r="B11" s="5840"/>
      <c r="C11" s="5703"/>
      <c r="D11" s="5850" t="s">
        <v>51</v>
      </c>
      <c r="E11" s="5851"/>
      <c r="F11" s="5852"/>
      <c r="G11" s="5847"/>
    </row>
    <row r="12" spans="2:7" s="1" customFormat="1" ht="63" customHeight="1" x14ac:dyDescent="0.2">
      <c r="B12" s="5840"/>
      <c r="C12" s="5703"/>
      <c r="D12" s="5842" t="s">
        <v>5</v>
      </c>
      <c r="E12" s="5842" t="s">
        <v>6</v>
      </c>
      <c r="F12" s="5844" t="s">
        <v>144</v>
      </c>
      <c r="G12" s="5847"/>
    </row>
    <row r="13" spans="2:7" s="1" customFormat="1" ht="24" customHeight="1" x14ac:dyDescent="0.2">
      <c r="B13" s="5841"/>
      <c r="C13" s="5704"/>
      <c r="D13" s="5843"/>
      <c r="E13" s="5843"/>
      <c r="F13" s="5845"/>
      <c r="G13" s="5848"/>
    </row>
    <row r="14" spans="2:7" ht="20.100000000000001" customHeight="1" x14ac:dyDescent="0.25">
      <c r="B14" s="242" t="s">
        <v>8</v>
      </c>
      <c r="C14" s="243" t="s">
        <v>9</v>
      </c>
      <c r="D14" s="244" t="s">
        <v>10</v>
      </c>
      <c r="E14" s="244" t="s">
        <v>11</v>
      </c>
      <c r="F14" s="245" t="s">
        <v>12</v>
      </c>
      <c r="G14" s="246" t="s">
        <v>13</v>
      </c>
    </row>
    <row r="15" spans="2:7" ht="4.5" customHeight="1" x14ac:dyDescent="0.25">
      <c r="B15" s="190"/>
      <c r="C15" s="191"/>
      <c r="D15" s="222"/>
      <c r="E15" s="192"/>
      <c r="F15" s="192"/>
      <c r="G15" s="214"/>
    </row>
    <row r="16" spans="2:7" ht="17.100000000000001" customHeight="1" x14ac:dyDescent="0.25">
      <c r="B16" s="193" t="s">
        <v>14</v>
      </c>
      <c r="C16" s="194" t="s">
        <v>145</v>
      </c>
      <c r="D16" s="195"/>
      <c r="E16" s="195"/>
      <c r="F16" s="195"/>
      <c r="G16" s="215"/>
    </row>
    <row r="17" spans="1:8" ht="17.100000000000001" customHeight="1" x14ac:dyDescent="0.25">
      <c r="B17" s="193" t="s">
        <v>16</v>
      </c>
      <c r="C17" s="196" t="s">
        <v>17</v>
      </c>
      <c r="D17" s="195"/>
      <c r="E17" s="195"/>
      <c r="F17" s="195"/>
      <c r="G17" s="215"/>
    </row>
    <row r="18" spans="1:8" ht="17.100000000000001" customHeight="1" x14ac:dyDescent="0.25">
      <c r="B18" s="193"/>
      <c r="C18" s="196" t="s">
        <v>146</v>
      </c>
      <c r="D18" s="195"/>
      <c r="E18" s="223"/>
      <c r="F18" s="195"/>
      <c r="G18" s="215"/>
    </row>
    <row r="19" spans="1:8" ht="17.100000000000001" customHeight="1" x14ac:dyDescent="0.25">
      <c r="B19" s="193"/>
      <c r="C19" s="196" t="s">
        <v>147</v>
      </c>
      <c r="D19" s="195"/>
      <c r="E19" s="195"/>
      <c r="F19" s="195"/>
      <c r="G19" s="215"/>
    </row>
    <row r="20" spans="1:8" ht="17.100000000000001" customHeight="1" x14ac:dyDescent="0.25">
      <c r="B20" s="193"/>
      <c r="C20" s="196" t="s">
        <v>148</v>
      </c>
      <c r="D20" s="195"/>
      <c r="E20" s="195"/>
      <c r="F20" s="195"/>
      <c r="G20" s="215"/>
    </row>
    <row r="21" spans="1:8" ht="17.100000000000001" customHeight="1" x14ac:dyDescent="0.25">
      <c r="B21" s="193"/>
      <c r="C21" s="196" t="s">
        <v>149</v>
      </c>
      <c r="D21" s="87"/>
      <c r="E21" s="87"/>
      <c r="F21" s="87"/>
      <c r="G21" s="216"/>
    </row>
    <row r="22" spans="1:8" ht="17.100000000000001" customHeight="1" x14ac:dyDescent="0.25">
      <c r="B22" s="197"/>
      <c r="C22" s="38"/>
      <c r="D22" s="93"/>
      <c r="E22" s="93"/>
      <c r="F22" s="93"/>
      <c r="G22" s="217"/>
    </row>
    <row r="23" spans="1:8" ht="17.100000000000001" customHeight="1" x14ac:dyDescent="0.25">
      <c r="B23" s="198"/>
      <c r="C23" s="199" t="s">
        <v>18</v>
      </c>
      <c r="D23" s="200"/>
      <c r="E23" s="200"/>
      <c r="F23" s="200"/>
      <c r="G23" s="218"/>
    </row>
    <row r="24" spans="1:8" ht="12.75" customHeight="1" x14ac:dyDescent="0.25">
      <c r="B24" s="201"/>
      <c r="C24" s="202"/>
      <c r="D24" s="203"/>
      <c r="E24" s="203"/>
      <c r="F24" s="203"/>
      <c r="G24" s="203"/>
    </row>
    <row r="25" spans="1:8" ht="14.1" customHeight="1" x14ac:dyDescent="0.25">
      <c r="B25" s="2" t="s">
        <v>19</v>
      </c>
      <c r="C25" s="224"/>
      <c r="D25" s="189"/>
      <c r="E25" s="189"/>
      <c r="F25" s="189"/>
      <c r="G25" s="224"/>
    </row>
    <row r="26" spans="1:8" ht="14.1" customHeight="1" x14ac:dyDescent="0.25">
      <c r="B26" s="5853" t="s">
        <v>150</v>
      </c>
      <c r="C26" s="5854"/>
      <c r="D26" s="5854"/>
      <c r="E26" s="76"/>
      <c r="F26" s="76"/>
      <c r="G26" s="3"/>
    </row>
    <row r="27" spans="1:8" ht="14.1" customHeight="1" x14ac:dyDescent="0.25">
      <c r="B27" s="5855" t="s">
        <v>151</v>
      </c>
      <c r="C27" s="5837"/>
      <c r="D27" s="5837"/>
      <c r="E27" s="5837"/>
      <c r="F27" s="5837"/>
      <c r="G27" s="5837"/>
    </row>
    <row r="28" spans="1:8" ht="14.1" customHeight="1" x14ac:dyDescent="0.25">
      <c r="A28" s="206"/>
      <c r="B28" s="5837" t="s">
        <v>20</v>
      </c>
      <c r="C28" s="5837"/>
      <c r="D28" s="5837"/>
      <c r="E28" s="5837"/>
      <c r="F28" s="5837"/>
      <c r="G28" s="5837"/>
    </row>
    <row r="29" spans="1:8" ht="14.1" customHeight="1" x14ac:dyDescent="0.25">
      <c r="B29" s="5837" t="s">
        <v>152</v>
      </c>
      <c r="C29" s="5837"/>
      <c r="D29" s="5837"/>
      <c r="E29" s="5837"/>
      <c r="F29" s="5837"/>
      <c r="G29" s="5837"/>
    </row>
    <row r="30" spans="1:8" ht="14.1" customHeight="1" x14ac:dyDescent="0.25">
      <c r="B30" s="59" t="s">
        <v>153</v>
      </c>
      <c r="C30" s="225"/>
      <c r="D30" s="225"/>
      <c r="E30" s="225"/>
      <c r="F30" s="225"/>
      <c r="G30" s="225"/>
    </row>
    <row r="31" spans="1:8" ht="14.1" customHeight="1" x14ac:dyDescent="0.25">
      <c r="B31" s="59" t="s">
        <v>23</v>
      </c>
      <c r="C31" s="59"/>
      <c r="D31" s="59"/>
      <c r="E31" s="59"/>
      <c r="F31" s="59"/>
      <c r="G31" s="59"/>
      <c r="H31" s="219"/>
    </row>
    <row r="32" spans="1:8" ht="28.5" customHeight="1" x14ac:dyDescent="0.25">
      <c r="B32" s="5838" t="s">
        <v>154</v>
      </c>
      <c r="C32" s="5838"/>
      <c r="D32" s="5838"/>
      <c r="E32" s="5838"/>
      <c r="F32" s="226"/>
      <c r="G32" s="226"/>
      <c r="H32" s="219"/>
    </row>
    <row r="33" spans="2:8" ht="14.1" customHeight="1" x14ac:dyDescent="0.25">
      <c r="B33" s="59" t="s">
        <v>25</v>
      </c>
      <c r="C33" s="226"/>
      <c r="D33" s="226"/>
      <c r="E33" s="76"/>
      <c r="F33" s="76"/>
      <c r="H33" s="219"/>
    </row>
    <row r="34" spans="2:8" ht="20.100000000000001" customHeight="1" x14ac:dyDescent="0.25">
      <c r="B34" s="207"/>
      <c r="C34" s="208"/>
      <c r="D34" s="208"/>
      <c r="G34" s="210"/>
    </row>
    <row r="35" spans="2:8" ht="20.100000000000001" customHeight="1" x14ac:dyDescent="0.25">
      <c r="B35" s="209"/>
      <c r="C35" s="210"/>
      <c r="D35" s="210"/>
      <c r="E35" s="210"/>
      <c r="F35" s="210"/>
      <c r="G35" s="210"/>
    </row>
    <row r="36" spans="2:8" ht="20.100000000000001" customHeight="1" x14ac:dyDescent="0.25">
      <c r="B36" s="209"/>
      <c r="C36" s="210"/>
      <c r="D36" s="210"/>
      <c r="E36" s="210"/>
      <c r="F36" s="210"/>
      <c r="G36" s="210"/>
    </row>
    <row r="37" spans="2:8" ht="20.100000000000001" customHeight="1" x14ac:dyDescent="0.25">
      <c r="B37" s="209"/>
      <c r="C37" s="210"/>
      <c r="D37" s="210"/>
      <c r="E37" s="210"/>
      <c r="F37" s="210"/>
      <c r="G37" s="210"/>
    </row>
    <row r="38" spans="2:8" ht="20.100000000000001" customHeight="1" x14ac:dyDescent="0.25">
      <c r="B38" s="209"/>
      <c r="C38" s="210"/>
      <c r="D38" s="210"/>
      <c r="E38" s="210"/>
      <c r="F38" s="210"/>
      <c r="G38" s="210"/>
    </row>
    <row r="39" spans="2:8" ht="20.100000000000001" customHeight="1" x14ac:dyDescent="0.25">
      <c r="B39" s="209"/>
      <c r="C39" s="210"/>
      <c r="D39" s="210"/>
      <c r="E39" s="210"/>
      <c r="F39" s="210"/>
      <c r="G39" s="210"/>
    </row>
    <row r="40" spans="2:8" ht="20.100000000000001" customHeight="1" x14ac:dyDescent="0.25">
      <c r="B40" s="209"/>
      <c r="C40" s="210"/>
      <c r="D40" s="210"/>
      <c r="E40" s="210"/>
      <c r="F40" s="210"/>
    </row>
    <row r="41" spans="2:8" ht="20.100000000000001" customHeight="1" x14ac:dyDescent="0.25">
      <c r="G41" s="211"/>
    </row>
    <row r="42" spans="2:8" ht="20.100000000000001" customHeight="1" x14ac:dyDescent="0.25">
      <c r="C42" s="211"/>
      <c r="D42" s="211"/>
      <c r="E42" s="211"/>
      <c r="F42" s="211"/>
    </row>
    <row r="43" spans="2:8" ht="20.100000000000001" customHeight="1" x14ac:dyDescent="0.25">
      <c r="D43" s="104" t="s">
        <v>26</v>
      </c>
    </row>
  </sheetData>
  <mergeCells count="20">
    <mergeCell ref="B7:G7"/>
    <mergeCell ref="B2:C2"/>
    <mergeCell ref="E2:G2"/>
    <mergeCell ref="B4:G4"/>
    <mergeCell ref="B5:G5"/>
    <mergeCell ref="B6:G6"/>
    <mergeCell ref="B8:F8"/>
    <mergeCell ref="D10:F10"/>
    <mergeCell ref="D11:F11"/>
    <mergeCell ref="B26:D26"/>
    <mergeCell ref="B27:G27"/>
    <mergeCell ref="B29:G29"/>
    <mergeCell ref="B32:E32"/>
    <mergeCell ref="B10:B13"/>
    <mergeCell ref="C10:C13"/>
    <mergeCell ref="D12:D13"/>
    <mergeCell ref="E12:E13"/>
    <mergeCell ref="F12:F13"/>
    <mergeCell ref="G10:G13"/>
    <mergeCell ref="B28:G28"/>
  </mergeCells>
  <printOptions horizontalCentered="1"/>
  <pageMargins left="0.12" right="0.12" top="0.42" bottom="0.4" header="0.31" footer="0.31"/>
  <pageSetup paperSize="9" scale="87" orientation="landscape"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H79"/>
  <sheetViews>
    <sheetView topLeftCell="A41" workbookViewId="0">
      <selection activeCell="E59" sqref="E59"/>
    </sheetView>
  </sheetViews>
  <sheetFormatPr defaultRowHeight="15" x14ac:dyDescent="0.25"/>
  <cols>
    <col min="1" max="1" width="23.5703125" customWidth="1"/>
    <col min="4" max="4" width="33.28515625" customWidth="1"/>
    <col min="5" max="5" width="19" customWidth="1"/>
    <col min="6" max="6" width="21.28515625" customWidth="1"/>
    <col min="7" max="7" width="21" customWidth="1"/>
  </cols>
  <sheetData>
    <row r="1" spans="1:6" x14ac:dyDescent="0.25">
      <c r="A1" s="299"/>
      <c r="D1" s="104">
        <v>11836936832</v>
      </c>
    </row>
    <row r="2" spans="1:6" x14ac:dyDescent="0.25">
      <c r="A2" s="299"/>
      <c r="D2" s="104">
        <v>3556078200</v>
      </c>
      <c r="F2" s="104">
        <v>3605658500</v>
      </c>
    </row>
    <row r="3" spans="1:6" x14ac:dyDescent="0.25">
      <c r="A3" s="299"/>
      <c r="D3" s="104">
        <v>477758150</v>
      </c>
      <c r="F3" s="104">
        <v>500000000</v>
      </c>
    </row>
    <row r="4" spans="1:6" x14ac:dyDescent="0.25">
      <c r="A4" s="299"/>
      <c r="D4" s="104">
        <v>304421180</v>
      </c>
      <c r="F4" s="104">
        <v>533853000</v>
      </c>
    </row>
    <row r="5" spans="1:6" x14ac:dyDescent="0.25">
      <c r="A5" s="299"/>
      <c r="D5" s="104">
        <v>392143400</v>
      </c>
      <c r="F5" s="104">
        <f>SUM(F2:F4)</f>
        <v>4639511500</v>
      </c>
    </row>
    <row r="6" spans="1:6" x14ac:dyDescent="0.25">
      <c r="A6" s="299"/>
      <c r="D6" s="104">
        <v>269372000</v>
      </c>
      <c r="F6" s="104"/>
    </row>
    <row r="7" spans="1:6" x14ac:dyDescent="0.25">
      <c r="A7" s="299"/>
      <c r="D7" s="104">
        <v>412583650</v>
      </c>
    </row>
    <row r="8" spans="1:6" x14ac:dyDescent="0.25">
      <c r="A8" s="299"/>
      <c r="D8" s="104">
        <v>348629000</v>
      </c>
    </row>
    <row r="9" spans="1:6" x14ac:dyDescent="0.25">
      <c r="A9" s="299"/>
      <c r="D9" s="104">
        <v>97950000</v>
      </c>
    </row>
    <row r="10" spans="1:6" x14ac:dyDescent="0.25">
      <c r="A10" s="299"/>
      <c r="D10" s="104">
        <v>168339800</v>
      </c>
      <c r="F10" s="272">
        <v>5926736700</v>
      </c>
    </row>
    <row r="11" spans="1:6" x14ac:dyDescent="0.25">
      <c r="A11" s="299"/>
      <c r="D11" s="104">
        <v>80825600</v>
      </c>
      <c r="F11" s="104">
        <v>636917000</v>
      </c>
    </row>
    <row r="12" spans="1:6" x14ac:dyDescent="0.25">
      <c r="A12" s="299"/>
      <c r="D12" s="104">
        <v>47349300</v>
      </c>
      <c r="F12" s="104">
        <v>608842360</v>
      </c>
    </row>
    <row r="13" spans="1:6" x14ac:dyDescent="0.25">
      <c r="A13" s="299"/>
      <c r="D13" s="104">
        <v>990839063</v>
      </c>
      <c r="F13" s="104">
        <v>783252600</v>
      </c>
    </row>
    <row r="14" spans="1:6" x14ac:dyDescent="0.25">
      <c r="A14" s="299"/>
      <c r="D14" s="104">
        <v>4824988545</v>
      </c>
      <c r="F14" s="104">
        <v>538744000</v>
      </c>
    </row>
    <row r="15" spans="1:6" x14ac:dyDescent="0.25">
      <c r="A15" s="299"/>
      <c r="D15" s="104">
        <v>1219300000</v>
      </c>
      <c r="F15" s="104">
        <v>825166600</v>
      </c>
    </row>
    <row r="16" spans="1:6" x14ac:dyDescent="0.25">
      <c r="A16" s="299"/>
      <c r="D16" s="104">
        <v>735600000</v>
      </c>
      <c r="F16" s="104">
        <v>780217600</v>
      </c>
    </row>
    <row r="17" spans="1:6" x14ac:dyDescent="0.25">
      <c r="A17" s="299"/>
      <c r="D17" s="104">
        <v>426700000</v>
      </c>
      <c r="F17" s="271">
        <v>195901200</v>
      </c>
    </row>
    <row r="18" spans="1:6" x14ac:dyDescent="0.25">
      <c r="A18" s="299"/>
      <c r="D18" s="104">
        <v>1326305000</v>
      </c>
      <c r="F18" s="104">
        <v>335179800</v>
      </c>
    </row>
    <row r="19" spans="1:6" x14ac:dyDescent="0.25">
      <c r="A19" s="299"/>
      <c r="D19" s="104">
        <v>1927837400</v>
      </c>
      <c r="F19" s="271">
        <v>161651200</v>
      </c>
    </row>
    <row r="20" spans="1:6" x14ac:dyDescent="0.25">
      <c r="A20" s="299"/>
      <c r="D20" s="104">
        <v>967850000</v>
      </c>
      <c r="F20" s="104">
        <v>189397200</v>
      </c>
    </row>
    <row r="21" spans="1:6" x14ac:dyDescent="0.25">
      <c r="A21" s="299"/>
      <c r="D21" s="104">
        <v>571625000</v>
      </c>
      <c r="F21" s="104">
        <v>3046315000</v>
      </c>
    </row>
    <row r="22" spans="1:6" x14ac:dyDescent="0.25">
      <c r="D22" s="104">
        <v>2270458000</v>
      </c>
      <c r="F22" s="104">
        <v>4000000000</v>
      </c>
    </row>
    <row r="23" spans="1:6" x14ac:dyDescent="0.25">
      <c r="D23" s="104">
        <v>2499798800</v>
      </c>
      <c r="F23" s="267">
        <f>SUM(F10:F22)</f>
        <v>18028321260</v>
      </c>
    </row>
    <row r="24" spans="1:6" x14ac:dyDescent="0.25">
      <c r="D24" s="104">
        <v>231200000</v>
      </c>
    </row>
    <row r="25" spans="1:6" x14ac:dyDescent="0.25">
      <c r="D25" s="104">
        <v>993450000</v>
      </c>
    </row>
    <row r="26" spans="1:6" x14ac:dyDescent="0.25">
      <c r="D26" s="104">
        <v>7971687000</v>
      </c>
    </row>
    <row r="27" spans="1:6" x14ac:dyDescent="0.25">
      <c r="D27" s="104">
        <f>SUM(D1:D26)</f>
        <v>44950025920</v>
      </c>
    </row>
    <row r="30" spans="1:6" x14ac:dyDescent="0.25">
      <c r="D30" s="104">
        <v>107198735810</v>
      </c>
      <c r="F30" s="104">
        <v>109838852310</v>
      </c>
    </row>
    <row r="31" spans="1:6" x14ac:dyDescent="0.25">
      <c r="D31" s="104">
        <v>104040420000</v>
      </c>
      <c r="F31" s="104">
        <v>109063795410</v>
      </c>
    </row>
    <row r="32" spans="1:6" x14ac:dyDescent="0.25">
      <c r="D32" s="301">
        <f>SUM(D30-D31)</f>
        <v>3158315810</v>
      </c>
      <c r="F32" s="301">
        <f>SUM(F30-F31)</f>
        <v>775056900</v>
      </c>
    </row>
    <row r="35" spans="4:6" x14ac:dyDescent="0.25">
      <c r="D35" s="299">
        <v>2406778685000</v>
      </c>
    </row>
    <row r="36" spans="4:6" x14ac:dyDescent="0.25">
      <c r="D36" s="305">
        <f>SUM(D35*30%)</f>
        <v>722033605500</v>
      </c>
      <c r="E36" t="s">
        <v>398</v>
      </c>
    </row>
    <row r="37" spans="4:6" x14ac:dyDescent="0.25">
      <c r="D37" s="305">
        <f>SUM(D35*45%)</f>
        <v>1083050408250</v>
      </c>
      <c r="E37" t="s">
        <v>399</v>
      </c>
    </row>
    <row r="38" spans="4:6" x14ac:dyDescent="0.25">
      <c r="D38" s="305">
        <f>SUM(D37*70%)</f>
        <v>758135285775</v>
      </c>
      <c r="F38" s="104">
        <v>262500000000</v>
      </c>
    </row>
    <row r="39" spans="4:6" x14ac:dyDescent="0.25">
      <c r="D39" s="299">
        <v>688235330630</v>
      </c>
      <c r="F39" s="302">
        <v>133245563415</v>
      </c>
    </row>
    <row r="40" spans="4:6" x14ac:dyDescent="0.25">
      <c r="F40" s="301">
        <f>SUM(F39/F38)*100</f>
        <v>50.760214634285717</v>
      </c>
    </row>
    <row r="43" spans="4:6" x14ac:dyDescent="0.25">
      <c r="D43" s="299">
        <v>13620885000</v>
      </c>
    </row>
    <row r="44" spans="4:6" x14ac:dyDescent="0.25">
      <c r="D44" s="299">
        <v>13621135000</v>
      </c>
    </row>
    <row r="45" spans="4:6" x14ac:dyDescent="0.25">
      <c r="D45" s="299">
        <f>SUM(D43-D44)</f>
        <v>-250000</v>
      </c>
    </row>
    <row r="49" spans="4:8" x14ac:dyDescent="0.25">
      <c r="D49" t="s">
        <v>400</v>
      </c>
    </row>
    <row r="50" spans="4:8" x14ac:dyDescent="0.25">
      <c r="D50" t="s">
        <v>401</v>
      </c>
      <c r="E50" s="306">
        <v>111611578500</v>
      </c>
      <c r="F50" s="307" t="s">
        <v>406</v>
      </c>
      <c r="G50" s="306">
        <v>660323605500</v>
      </c>
    </row>
    <row r="51" spans="4:8" x14ac:dyDescent="0.25">
      <c r="D51" t="s">
        <v>402</v>
      </c>
      <c r="E51" s="306">
        <v>109063795410</v>
      </c>
      <c r="F51" s="307" t="s">
        <v>407</v>
      </c>
      <c r="G51" s="306">
        <v>139658731000</v>
      </c>
    </row>
    <row r="52" spans="4:8" x14ac:dyDescent="0.25">
      <c r="D52" t="s">
        <v>403</v>
      </c>
      <c r="E52" s="306">
        <f>SUM(E50-E51)</f>
        <v>2547783090</v>
      </c>
      <c r="F52" s="307" t="s">
        <v>408</v>
      </c>
      <c r="G52" s="306">
        <v>139227821000</v>
      </c>
    </row>
    <row r="53" spans="4:8" x14ac:dyDescent="0.25">
      <c r="E53" s="306"/>
      <c r="F53" s="307" t="s">
        <v>409</v>
      </c>
      <c r="G53" s="306">
        <v>137443533000</v>
      </c>
    </row>
    <row r="54" spans="4:8" x14ac:dyDescent="0.25">
      <c r="D54" t="s">
        <v>404</v>
      </c>
      <c r="E54" s="306"/>
      <c r="F54" s="307" t="s">
        <v>410</v>
      </c>
      <c r="G54" s="306">
        <v>131717838000</v>
      </c>
    </row>
    <row r="55" spans="4:8" x14ac:dyDescent="0.25">
      <c r="D55" t="s">
        <v>401</v>
      </c>
      <c r="E55" s="306">
        <v>109733476000</v>
      </c>
      <c r="F55" s="307" t="s">
        <v>411</v>
      </c>
      <c r="G55" s="306">
        <v>127755892000</v>
      </c>
    </row>
    <row r="56" spans="4:8" x14ac:dyDescent="0.25">
      <c r="D56" t="s">
        <v>402</v>
      </c>
      <c r="E56" s="306">
        <v>107198735810</v>
      </c>
      <c r="F56" s="307" t="s">
        <v>412</v>
      </c>
      <c r="G56" s="306">
        <v>118416061000</v>
      </c>
    </row>
    <row r="57" spans="4:8" x14ac:dyDescent="0.25">
      <c r="D57" t="s">
        <v>403</v>
      </c>
      <c r="E57" s="306">
        <f>SUM(E55-E56)</f>
        <v>2534740190</v>
      </c>
      <c r="F57" s="307" t="s">
        <v>413</v>
      </c>
      <c r="G57" s="306">
        <v>115195198000</v>
      </c>
    </row>
    <row r="58" spans="4:8" x14ac:dyDescent="0.25">
      <c r="E58" s="306"/>
      <c r="F58" s="307" t="s">
        <v>414</v>
      </c>
      <c r="G58" s="306">
        <v>109063795410</v>
      </c>
      <c r="H58" t="s">
        <v>415</v>
      </c>
    </row>
    <row r="59" spans="4:8" x14ac:dyDescent="0.25">
      <c r="D59" t="s">
        <v>405</v>
      </c>
      <c r="E59" s="306">
        <f>SUM(E52+E57)</f>
        <v>5082523280</v>
      </c>
      <c r="F59" s="307" t="s">
        <v>416</v>
      </c>
      <c r="G59" s="306">
        <v>110713767000</v>
      </c>
    </row>
    <row r="60" spans="4:8" x14ac:dyDescent="0.25">
      <c r="E60" s="306"/>
      <c r="F60" s="307" t="s">
        <v>417</v>
      </c>
      <c r="G60" s="306">
        <v>107198735810</v>
      </c>
      <c r="H60" t="s">
        <v>415</v>
      </c>
    </row>
    <row r="61" spans="4:8" x14ac:dyDescent="0.25">
      <c r="E61" s="306"/>
      <c r="F61" s="307" t="s">
        <v>418</v>
      </c>
      <c r="G61" s="306">
        <v>106674353000</v>
      </c>
    </row>
    <row r="62" spans="4:8" x14ac:dyDescent="0.25">
      <c r="E62" s="306"/>
      <c r="F62" s="307" t="s">
        <v>419</v>
      </c>
      <c r="G62" s="306">
        <v>96749618000</v>
      </c>
    </row>
    <row r="63" spans="4:8" x14ac:dyDescent="0.25">
      <c r="E63" s="306"/>
      <c r="F63" s="307" t="s">
        <v>420</v>
      </c>
      <c r="G63" s="306">
        <v>95857213000</v>
      </c>
    </row>
    <row r="64" spans="4:8" x14ac:dyDescent="0.25">
      <c r="E64" s="306"/>
      <c r="F64" s="307" t="s">
        <v>422</v>
      </c>
      <c r="G64" s="306">
        <v>205700000000</v>
      </c>
    </row>
    <row r="65" spans="5:7" x14ac:dyDescent="0.25">
      <c r="E65" s="306"/>
      <c r="F65" s="307"/>
      <c r="G65" s="306">
        <f>SUM(G50:G64)</f>
        <v>2401696161720</v>
      </c>
    </row>
    <row r="66" spans="5:7" x14ac:dyDescent="0.25">
      <c r="E66" s="306"/>
      <c r="F66" s="307" t="s">
        <v>421</v>
      </c>
      <c r="G66" s="306">
        <v>2406778685000</v>
      </c>
    </row>
    <row r="67" spans="5:7" x14ac:dyDescent="0.25">
      <c r="E67" s="306"/>
      <c r="F67" s="307"/>
      <c r="G67" s="306">
        <f>SUM(G66-G65)</f>
        <v>5082523280</v>
      </c>
    </row>
    <row r="68" spans="5:7" x14ac:dyDescent="0.25">
      <c r="E68" s="306"/>
      <c r="F68" s="307"/>
      <c r="G68" s="306"/>
    </row>
    <row r="69" spans="5:7" x14ac:dyDescent="0.25">
      <c r="F69" s="307"/>
      <c r="G69" s="306"/>
    </row>
    <row r="70" spans="5:7" x14ac:dyDescent="0.25">
      <c r="F70" s="307"/>
      <c r="G70" s="306"/>
    </row>
    <row r="71" spans="5:7" x14ac:dyDescent="0.25">
      <c r="F71" s="307"/>
      <c r="G71" s="306"/>
    </row>
    <row r="72" spans="5:7" x14ac:dyDescent="0.25">
      <c r="F72" s="307"/>
      <c r="G72" s="306"/>
    </row>
    <row r="73" spans="5:7" x14ac:dyDescent="0.25">
      <c r="F73" s="307"/>
      <c r="G73" s="306"/>
    </row>
    <row r="74" spans="5:7" x14ac:dyDescent="0.25">
      <c r="F74" s="307"/>
      <c r="G74" s="306"/>
    </row>
    <row r="75" spans="5:7" x14ac:dyDescent="0.25">
      <c r="F75" s="307"/>
      <c r="G75" s="306"/>
    </row>
    <row r="76" spans="5:7" x14ac:dyDescent="0.25">
      <c r="F76" s="307"/>
      <c r="G76" s="306"/>
    </row>
    <row r="77" spans="5:7" x14ac:dyDescent="0.25">
      <c r="F77" s="307"/>
      <c r="G77" s="306"/>
    </row>
    <row r="78" spans="5:7" x14ac:dyDescent="0.25">
      <c r="F78" s="307"/>
      <c r="G78" s="306"/>
    </row>
    <row r="79" spans="5:7" x14ac:dyDescent="0.25">
      <c r="G79" s="306"/>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FFFF00"/>
    <pageSetUpPr fitToPage="1"/>
  </sheetPr>
  <dimension ref="A1:M47"/>
  <sheetViews>
    <sheetView view="pageBreakPreview" topLeftCell="B1" zoomScaleNormal="80" workbookViewId="0">
      <selection activeCell="B26" sqref="B26:C26"/>
    </sheetView>
  </sheetViews>
  <sheetFormatPr defaultColWidth="8.85546875" defaultRowHeight="20.100000000000001" customHeight="1" x14ac:dyDescent="0.25"/>
  <cols>
    <col min="1" max="1" width="18.140625" customWidth="1"/>
    <col min="2" max="2" width="8.140625" style="103" customWidth="1"/>
    <col min="3" max="3" width="39" customWidth="1"/>
    <col min="4" max="4" width="17.7109375" style="104" customWidth="1"/>
    <col min="5" max="5" width="21.28515625" style="104" customWidth="1"/>
    <col min="6" max="11" width="17.7109375" style="104" customWidth="1"/>
    <col min="12" max="12" width="31" customWidth="1"/>
  </cols>
  <sheetData>
    <row r="1" spans="2:12" ht="20.100000000000001" customHeight="1" x14ac:dyDescent="0.3">
      <c r="B1" s="4"/>
      <c r="C1" s="3"/>
      <c r="D1" s="76"/>
      <c r="E1" s="76"/>
      <c r="F1" s="76"/>
      <c r="G1" s="76"/>
      <c r="H1" s="76"/>
      <c r="I1" s="76"/>
      <c r="J1" s="76"/>
      <c r="K1" s="76"/>
      <c r="L1" s="212" t="s">
        <v>155</v>
      </c>
    </row>
    <row r="2" spans="2:12" ht="26.1" customHeight="1" x14ac:dyDescent="0.25">
      <c r="B2" s="5856" t="s">
        <v>0</v>
      </c>
      <c r="C2" s="5856"/>
      <c r="D2" s="5856"/>
      <c r="E2" s="5856"/>
      <c r="F2" s="5856"/>
      <c r="G2" s="5856"/>
      <c r="H2" s="5856"/>
      <c r="I2" s="5856"/>
      <c r="J2" s="5856"/>
      <c r="K2" s="5856"/>
      <c r="L2" s="5856"/>
    </row>
    <row r="3" spans="2:12" ht="26.1" customHeight="1" x14ac:dyDescent="0.25">
      <c r="B3" s="187"/>
      <c r="C3" s="187"/>
      <c r="D3" s="7"/>
      <c r="E3" s="7"/>
      <c r="F3" s="7"/>
      <c r="G3" s="7"/>
      <c r="H3" s="7"/>
      <c r="I3" s="7"/>
      <c r="J3" s="7"/>
      <c r="K3" s="7"/>
      <c r="L3" s="7"/>
    </row>
    <row r="4" spans="2:12" ht="26.1" customHeight="1" x14ac:dyDescent="0.25">
      <c r="B4" s="5870" t="s">
        <v>156</v>
      </c>
      <c r="C4" s="5871"/>
      <c r="D4" s="5871"/>
      <c r="E4" s="5871"/>
      <c r="F4" s="5871"/>
      <c r="G4" s="5871"/>
      <c r="H4" s="5871"/>
      <c r="I4" s="5871"/>
      <c r="J4" s="5871"/>
      <c r="K4" s="5871"/>
      <c r="L4" s="5871"/>
    </row>
    <row r="5" spans="2:12" ht="20.100000000000001" customHeight="1" x14ac:dyDescent="0.25">
      <c r="B5" s="5859"/>
      <c r="C5" s="5859"/>
      <c r="D5" s="5859"/>
      <c r="E5" s="5859"/>
      <c r="F5" s="5859"/>
      <c r="G5" s="5859"/>
      <c r="H5" s="5859"/>
      <c r="I5" s="5859"/>
      <c r="J5" s="5859"/>
      <c r="K5" s="5859"/>
      <c r="L5" s="5859"/>
    </row>
    <row r="6" spans="2:12" ht="15.95" customHeight="1" x14ac:dyDescent="0.25">
      <c r="B6" s="5693" t="s">
        <v>28</v>
      </c>
      <c r="C6" s="5693"/>
      <c r="D6" s="5693"/>
      <c r="E6" s="5693"/>
      <c r="F6" s="5693"/>
      <c r="G6" s="5693"/>
      <c r="H6" s="5693"/>
      <c r="I6" s="5693"/>
      <c r="J6" s="5693"/>
      <c r="K6" s="5693"/>
      <c r="L6" s="5693"/>
    </row>
    <row r="7" spans="2:12" ht="15" x14ac:dyDescent="0.25">
      <c r="B7" s="5694" t="s">
        <v>157</v>
      </c>
      <c r="C7" s="5694"/>
      <c r="D7" s="5694"/>
      <c r="E7" s="5694"/>
      <c r="F7" s="5694"/>
      <c r="G7" s="5694"/>
      <c r="H7" s="5694"/>
      <c r="I7" s="5694"/>
      <c r="J7" s="5694"/>
      <c r="K7" s="5694"/>
      <c r="L7" s="5694"/>
    </row>
    <row r="8" spans="2:12" ht="15" x14ac:dyDescent="0.25">
      <c r="B8" s="5694" t="s">
        <v>143</v>
      </c>
      <c r="C8" s="5694"/>
      <c r="D8" s="5694"/>
      <c r="E8" s="108"/>
      <c r="F8" s="108"/>
      <c r="G8" s="108"/>
      <c r="H8" s="108"/>
      <c r="I8" s="108"/>
      <c r="J8" s="108"/>
      <c r="K8" s="108"/>
      <c r="L8" s="108"/>
    </row>
    <row r="9" spans="2:12" ht="15" x14ac:dyDescent="0.25">
      <c r="B9" s="188"/>
      <c r="C9" s="188"/>
      <c r="D9" s="189"/>
      <c r="E9" s="189"/>
      <c r="F9" s="189"/>
      <c r="G9" s="189"/>
      <c r="H9" s="189"/>
      <c r="I9" s="189"/>
      <c r="J9" s="189"/>
      <c r="K9" s="189"/>
      <c r="L9" s="213"/>
    </row>
    <row r="10" spans="2:12" ht="15.75" x14ac:dyDescent="0.25">
      <c r="B10" s="5839" t="s">
        <v>1</v>
      </c>
      <c r="C10" s="5702" t="s">
        <v>2</v>
      </c>
      <c r="D10" s="5862" t="s">
        <v>124</v>
      </c>
      <c r="E10" s="5863"/>
      <c r="F10" s="5862" t="s">
        <v>131</v>
      </c>
      <c r="G10" s="5869"/>
      <c r="H10" s="5863"/>
      <c r="I10" s="5862" t="s">
        <v>132</v>
      </c>
      <c r="J10" s="5869"/>
      <c r="K10" s="5863"/>
      <c r="L10" s="5846" t="s">
        <v>4</v>
      </c>
    </row>
    <row r="11" spans="2:12" ht="27.75" customHeight="1" x14ac:dyDescent="0.25">
      <c r="B11" s="5840"/>
      <c r="C11" s="5703"/>
      <c r="D11" s="5850" t="s">
        <v>158</v>
      </c>
      <c r="E11" s="5852"/>
      <c r="F11" s="5864" t="s">
        <v>99</v>
      </c>
      <c r="G11" s="5865"/>
      <c r="H11" s="5866"/>
      <c r="I11" s="5864" t="s">
        <v>99</v>
      </c>
      <c r="J11" s="5865"/>
      <c r="K11" s="5866"/>
      <c r="L11" s="5847"/>
    </row>
    <row r="12" spans="2:12" s="1" customFormat="1" ht="63" customHeight="1" x14ac:dyDescent="0.2">
      <c r="B12" s="5840"/>
      <c r="C12" s="5703"/>
      <c r="D12" s="5844" t="s">
        <v>5</v>
      </c>
      <c r="E12" s="5844" t="s">
        <v>159</v>
      </c>
      <c r="F12" s="5844" t="s">
        <v>5</v>
      </c>
      <c r="G12" s="5844" t="s">
        <v>160</v>
      </c>
      <c r="H12" s="5844" t="s">
        <v>7</v>
      </c>
      <c r="I12" s="5844" t="s">
        <v>5</v>
      </c>
      <c r="J12" s="5844" t="s">
        <v>161</v>
      </c>
      <c r="K12" s="5844" t="s">
        <v>7</v>
      </c>
      <c r="L12" s="5847"/>
    </row>
    <row r="13" spans="2:12" s="1" customFormat="1" ht="24" customHeight="1" x14ac:dyDescent="0.2">
      <c r="B13" s="5841"/>
      <c r="C13" s="5704"/>
      <c r="D13" s="5845"/>
      <c r="E13" s="5845"/>
      <c r="F13" s="5845"/>
      <c r="G13" s="5845"/>
      <c r="H13" s="5845"/>
      <c r="I13" s="5845"/>
      <c r="J13" s="5845"/>
      <c r="K13" s="5845"/>
      <c r="L13" s="5848"/>
    </row>
    <row r="14" spans="2:12" ht="20.100000000000001" customHeight="1" x14ac:dyDescent="0.25">
      <c r="B14" s="242" t="s">
        <v>8</v>
      </c>
      <c r="C14" s="243" t="s">
        <v>9</v>
      </c>
      <c r="D14" s="247" t="s">
        <v>10</v>
      </c>
      <c r="E14" s="247" t="s">
        <v>11</v>
      </c>
      <c r="F14" s="247" t="s">
        <v>12</v>
      </c>
      <c r="G14" s="247" t="s">
        <v>13</v>
      </c>
      <c r="H14" s="247" t="s">
        <v>35</v>
      </c>
      <c r="I14" s="247" t="s">
        <v>36</v>
      </c>
      <c r="J14" s="247" t="s">
        <v>37</v>
      </c>
      <c r="K14" s="247" t="s">
        <v>38</v>
      </c>
      <c r="L14" s="246" t="s">
        <v>39</v>
      </c>
    </row>
    <row r="15" spans="2:12" ht="4.5" customHeight="1" x14ac:dyDescent="0.25">
      <c r="B15" s="190"/>
      <c r="C15" s="191"/>
      <c r="D15" s="192"/>
      <c r="E15" s="192"/>
      <c r="F15" s="192"/>
      <c r="G15" s="192"/>
      <c r="H15" s="192"/>
      <c r="I15" s="192"/>
      <c r="J15" s="192"/>
      <c r="K15" s="192"/>
      <c r="L15" s="214"/>
    </row>
    <row r="16" spans="2:12" ht="17.100000000000001" customHeight="1" x14ac:dyDescent="0.25">
      <c r="B16" s="193" t="s">
        <v>14</v>
      </c>
      <c r="C16" s="194" t="s">
        <v>145</v>
      </c>
      <c r="D16" s="195"/>
      <c r="E16" s="195"/>
      <c r="F16" s="195"/>
      <c r="G16" s="195"/>
      <c r="H16" s="195"/>
      <c r="I16" s="195"/>
      <c r="J16" s="195"/>
      <c r="K16" s="195"/>
      <c r="L16" s="215"/>
    </row>
    <row r="17" spans="1:13" ht="17.100000000000001" customHeight="1" x14ac:dyDescent="0.25">
      <c r="B17" s="193" t="s">
        <v>16</v>
      </c>
      <c r="C17" s="196" t="s">
        <v>17</v>
      </c>
      <c r="D17" s="195"/>
      <c r="E17" s="195"/>
      <c r="F17" s="195"/>
      <c r="G17" s="195"/>
      <c r="H17" s="195"/>
      <c r="I17" s="195"/>
      <c r="J17" s="195"/>
      <c r="K17" s="195"/>
      <c r="L17" s="215"/>
    </row>
    <row r="18" spans="1:13" ht="17.100000000000001" customHeight="1" x14ac:dyDescent="0.25">
      <c r="B18" s="193"/>
      <c r="C18" s="196" t="s">
        <v>146</v>
      </c>
      <c r="D18" s="195"/>
      <c r="E18" s="195"/>
      <c r="F18" s="195"/>
      <c r="G18" s="195"/>
      <c r="H18" s="195"/>
      <c r="I18" s="195"/>
      <c r="J18" s="195"/>
      <c r="K18" s="195"/>
      <c r="L18" s="215"/>
    </row>
    <row r="19" spans="1:13" ht="17.100000000000001" customHeight="1" x14ac:dyDescent="0.25">
      <c r="B19" s="193"/>
      <c r="C19" s="196" t="s">
        <v>147</v>
      </c>
      <c r="D19" s="195"/>
      <c r="E19" s="195"/>
      <c r="F19" s="195"/>
      <c r="G19" s="195"/>
      <c r="H19" s="195"/>
      <c r="I19" s="195"/>
      <c r="J19" s="195"/>
      <c r="K19" s="195"/>
      <c r="L19" s="215"/>
    </row>
    <row r="20" spans="1:13" ht="17.100000000000001" customHeight="1" x14ac:dyDescent="0.25">
      <c r="B20" s="193"/>
      <c r="C20" s="196" t="s">
        <v>148</v>
      </c>
      <c r="D20" s="195"/>
      <c r="E20" s="195"/>
      <c r="F20" s="195"/>
      <c r="G20" s="195"/>
      <c r="H20" s="195"/>
      <c r="I20" s="195"/>
      <c r="J20" s="195"/>
      <c r="K20" s="195"/>
      <c r="L20" s="215"/>
    </row>
    <row r="21" spans="1:13" ht="17.100000000000001" customHeight="1" x14ac:dyDescent="0.25">
      <c r="B21" s="193"/>
      <c r="C21" s="196" t="s">
        <v>149</v>
      </c>
      <c r="D21" s="87"/>
      <c r="E21" s="87"/>
      <c r="F21" s="87"/>
      <c r="G21" s="87"/>
      <c r="H21" s="87"/>
      <c r="I21" s="87"/>
      <c r="J21" s="87"/>
      <c r="K21" s="87"/>
      <c r="L21" s="216"/>
    </row>
    <row r="22" spans="1:13" ht="17.100000000000001" customHeight="1" x14ac:dyDescent="0.25">
      <c r="B22" s="197"/>
      <c r="C22" s="38"/>
      <c r="D22" s="93"/>
      <c r="E22" s="93"/>
      <c r="F22" s="93"/>
      <c r="G22" s="93"/>
      <c r="H22" s="93"/>
      <c r="I22" s="93"/>
      <c r="J22" s="93"/>
      <c r="K22" s="93"/>
      <c r="L22" s="217"/>
    </row>
    <row r="23" spans="1:13" ht="17.100000000000001" customHeight="1" x14ac:dyDescent="0.25">
      <c r="B23" s="198"/>
      <c r="C23" s="199" t="s">
        <v>18</v>
      </c>
      <c r="D23" s="200"/>
      <c r="E23" s="200"/>
      <c r="F23" s="200"/>
      <c r="G23" s="200"/>
      <c r="H23" s="200"/>
      <c r="I23" s="200"/>
      <c r="J23" s="200"/>
      <c r="K23" s="200"/>
      <c r="L23" s="218"/>
    </row>
    <row r="24" spans="1:13" ht="12.75" customHeight="1" x14ac:dyDescent="0.25">
      <c r="B24" s="201"/>
      <c r="C24" s="202"/>
      <c r="D24" s="203"/>
      <c r="E24" s="203"/>
      <c r="F24" s="203"/>
      <c r="G24" s="203"/>
      <c r="H24" s="203"/>
      <c r="I24" s="203"/>
      <c r="J24" s="203"/>
      <c r="K24" s="203"/>
      <c r="L24" s="203"/>
    </row>
    <row r="25" spans="1:13" ht="15.75" x14ac:dyDescent="0.25">
      <c r="B25" s="204" t="s">
        <v>19</v>
      </c>
      <c r="C25" s="1"/>
      <c r="D25" s="205"/>
      <c r="E25" s="205"/>
      <c r="F25" s="205"/>
      <c r="G25" s="205"/>
      <c r="H25" s="205"/>
      <c r="I25" s="205"/>
      <c r="J25" s="205"/>
      <c r="K25" s="205"/>
      <c r="L25" s="1"/>
    </row>
    <row r="26" spans="1:13" ht="15.75" x14ac:dyDescent="0.25">
      <c r="B26" s="5867" t="s">
        <v>44</v>
      </c>
      <c r="C26" s="5868"/>
      <c r="D26" s="205"/>
      <c r="E26" s="205"/>
      <c r="F26" s="205"/>
      <c r="G26" s="205"/>
      <c r="H26" s="205"/>
      <c r="I26" s="205"/>
      <c r="J26" s="205"/>
      <c r="K26" s="205"/>
      <c r="L26" s="1"/>
    </row>
    <row r="27" spans="1:13" ht="15" x14ac:dyDescent="0.25">
      <c r="B27" s="5860" t="s">
        <v>162</v>
      </c>
      <c r="C27" s="5861"/>
      <c r="D27" s="5861"/>
      <c r="E27" s="5861"/>
      <c r="F27" s="5861"/>
      <c r="G27" s="5861"/>
      <c r="H27" s="5861"/>
      <c r="I27" s="5861"/>
      <c r="J27" s="5861"/>
      <c r="K27" s="5861"/>
      <c r="L27" s="5861"/>
    </row>
    <row r="28" spans="1:13" ht="15" x14ac:dyDescent="0.25">
      <c r="A28" s="206"/>
      <c r="B28" s="5861" t="s">
        <v>20</v>
      </c>
      <c r="C28" s="5861"/>
      <c r="D28" s="5861"/>
      <c r="E28" s="5861"/>
      <c r="F28" s="5861"/>
      <c r="G28" s="5861"/>
      <c r="H28" s="5861"/>
      <c r="I28" s="5861"/>
      <c r="J28" s="5861"/>
      <c r="K28" s="5861"/>
      <c r="L28" s="5861"/>
    </row>
    <row r="29" spans="1:13" ht="15" x14ac:dyDescent="0.25">
      <c r="B29" s="5861" t="s">
        <v>163</v>
      </c>
      <c r="C29" s="5861"/>
      <c r="D29" s="5861"/>
      <c r="E29" s="5861"/>
      <c r="F29" s="5861"/>
      <c r="G29" s="5861"/>
      <c r="H29" s="5861"/>
      <c r="I29" s="5861"/>
      <c r="J29" s="5861"/>
      <c r="K29" s="5861"/>
      <c r="L29" s="5861"/>
    </row>
    <row r="30" spans="1:13" ht="15" x14ac:dyDescent="0.25">
      <c r="B30" s="49" t="s">
        <v>117</v>
      </c>
      <c r="C30" s="48"/>
      <c r="D30" s="48"/>
      <c r="E30" s="48"/>
      <c r="F30" s="48"/>
      <c r="G30" s="48"/>
      <c r="H30" s="48"/>
      <c r="I30" s="48"/>
      <c r="J30" s="48"/>
      <c r="K30" s="48"/>
      <c r="L30" s="48"/>
    </row>
    <row r="31" spans="1:13" ht="15" x14ac:dyDescent="0.25">
      <c r="B31" s="49" t="s">
        <v>46</v>
      </c>
      <c r="C31" s="49"/>
      <c r="D31" s="49"/>
      <c r="E31" s="49"/>
      <c r="F31" s="49"/>
      <c r="G31" s="49"/>
      <c r="H31" s="49"/>
      <c r="I31" s="49"/>
      <c r="J31" s="49"/>
      <c r="K31" s="49"/>
      <c r="L31" s="49"/>
      <c r="M31" s="219"/>
    </row>
    <row r="32" spans="1:13" ht="15" x14ac:dyDescent="0.25">
      <c r="B32" s="49" t="s">
        <v>47</v>
      </c>
      <c r="C32" s="99"/>
      <c r="D32" s="99"/>
      <c r="E32" s="99"/>
      <c r="F32" s="99"/>
      <c r="G32" s="99"/>
      <c r="H32" s="99"/>
      <c r="I32" s="99"/>
      <c r="J32" s="99"/>
      <c r="K32" s="99"/>
      <c r="L32" s="99"/>
      <c r="M32" s="219"/>
    </row>
    <row r="33" spans="2:12" ht="15.75" x14ac:dyDescent="0.25">
      <c r="B33" s="49" t="s">
        <v>164</v>
      </c>
      <c r="C33" s="99"/>
      <c r="D33" s="99"/>
      <c r="E33" s="99"/>
      <c r="F33" s="99"/>
      <c r="G33" s="99"/>
      <c r="H33" s="99"/>
      <c r="I33" s="99"/>
      <c r="J33" s="99"/>
      <c r="K33" s="220"/>
      <c r="L33" s="221"/>
    </row>
    <row r="34" spans="2:12" ht="15.75" x14ac:dyDescent="0.25">
      <c r="B34" s="49" t="s">
        <v>165</v>
      </c>
      <c r="C34" s="99"/>
      <c r="D34" s="99"/>
      <c r="E34" s="99"/>
      <c r="F34" s="99"/>
      <c r="G34" s="99"/>
      <c r="H34" s="99"/>
      <c r="I34" s="99"/>
      <c r="J34" s="99"/>
      <c r="K34" s="220"/>
      <c r="L34" s="221"/>
    </row>
    <row r="35" spans="2:12" ht="15.75" x14ac:dyDescent="0.25">
      <c r="B35" s="49" t="s">
        <v>48</v>
      </c>
      <c r="C35" s="99"/>
      <c r="D35" s="1"/>
      <c r="E35" s="1"/>
      <c r="F35" s="1"/>
      <c r="G35" s="1"/>
      <c r="H35" s="1"/>
      <c r="I35" s="1"/>
      <c r="J35" s="1"/>
      <c r="K35" s="220"/>
      <c r="L35" s="221"/>
    </row>
    <row r="36" spans="2:12" ht="15.75" x14ac:dyDescent="0.25">
      <c r="B36" s="49" t="s">
        <v>166</v>
      </c>
      <c r="C36" s="49"/>
      <c r="D36" s="49"/>
      <c r="E36" s="49"/>
      <c r="F36" s="49"/>
      <c r="G36" s="49"/>
      <c r="H36" s="49"/>
      <c r="I36" s="49"/>
      <c r="J36" s="49"/>
      <c r="K36" s="220"/>
      <c r="L36" s="221"/>
    </row>
    <row r="37" spans="2:12" ht="15.75" x14ac:dyDescent="0.25">
      <c r="B37" s="49" t="s">
        <v>167</v>
      </c>
      <c r="C37" s="99"/>
      <c r="D37" s="1"/>
      <c r="E37" s="1"/>
      <c r="F37" s="1"/>
      <c r="G37" s="1"/>
      <c r="H37" s="1"/>
      <c r="I37" s="1"/>
      <c r="J37" s="1"/>
      <c r="K37" s="220"/>
      <c r="L37" s="221"/>
    </row>
    <row r="38" spans="2:12" ht="15.75" x14ac:dyDescent="0.25">
      <c r="B38" s="49" t="s">
        <v>49</v>
      </c>
      <c r="C38" s="99"/>
      <c r="D38" s="205"/>
      <c r="E38" s="205"/>
      <c r="F38" s="205"/>
      <c r="G38" s="205"/>
      <c r="H38" s="205"/>
      <c r="I38" s="205"/>
      <c r="J38" s="205"/>
      <c r="K38" s="220"/>
      <c r="L38" s="221"/>
    </row>
    <row r="39" spans="2:12" ht="20.100000000000001" customHeight="1" x14ac:dyDescent="0.25">
      <c r="B39" s="207"/>
      <c r="C39" s="208"/>
      <c r="L39" s="210"/>
    </row>
    <row r="40" spans="2:12" ht="20.100000000000001" customHeight="1" x14ac:dyDescent="0.25">
      <c r="B40" s="209"/>
      <c r="C40" s="210"/>
      <c r="D40" s="210"/>
      <c r="E40" s="210"/>
      <c r="F40" s="210"/>
      <c r="G40" s="210"/>
      <c r="H40" s="210"/>
      <c r="I40" s="210"/>
      <c r="J40" s="210"/>
      <c r="K40" s="210"/>
      <c r="L40" s="210"/>
    </row>
    <row r="41" spans="2:12" ht="20.100000000000001" customHeight="1" x14ac:dyDescent="0.25">
      <c r="B41" s="209"/>
      <c r="C41" s="210"/>
      <c r="D41" s="210"/>
      <c r="E41" s="210"/>
      <c r="F41" s="210"/>
      <c r="G41" s="210"/>
      <c r="H41" s="210"/>
      <c r="I41" s="210"/>
      <c r="J41" s="210"/>
      <c r="K41" s="210"/>
      <c r="L41" s="210"/>
    </row>
    <row r="42" spans="2:12" ht="20.100000000000001" customHeight="1" x14ac:dyDescent="0.25">
      <c r="B42" s="209"/>
      <c r="C42" s="210"/>
      <c r="D42" s="210"/>
      <c r="E42" s="210"/>
      <c r="F42" s="210"/>
      <c r="G42" s="210"/>
      <c r="H42" s="210"/>
      <c r="I42" s="210"/>
      <c r="J42" s="210"/>
      <c r="K42" s="210"/>
      <c r="L42" s="210"/>
    </row>
    <row r="43" spans="2:12" ht="20.100000000000001" customHeight="1" x14ac:dyDescent="0.25">
      <c r="B43" s="209"/>
      <c r="C43" s="210"/>
      <c r="D43" s="210"/>
      <c r="E43" s="210"/>
      <c r="F43" s="210"/>
      <c r="G43" s="210"/>
      <c r="H43" s="210"/>
      <c r="I43" s="210"/>
      <c r="J43" s="210"/>
      <c r="K43" s="210"/>
      <c r="L43" s="210"/>
    </row>
    <row r="44" spans="2:12" ht="20.100000000000001" customHeight="1" x14ac:dyDescent="0.25">
      <c r="B44" s="209"/>
      <c r="C44" s="210"/>
      <c r="D44" s="210"/>
      <c r="E44" s="210"/>
      <c r="F44" s="210"/>
      <c r="G44" s="210"/>
      <c r="H44" s="210"/>
      <c r="I44" s="210"/>
      <c r="J44" s="210"/>
      <c r="K44" s="210"/>
      <c r="L44" s="210"/>
    </row>
    <row r="45" spans="2:12" ht="20.100000000000001" customHeight="1" x14ac:dyDescent="0.25">
      <c r="B45" s="209"/>
      <c r="C45" s="210"/>
      <c r="D45" s="210"/>
      <c r="E45" s="210"/>
      <c r="F45" s="210"/>
      <c r="G45" s="210"/>
      <c r="H45" s="210"/>
      <c r="I45" s="210"/>
      <c r="J45" s="210"/>
      <c r="K45" s="210"/>
    </row>
    <row r="46" spans="2:12" ht="20.100000000000001" customHeight="1" x14ac:dyDescent="0.25">
      <c r="L46" s="211"/>
    </row>
    <row r="47" spans="2:12" ht="20.100000000000001" customHeight="1" x14ac:dyDescent="0.25">
      <c r="C47" s="211"/>
      <c r="D47" s="211"/>
      <c r="E47" s="211"/>
      <c r="F47" s="211"/>
      <c r="G47" s="211"/>
      <c r="H47" s="211"/>
      <c r="I47" s="211"/>
      <c r="J47" s="211"/>
      <c r="K47" s="211"/>
    </row>
  </sheetData>
  <mergeCells count="27">
    <mergeCell ref="B8:D8"/>
    <mergeCell ref="B2:L2"/>
    <mergeCell ref="B4:L4"/>
    <mergeCell ref="B5:L5"/>
    <mergeCell ref="B6:L6"/>
    <mergeCell ref="B7:L7"/>
    <mergeCell ref="B27:L27"/>
    <mergeCell ref="B28:L28"/>
    <mergeCell ref="B29:L29"/>
    <mergeCell ref="B10:B13"/>
    <mergeCell ref="C10:C13"/>
    <mergeCell ref="D12:D13"/>
    <mergeCell ref="E12:E13"/>
    <mergeCell ref="F12:F13"/>
    <mergeCell ref="G12:G13"/>
    <mergeCell ref="D10:E10"/>
    <mergeCell ref="I11:K11"/>
    <mergeCell ref="B26:C26"/>
    <mergeCell ref="F10:H10"/>
    <mergeCell ref="I10:K10"/>
    <mergeCell ref="D11:E11"/>
    <mergeCell ref="F11:H11"/>
    <mergeCell ref="H12:H13"/>
    <mergeCell ref="I12:I13"/>
    <mergeCell ref="J12:J13"/>
    <mergeCell ref="K12:K13"/>
    <mergeCell ref="L10:L13"/>
  </mergeCells>
  <pageMargins left="0.52" right="0.35" top="0.28000000000000003" bottom="0.76" header="0.21" footer="0.31"/>
  <pageSetup paperSize="9" scale="61" fitToHeight="0" orientation="landscape"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FFFF00"/>
    <pageSetUpPr fitToPage="1"/>
  </sheetPr>
  <dimension ref="A1:O68"/>
  <sheetViews>
    <sheetView view="pageBreakPreview" topLeftCell="A28" zoomScaleNormal="100" workbookViewId="0">
      <selection activeCell="C67" sqref="C67"/>
    </sheetView>
  </sheetViews>
  <sheetFormatPr defaultColWidth="8.85546875" defaultRowHeight="20.100000000000001" customHeight="1" x14ac:dyDescent="0.25"/>
  <cols>
    <col min="1" max="1" width="3.28515625" customWidth="1"/>
    <col min="2" max="2" width="14" hidden="1" customWidth="1"/>
    <col min="3" max="3" width="10.42578125" style="103" customWidth="1"/>
    <col min="4" max="4" width="4.85546875" style="103" hidden="1" customWidth="1"/>
    <col min="5" max="5" width="9.28515625" hidden="1" customWidth="1"/>
    <col min="6" max="6" width="8.7109375" hidden="1" customWidth="1"/>
    <col min="7" max="7" width="4.7109375" hidden="1" customWidth="1"/>
    <col min="8" max="8" width="5.28515625" hidden="1" customWidth="1"/>
    <col min="9" max="9" width="34.28515625" customWidth="1"/>
    <col min="10" max="12" width="17.7109375" customWidth="1"/>
    <col min="13" max="13" width="17.7109375" style="104" customWidth="1"/>
    <col min="14" max="14" width="18.85546875" customWidth="1"/>
    <col min="15" max="15" width="13" hidden="1" customWidth="1"/>
  </cols>
  <sheetData>
    <row r="1" spans="3:14" ht="20.100000000000001" customHeight="1" x14ac:dyDescent="0.35">
      <c r="C1" s="5783"/>
      <c r="D1" s="5783"/>
      <c r="E1" s="5783"/>
      <c r="F1" s="5783"/>
      <c r="G1" s="5783"/>
      <c r="H1" s="5783"/>
      <c r="I1" s="5783"/>
      <c r="J1" s="5783"/>
      <c r="K1" s="5783"/>
      <c r="L1" s="5783"/>
      <c r="M1" s="5783"/>
      <c r="N1" s="5783"/>
    </row>
    <row r="2" spans="3:14" ht="21" x14ac:dyDescent="0.25">
      <c r="C2" s="106"/>
      <c r="D2" s="106"/>
      <c r="E2" s="106"/>
      <c r="F2" s="106"/>
      <c r="G2" s="106"/>
      <c r="H2" s="106"/>
      <c r="I2" s="106"/>
      <c r="J2" s="106"/>
      <c r="K2" s="5857"/>
      <c r="L2" s="5857"/>
      <c r="M2" s="5857"/>
      <c r="N2" s="5857"/>
    </row>
    <row r="3" spans="3:14" ht="21" x14ac:dyDescent="0.25">
      <c r="C3" s="106"/>
      <c r="D3" s="106"/>
      <c r="E3" s="106"/>
      <c r="F3" s="106"/>
      <c r="G3" s="106"/>
      <c r="H3" s="106"/>
      <c r="I3" s="106"/>
      <c r="J3" s="106"/>
      <c r="K3" s="7"/>
      <c r="L3" s="7"/>
      <c r="M3" s="7"/>
      <c r="N3" s="7" t="s">
        <v>168</v>
      </c>
    </row>
    <row r="4" spans="3:14" ht="21" x14ac:dyDescent="0.25">
      <c r="C4" s="106" t="s">
        <v>0</v>
      </c>
      <c r="D4" s="106"/>
      <c r="E4" s="106"/>
      <c r="F4" s="106"/>
      <c r="G4" s="106"/>
      <c r="H4" s="106"/>
      <c r="I4" s="106"/>
      <c r="J4" s="106"/>
      <c r="K4" s="7"/>
      <c r="L4" s="7"/>
      <c r="M4" s="7"/>
      <c r="N4" s="7" t="s">
        <v>169</v>
      </c>
    </row>
    <row r="5" spans="3:14" ht="14.1" customHeight="1" x14ac:dyDescent="0.25">
      <c r="C5" s="5883"/>
      <c r="D5" s="5883"/>
      <c r="E5" s="5883"/>
      <c r="F5" s="5883"/>
      <c r="G5" s="5883"/>
      <c r="H5" s="5883"/>
      <c r="I5" s="5883"/>
      <c r="J5" s="5883"/>
      <c r="K5" s="5883"/>
      <c r="L5" s="5883"/>
      <c r="M5" s="5883"/>
      <c r="N5" s="5883"/>
    </row>
    <row r="6" spans="3:14" ht="33.75" customHeight="1" x14ac:dyDescent="0.25">
      <c r="C6" s="5884" t="s">
        <v>170</v>
      </c>
      <c r="D6" s="5884"/>
      <c r="E6" s="5884"/>
      <c r="F6" s="5884"/>
      <c r="G6" s="5884"/>
      <c r="H6" s="5884"/>
      <c r="I6" s="5884"/>
      <c r="J6" s="5884"/>
      <c r="K6" s="5884"/>
      <c r="L6" s="5884"/>
      <c r="M6" s="5884"/>
      <c r="N6" s="5884"/>
    </row>
    <row r="7" spans="3:14" ht="14.1" customHeight="1" x14ac:dyDescent="0.25">
      <c r="C7" s="5885"/>
      <c r="D7" s="5885"/>
      <c r="E7" s="5885"/>
      <c r="F7" s="5885"/>
      <c r="G7" s="5885"/>
      <c r="H7" s="5885"/>
      <c r="I7" s="5885"/>
      <c r="J7" s="5885"/>
      <c r="K7" s="5885"/>
      <c r="L7" s="5885"/>
      <c r="M7" s="5885"/>
      <c r="N7" s="5885"/>
    </row>
    <row r="8" spans="3:14" ht="14.1" customHeight="1" x14ac:dyDescent="0.25">
      <c r="C8" s="5785" t="s">
        <v>171</v>
      </c>
      <c r="D8" s="5785"/>
      <c r="E8" s="5785"/>
      <c r="F8" s="5785"/>
      <c r="G8" s="5785"/>
      <c r="H8" s="5785"/>
      <c r="I8" s="5785"/>
      <c r="J8" s="5785"/>
      <c r="K8" s="5785"/>
      <c r="L8" s="5785"/>
      <c r="M8" s="5785"/>
      <c r="N8" s="5785"/>
    </row>
    <row r="9" spans="3:14" ht="14.1" customHeight="1" x14ac:dyDescent="0.25">
      <c r="C9" s="5694" t="s">
        <v>172</v>
      </c>
      <c r="D9" s="5694"/>
      <c r="E9" s="5694"/>
      <c r="F9" s="5694"/>
      <c r="G9" s="5694"/>
      <c r="H9" s="5694"/>
      <c r="I9" s="5694"/>
      <c r="J9" s="5694"/>
      <c r="K9" s="5694"/>
      <c r="L9" s="5694"/>
      <c r="M9" s="5694"/>
      <c r="N9" s="107"/>
    </row>
    <row r="10" spans="3:14" ht="14.1" customHeight="1" x14ac:dyDescent="0.25">
      <c r="C10" s="108"/>
      <c r="D10" s="108"/>
      <c r="E10" s="108"/>
      <c r="F10" s="108"/>
      <c r="G10" s="108"/>
      <c r="H10" s="108"/>
      <c r="I10" s="108"/>
      <c r="J10" s="108"/>
      <c r="K10" s="108"/>
      <c r="L10" s="108"/>
      <c r="M10" s="108"/>
      <c r="N10" s="107"/>
    </row>
    <row r="11" spans="3:14" ht="14.1" customHeight="1" x14ac:dyDescent="0.25">
      <c r="C11" s="109"/>
      <c r="D11" s="109"/>
      <c r="E11" s="109"/>
      <c r="F11" s="109"/>
      <c r="G11" s="109"/>
      <c r="H11" s="109"/>
      <c r="I11" s="109"/>
      <c r="J11" s="170"/>
      <c r="K11" s="170"/>
      <c r="L11" s="170"/>
      <c r="N11" s="160"/>
    </row>
    <row r="12" spans="3:14" ht="20.25" customHeight="1" x14ac:dyDescent="0.25">
      <c r="C12" s="5794" t="s">
        <v>1</v>
      </c>
      <c r="D12" s="5873" t="s">
        <v>50</v>
      </c>
      <c r="E12" s="5873"/>
      <c r="F12" s="5873"/>
      <c r="G12" s="5873"/>
      <c r="H12" s="5873"/>
      <c r="I12" s="5794" t="s">
        <v>2</v>
      </c>
      <c r="J12" s="5876" t="s">
        <v>124</v>
      </c>
      <c r="K12" s="5877"/>
      <c r="L12" s="5877"/>
      <c r="M12" s="5877"/>
      <c r="N12" s="5794" t="s">
        <v>4</v>
      </c>
    </row>
    <row r="13" spans="3:14" ht="40.5" customHeight="1" x14ac:dyDescent="0.25">
      <c r="C13" s="5795"/>
      <c r="D13" s="5874"/>
      <c r="E13" s="5874"/>
      <c r="F13" s="5874"/>
      <c r="G13" s="5874"/>
      <c r="H13" s="5874"/>
      <c r="I13" s="5795"/>
      <c r="J13" s="5878" t="s">
        <v>51</v>
      </c>
      <c r="K13" s="5878"/>
      <c r="L13" s="5878"/>
      <c r="M13" s="5878"/>
      <c r="N13" s="5795"/>
    </row>
    <row r="14" spans="3:14" s="1" customFormat="1" ht="67.5" customHeight="1" x14ac:dyDescent="0.2">
      <c r="C14" s="5872"/>
      <c r="D14" s="5875"/>
      <c r="E14" s="5875"/>
      <c r="F14" s="5875"/>
      <c r="G14" s="5875"/>
      <c r="H14" s="5875"/>
      <c r="I14" s="5872"/>
      <c r="J14" s="12" t="s">
        <v>52</v>
      </c>
      <c r="K14" s="12" t="s">
        <v>53</v>
      </c>
      <c r="L14" s="12" t="s">
        <v>54</v>
      </c>
      <c r="M14" s="12" t="s">
        <v>173</v>
      </c>
      <c r="N14" s="5872"/>
    </row>
    <row r="15" spans="3:14" ht="20.100000000000001" customHeight="1" x14ac:dyDescent="0.25">
      <c r="C15" s="248" t="s">
        <v>8</v>
      </c>
      <c r="D15" s="5879" t="s">
        <v>9</v>
      </c>
      <c r="E15" s="5880"/>
      <c r="F15" s="5880"/>
      <c r="G15" s="5880"/>
      <c r="H15" s="5880"/>
      <c r="I15" s="248" t="s">
        <v>9</v>
      </c>
      <c r="J15" s="249" t="s">
        <v>10</v>
      </c>
      <c r="K15" s="249" t="s">
        <v>11</v>
      </c>
      <c r="L15" s="249" t="s">
        <v>12</v>
      </c>
      <c r="M15" s="248" t="s">
        <v>13</v>
      </c>
      <c r="N15" s="248" t="s">
        <v>35</v>
      </c>
    </row>
    <row r="16" spans="3:14" ht="4.5" customHeight="1" x14ac:dyDescent="0.25">
      <c r="C16" s="110"/>
      <c r="D16" s="110"/>
      <c r="E16" s="110"/>
      <c r="F16" s="110"/>
      <c r="G16" s="110"/>
      <c r="H16" s="110"/>
      <c r="I16" s="110"/>
      <c r="J16" s="110"/>
      <c r="K16" s="110"/>
      <c r="L16" s="110"/>
      <c r="M16" s="171"/>
      <c r="N16" s="110"/>
    </row>
    <row r="17" spans="3:14" ht="12" customHeight="1" x14ac:dyDescent="0.25">
      <c r="C17" s="111"/>
      <c r="D17" s="111"/>
      <c r="E17" s="112"/>
      <c r="F17" s="112"/>
      <c r="G17" s="112"/>
      <c r="H17" s="112"/>
      <c r="I17" s="172"/>
      <c r="J17" s="172"/>
      <c r="K17" s="172"/>
      <c r="L17" s="172"/>
      <c r="M17" s="131"/>
      <c r="N17" s="112"/>
    </row>
    <row r="18" spans="3:14" ht="12" customHeight="1" x14ac:dyDescent="0.25">
      <c r="C18" s="113"/>
      <c r="D18" s="113"/>
      <c r="E18" s="112"/>
      <c r="F18" s="112"/>
      <c r="G18" s="112"/>
      <c r="H18" s="112"/>
      <c r="I18" s="173" t="s">
        <v>136</v>
      </c>
      <c r="J18" s="172"/>
      <c r="K18" s="172"/>
      <c r="L18" s="172"/>
      <c r="M18" s="131"/>
      <c r="N18" s="112"/>
    </row>
    <row r="19" spans="3:14" ht="12" customHeight="1" x14ac:dyDescent="0.25">
      <c r="C19" s="113" t="s">
        <v>55</v>
      </c>
      <c r="D19" s="113" t="s">
        <v>56</v>
      </c>
      <c r="E19" s="114" t="s">
        <v>57</v>
      </c>
      <c r="F19" s="111"/>
      <c r="G19" s="111"/>
      <c r="H19" s="111"/>
      <c r="I19" s="174" t="s">
        <v>58</v>
      </c>
      <c r="J19" s="139"/>
      <c r="K19" s="139"/>
      <c r="L19" s="139"/>
      <c r="M19" s="175"/>
      <c r="N19" s="136"/>
    </row>
    <row r="20" spans="3:14" ht="12" customHeight="1" x14ac:dyDescent="0.25">
      <c r="C20" s="113" t="s">
        <v>59</v>
      </c>
      <c r="D20" s="113"/>
      <c r="E20" s="111" t="s">
        <v>57</v>
      </c>
      <c r="F20" s="250" t="s">
        <v>60</v>
      </c>
      <c r="G20" s="111"/>
      <c r="H20" s="111"/>
      <c r="I20" s="174" t="s">
        <v>61</v>
      </c>
      <c r="J20" s="139"/>
      <c r="K20" s="139"/>
      <c r="L20" s="139"/>
      <c r="M20" s="176"/>
      <c r="N20" s="112"/>
    </row>
    <row r="21" spans="3:14" ht="12" hidden="1" customHeight="1" x14ac:dyDescent="0.25">
      <c r="C21" s="113"/>
      <c r="D21" s="113"/>
      <c r="E21" s="111" t="s">
        <v>57</v>
      </c>
      <c r="F21" s="251" t="s">
        <v>60</v>
      </c>
      <c r="G21" s="250" t="s">
        <v>62</v>
      </c>
      <c r="H21" s="111"/>
      <c r="I21" s="174" t="s">
        <v>63</v>
      </c>
      <c r="J21" s="139"/>
      <c r="K21" s="139"/>
      <c r="L21" s="139"/>
      <c r="M21" s="176"/>
      <c r="N21" s="112"/>
    </row>
    <row r="22" spans="3:14" ht="12" hidden="1" customHeight="1" x14ac:dyDescent="0.25">
      <c r="C22" s="113"/>
      <c r="D22" s="113"/>
      <c r="E22" s="111" t="s">
        <v>57</v>
      </c>
      <c r="F22" s="251" t="s">
        <v>60</v>
      </c>
      <c r="G22" s="251" t="s">
        <v>62</v>
      </c>
      <c r="H22" s="250" t="s">
        <v>60</v>
      </c>
      <c r="I22" s="174" t="s">
        <v>64</v>
      </c>
      <c r="J22" s="139"/>
      <c r="K22" s="139"/>
      <c r="L22" s="139"/>
      <c r="M22" s="131"/>
      <c r="N22" s="112"/>
    </row>
    <row r="23" spans="3:14" ht="12" hidden="1" customHeight="1" x14ac:dyDescent="0.25">
      <c r="C23" s="113"/>
      <c r="D23" s="113"/>
      <c r="E23" s="111" t="s">
        <v>57</v>
      </c>
      <c r="F23" s="251" t="s">
        <v>60</v>
      </c>
      <c r="G23" s="251" t="s">
        <v>62</v>
      </c>
      <c r="H23" s="250" t="s">
        <v>65</v>
      </c>
      <c r="I23" s="174" t="s">
        <v>66</v>
      </c>
      <c r="J23" s="139"/>
      <c r="K23" s="139"/>
      <c r="L23" s="139"/>
      <c r="M23" s="131"/>
      <c r="N23" s="112"/>
    </row>
    <row r="24" spans="3:14" ht="12" hidden="1" customHeight="1" x14ac:dyDescent="0.25">
      <c r="C24" s="113"/>
      <c r="D24" s="113"/>
      <c r="E24" s="111"/>
      <c r="F24" s="111"/>
      <c r="G24" s="111"/>
      <c r="H24" s="111"/>
      <c r="I24" s="174"/>
      <c r="J24" s="139"/>
      <c r="K24" s="139"/>
      <c r="L24" s="139"/>
      <c r="M24" s="131"/>
      <c r="N24" s="112"/>
    </row>
    <row r="25" spans="3:14" ht="12" hidden="1" customHeight="1" x14ac:dyDescent="0.25">
      <c r="C25" s="113"/>
      <c r="D25" s="113"/>
      <c r="E25" s="111" t="s">
        <v>57</v>
      </c>
      <c r="F25" s="251" t="s">
        <v>60</v>
      </c>
      <c r="G25" s="250" t="s">
        <v>67</v>
      </c>
      <c r="H25" s="111"/>
      <c r="I25" s="174" t="s">
        <v>68</v>
      </c>
      <c r="J25" s="139"/>
      <c r="K25" s="139"/>
      <c r="L25" s="139"/>
      <c r="M25" s="176"/>
      <c r="N25" s="112"/>
    </row>
    <row r="26" spans="3:14" ht="12" hidden="1" customHeight="1" x14ac:dyDescent="0.25">
      <c r="C26" s="113"/>
      <c r="D26" s="113"/>
      <c r="E26" s="111" t="s">
        <v>57</v>
      </c>
      <c r="F26" s="251" t="s">
        <v>60</v>
      </c>
      <c r="G26" s="251" t="s">
        <v>67</v>
      </c>
      <c r="H26" s="250" t="s">
        <v>69</v>
      </c>
      <c r="I26" s="174" t="s">
        <v>70</v>
      </c>
      <c r="J26" s="139"/>
      <c r="K26" s="139"/>
      <c r="L26" s="139"/>
      <c r="M26" s="131"/>
      <c r="N26" s="112"/>
    </row>
    <row r="27" spans="3:14" ht="12" hidden="1" customHeight="1" x14ac:dyDescent="0.25">
      <c r="C27" s="113"/>
      <c r="D27" s="113"/>
      <c r="E27" s="111" t="s">
        <v>57</v>
      </c>
      <c r="F27" s="251" t="s">
        <v>60</v>
      </c>
      <c r="G27" s="251" t="s">
        <v>67</v>
      </c>
      <c r="H27" s="250" t="s">
        <v>71</v>
      </c>
      <c r="I27" s="174" t="s">
        <v>72</v>
      </c>
      <c r="J27" s="139"/>
      <c r="K27" s="139"/>
      <c r="L27" s="139"/>
      <c r="M27" s="131"/>
      <c r="N27" s="112"/>
    </row>
    <row r="28" spans="3:14" ht="12" customHeight="1" x14ac:dyDescent="0.25">
      <c r="C28" s="113"/>
      <c r="D28" s="113"/>
      <c r="E28" s="111"/>
      <c r="F28" s="111"/>
      <c r="G28" s="111"/>
      <c r="H28" s="114"/>
      <c r="I28" s="174" t="s">
        <v>73</v>
      </c>
      <c r="J28" s="139"/>
      <c r="K28" s="139"/>
      <c r="L28" s="139"/>
      <c r="M28" s="131"/>
      <c r="N28" s="112"/>
    </row>
    <row r="29" spans="3:14" ht="12" customHeight="1" x14ac:dyDescent="0.25">
      <c r="C29" s="113"/>
      <c r="D29" s="113"/>
      <c r="E29" s="111"/>
      <c r="F29" s="111"/>
      <c r="G29" s="111"/>
      <c r="H29" s="114"/>
      <c r="I29" s="174" t="s">
        <v>74</v>
      </c>
      <c r="J29" s="139"/>
      <c r="K29" s="139"/>
      <c r="L29" s="139"/>
      <c r="M29" s="131"/>
      <c r="N29" s="112"/>
    </row>
    <row r="30" spans="3:14" ht="12" customHeight="1" x14ac:dyDescent="0.25">
      <c r="C30" s="113"/>
      <c r="D30" s="113"/>
      <c r="E30" s="111"/>
      <c r="F30" s="111"/>
      <c r="G30" s="111"/>
      <c r="H30" s="114"/>
      <c r="I30" s="174" t="s">
        <v>75</v>
      </c>
      <c r="J30" s="139"/>
      <c r="K30" s="139"/>
      <c r="L30" s="139"/>
      <c r="M30" s="131"/>
      <c r="N30" s="112"/>
    </row>
    <row r="31" spans="3:14" ht="12" customHeight="1" x14ac:dyDescent="0.25">
      <c r="C31" s="113"/>
      <c r="D31" s="113"/>
      <c r="E31" s="111"/>
      <c r="F31" s="111"/>
      <c r="G31" s="111"/>
      <c r="H31" s="114"/>
      <c r="I31" s="174" t="s">
        <v>76</v>
      </c>
      <c r="J31" s="139"/>
      <c r="K31" s="139"/>
      <c r="L31" s="139"/>
      <c r="M31" s="131"/>
      <c r="N31" s="112"/>
    </row>
    <row r="32" spans="3:14" ht="12" customHeight="1" x14ac:dyDescent="0.25">
      <c r="C32" s="113"/>
      <c r="D32" s="113"/>
      <c r="E32" s="111"/>
      <c r="F32" s="111"/>
      <c r="G32" s="111"/>
      <c r="H32" s="114"/>
      <c r="I32" s="174" t="s">
        <v>77</v>
      </c>
      <c r="J32" s="139"/>
      <c r="K32" s="139"/>
      <c r="L32" s="139"/>
      <c r="M32" s="131"/>
      <c r="N32" s="112"/>
    </row>
    <row r="33" spans="3:14" ht="12" customHeight="1" x14ac:dyDescent="0.25">
      <c r="C33" s="113"/>
      <c r="D33" s="113"/>
      <c r="E33" s="111"/>
      <c r="F33" s="111"/>
      <c r="G33" s="111"/>
      <c r="H33" s="114"/>
      <c r="I33" s="174" t="s">
        <v>78</v>
      </c>
      <c r="J33" s="139"/>
      <c r="K33" s="139"/>
      <c r="L33" s="139"/>
      <c r="M33" s="131"/>
      <c r="N33" s="112"/>
    </row>
    <row r="34" spans="3:14" ht="12" customHeight="1" x14ac:dyDescent="0.25">
      <c r="C34" s="113" t="s">
        <v>79</v>
      </c>
      <c r="D34" s="113"/>
      <c r="E34" s="112"/>
      <c r="F34" s="112"/>
      <c r="G34" s="112"/>
      <c r="H34" s="112"/>
      <c r="I34" s="174" t="s">
        <v>80</v>
      </c>
      <c r="J34" s="139"/>
      <c r="K34" s="139"/>
      <c r="L34" s="139"/>
      <c r="M34" s="131"/>
      <c r="N34" s="112"/>
    </row>
    <row r="35" spans="3:14" ht="12" customHeight="1" x14ac:dyDescent="0.25">
      <c r="C35" s="113" t="s">
        <v>81</v>
      </c>
      <c r="D35" s="113"/>
      <c r="E35" s="112"/>
      <c r="F35" s="112"/>
      <c r="G35" s="112"/>
      <c r="H35" s="112"/>
      <c r="I35" s="174" t="s">
        <v>82</v>
      </c>
      <c r="J35" s="139"/>
      <c r="K35" s="139"/>
      <c r="L35" s="139"/>
      <c r="M35" s="131"/>
      <c r="N35" s="112"/>
    </row>
    <row r="36" spans="3:14" ht="12" customHeight="1" x14ac:dyDescent="0.25">
      <c r="C36" s="113"/>
      <c r="D36" s="113"/>
      <c r="E36" s="112"/>
      <c r="F36" s="112"/>
      <c r="G36" s="112"/>
      <c r="H36" s="112"/>
      <c r="I36" s="174"/>
      <c r="J36" s="139"/>
      <c r="K36" s="139"/>
      <c r="L36" s="139"/>
      <c r="M36" s="131"/>
      <c r="N36" s="112"/>
    </row>
    <row r="37" spans="3:14" ht="12" customHeight="1" x14ac:dyDescent="0.25">
      <c r="C37" s="113" t="s">
        <v>83</v>
      </c>
      <c r="D37" s="113" t="s">
        <v>84</v>
      </c>
      <c r="E37" s="112">
        <v>1.02</v>
      </c>
      <c r="F37" s="112"/>
      <c r="G37" s="112"/>
      <c r="H37" s="112"/>
      <c r="I37" s="174" t="s">
        <v>85</v>
      </c>
      <c r="J37" s="139"/>
      <c r="K37" s="139"/>
      <c r="L37" s="139"/>
      <c r="M37" s="131"/>
      <c r="N37" s="112"/>
    </row>
    <row r="38" spans="3:14" ht="12" customHeight="1" x14ac:dyDescent="0.25">
      <c r="C38" s="113" t="s">
        <v>59</v>
      </c>
      <c r="D38" s="113"/>
      <c r="E38" s="112">
        <v>1.02</v>
      </c>
      <c r="F38" s="250" t="s">
        <v>60</v>
      </c>
      <c r="G38" s="112"/>
      <c r="H38" s="112"/>
      <c r="I38" s="174" t="s">
        <v>86</v>
      </c>
      <c r="J38" s="139"/>
      <c r="K38" s="139"/>
      <c r="L38" s="139"/>
      <c r="M38" s="131"/>
      <c r="N38" s="112"/>
    </row>
    <row r="39" spans="3:14" ht="12" customHeight="1" x14ac:dyDescent="0.25">
      <c r="C39" s="113"/>
      <c r="D39" s="113"/>
      <c r="E39" s="112"/>
      <c r="F39" s="114"/>
      <c r="G39" s="112"/>
      <c r="H39" s="112"/>
      <c r="I39" s="174" t="s">
        <v>73</v>
      </c>
      <c r="J39" s="139"/>
      <c r="K39" s="139"/>
      <c r="L39" s="139"/>
      <c r="M39" s="131"/>
      <c r="N39" s="112"/>
    </row>
    <row r="40" spans="3:14" ht="12" customHeight="1" x14ac:dyDescent="0.25">
      <c r="C40" s="113"/>
      <c r="D40" s="113"/>
      <c r="E40" s="112"/>
      <c r="F40" s="114"/>
      <c r="G40" s="112"/>
      <c r="H40" s="112"/>
      <c r="I40" s="174" t="s">
        <v>74</v>
      </c>
      <c r="J40" s="139"/>
      <c r="K40" s="139"/>
      <c r="L40" s="139"/>
      <c r="M40" s="131"/>
      <c r="N40" s="112"/>
    </row>
    <row r="41" spans="3:14" ht="12" customHeight="1" x14ac:dyDescent="0.25">
      <c r="C41" s="113"/>
      <c r="D41" s="113"/>
      <c r="E41" s="112"/>
      <c r="F41" s="114"/>
      <c r="G41" s="112"/>
      <c r="H41" s="112"/>
      <c r="I41" s="174" t="s">
        <v>75</v>
      </c>
      <c r="J41" s="139"/>
      <c r="K41" s="139"/>
      <c r="L41" s="139"/>
      <c r="M41" s="131"/>
      <c r="N41" s="112"/>
    </row>
    <row r="42" spans="3:14" ht="12" customHeight="1" x14ac:dyDescent="0.25">
      <c r="C42" s="113"/>
      <c r="D42" s="113"/>
      <c r="E42" s="112"/>
      <c r="F42" s="114"/>
      <c r="G42" s="112"/>
      <c r="H42" s="112"/>
      <c r="I42" s="174" t="s">
        <v>87</v>
      </c>
      <c r="J42" s="139"/>
      <c r="K42" s="139"/>
      <c r="L42" s="139"/>
      <c r="M42" s="131"/>
      <c r="N42" s="112"/>
    </row>
    <row r="43" spans="3:14" ht="12" customHeight="1" x14ac:dyDescent="0.25">
      <c r="C43" s="113"/>
      <c r="D43" s="113"/>
      <c r="E43" s="112"/>
      <c r="F43" s="114"/>
      <c r="G43" s="112"/>
      <c r="H43" s="112"/>
      <c r="I43" s="174" t="s">
        <v>77</v>
      </c>
      <c r="J43" s="139"/>
      <c r="K43" s="139"/>
      <c r="L43" s="139"/>
      <c r="M43" s="131"/>
      <c r="N43" s="112"/>
    </row>
    <row r="44" spans="3:14" ht="12" customHeight="1" x14ac:dyDescent="0.25">
      <c r="C44" s="113"/>
      <c r="D44" s="113"/>
      <c r="E44" s="112"/>
      <c r="F44" s="114"/>
      <c r="G44" s="112"/>
      <c r="H44" s="112"/>
      <c r="I44" s="174" t="s">
        <v>78</v>
      </c>
      <c r="J44" s="139"/>
      <c r="K44" s="139"/>
      <c r="L44" s="139"/>
      <c r="M44" s="131"/>
      <c r="N44" s="112"/>
    </row>
    <row r="45" spans="3:14" ht="12" customHeight="1" x14ac:dyDescent="0.25">
      <c r="C45" s="113" t="s">
        <v>79</v>
      </c>
      <c r="D45" s="113"/>
      <c r="E45" s="112">
        <v>1.02</v>
      </c>
      <c r="F45" s="250" t="s">
        <v>69</v>
      </c>
      <c r="G45" s="112"/>
      <c r="H45" s="112"/>
      <c r="I45" s="174" t="s">
        <v>88</v>
      </c>
      <c r="J45" s="139"/>
      <c r="K45" s="139"/>
      <c r="L45" s="139"/>
      <c r="M45" s="131"/>
      <c r="N45" s="112"/>
    </row>
    <row r="46" spans="3:14" ht="12" customHeight="1" x14ac:dyDescent="0.25">
      <c r="C46" s="113"/>
      <c r="D46" s="113"/>
      <c r="E46" s="112"/>
      <c r="F46" s="114"/>
      <c r="G46" s="112"/>
      <c r="H46" s="112"/>
      <c r="I46" s="174" t="s">
        <v>73</v>
      </c>
      <c r="J46" s="139"/>
      <c r="K46" s="139"/>
      <c r="L46" s="139"/>
      <c r="M46" s="131"/>
      <c r="N46" s="112"/>
    </row>
    <row r="47" spans="3:14" ht="12" customHeight="1" x14ac:dyDescent="0.25">
      <c r="C47" s="113"/>
      <c r="D47" s="113"/>
      <c r="E47" s="112"/>
      <c r="F47" s="114"/>
      <c r="G47" s="112"/>
      <c r="H47" s="112"/>
      <c r="I47" s="174" t="s">
        <v>74</v>
      </c>
      <c r="J47" s="139"/>
      <c r="K47" s="139"/>
      <c r="L47" s="139"/>
      <c r="M47" s="131"/>
      <c r="N47" s="112"/>
    </row>
    <row r="48" spans="3:14" ht="12" customHeight="1" x14ac:dyDescent="0.25">
      <c r="C48" s="113"/>
      <c r="D48" s="113"/>
      <c r="E48" s="112"/>
      <c r="F48" s="114"/>
      <c r="G48" s="112"/>
      <c r="H48" s="112"/>
      <c r="I48" s="174" t="s">
        <v>75</v>
      </c>
      <c r="J48" s="139"/>
      <c r="K48" s="139"/>
      <c r="L48" s="139"/>
      <c r="M48" s="131"/>
      <c r="N48" s="112"/>
    </row>
    <row r="49" spans="1:14" ht="12" customHeight="1" x14ac:dyDescent="0.25">
      <c r="C49" s="113"/>
      <c r="D49" s="113"/>
      <c r="E49" s="112"/>
      <c r="F49" s="114"/>
      <c r="G49" s="112"/>
      <c r="H49" s="112"/>
      <c r="I49" s="174" t="s">
        <v>87</v>
      </c>
      <c r="J49" s="139"/>
      <c r="K49" s="139"/>
      <c r="L49" s="139"/>
      <c r="M49" s="131"/>
      <c r="N49" s="112"/>
    </row>
    <row r="50" spans="1:14" ht="12" customHeight="1" x14ac:dyDescent="0.25">
      <c r="C50" s="113"/>
      <c r="D50" s="113"/>
      <c r="E50" s="112"/>
      <c r="F50" s="114"/>
      <c r="G50" s="112"/>
      <c r="H50" s="112"/>
      <c r="I50" s="174" t="s">
        <v>77</v>
      </c>
      <c r="J50" s="139"/>
      <c r="K50" s="139"/>
      <c r="L50" s="139"/>
      <c r="M50" s="131"/>
      <c r="N50" s="112"/>
    </row>
    <row r="51" spans="1:14" ht="12" customHeight="1" x14ac:dyDescent="0.25">
      <c r="C51" s="113"/>
      <c r="D51" s="113"/>
      <c r="E51" s="112"/>
      <c r="F51" s="114"/>
      <c r="G51" s="112"/>
      <c r="H51" s="112"/>
      <c r="I51" s="174" t="s">
        <v>78</v>
      </c>
      <c r="J51" s="139"/>
      <c r="K51" s="139"/>
      <c r="L51" s="139"/>
      <c r="M51" s="131"/>
      <c r="N51" s="112"/>
    </row>
    <row r="52" spans="1:14" ht="12" customHeight="1" x14ac:dyDescent="0.25">
      <c r="C52" s="113" t="s">
        <v>81</v>
      </c>
      <c r="D52" s="113"/>
      <c r="E52" s="112"/>
      <c r="F52" s="112"/>
      <c r="G52" s="112"/>
      <c r="H52" s="112"/>
      <c r="I52" s="174" t="s">
        <v>80</v>
      </c>
      <c r="J52" s="139"/>
      <c r="K52" s="139"/>
      <c r="L52" s="139"/>
      <c r="M52" s="131"/>
      <c r="N52" s="112"/>
    </row>
    <row r="53" spans="1:14" ht="12" customHeight="1" x14ac:dyDescent="0.25">
      <c r="C53" s="113" t="s">
        <v>89</v>
      </c>
      <c r="D53" s="113"/>
      <c r="E53" s="112"/>
      <c r="F53" s="112"/>
      <c r="G53" s="112"/>
      <c r="H53" s="112"/>
      <c r="I53" s="174" t="s">
        <v>82</v>
      </c>
      <c r="J53" s="139"/>
      <c r="K53" s="139"/>
      <c r="L53" s="139"/>
      <c r="M53" s="131"/>
      <c r="N53" s="112"/>
    </row>
    <row r="54" spans="1:14" ht="12" customHeight="1" x14ac:dyDescent="0.25">
      <c r="C54" s="113"/>
      <c r="D54" s="113"/>
      <c r="E54" s="112">
        <v>1.02</v>
      </c>
      <c r="F54" s="250" t="s">
        <v>90</v>
      </c>
      <c r="G54" s="112"/>
      <c r="H54" s="112"/>
      <c r="I54" s="139"/>
      <c r="J54" s="139"/>
      <c r="K54" s="139"/>
      <c r="L54" s="139"/>
      <c r="M54" s="131"/>
      <c r="N54" s="112"/>
    </row>
    <row r="55" spans="1:14" ht="12" customHeight="1" x14ac:dyDescent="0.25">
      <c r="C55" s="113" t="s">
        <v>91</v>
      </c>
      <c r="D55" s="113" t="s">
        <v>92</v>
      </c>
      <c r="E55" s="112" t="s">
        <v>93</v>
      </c>
      <c r="F55" s="114" t="s">
        <v>93</v>
      </c>
      <c r="G55" s="112"/>
      <c r="H55" s="112"/>
      <c r="I55" s="139" t="s">
        <v>94</v>
      </c>
      <c r="J55" s="139"/>
      <c r="K55" s="139"/>
      <c r="L55" s="139"/>
      <c r="M55" s="131"/>
      <c r="N55" s="112"/>
    </row>
    <row r="56" spans="1:14" ht="12" customHeight="1" x14ac:dyDescent="0.25">
      <c r="C56" s="113"/>
      <c r="D56" s="113"/>
      <c r="E56" s="112"/>
      <c r="F56" s="114"/>
      <c r="G56" s="112"/>
      <c r="H56" s="112"/>
      <c r="I56" s="139"/>
      <c r="J56" s="139"/>
      <c r="K56" s="139"/>
      <c r="L56" s="139"/>
      <c r="M56" s="131"/>
      <c r="N56" s="112"/>
    </row>
    <row r="57" spans="1:14" ht="12" customHeight="1" x14ac:dyDescent="0.25">
      <c r="C57" s="115"/>
      <c r="D57" s="115"/>
      <c r="E57" s="116"/>
      <c r="F57" s="116"/>
      <c r="G57" s="116"/>
      <c r="H57" s="116"/>
      <c r="I57" s="140"/>
      <c r="J57" s="140"/>
      <c r="K57" s="140"/>
      <c r="L57" s="140"/>
      <c r="M57" s="141"/>
      <c r="N57" s="116"/>
    </row>
    <row r="58" spans="1:14" ht="16.5" customHeight="1" x14ac:dyDescent="0.25">
      <c r="C58" s="117"/>
      <c r="D58" s="117"/>
      <c r="E58" s="118"/>
      <c r="F58" s="118"/>
      <c r="G58" s="118"/>
      <c r="H58" s="118"/>
      <c r="I58" s="145" t="s">
        <v>18</v>
      </c>
      <c r="J58" s="145"/>
      <c r="K58" s="145"/>
      <c r="L58" s="145"/>
      <c r="M58" s="146"/>
      <c r="N58" s="118"/>
    </row>
    <row r="59" spans="1:14" ht="14.1" customHeight="1" x14ac:dyDescent="0.25">
      <c r="C59" s="5881" t="s">
        <v>19</v>
      </c>
      <c r="D59" s="5881"/>
      <c r="E59" s="5881"/>
      <c r="F59" s="5881"/>
      <c r="G59" s="5881"/>
      <c r="H59" s="5881"/>
      <c r="I59" s="5881"/>
      <c r="J59" s="5881"/>
      <c r="K59" s="5881"/>
      <c r="L59" s="5881"/>
      <c r="M59" s="5881"/>
      <c r="N59" s="177"/>
    </row>
    <row r="60" spans="1:14" ht="15" x14ac:dyDescent="0.25">
      <c r="A60" s="168"/>
      <c r="B60" s="168"/>
      <c r="C60" s="5882" t="s">
        <v>150</v>
      </c>
      <c r="D60" s="5882"/>
      <c r="E60" s="5882"/>
      <c r="F60" s="5882"/>
      <c r="G60" s="5882"/>
      <c r="H60" s="5882"/>
      <c r="I60" s="5882"/>
      <c r="J60" s="5882"/>
      <c r="K60" s="5882"/>
      <c r="L60" s="5882"/>
      <c r="M60" s="5882"/>
      <c r="N60" s="178"/>
    </row>
    <row r="61" spans="1:14" ht="15" x14ac:dyDescent="0.25">
      <c r="A61" s="168"/>
      <c r="B61" s="168"/>
      <c r="C61" s="169" t="s">
        <v>174</v>
      </c>
      <c r="D61" s="169"/>
      <c r="E61" s="169"/>
      <c r="F61" s="169"/>
      <c r="G61" s="169"/>
      <c r="H61" s="169"/>
      <c r="I61" s="169"/>
      <c r="J61" s="169"/>
      <c r="K61" s="169"/>
      <c r="L61" s="169"/>
      <c r="M61" s="169"/>
      <c r="N61" s="178"/>
    </row>
    <row r="62" spans="1:14" ht="15" x14ac:dyDescent="0.25">
      <c r="A62" s="168"/>
      <c r="B62" s="168"/>
      <c r="C62" s="169" t="s">
        <v>95</v>
      </c>
      <c r="D62" s="169"/>
      <c r="E62" s="169"/>
      <c r="F62" s="169"/>
      <c r="G62" s="169"/>
      <c r="H62" s="169"/>
      <c r="I62" s="169"/>
      <c r="J62" s="169"/>
      <c r="K62" s="169"/>
      <c r="L62" s="169"/>
      <c r="M62" s="169"/>
      <c r="N62" s="178"/>
    </row>
    <row r="63" spans="1:14" ht="15" x14ac:dyDescent="0.25">
      <c r="A63" s="168"/>
      <c r="B63" s="168"/>
      <c r="C63" s="169" t="s">
        <v>175</v>
      </c>
      <c r="D63" s="169"/>
      <c r="E63" s="169"/>
      <c r="F63" s="169"/>
      <c r="G63" s="169"/>
      <c r="H63" s="169"/>
      <c r="I63" s="169"/>
      <c r="J63" s="169"/>
      <c r="K63" s="169"/>
      <c r="L63" s="169"/>
      <c r="M63" s="169"/>
      <c r="N63" s="178"/>
    </row>
    <row r="64" spans="1:14" ht="15" x14ac:dyDescent="0.25">
      <c r="A64" s="168"/>
      <c r="B64" s="168"/>
      <c r="C64" s="169" t="s">
        <v>22</v>
      </c>
      <c r="D64" s="169"/>
      <c r="E64" s="169"/>
      <c r="F64" s="169"/>
      <c r="G64" s="169"/>
      <c r="H64" s="169"/>
      <c r="I64" s="169"/>
      <c r="J64" s="169"/>
      <c r="K64" s="169"/>
      <c r="L64" s="169"/>
      <c r="M64" s="169"/>
      <c r="N64" s="179"/>
    </row>
    <row r="65" spans="1:14" ht="15.75" x14ac:dyDescent="0.25">
      <c r="A65" s="168"/>
      <c r="B65" s="168"/>
      <c r="C65" s="180" t="s">
        <v>96</v>
      </c>
      <c r="D65" s="181"/>
      <c r="E65" s="181"/>
      <c r="F65" s="181"/>
      <c r="G65" s="181"/>
      <c r="H65" s="181"/>
      <c r="I65" s="181"/>
      <c r="J65" s="181"/>
      <c r="K65" s="181"/>
      <c r="L65" s="181"/>
      <c r="M65" s="181"/>
      <c r="N65" s="177"/>
    </row>
    <row r="66" spans="1:14" ht="15" x14ac:dyDescent="0.25">
      <c r="A66" s="168"/>
      <c r="B66" s="168"/>
      <c r="C66" s="180" t="s">
        <v>24</v>
      </c>
      <c r="D66" s="180"/>
      <c r="E66" s="180"/>
      <c r="F66" s="180"/>
      <c r="G66" s="180"/>
      <c r="H66" s="180"/>
      <c r="I66" s="180"/>
      <c r="J66" s="180"/>
      <c r="K66" s="180"/>
      <c r="L66" s="180"/>
      <c r="M66" s="180"/>
      <c r="N66" s="177"/>
    </row>
    <row r="67" spans="1:14" ht="15" x14ac:dyDescent="0.25">
      <c r="A67" s="168"/>
      <c r="B67" s="168"/>
      <c r="C67" s="180" t="s">
        <v>176</v>
      </c>
      <c r="D67" s="182"/>
      <c r="E67" s="182"/>
      <c r="F67" s="182"/>
      <c r="G67" s="182"/>
      <c r="H67" s="182"/>
      <c r="I67" s="182"/>
      <c r="J67" s="182"/>
      <c r="K67" s="182"/>
      <c r="L67" s="182"/>
      <c r="M67" s="182"/>
      <c r="N67" s="177"/>
    </row>
    <row r="68" spans="1:14" ht="15.75" x14ac:dyDescent="0.25">
      <c r="A68" s="168"/>
      <c r="B68" s="168"/>
      <c r="C68" s="180" t="s">
        <v>97</v>
      </c>
      <c r="D68" s="183"/>
      <c r="E68" s="184"/>
      <c r="F68" s="184"/>
      <c r="G68" s="184"/>
      <c r="H68" s="184"/>
      <c r="I68" s="184"/>
      <c r="J68" s="184"/>
      <c r="K68" s="185"/>
      <c r="L68" s="185"/>
      <c r="M68" s="186"/>
      <c r="N68" s="168"/>
    </row>
  </sheetData>
  <mergeCells count="16">
    <mergeCell ref="C8:N8"/>
    <mergeCell ref="C1:N1"/>
    <mergeCell ref="K2:N2"/>
    <mergeCell ref="C5:N5"/>
    <mergeCell ref="C6:N6"/>
    <mergeCell ref="C7:N7"/>
    <mergeCell ref="D15:H15"/>
    <mergeCell ref="C59:M59"/>
    <mergeCell ref="C60:M60"/>
    <mergeCell ref="C12:C14"/>
    <mergeCell ref="I12:I14"/>
    <mergeCell ref="N12:N14"/>
    <mergeCell ref="D12:H14"/>
    <mergeCell ref="C9:M9"/>
    <mergeCell ref="J12:M12"/>
    <mergeCell ref="J13:M13"/>
  </mergeCells>
  <printOptions horizontalCentered="1"/>
  <pageMargins left="0.3" right="0.2" top="0.34" bottom="0.35" header="0.31" footer="0.31"/>
  <pageSetup paperSize="9" scale="63" orientation="landscape"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FFFF00"/>
    <pageSetUpPr fitToPage="1"/>
  </sheetPr>
  <dimension ref="C1:U71"/>
  <sheetViews>
    <sheetView topLeftCell="B41" zoomScale="85" workbookViewId="0">
      <selection activeCell="C60" sqref="C60:N71"/>
    </sheetView>
  </sheetViews>
  <sheetFormatPr defaultColWidth="8.85546875" defaultRowHeight="15" x14ac:dyDescent="0.25"/>
  <cols>
    <col min="1" max="1" width="3.28515625" customWidth="1"/>
    <col min="2" max="2" width="14" customWidth="1"/>
    <col min="3" max="3" width="4.7109375" style="103" customWidth="1"/>
    <col min="4" max="4" width="4.85546875" style="103" hidden="1" customWidth="1"/>
    <col min="5" max="5" width="9.28515625" hidden="1" customWidth="1"/>
    <col min="6" max="6" width="8.7109375" hidden="1" customWidth="1"/>
    <col min="7" max="7" width="4.7109375" hidden="1" customWidth="1"/>
    <col min="8" max="8" width="5.28515625" hidden="1" customWidth="1"/>
    <col min="9" max="9" width="34.28515625" customWidth="1"/>
    <col min="10" max="10" width="17.7109375" style="104" customWidth="1"/>
    <col min="11" max="11" width="17.7109375" style="105" customWidth="1"/>
    <col min="12" max="13" width="17.7109375" style="104" customWidth="1"/>
    <col min="14" max="14" width="22.42578125" style="104" customWidth="1"/>
    <col min="15" max="15" width="17.28515625" style="104" customWidth="1"/>
    <col min="16" max="16" width="18.140625" style="104" customWidth="1"/>
    <col min="17" max="17" width="25.5703125" style="104" customWidth="1"/>
    <col min="18" max="18" width="26.140625" style="104" customWidth="1"/>
    <col min="19" max="19" width="13" style="104" customWidth="1"/>
    <col min="20" max="20" width="17.42578125" customWidth="1"/>
    <col min="21" max="21" width="13" hidden="1" customWidth="1"/>
  </cols>
  <sheetData>
    <row r="1" spans="3:20" ht="21" x14ac:dyDescent="0.35">
      <c r="C1" s="5783"/>
      <c r="D1" s="5783"/>
      <c r="E1" s="5783"/>
      <c r="F1" s="5783"/>
      <c r="G1" s="5783"/>
      <c r="H1" s="5783"/>
      <c r="I1" s="5783"/>
      <c r="J1" s="5783"/>
      <c r="K1" s="5783"/>
      <c r="L1" s="5783"/>
      <c r="M1" s="5783"/>
      <c r="N1" s="5783"/>
      <c r="O1" s="5783"/>
      <c r="P1" s="5783"/>
      <c r="Q1" s="5783"/>
      <c r="R1" s="5783"/>
      <c r="S1" s="5783"/>
      <c r="T1" s="5783"/>
    </row>
    <row r="2" spans="3:20" ht="21" x14ac:dyDescent="0.25">
      <c r="C2" s="106"/>
      <c r="D2" s="106"/>
      <c r="E2" s="106"/>
      <c r="F2" s="106"/>
      <c r="G2" s="106"/>
      <c r="H2" s="106"/>
      <c r="I2" s="106"/>
      <c r="J2" s="5857"/>
      <c r="K2" s="5857"/>
      <c r="L2" s="5857"/>
      <c r="M2" s="5857"/>
      <c r="N2" s="5857"/>
      <c r="O2" s="5857"/>
      <c r="P2" s="5857"/>
      <c r="Q2" s="5857"/>
      <c r="R2" s="5857"/>
      <c r="S2" s="5857"/>
      <c r="T2" s="5857"/>
    </row>
    <row r="3" spans="3:20" ht="21" x14ac:dyDescent="0.25">
      <c r="C3" s="106"/>
      <c r="D3" s="106"/>
      <c r="E3" s="106"/>
      <c r="F3" s="106"/>
      <c r="G3" s="106"/>
      <c r="H3" s="106"/>
      <c r="I3" s="106"/>
      <c r="J3" s="7"/>
      <c r="K3" s="124"/>
      <c r="L3" s="7"/>
      <c r="M3" s="7"/>
      <c r="N3" s="7"/>
      <c r="O3" s="7"/>
      <c r="P3" s="7"/>
      <c r="Q3" s="7"/>
      <c r="R3" s="7"/>
      <c r="S3" s="7"/>
      <c r="T3" s="7" t="s">
        <v>177</v>
      </c>
    </row>
    <row r="4" spans="3:20" ht="21" x14ac:dyDescent="0.25">
      <c r="C4" s="106" t="s">
        <v>0</v>
      </c>
      <c r="D4" s="106"/>
      <c r="E4" s="106"/>
      <c r="F4" s="106"/>
      <c r="G4" s="106"/>
      <c r="H4" s="106"/>
      <c r="I4" s="106"/>
      <c r="J4" s="7"/>
      <c r="K4" s="124"/>
      <c r="L4" s="7"/>
      <c r="M4" s="7"/>
      <c r="N4" s="7"/>
      <c r="O4" s="7"/>
      <c r="P4" s="7"/>
      <c r="Q4" s="7"/>
      <c r="R4" s="7"/>
      <c r="S4" s="7"/>
      <c r="T4" s="7" t="s">
        <v>169</v>
      </c>
    </row>
    <row r="5" spans="3:20" ht="15.75" x14ac:dyDescent="0.25">
      <c r="C5" s="5883"/>
      <c r="D5" s="5883"/>
      <c r="E5" s="5883"/>
      <c r="F5" s="5883"/>
      <c r="G5" s="5883"/>
      <c r="H5" s="5883"/>
      <c r="I5" s="5883"/>
      <c r="J5" s="5883"/>
      <c r="K5" s="5883"/>
      <c r="L5" s="5883"/>
      <c r="M5" s="5883"/>
      <c r="N5" s="5883"/>
      <c r="O5" s="5883"/>
      <c r="P5" s="5883"/>
      <c r="Q5" s="5883"/>
      <c r="R5" s="5883"/>
      <c r="S5" s="5883"/>
      <c r="T5" s="5883"/>
    </row>
    <row r="6" spans="3:20" ht="23.25" x14ac:dyDescent="0.25">
      <c r="C6" s="5896" t="s">
        <v>178</v>
      </c>
      <c r="D6" s="5896"/>
      <c r="E6" s="5896"/>
      <c r="F6" s="5896"/>
      <c r="G6" s="5896"/>
      <c r="H6" s="5896"/>
      <c r="I6" s="5896"/>
      <c r="J6" s="5896"/>
      <c r="K6" s="5896"/>
      <c r="L6" s="5896"/>
      <c r="M6" s="5896"/>
      <c r="N6" s="5896"/>
      <c r="O6" s="5896"/>
      <c r="P6" s="5896"/>
      <c r="Q6" s="5896"/>
      <c r="R6" s="5896"/>
      <c r="S6" s="5896"/>
      <c r="T6" s="5896"/>
    </row>
    <row r="7" spans="3:20" ht="15.75" x14ac:dyDescent="0.25">
      <c r="C7" s="5885"/>
      <c r="D7" s="5885"/>
      <c r="E7" s="5885"/>
      <c r="F7" s="5885"/>
      <c r="G7" s="5885"/>
      <c r="H7" s="5885"/>
      <c r="I7" s="5885"/>
      <c r="J7" s="5885"/>
      <c r="K7" s="5885"/>
      <c r="L7" s="5885"/>
      <c r="M7" s="5885"/>
      <c r="N7" s="5885"/>
      <c r="O7" s="5885"/>
      <c r="P7" s="5885"/>
      <c r="Q7" s="5885"/>
      <c r="R7" s="5885"/>
      <c r="S7" s="5885"/>
      <c r="T7" s="5885"/>
    </row>
    <row r="8" spans="3:20" ht="15.75" x14ac:dyDescent="0.25">
      <c r="C8" s="5785" t="s">
        <v>179</v>
      </c>
      <c r="D8" s="5785"/>
      <c r="E8" s="5785"/>
      <c r="F8" s="5785"/>
      <c r="G8" s="5785"/>
      <c r="H8" s="5785"/>
      <c r="I8" s="5785"/>
      <c r="J8" s="5785"/>
      <c r="K8" s="5785"/>
      <c r="L8" s="5785"/>
      <c r="M8" s="5785"/>
      <c r="N8" s="5785"/>
      <c r="O8" s="5785"/>
      <c r="P8" s="5785"/>
      <c r="Q8" s="5785"/>
      <c r="R8" s="5785"/>
      <c r="S8" s="5785"/>
      <c r="T8" s="5785"/>
    </row>
    <row r="9" spans="3:20" ht="15.75" x14ac:dyDescent="0.25">
      <c r="C9" s="5694" t="s">
        <v>172</v>
      </c>
      <c r="D9" s="5694"/>
      <c r="E9" s="5694"/>
      <c r="F9" s="5694"/>
      <c r="G9" s="5694"/>
      <c r="H9" s="5694"/>
      <c r="I9" s="5694"/>
      <c r="J9" s="5694"/>
      <c r="K9" s="5694"/>
      <c r="L9" s="5694"/>
      <c r="M9" s="5694"/>
      <c r="N9" s="5694"/>
      <c r="O9" s="5694"/>
      <c r="P9" s="5694"/>
      <c r="Q9" s="108"/>
      <c r="R9" s="108"/>
      <c r="S9" s="107"/>
      <c r="T9" s="107"/>
    </row>
    <row r="10" spans="3:20" ht="15.75" x14ac:dyDescent="0.25">
      <c r="C10" s="108"/>
      <c r="D10" s="108"/>
      <c r="E10" s="108"/>
      <c r="F10" s="108"/>
      <c r="G10" s="108"/>
      <c r="H10" s="108"/>
      <c r="I10" s="108"/>
      <c r="J10" s="108"/>
      <c r="K10" s="125"/>
      <c r="L10" s="108"/>
      <c r="M10" s="108"/>
      <c r="N10" s="108"/>
      <c r="O10" s="108"/>
      <c r="P10" s="108"/>
      <c r="Q10" s="108"/>
      <c r="R10" s="108"/>
      <c r="S10" s="107"/>
      <c r="T10" s="107"/>
    </row>
    <row r="11" spans="3:20" ht="15.75" x14ac:dyDescent="0.25">
      <c r="C11" s="109"/>
      <c r="D11" s="109"/>
      <c r="E11" s="109"/>
      <c r="F11" s="109"/>
      <c r="G11" s="109"/>
      <c r="H11" s="109"/>
      <c r="I11" s="109"/>
      <c r="T11" s="160"/>
    </row>
    <row r="12" spans="3:20" ht="18" x14ac:dyDescent="0.25">
      <c r="C12" s="5794" t="s">
        <v>1</v>
      </c>
      <c r="D12" s="5873" t="s">
        <v>50</v>
      </c>
      <c r="E12" s="5873"/>
      <c r="F12" s="5873"/>
      <c r="G12" s="5873"/>
      <c r="H12" s="5873"/>
      <c r="I12" s="5794" t="s">
        <v>2</v>
      </c>
      <c r="J12" s="5888" t="s">
        <v>124</v>
      </c>
      <c r="K12" s="5888"/>
      <c r="L12" s="5889" t="s">
        <v>131</v>
      </c>
      <c r="M12" s="5890"/>
      <c r="N12" s="5890"/>
      <c r="O12" s="5891"/>
      <c r="P12" s="5888" t="s">
        <v>132</v>
      </c>
      <c r="Q12" s="5888"/>
      <c r="R12" s="5888"/>
      <c r="S12" s="5888"/>
      <c r="T12" s="5794" t="s">
        <v>4</v>
      </c>
    </row>
    <row r="13" spans="3:20" ht="18" x14ac:dyDescent="0.25">
      <c r="C13" s="5795"/>
      <c r="D13" s="5874"/>
      <c r="E13" s="5874"/>
      <c r="F13" s="5874"/>
      <c r="G13" s="5874"/>
      <c r="H13" s="5874"/>
      <c r="I13" s="5795"/>
      <c r="J13" s="5892" t="s">
        <v>99</v>
      </c>
      <c r="K13" s="5893"/>
      <c r="L13" s="5892" t="s">
        <v>99</v>
      </c>
      <c r="M13" s="5894"/>
      <c r="N13" s="5894"/>
      <c r="O13" s="5893"/>
      <c r="P13" s="5895" t="s">
        <v>99</v>
      </c>
      <c r="Q13" s="5895"/>
      <c r="R13" s="5895"/>
      <c r="S13" s="5895"/>
      <c r="T13" s="5795"/>
    </row>
    <row r="14" spans="3:20" s="1" customFormat="1" ht="78.75" x14ac:dyDescent="0.2">
      <c r="C14" s="5872"/>
      <c r="D14" s="5875"/>
      <c r="E14" s="5875"/>
      <c r="F14" s="5875"/>
      <c r="G14" s="5875"/>
      <c r="H14" s="5875"/>
      <c r="I14" s="5872"/>
      <c r="J14" s="12" t="s">
        <v>33</v>
      </c>
      <c r="K14" s="12" t="s">
        <v>133</v>
      </c>
      <c r="L14" s="12" t="s">
        <v>33</v>
      </c>
      <c r="M14" s="13" t="s">
        <v>180</v>
      </c>
      <c r="N14" s="13" t="s">
        <v>103</v>
      </c>
      <c r="O14" s="126" t="s">
        <v>181</v>
      </c>
      <c r="P14" s="12" t="s">
        <v>33</v>
      </c>
      <c r="Q14" s="126" t="s">
        <v>182</v>
      </c>
      <c r="R14" s="13" t="s">
        <v>103</v>
      </c>
      <c r="S14" s="126" t="s">
        <v>181</v>
      </c>
      <c r="T14" s="5887"/>
    </row>
    <row r="15" spans="3:20" x14ac:dyDescent="0.25">
      <c r="C15" s="248" t="s">
        <v>8</v>
      </c>
      <c r="D15" s="5879" t="s">
        <v>9</v>
      </c>
      <c r="E15" s="5880"/>
      <c r="F15" s="5880"/>
      <c r="G15" s="5880"/>
      <c r="H15" s="5880"/>
      <c r="I15" s="248" t="s">
        <v>9</v>
      </c>
      <c r="J15" s="252" t="s">
        <v>10</v>
      </c>
      <c r="K15" s="252" t="s">
        <v>11</v>
      </c>
      <c r="L15" s="252" t="s">
        <v>12</v>
      </c>
      <c r="M15" s="252" t="s">
        <v>13</v>
      </c>
      <c r="N15" s="252" t="s">
        <v>35</v>
      </c>
      <c r="O15" s="252" t="s">
        <v>36</v>
      </c>
      <c r="P15" s="253" t="s">
        <v>37</v>
      </c>
      <c r="Q15" s="254" t="s">
        <v>38</v>
      </c>
      <c r="R15" s="253" t="s">
        <v>39</v>
      </c>
      <c r="S15" s="248" t="s">
        <v>107</v>
      </c>
      <c r="T15" s="248" t="s">
        <v>108</v>
      </c>
    </row>
    <row r="16" spans="3:20" x14ac:dyDescent="0.25">
      <c r="C16" s="110"/>
      <c r="D16" s="110"/>
      <c r="E16" s="110"/>
      <c r="F16" s="110"/>
      <c r="G16" s="110"/>
      <c r="H16" s="110"/>
      <c r="I16" s="110"/>
      <c r="J16" s="127"/>
      <c r="K16" s="127"/>
      <c r="L16" s="127"/>
      <c r="M16" s="127"/>
      <c r="N16" s="128"/>
      <c r="O16" s="129"/>
      <c r="P16" s="129"/>
      <c r="Q16" s="129"/>
      <c r="R16" s="129"/>
      <c r="S16" s="127"/>
      <c r="T16" s="110"/>
    </row>
    <row r="17" spans="3:20" ht="18.75" x14ac:dyDescent="0.25">
      <c r="C17" s="111"/>
      <c r="D17" s="111"/>
      <c r="E17" s="112"/>
      <c r="F17" s="112"/>
      <c r="G17" s="112"/>
      <c r="H17" s="112"/>
      <c r="I17" s="130"/>
      <c r="J17" s="131"/>
      <c r="K17" s="132"/>
      <c r="L17" s="131"/>
      <c r="M17" s="131"/>
      <c r="N17" s="131"/>
      <c r="O17" s="133"/>
      <c r="P17" s="133"/>
      <c r="Q17" s="133"/>
      <c r="R17" s="133"/>
      <c r="S17" s="131"/>
      <c r="T17" s="112"/>
    </row>
    <row r="18" spans="3:20" ht="18.75" x14ac:dyDescent="0.25">
      <c r="C18" s="113"/>
      <c r="D18" s="113"/>
      <c r="E18" s="112"/>
      <c r="F18" s="112"/>
      <c r="G18" s="112"/>
      <c r="H18" s="112"/>
      <c r="I18" s="130" t="s">
        <v>183</v>
      </c>
      <c r="J18" s="131"/>
      <c r="K18" s="132"/>
      <c r="L18" s="131"/>
      <c r="M18" s="131"/>
      <c r="N18" s="131"/>
      <c r="O18" s="133"/>
      <c r="P18" s="133"/>
      <c r="Q18" s="133"/>
      <c r="R18" s="133"/>
      <c r="S18" s="131"/>
      <c r="T18" s="112"/>
    </row>
    <row r="19" spans="3:20" ht="18.75" x14ac:dyDescent="0.25">
      <c r="C19" s="113" t="s">
        <v>55</v>
      </c>
      <c r="D19" s="113" t="s">
        <v>56</v>
      </c>
      <c r="E19" s="114" t="s">
        <v>57</v>
      </c>
      <c r="F19" s="111"/>
      <c r="G19" s="111"/>
      <c r="H19" s="111"/>
      <c r="I19" s="134" t="s">
        <v>58</v>
      </c>
      <c r="J19" s="131"/>
      <c r="K19" s="111"/>
      <c r="L19" s="135"/>
      <c r="M19" s="136"/>
      <c r="N19" s="136"/>
      <c r="O19" s="137"/>
      <c r="P19" s="137"/>
      <c r="Q19" s="137"/>
      <c r="R19" s="137"/>
      <c r="S19" s="161"/>
      <c r="T19" s="161"/>
    </row>
    <row r="20" spans="3:20" ht="18.75" x14ac:dyDescent="0.25">
      <c r="C20" s="113" t="s">
        <v>59</v>
      </c>
      <c r="D20" s="113"/>
      <c r="E20" s="111" t="s">
        <v>57</v>
      </c>
      <c r="F20" s="250" t="s">
        <v>60</v>
      </c>
      <c r="G20" s="111"/>
      <c r="H20" s="111"/>
      <c r="I20" s="134" t="s">
        <v>61</v>
      </c>
      <c r="J20" s="131"/>
      <c r="K20" s="111"/>
      <c r="L20" s="138"/>
      <c r="M20" s="112"/>
      <c r="N20" s="112"/>
      <c r="O20" s="137"/>
      <c r="P20" s="137"/>
      <c r="Q20" s="137"/>
      <c r="R20" s="137"/>
      <c r="S20" s="161"/>
      <c r="T20" s="161"/>
    </row>
    <row r="21" spans="3:20" ht="18.75" x14ac:dyDescent="0.25">
      <c r="C21" s="113"/>
      <c r="D21" s="113"/>
      <c r="E21" s="111"/>
      <c r="F21" s="111"/>
      <c r="G21" s="111"/>
      <c r="H21" s="114"/>
      <c r="I21" s="134" t="s">
        <v>73</v>
      </c>
      <c r="J21" s="131"/>
      <c r="K21" s="111"/>
      <c r="L21" s="138"/>
      <c r="M21" s="112"/>
      <c r="N21" s="112"/>
      <c r="O21" s="137"/>
      <c r="P21" s="137"/>
      <c r="Q21" s="137"/>
      <c r="R21" s="137"/>
      <c r="S21" s="161"/>
      <c r="T21" s="161"/>
    </row>
    <row r="22" spans="3:20" ht="18.75" x14ac:dyDescent="0.25">
      <c r="C22" s="113"/>
      <c r="D22" s="113"/>
      <c r="E22" s="111"/>
      <c r="F22" s="111"/>
      <c r="G22" s="111"/>
      <c r="H22" s="114"/>
      <c r="I22" s="134" t="s">
        <v>74</v>
      </c>
      <c r="J22" s="131"/>
      <c r="K22" s="111"/>
      <c r="L22" s="131"/>
      <c r="M22" s="112"/>
      <c r="N22" s="112"/>
      <c r="O22" s="137"/>
      <c r="P22" s="137"/>
      <c r="Q22" s="137"/>
      <c r="R22" s="137"/>
      <c r="S22" s="161"/>
      <c r="T22" s="161"/>
    </row>
    <row r="23" spans="3:20" ht="18.75" x14ac:dyDescent="0.25">
      <c r="C23" s="113"/>
      <c r="D23" s="113"/>
      <c r="E23" s="111"/>
      <c r="F23" s="111"/>
      <c r="G23" s="111"/>
      <c r="H23" s="114"/>
      <c r="I23" s="134" t="s">
        <v>75</v>
      </c>
      <c r="J23" s="131"/>
      <c r="K23" s="111"/>
      <c r="L23" s="131"/>
      <c r="M23" s="112"/>
      <c r="N23" s="112"/>
      <c r="O23" s="137"/>
      <c r="P23" s="137"/>
      <c r="Q23" s="137"/>
      <c r="R23" s="137"/>
      <c r="S23" s="161"/>
      <c r="T23" s="161"/>
    </row>
    <row r="24" spans="3:20" ht="18.75" x14ac:dyDescent="0.25">
      <c r="C24" s="113"/>
      <c r="D24" s="113"/>
      <c r="E24" s="111"/>
      <c r="F24" s="111"/>
      <c r="G24" s="111"/>
      <c r="H24" s="114"/>
      <c r="I24" s="134" t="s">
        <v>76</v>
      </c>
      <c r="J24" s="131"/>
      <c r="K24" s="111"/>
      <c r="L24" s="131"/>
      <c r="M24" s="112"/>
      <c r="N24" s="112"/>
      <c r="O24" s="137"/>
      <c r="P24" s="137"/>
      <c r="Q24" s="137"/>
      <c r="R24" s="137"/>
      <c r="S24" s="161"/>
      <c r="T24" s="161"/>
    </row>
    <row r="25" spans="3:20" ht="18.75" x14ac:dyDescent="0.25">
      <c r="C25" s="113"/>
      <c r="D25" s="113"/>
      <c r="E25" s="111"/>
      <c r="F25" s="111"/>
      <c r="G25" s="111"/>
      <c r="H25" s="114"/>
      <c r="I25" s="134" t="s">
        <v>77</v>
      </c>
      <c r="J25" s="131"/>
      <c r="K25" s="111"/>
      <c r="L25" s="131"/>
      <c r="M25" s="112"/>
      <c r="N25" s="112"/>
      <c r="O25" s="137"/>
      <c r="P25" s="137"/>
      <c r="Q25" s="137"/>
      <c r="R25" s="137"/>
      <c r="S25" s="161"/>
      <c r="T25" s="161"/>
    </row>
    <row r="26" spans="3:20" ht="18.75" x14ac:dyDescent="0.25">
      <c r="C26" s="113"/>
      <c r="D26" s="113"/>
      <c r="E26" s="111"/>
      <c r="F26" s="111"/>
      <c r="G26" s="111"/>
      <c r="H26" s="114"/>
      <c r="I26" s="134" t="s">
        <v>78</v>
      </c>
      <c r="J26" s="131"/>
      <c r="K26" s="111"/>
      <c r="L26" s="131"/>
      <c r="M26" s="112"/>
      <c r="N26" s="112"/>
      <c r="O26" s="137"/>
      <c r="P26" s="137"/>
      <c r="Q26" s="137"/>
      <c r="R26" s="137"/>
      <c r="S26" s="161"/>
      <c r="T26" s="161"/>
    </row>
    <row r="27" spans="3:20" ht="18.75" x14ac:dyDescent="0.25">
      <c r="C27" s="113" t="s">
        <v>79</v>
      </c>
      <c r="D27" s="113"/>
      <c r="E27" s="112"/>
      <c r="F27" s="112"/>
      <c r="G27" s="112"/>
      <c r="H27" s="112"/>
      <c r="I27" s="134" t="s">
        <v>80</v>
      </c>
      <c r="J27" s="131"/>
      <c r="K27" s="111"/>
      <c r="L27" s="131"/>
      <c r="M27" s="112"/>
      <c r="N27" s="112"/>
      <c r="O27" s="137"/>
      <c r="P27" s="137"/>
      <c r="Q27" s="137"/>
      <c r="R27" s="137"/>
      <c r="S27" s="161"/>
      <c r="T27" s="161"/>
    </row>
    <row r="28" spans="3:20" ht="18.75" x14ac:dyDescent="0.25">
      <c r="C28" s="113" t="s">
        <v>81</v>
      </c>
      <c r="D28" s="113"/>
      <c r="E28" s="112"/>
      <c r="F28" s="112"/>
      <c r="G28" s="112"/>
      <c r="H28" s="112"/>
      <c r="I28" s="134" t="s">
        <v>82</v>
      </c>
      <c r="J28" s="131"/>
      <c r="K28" s="111"/>
      <c r="L28" s="131"/>
      <c r="M28" s="112"/>
      <c r="N28" s="112"/>
      <c r="O28" s="137"/>
      <c r="P28" s="137"/>
      <c r="Q28" s="137"/>
      <c r="R28" s="137"/>
      <c r="S28" s="161"/>
      <c r="T28" s="161"/>
    </row>
    <row r="29" spans="3:20" ht="18.75" x14ac:dyDescent="0.25">
      <c r="C29" s="113"/>
      <c r="D29" s="113"/>
      <c r="E29" s="112"/>
      <c r="F29" s="112"/>
      <c r="G29" s="112"/>
      <c r="H29" s="112"/>
      <c r="I29" s="134"/>
      <c r="J29" s="131"/>
      <c r="K29" s="111"/>
      <c r="L29" s="131"/>
      <c r="M29" s="112"/>
      <c r="N29" s="112"/>
      <c r="O29" s="137"/>
      <c r="P29" s="137"/>
      <c r="Q29" s="137"/>
      <c r="R29" s="137"/>
      <c r="S29" s="161"/>
      <c r="T29" s="161"/>
    </row>
    <row r="30" spans="3:20" ht="18.75" x14ac:dyDescent="0.25">
      <c r="C30" s="113" t="s">
        <v>83</v>
      </c>
      <c r="D30" s="113" t="s">
        <v>84</v>
      </c>
      <c r="E30" s="112">
        <v>1.02</v>
      </c>
      <c r="F30" s="112"/>
      <c r="G30" s="112"/>
      <c r="H30" s="112"/>
      <c r="I30" s="134" t="s">
        <v>85</v>
      </c>
      <c r="J30" s="131"/>
      <c r="K30" s="111"/>
      <c r="L30" s="131"/>
      <c r="M30" s="112"/>
      <c r="N30" s="112"/>
      <c r="O30" s="137"/>
      <c r="P30" s="137"/>
      <c r="Q30" s="137"/>
      <c r="R30" s="137"/>
      <c r="S30" s="161"/>
      <c r="T30" s="161"/>
    </row>
    <row r="31" spans="3:20" ht="18.75" x14ac:dyDescent="0.25">
      <c r="C31" s="113" t="s">
        <v>59</v>
      </c>
      <c r="D31" s="113"/>
      <c r="E31" s="112">
        <v>1.02</v>
      </c>
      <c r="F31" s="250" t="s">
        <v>60</v>
      </c>
      <c r="G31" s="112"/>
      <c r="H31" s="112"/>
      <c r="I31" s="134" t="s">
        <v>86</v>
      </c>
      <c r="J31" s="131"/>
      <c r="K31" s="111"/>
      <c r="L31" s="131"/>
      <c r="M31" s="112"/>
      <c r="N31" s="112"/>
      <c r="O31" s="137"/>
      <c r="P31" s="137"/>
      <c r="Q31" s="137"/>
      <c r="R31" s="137"/>
      <c r="S31" s="161"/>
      <c r="T31" s="161"/>
    </row>
    <row r="32" spans="3:20" ht="18.75" x14ac:dyDescent="0.25">
      <c r="C32" s="113"/>
      <c r="D32" s="113"/>
      <c r="E32" s="112"/>
      <c r="F32" s="114"/>
      <c r="G32" s="112"/>
      <c r="H32" s="112"/>
      <c r="I32" s="134" t="s">
        <v>73</v>
      </c>
      <c r="J32" s="131"/>
      <c r="K32" s="111"/>
      <c r="L32" s="131"/>
      <c r="M32" s="112"/>
      <c r="N32" s="112"/>
      <c r="O32" s="137"/>
      <c r="P32" s="137"/>
      <c r="Q32" s="137"/>
      <c r="R32" s="137"/>
      <c r="S32" s="161"/>
      <c r="T32" s="161"/>
    </row>
    <row r="33" spans="3:20" ht="18.75" x14ac:dyDescent="0.25">
      <c r="C33" s="113"/>
      <c r="D33" s="113"/>
      <c r="E33" s="112"/>
      <c r="F33" s="114"/>
      <c r="G33" s="112"/>
      <c r="H33" s="112"/>
      <c r="I33" s="134" t="s">
        <v>74</v>
      </c>
      <c r="J33" s="131"/>
      <c r="K33" s="111"/>
      <c r="L33" s="131"/>
      <c r="M33" s="112"/>
      <c r="N33" s="112"/>
      <c r="O33" s="137"/>
      <c r="P33" s="137"/>
      <c r="Q33" s="137"/>
      <c r="R33" s="137"/>
      <c r="S33" s="161"/>
      <c r="T33" s="161"/>
    </row>
    <row r="34" spans="3:20" ht="18.75" x14ac:dyDescent="0.25">
      <c r="C34" s="113"/>
      <c r="D34" s="113"/>
      <c r="E34" s="112"/>
      <c r="F34" s="114"/>
      <c r="G34" s="112"/>
      <c r="H34" s="112"/>
      <c r="I34" s="134" t="s">
        <v>75</v>
      </c>
      <c r="J34" s="139"/>
      <c r="K34" s="111"/>
      <c r="L34" s="131"/>
      <c r="M34" s="112"/>
      <c r="N34" s="112"/>
      <c r="O34" s="137"/>
      <c r="P34" s="137"/>
      <c r="Q34" s="137"/>
      <c r="R34" s="137"/>
      <c r="S34" s="161"/>
      <c r="T34" s="161"/>
    </row>
    <row r="35" spans="3:20" ht="18.75" x14ac:dyDescent="0.25">
      <c r="C35" s="113"/>
      <c r="D35" s="113"/>
      <c r="E35" s="112"/>
      <c r="F35" s="114"/>
      <c r="G35" s="112"/>
      <c r="H35" s="112"/>
      <c r="I35" s="134" t="s">
        <v>87</v>
      </c>
      <c r="J35" s="139"/>
      <c r="K35" s="111"/>
      <c r="L35" s="131"/>
      <c r="M35" s="112"/>
      <c r="N35" s="112"/>
      <c r="O35" s="137"/>
      <c r="P35" s="137"/>
      <c r="Q35" s="137"/>
      <c r="R35" s="137"/>
      <c r="S35" s="161"/>
      <c r="T35" s="161"/>
    </row>
    <row r="36" spans="3:20" ht="18.75" x14ac:dyDescent="0.25">
      <c r="C36" s="113"/>
      <c r="D36" s="113"/>
      <c r="E36" s="112"/>
      <c r="F36" s="114"/>
      <c r="G36" s="112"/>
      <c r="H36" s="112"/>
      <c r="I36" s="134" t="s">
        <v>77</v>
      </c>
      <c r="J36" s="139"/>
      <c r="K36" s="111"/>
      <c r="L36" s="131"/>
      <c r="M36" s="112"/>
      <c r="N36" s="112"/>
      <c r="O36" s="137"/>
      <c r="P36" s="137"/>
      <c r="Q36" s="137"/>
      <c r="R36" s="137"/>
      <c r="S36" s="161"/>
      <c r="T36" s="161"/>
    </row>
    <row r="37" spans="3:20" ht="18.75" x14ac:dyDescent="0.25">
      <c r="C37" s="113"/>
      <c r="D37" s="113"/>
      <c r="E37" s="112"/>
      <c r="F37" s="114"/>
      <c r="G37" s="112"/>
      <c r="H37" s="112"/>
      <c r="I37" s="134" t="s">
        <v>78</v>
      </c>
      <c r="J37" s="139"/>
      <c r="K37" s="111"/>
      <c r="L37" s="131"/>
      <c r="M37" s="112"/>
      <c r="N37" s="112"/>
      <c r="O37" s="137"/>
      <c r="P37" s="137"/>
      <c r="Q37" s="137"/>
      <c r="R37" s="137"/>
      <c r="S37" s="161"/>
      <c r="T37" s="161"/>
    </row>
    <row r="38" spans="3:20" ht="18.75" x14ac:dyDescent="0.25">
      <c r="C38" s="113" t="s">
        <v>79</v>
      </c>
      <c r="D38" s="113"/>
      <c r="E38" s="112">
        <v>1.02</v>
      </c>
      <c r="F38" s="250" t="s">
        <v>69</v>
      </c>
      <c r="G38" s="112"/>
      <c r="H38" s="112"/>
      <c r="I38" s="134" t="s">
        <v>88</v>
      </c>
      <c r="J38" s="139"/>
      <c r="K38" s="111"/>
      <c r="L38" s="131"/>
      <c r="M38" s="112"/>
      <c r="N38" s="112"/>
      <c r="O38" s="137"/>
      <c r="P38" s="137"/>
      <c r="Q38" s="137"/>
      <c r="R38" s="137"/>
      <c r="S38" s="161"/>
      <c r="T38" s="161"/>
    </row>
    <row r="39" spans="3:20" ht="18.75" x14ac:dyDescent="0.25">
      <c r="C39" s="113"/>
      <c r="D39" s="113"/>
      <c r="E39" s="112"/>
      <c r="F39" s="114"/>
      <c r="G39" s="112"/>
      <c r="H39" s="112"/>
      <c r="I39" s="134" t="s">
        <v>73</v>
      </c>
      <c r="J39" s="139"/>
      <c r="K39" s="111"/>
      <c r="L39" s="131"/>
      <c r="M39" s="112"/>
      <c r="N39" s="112"/>
      <c r="O39" s="137"/>
      <c r="P39" s="137"/>
      <c r="Q39" s="137"/>
      <c r="R39" s="137"/>
      <c r="S39" s="161"/>
      <c r="T39" s="161"/>
    </row>
    <row r="40" spans="3:20" ht="18.75" x14ac:dyDescent="0.25">
      <c r="C40" s="113"/>
      <c r="D40" s="113"/>
      <c r="E40" s="112"/>
      <c r="F40" s="114"/>
      <c r="G40" s="112"/>
      <c r="H40" s="112"/>
      <c r="I40" s="134" t="s">
        <v>74</v>
      </c>
      <c r="J40" s="139"/>
      <c r="K40" s="111"/>
      <c r="L40" s="131"/>
      <c r="M40" s="112"/>
      <c r="N40" s="112"/>
      <c r="O40" s="137"/>
      <c r="P40" s="137"/>
      <c r="Q40" s="137"/>
      <c r="R40" s="137"/>
      <c r="S40" s="161"/>
      <c r="T40" s="161"/>
    </row>
    <row r="41" spans="3:20" ht="18.75" x14ac:dyDescent="0.25">
      <c r="C41" s="113"/>
      <c r="D41" s="113"/>
      <c r="E41" s="112"/>
      <c r="F41" s="114"/>
      <c r="G41" s="112"/>
      <c r="H41" s="112"/>
      <c r="I41" s="134" t="s">
        <v>75</v>
      </c>
      <c r="J41" s="139"/>
      <c r="K41" s="111"/>
      <c r="L41" s="131"/>
      <c r="M41" s="112"/>
      <c r="N41" s="112"/>
      <c r="O41" s="137"/>
      <c r="P41" s="137"/>
      <c r="Q41" s="137"/>
      <c r="R41" s="137"/>
      <c r="S41" s="161"/>
      <c r="T41" s="161"/>
    </row>
    <row r="42" spans="3:20" ht="18.75" x14ac:dyDescent="0.25">
      <c r="C42" s="113"/>
      <c r="D42" s="113"/>
      <c r="E42" s="112"/>
      <c r="F42" s="114"/>
      <c r="G42" s="112"/>
      <c r="H42" s="112"/>
      <c r="I42" s="134" t="s">
        <v>87</v>
      </c>
      <c r="J42" s="139"/>
      <c r="K42" s="111"/>
      <c r="L42" s="131"/>
      <c r="M42" s="112"/>
      <c r="N42" s="112"/>
      <c r="O42" s="137"/>
      <c r="P42" s="137"/>
      <c r="Q42" s="137"/>
      <c r="R42" s="137"/>
      <c r="S42" s="161"/>
      <c r="T42" s="161"/>
    </row>
    <row r="43" spans="3:20" ht="18.75" x14ac:dyDescent="0.25">
      <c r="C43" s="113"/>
      <c r="D43" s="113"/>
      <c r="E43" s="112"/>
      <c r="F43" s="114"/>
      <c r="G43" s="112"/>
      <c r="H43" s="112"/>
      <c r="I43" s="134" t="s">
        <v>77</v>
      </c>
      <c r="J43" s="139"/>
      <c r="K43" s="111"/>
      <c r="L43" s="131"/>
      <c r="M43" s="112"/>
      <c r="N43" s="112"/>
      <c r="O43" s="137"/>
      <c r="P43" s="137"/>
      <c r="Q43" s="137"/>
      <c r="R43" s="137"/>
      <c r="S43" s="161"/>
      <c r="T43" s="161"/>
    </row>
    <row r="44" spans="3:20" ht="18.75" x14ac:dyDescent="0.25">
      <c r="C44" s="113"/>
      <c r="D44" s="113"/>
      <c r="E44" s="112"/>
      <c r="F44" s="114"/>
      <c r="G44" s="112"/>
      <c r="H44" s="112"/>
      <c r="I44" s="134" t="s">
        <v>78</v>
      </c>
      <c r="J44" s="139"/>
      <c r="K44" s="111"/>
      <c r="L44" s="131"/>
      <c r="M44" s="112"/>
      <c r="N44" s="112"/>
      <c r="O44" s="137"/>
      <c r="P44" s="137"/>
      <c r="Q44" s="137"/>
      <c r="R44" s="137"/>
      <c r="S44" s="161"/>
      <c r="T44" s="161"/>
    </row>
    <row r="45" spans="3:20" ht="18.75" x14ac:dyDescent="0.25">
      <c r="C45" s="113" t="s">
        <v>81</v>
      </c>
      <c r="D45" s="113"/>
      <c r="E45" s="112"/>
      <c r="F45" s="112"/>
      <c r="G45" s="112"/>
      <c r="H45" s="112"/>
      <c r="I45" s="134" t="s">
        <v>80</v>
      </c>
      <c r="J45" s="139"/>
      <c r="K45" s="111"/>
      <c r="L45" s="131"/>
      <c r="M45" s="112"/>
      <c r="N45" s="112"/>
      <c r="O45" s="137"/>
      <c r="P45" s="137"/>
      <c r="Q45" s="137"/>
      <c r="R45" s="137"/>
      <c r="S45" s="161"/>
      <c r="T45" s="161"/>
    </row>
    <row r="46" spans="3:20" ht="18.75" x14ac:dyDescent="0.25">
      <c r="C46" s="113" t="s">
        <v>89</v>
      </c>
      <c r="D46" s="113"/>
      <c r="E46" s="112"/>
      <c r="F46" s="112"/>
      <c r="G46" s="112"/>
      <c r="H46" s="112"/>
      <c r="I46" s="134" t="s">
        <v>82</v>
      </c>
      <c r="J46" s="139"/>
      <c r="K46" s="111"/>
      <c r="L46" s="131"/>
      <c r="M46" s="112"/>
      <c r="N46" s="112"/>
      <c r="O46" s="137"/>
      <c r="P46" s="137"/>
      <c r="Q46" s="137"/>
      <c r="R46" s="137"/>
      <c r="S46" s="161"/>
      <c r="T46" s="161"/>
    </row>
    <row r="47" spans="3:20" ht="18.75" x14ac:dyDescent="0.25">
      <c r="C47" s="113"/>
      <c r="D47" s="113"/>
      <c r="E47" s="112">
        <v>1.02</v>
      </c>
      <c r="F47" s="250" t="s">
        <v>90</v>
      </c>
      <c r="G47" s="112"/>
      <c r="H47" s="112"/>
      <c r="I47" s="134"/>
      <c r="J47" s="139"/>
      <c r="K47" s="111"/>
      <c r="L47" s="131"/>
      <c r="M47" s="112"/>
      <c r="N47" s="112"/>
      <c r="O47" s="137"/>
      <c r="P47" s="137"/>
      <c r="Q47" s="137"/>
      <c r="R47" s="137"/>
      <c r="S47" s="161"/>
      <c r="T47" s="161"/>
    </row>
    <row r="48" spans="3:20" ht="18.75" x14ac:dyDescent="0.25">
      <c r="C48" s="113" t="s">
        <v>91</v>
      </c>
      <c r="D48" s="113" t="s">
        <v>92</v>
      </c>
      <c r="E48" s="112" t="s">
        <v>93</v>
      </c>
      <c r="F48" s="114" t="s">
        <v>93</v>
      </c>
      <c r="G48" s="112"/>
      <c r="H48" s="112"/>
      <c r="I48" s="134" t="s">
        <v>94</v>
      </c>
      <c r="J48" s="139"/>
      <c r="K48" s="111"/>
      <c r="L48" s="131"/>
      <c r="M48" s="112"/>
      <c r="N48" s="112"/>
      <c r="O48" s="137"/>
      <c r="P48" s="137"/>
      <c r="Q48" s="137"/>
      <c r="R48" s="137"/>
      <c r="S48" s="161"/>
      <c r="T48" s="161"/>
    </row>
    <row r="49" spans="3:20" x14ac:dyDescent="0.25">
      <c r="C49" s="113"/>
      <c r="D49" s="113"/>
      <c r="E49" s="112"/>
      <c r="F49" s="114"/>
      <c r="G49" s="112"/>
      <c r="H49" s="112"/>
      <c r="I49" s="139"/>
      <c r="J49" s="131"/>
      <c r="K49" s="132"/>
      <c r="L49" s="131"/>
      <c r="M49" s="131"/>
      <c r="N49" s="131"/>
      <c r="O49" s="133"/>
      <c r="P49" s="133"/>
      <c r="Q49" s="133"/>
      <c r="R49" s="133"/>
      <c r="S49" s="131"/>
      <c r="T49" s="112"/>
    </row>
    <row r="50" spans="3:20" x14ac:dyDescent="0.25">
      <c r="C50" s="113"/>
      <c r="D50" s="113"/>
      <c r="E50" s="112"/>
      <c r="F50" s="114"/>
      <c r="G50" s="112"/>
      <c r="H50" s="112"/>
      <c r="I50" s="139"/>
      <c r="J50" s="131"/>
      <c r="K50" s="132"/>
      <c r="L50" s="131"/>
      <c r="M50" s="131"/>
      <c r="N50" s="131"/>
      <c r="O50" s="133"/>
      <c r="P50" s="133"/>
      <c r="Q50" s="133"/>
      <c r="R50" s="133"/>
      <c r="S50" s="131"/>
      <c r="T50" s="112"/>
    </row>
    <row r="51" spans="3:20" x14ac:dyDescent="0.25">
      <c r="C51" s="115"/>
      <c r="D51" s="115"/>
      <c r="E51" s="116"/>
      <c r="F51" s="116"/>
      <c r="G51" s="116"/>
      <c r="H51" s="116"/>
      <c r="I51" s="140"/>
      <c r="J51" s="141"/>
      <c r="K51" s="142"/>
      <c r="L51" s="141"/>
      <c r="M51" s="141"/>
      <c r="N51" s="143"/>
      <c r="O51" s="143"/>
      <c r="P51" s="144"/>
      <c r="Q51" s="144"/>
      <c r="R51" s="144"/>
      <c r="S51" s="143"/>
      <c r="T51" s="162"/>
    </row>
    <row r="52" spans="3:20" x14ac:dyDescent="0.25">
      <c r="C52" s="117"/>
      <c r="D52" s="117"/>
      <c r="E52" s="118"/>
      <c r="F52" s="118"/>
      <c r="G52" s="118"/>
      <c r="H52" s="118"/>
      <c r="I52" s="145" t="s">
        <v>18</v>
      </c>
      <c r="J52" s="146">
        <f>SUM(J18:J51)</f>
        <v>0</v>
      </c>
      <c r="K52" s="147"/>
      <c r="L52" s="146">
        <f>SUM(L19:L51)</f>
        <v>0</v>
      </c>
      <c r="M52" s="148"/>
      <c r="N52" s="149"/>
      <c r="O52" s="150"/>
      <c r="P52" s="150"/>
      <c r="Q52" s="150"/>
      <c r="R52" s="150"/>
      <c r="S52" s="149"/>
      <c r="T52" s="163"/>
    </row>
    <row r="53" spans="3:20" x14ac:dyDescent="0.25">
      <c r="C53" s="119"/>
      <c r="D53" s="119"/>
      <c r="E53" s="120"/>
      <c r="F53" s="120"/>
      <c r="G53" s="120"/>
      <c r="H53" s="120"/>
      <c r="I53" s="151"/>
      <c r="J53" s="152"/>
      <c r="K53" s="153"/>
      <c r="L53" s="152"/>
      <c r="M53" s="152"/>
      <c r="N53" s="152"/>
      <c r="O53" s="152"/>
      <c r="P53" s="152"/>
      <c r="Q53" s="152"/>
      <c r="R53" s="152"/>
      <c r="S53" s="152"/>
      <c r="T53" s="120"/>
    </row>
    <row r="54" spans="3:20" x14ac:dyDescent="0.25">
      <c r="C54" s="5881" t="s">
        <v>19</v>
      </c>
      <c r="D54" s="5881"/>
      <c r="E54" s="5881"/>
      <c r="F54" s="5881"/>
      <c r="G54" s="5881"/>
      <c r="H54" s="5881"/>
      <c r="I54" s="5881"/>
      <c r="J54" s="5881"/>
      <c r="K54" s="154"/>
      <c r="L54" s="155"/>
      <c r="M54" s="155"/>
      <c r="N54" s="155"/>
      <c r="O54" s="155"/>
      <c r="P54" s="155"/>
      <c r="Q54" s="155"/>
      <c r="R54" s="155"/>
      <c r="S54" s="155"/>
      <c r="T54" s="164"/>
    </row>
    <row r="55" spans="3:20" ht="20.25" x14ac:dyDescent="0.25">
      <c r="C55" s="5886" t="s">
        <v>44</v>
      </c>
      <c r="D55" s="5886"/>
      <c r="E55" s="5886"/>
      <c r="F55" s="5886"/>
      <c r="G55" s="5886"/>
      <c r="H55" s="5886"/>
      <c r="I55" s="5886"/>
      <c r="J55" s="5886"/>
      <c r="K55" s="156"/>
      <c r="L55" s="5886"/>
      <c r="M55" s="5886"/>
      <c r="N55" s="5886"/>
      <c r="O55" s="5886"/>
      <c r="P55" s="5886"/>
      <c r="Q55" s="5886"/>
      <c r="R55" s="5886"/>
      <c r="S55" s="5886"/>
      <c r="T55" s="5886"/>
    </row>
    <row r="56" spans="3:20" ht="20.25" x14ac:dyDescent="0.25">
      <c r="C56" s="122" t="s">
        <v>184</v>
      </c>
      <c r="D56" s="122"/>
      <c r="E56" s="122"/>
      <c r="F56" s="122"/>
      <c r="G56" s="122"/>
      <c r="H56" s="122"/>
      <c r="I56" s="122"/>
      <c r="J56" s="122"/>
      <c r="K56" s="156"/>
      <c r="L56" s="5886"/>
      <c r="M56" s="5886"/>
      <c r="N56" s="5886"/>
      <c r="O56" s="5886"/>
      <c r="P56" s="5886"/>
      <c r="Q56" s="5886"/>
      <c r="R56" s="5886"/>
      <c r="S56" s="5886"/>
      <c r="T56" s="5886"/>
    </row>
    <row r="57" spans="3:20" ht="20.25" x14ac:dyDescent="0.25">
      <c r="C57" s="5886" t="s">
        <v>95</v>
      </c>
      <c r="D57" s="5886"/>
      <c r="E57" s="5886"/>
      <c r="F57" s="5886"/>
      <c r="G57" s="5886"/>
      <c r="H57" s="5886"/>
      <c r="I57" s="5886"/>
      <c r="J57" s="5886"/>
      <c r="K57" s="156"/>
      <c r="L57" s="5886"/>
      <c r="M57" s="5886"/>
      <c r="N57" s="5886"/>
      <c r="O57" s="5886"/>
      <c r="P57" s="5886"/>
      <c r="Q57" s="5886"/>
      <c r="R57" s="5886"/>
      <c r="S57" s="5886"/>
      <c r="T57" s="5886"/>
    </row>
    <row r="58" spans="3:20" ht="20.25" x14ac:dyDescent="0.25">
      <c r="C58" s="5886" t="s">
        <v>185</v>
      </c>
      <c r="D58" s="5886"/>
      <c r="E58" s="5886"/>
      <c r="F58" s="5886"/>
      <c r="G58" s="5886"/>
      <c r="H58" s="5886"/>
      <c r="I58" s="5886"/>
      <c r="J58" s="5886"/>
      <c r="K58" s="5886"/>
      <c r="L58" s="5886"/>
      <c r="M58" s="5886"/>
      <c r="N58" s="5886"/>
      <c r="O58" s="5886"/>
      <c r="P58" s="5886"/>
      <c r="Q58" s="5886"/>
      <c r="R58" s="5886"/>
      <c r="S58" s="5886"/>
      <c r="T58" s="5886"/>
    </row>
    <row r="59" spans="3:20" ht="20.25" x14ac:dyDescent="0.3">
      <c r="C59" s="122" t="s">
        <v>117</v>
      </c>
      <c r="D59" s="122"/>
      <c r="E59" s="122"/>
      <c r="F59" s="122"/>
      <c r="G59" s="122"/>
      <c r="H59" s="122"/>
      <c r="I59" s="122"/>
      <c r="J59" s="122"/>
      <c r="K59" s="122"/>
      <c r="L59" s="122"/>
      <c r="M59" s="122"/>
      <c r="N59" s="122"/>
      <c r="O59" s="122"/>
      <c r="P59" s="157"/>
      <c r="Q59" s="165"/>
      <c r="R59" s="165"/>
      <c r="S59" s="166"/>
      <c r="T59" s="166"/>
    </row>
    <row r="60" spans="3:20" ht="20.25" x14ac:dyDescent="0.3">
      <c r="C60" s="122" t="s">
        <v>118</v>
      </c>
      <c r="D60" s="122"/>
      <c r="E60" s="122"/>
      <c r="F60" s="122"/>
      <c r="G60" s="122"/>
      <c r="H60" s="122"/>
      <c r="I60" s="122"/>
      <c r="J60" s="121"/>
      <c r="K60" s="156"/>
      <c r="L60" s="121"/>
      <c r="M60" s="157"/>
      <c r="N60" s="157"/>
      <c r="O60" s="157"/>
      <c r="P60" s="157"/>
      <c r="Q60" s="122"/>
      <c r="R60" s="122"/>
      <c r="S60" s="166"/>
      <c r="T60" s="166"/>
    </row>
    <row r="61" spans="3:20" ht="20.25" x14ac:dyDescent="0.3">
      <c r="C61" s="122" t="s">
        <v>119</v>
      </c>
      <c r="D61" s="122"/>
      <c r="E61" s="122"/>
      <c r="F61" s="122"/>
      <c r="G61" s="122"/>
      <c r="H61" s="122"/>
      <c r="I61" s="122"/>
      <c r="J61" s="121"/>
      <c r="K61" s="156"/>
      <c r="L61" s="121"/>
      <c r="M61" s="157"/>
      <c r="N61" s="157"/>
      <c r="O61" s="157"/>
      <c r="P61" s="157"/>
      <c r="Q61" s="122"/>
      <c r="R61" s="122"/>
      <c r="S61" s="166"/>
      <c r="T61" s="166"/>
    </row>
    <row r="62" spans="3:20" ht="20.25" x14ac:dyDescent="0.3">
      <c r="C62" s="122" t="s">
        <v>120</v>
      </c>
      <c r="D62" s="122"/>
      <c r="E62" s="122"/>
      <c r="F62" s="122"/>
      <c r="G62" s="122"/>
      <c r="H62" s="122"/>
      <c r="I62" s="122"/>
      <c r="J62" s="121"/>
      <c r="K62" s="156"/>
      <c r="L62" s="121"/>
      <c r="M62" s="157"/>
      <c r="N62" s="157"/>
      <c r="O62" s="157"/>
      <c r="P62" s="157"/>
      <c r="Q62" s="122"/>
      <c r="R62" s="122"/>
      <c r="S62" s="166"/>
      <c r="T62" s="166"/>
    </row>
    <row r="63" spans="3:20" ht="20.25" x14ac:dyDescent="0.3">
      <c r="C63" s="122" t="s">
        <v>47</v>
      </c>
      <c r="D63" s="122"/>
      <c r="E63" s="122"/>
      <c r="F63" s="122"/>
      <c r="G63" s="122"/>
      <c r="H63" s="122"/>
      <c r="I63" s="122"/>
      <c r="J63" s="122"/>
      <c r="K63" s="156"/>
      <c r="L63" s="122"/>
      <c r="M63" s="122"/>
      <c r="N63" s="122"/>
      <c r="O63" s="122"/>
      <c r="P63" s="157"/>
      <c r="Q63" s="122"/>
      <c r="R63" s="122"/>
      <c r="S63" s="166"/>
      <c r="T63" s="166"/>
    </row>
    <row r="64" spans="3:20" ht="20.25" x14ac:dyDescent="0.3">
      <c r="C64" s="122" t="s">
        <v>186</v>
      </c>
      <c r="D64" s="123"/>
      <c r="E64" s="123"/>
      <c r="F64" s="123"/>
      <c r="G64" s="123"/>
      <c r="H64" s="123"/>
      <c r="I64" s="123"/>
      <c r="J64" s="123"/>
      <c r="K64" s="158"/>
      <c r="L64" s="122"/>
      <c r="M64" s="159"/>
      <c r="N64" s="159"/>
      <c r="O64" s="159"/>
      <c r="P64" s="122"/>
      <c r="Q64" s="122"/>
      <c r="R64" s="122"/>
      <c r="S64" s="166"/>
      <c r="T64" s="166"/>
    </row>
    <row r="65" spans="3:20" ht="20.25" x14ac:dyDescent="0.3">
      <c r="C65" s="122" t="s">
        <v>187</v>
      </c>
      <c r="D65" s="123"/>
      <c r="E65" s="123"/>
      <c r="F65" s="123"/>
      <c r="G65" s="123"/>
      <c r="H65" s="123"/>
      <c r="I65" s="123"/>
      <c r="J65" s="123"/>
      <c r="K65" s="158"/>
      <c r="L65" s="123"/>
      <c r="M65" s="122"/>
      <c r="N65" s="122"/>
      <c r="O65" s="122"/>
      <c r="P65" s="159"/>
      <c r="Q65" s="122"/>
      <c r="R65" s="122"/>
      <c r="S65" s="166"/>
      <c r="T65" s="166"/>
    </row>
    <row r="66" spans="3:20" ht="20.25" x14ac:dyDescent="0.3">
      <c r="C66" s="122" t="s">
        <v>188</v>
      </c>
      <c r="D66" s="122"/>
      <c r="E66" s="122"/>
      <c r="F66" s="122"/>
      <c r="G66" s="122"/>
      <c r="H66" s="122"/>
      <c r="I66" s="122"/>
      <c r="J66" s="122"/>
      <c r="K66" s="156"/>
      <c r="L66" s="122"/>
      <c r="M66" s="157"/>
      <c r="N66" s="157"/>
      <c r="O66" s="157"/>
      <c r="P66" s="122"/>
      <c r="Q66" s="122"/>
      <c r="R66" s="122"/>
      <c r="S66" s="166"/>
      <c r="T66" s="166"/>
    </row>
    <row r="67" spans="3:20" ht="20.25" x14ac:dyDescent="0.3">
      <c r="C67" s="122" t="s">
        <v>121</v>
      </c>
      <c r="D67" s="123"/>
      <c r="E67" s="123"/>
      <c r="F67" s="122"/>
      <c r="G67" s="122"/>
      <c r="H67" s="122"/>
      <c r="I67" s="122"/>
      <c r="J67" s="122"/>
      <c r="K67" s="156"/>
      <c r="L67" s="157"/>
      <c r="M67" s="157"/>
      <c r="N67" s="157"/>
      <c r="O67" s="157"/>
      <c r="P67" s="157"/>
      <c r="Q67" s="122"/>
      <c r="R67" s="122"/>
      <c r="S67" s="166"/>
      <c r="T67" s="166"/>
    </row>
    <row r="68" spans="3:20" ht="20.25" x14ac:dyDescent="0.25">
      <c r="C68" s="122" t="s">
        <v>189</v>
      </c>
      <c r="D68" s="122"/>
      <c r="E68" s="122"/>
      <c r="F68" s="122"/>
      <c r="G68" s="122"/>
      <c r="H68" s="122"/>
      <c r="I68" s="122"/>
      <c r="J68" s="122"/>
      <c r="K68" s="156"/>
      <c r="L68" s="157"/>
      <c r="M68" s="157"/>
      <c r="N68" s="157"/>
      <c r="O68" s="157"/>
      <c r="P68" s="157"/>
      <c r="Q68" s="157"/>
      <c r="R68" s="157"/>
      <c r="S68" s="157"/>
      <c r="T68" s="122"/>
    </row>
    <row r="69" spans="3:20" ht="20.25" x14ac:dyDescent="0.25">
      <c r="C69" s="122" t="s">
        <v>190</v>
      </c>
      <c r="D69" s="123"/>
      <c r="E69" s="123"/>
      <c r="F69" s="157"/>
      <c r="G69" s="157"/>
      <c r="H69" s="157"/>
      <c r="I69" s="157"/>
      <c r="J69" s="157"/>
      <c r="K69" s="167"/>
      <c r="L69" s="157"/>
      <c r="M69" s="157"/>
      <c r="N69" s="157"/>
      <c r="O69" s="157"/>
      <c r="P69" s="157"/>
      <c r="Q69" s="157"/>
      <c r="R69" s="157"/>
      <c r="S69" s="157"/>
      <c r="T69" s="122"/>
    </row>
    <row r="70" spans="3:20" ht="20.25" x14ac:dyDescent="0.25">
      <c r="C70" s="122" t="s">
        <v>191</v>
      </c>
      <c r="D70" s="156"/>
      <c r="E70" s="122"/>
      <c r="F70" s="122"/>
      <c r="G70" s="122"/>
      <c r="H70" s="122"/>
      <c r="I70" s="122"/>
      <c r="J70" s="157"/>
      <c r="K70" s="167"/>
      <c r="L70" s="157"/>
      <c r="M70" s="157"/>
      <c r="N70" s="157"/>
      <c r="O70" s="157"/>
      <c r="P70" s="157"/>
      <c r="Q70" s="157"/>
      <c r="R70" s="157"/>
      <c r="S70" s="157"/>
      <c r="T70" s="122"/>
    </row>
    <row r="71" spans="3:20" ht="20.25" x14ac:dyDescent="0.25">
      <c r="C71" s="122" t="s">
        <v>122</v>
      </c>
      <c r="D71" s="122"/>
      <c r="E71" s="122"/>
      <c r="F71" s="122"/>
      <c r="G71" s="122"/>
      <c r="H71" s="122"/>
      <c r="I71" s="122"/>
      <c r="J71" s="122"/>
      <c r="K71" s="122"/>
      <c r="L71" s="122"/>
      <c r="M71" s="157"/>
      <c r="N71" s="157"/>
      <c r="O71" s="157"/>
      <c r="P71" s="157"/>
      <c r="Q71" s="157"/>
      <c r="R71" s="157"/>
      <c r="S71" s="157"/>
      <c r="T71" s="122"/>
    </row>
  </sheetData>
  <mergeCells count="25">
    <mergeCell ref="C8:T8"/>
    <mergeCell ref="C1:T1"/>
    <mergeCell ref="J2:T2"/>
    <mergeCell ref="C5:T5"/>
    <mergeCell ref="C6:T6"/>
    <mergeCell ref="C7:T7"/>
    <mergeCell ref="C9:P9"/>
    <mergeCell ref="J12:K12"/>
    <mergeCell ref="L12:O12"/>
    <mergeCell ref="P12:S12"/>
    <mergeCell ref="J13:K13"/>
    <mergeCell ref="L13:O13"/>
    <mergeCell ref="P13:S13"/>
    <mergeCell ref="C58:T58"/>
    <mergeCell ref="C12:C14"/>
    <mergeCell ref="I12:I14"/>
    <mergeCell ref="T12:T14"/>
    <mergeCell ref="D12:H14"/>
    <mergeCell ref="D15:H15"/>
    <mergeCell ref="C54:J54"/>
    <mergeCell ref="C55:J55"/>
    <mergeCell ref="L55:T55"/>
    <mergeCell ref="L56:T56"/>
    <mergeCell ref="C57:J57"/>
    <mergeCell ref="L57:T57"/>
  </mergeCells>
  <printOptions horizontalCentered="1"/>
  <pageMargins left="0.2" right="0.71" top="0.75" bottom="0.75" header="0.31" footer="0.31"/>
  <pageSetup paperSize="9" scale="55" fitToHeight="2" orientation="landscape" horizontalDpi="300" verticalDpi="3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FF00"/>
    <pageSetUpPr fitToPage="1"/>
  </sheetPr>
  <dimension ref="B1:I107"/>
  <sheetViews>
    <sheetView view="pageBreakPreview" topLeftCell="A67" zoomScaleNormal="70" workbookViewId="0">
      <selection activeCell="B85" sqref="B85:H85"/>
    </sheetView>
  </sheetViews>
  <sheetFormatPr defaultColWidth="8.85546875" defaultRowHeight="20.100000000000001" customHeight="1" x14ac:dyDescent="0.2"/>
  <cols>
    <col min="1" max="1" width="7.42578125" style="3" customWidth="1"/>
    <col min="2" max="2" width="5.28515625" style="75" customWidth="1"/>
    <col min="3" max="3" width="6.140625" style="4" customWidth="1"/>
    <col min="4" max="4" width="61.140625" style="3" customWidth="1"/>
    <col min="5" max="5" width="17" style="76" customWidth="1"/>
    <col min="6" max="6" width="16.28515625" style="76" customWidth="1"/>
    <col min="7" max="7" width="18" style="76" customWidth="1"/>
    <col min="8" max="8" width="17.7109375" style="76" customWidth="1"/>
    <col min="9" max="9" width="18.140625" style="3" customWidth="1"/>
    <col min="10" max="16384" width="8.85546875" style="3"/>
  </cols>
  <sheetData>
    <row r="1" spans="2:9" ht="20.100000000000001" customHeight="1" x14ac:dyDescent="0.3">
      <c r="I1" s="5" t="s">
        <v>192</v>
      </c>
    </row>
    <row r="2" spans="2:9" ht="20.25" x14ac:dyDescent="0.2">
      <c r="B2" s="77" t="s">
        <v>0</v>
      </c>
      <c r="C2" s="6"/>
      <c r="D2" s="6"/>
      <c r="E2" s="6"/>
      <c r="F2" s="6"/>
      <c r="G2" s="6"/>
      <c r="H2" s="6"/>
      <c r="I2" s="7" t="s">
        <v>169</v>
      </c>
    </row>
    <row r="3" spans="2:9" ht="20.25" x14ac:dyDescent="0.2">
      <c r="B3" s="77"/>
      <c r="C3" s="6"/>
      <c r="D3" s="6"/>
      <c r="E3" s="6"/>
      <c r="F3" s="6"/>
      <c r="G3" s="6"/>
      <c r="H3" s="6"/>
      <c r="I3" s="7"/>
    </row>
    <row r="4" spans="2:9" ht="32.25" customHeight="1" x14ac:dyDescent="0.2">
      <c r="B4" s="5884" t="s">
        <v>193</v>
      </c>
      <c r="C4" s="5884"/>
      <c r="D4" s="5884"/>
      <c r="E4" s="5884"/>
      <c r="F4" s="5884"/>
      <c r="G4" s="5884"/>
      <c r="H4" s="5884"/>
      <c r="I4" s="5884"/>
    </row>
    <row r="5" spans="2:9" ht="15.75" x14ac:dyDescent="0.25">
      <c r="B5" s="78"/>
      <c r="C5" s="8"/>
      <c r="D5" s="8"/>
      <c r="E5" s="8"/>
      <c r="F5" s="8"/>
      <c r="G5" s="8"/>
      <c r="H5" s="8"/>
      <c r="I5" s="8"/>
    </row>
    <row r="6" spans="2:9" ht="20.25" customHeight="1" x14ac:dyDescent="0.2">
      <c r="B6" s="5904" t="s">
        <v>194</v>
      </c>
      <c r="C6" s="5904"/>
      <c r="D6" s="5904"/>
      <c r="E6" s="79"/>
      <c r="F6" s="79"/>
      <c r="G6" s="79"/>
      <c r="H6" s="79"/>
    </row>
    <row r="7" spans="2:9" ht="20.25" customHeight="1" x14ac:dyDescent="0.2">
      <c r="B7" s="5904" t="s">
        <v>172</v>
      </c>
      <c r="C7" s="5904"/>
      <c r="D7" s="5904"/>
      <c r="E7" s="5904"/>
      <c r="F7" s="5904"/>
      <c r="G7" s="5904"/>
      <c r="H7" s="5904"/>
      <c r="I7" s="9"/>
    </row>
    <row r="8" spans="2:9" ht="20.25" customHeight="1" x14ac:dyDescent="0.25">
      <c r="B8" s="80"/>
      <c r="C8" s="9"/>
      <c r="D8" s="9"/>
      <c r="E8" s="79"/>
      <c r="F8" s="79"/>
      <c r="G8" s="79"/>
      <c r="H8" s="79"/>
    </row>
    <row r="9" spans="2:9" ht="18" customHeight="1" x14ac:dyDescent="0.2">
      <c r="B9" s="5911" t="s">
        <v>123</v>
      </c>
      <c r="C9" s="5912"/>
      <c r="D9" s="5899" t="s">
        <v>2</v>
      </c>
      <c r="E9" s="5910" t="s">
        <v>124</v>
      </c>
      <c r="F9" s="5910"/>
      <c r="G9" s="5910"/>
      <c r="H9" s="5910"/>
      <c r="I9" s="5900" t="s">
        <v>4</v>
      </c>
    </row>
    <row r="10" spans="2:9" s="1" customFormat="1" ht="37.5" customHeight="1" x14ac:dyDescent="0.2">
      <c r="B10" s="5913"/>
      <c r="C10" s="5914"/>
      <c r="D10" s="5795"/>
      <c r="E10" s="5878" t="s">
        <v>51</v>
      </c>
      <c r="F10" s="5878"/>
      <c r="G10" s="5878"/>
      <c r="H10" s="5878"/>
      <c r="I10" s="5901"/>
    </row>
    <row r="11" spans="2:9" s="1" customFormat="1" ht="76.5" customHeight="1" x14ac:dyDescent="0.2">
      <c r="B11" s="5915"/>
      <c r="C11" s="5916"/>
      <c r="D11" s="5872"/>
      <c r="E11" s="12" t="s">
        <v>52</v>
      </c>
      <c r="F11" s="12" t="s">
        <v>53</v>
      </c>
      <c r="G11" s="12" t="s">
        <v>100</v>
      </c>
      <c r="H11" s="12" t="s">
        <v>173</v>
      </c>
      <c r="I11" s="5902"/>
    </row>
    <row r="12" spans="2:9" ht="20.100000000000001" customHeight="1" x14ac:dyDescent="0.2">
      <c r="B12" s="5907" t="s">
        <v>8</v>
      </c>
      <c r="C12" s="5908"/>
      <c r="D12" s="255" t="s">
        <v>9</v>
      </c>
      <c r="E12" s="256" t="s">
        <v>10</v>
      </c>
      <c r="F12" s="256" t="s">
        <v>11</v>
      </c>
      <c r="G12" s="256" t="s">
        <v>125</v>
      </c>
      <c r="H12" s="81" t="s">
        <v>13</v>
      </c>
      <c r="I12" s="81" t="s">
        <v>35</v>
      </c>
    </row>
    <row r="13" spans="2:9" ht="20.100000000000001" customHeight="1" x14ac:dyDescent="0.2">
      <c r="B13" s="82"/>
      <c r="C13" s="16"/>
      <c r="D13" s="16"/>
      <c r="E13" s="83"/>
      <c r="F13" s="83"/>
      <c r="G13" s="83"/>
      <c r="H13" s="83"/>
      <c r="I13" s="90"/>
    </row>
    <row r="14" spans="2:9" ht="20.100000000000001" customHeight="1" x14ac:dyDescent="0.2">
      <c r="B14" s="84"/>
      <c r="C14" s="20"/>
      <c r="D14" s="257" t="s">
        <v>136</v>
      </c>
      <c r="E14" s="85"/>
      <c r="F14" s="85"/>
      <c r="G14" s="85"/>
      <c r="H14" s="85"/>
      <c r="I14" s="91"/>
    </row>
    <row r="15" spans="2:9" ht="7.5" customHeight="1" x14ac:dyDescent="0.2">
      <c r="B15" s="27"/>
      <c r="C15" s="24"/>
      <c r="D15" s="86"/>
      <c r="E15" s="87"/>
      <c r="F15" s="87"/>
      <c r="G15" s="87"/>
      <c r="H15" s="87"/>
      <c r="I15" s="91"/>
    </row>
    <row r="16" spans="2:9" ht="15" customHeight="1" x14ac:dyDescent="0.2">
      <c r="B16" s="27"/>
      <c r="C16" s="28" t="s">
        <v>55</v>
      </c>
      <c r="D16" s="88" t="s">
        <v>195</v>
      </c>
      <c r="E16" s="87"/>
      <c r="F16" s="87"/>
      <c r="G16" s="87"/>
      <c r="H16" s="87"/>
      <c r="I16" s="91"/>
    </row>
    <row r="17" spans="2:9" ht="15" customHeight="1" x14ac:dyDescent="0.2">
      <c r="B17" s="27"/>
      <c r="C17" s="24" t="s">
        <v>196</v>
      </c>
      <c r="D17" s="86" t="s">
        <v>197</v>
      </c>
      <c r="E17" s="87"/>
      <c r="F17" s="87"/>
      <c r="G17" s="87"/>
      <c r="H17" s="87"/>
      <c r="I17" s="91"/>
    </row>
    <row r="18" spans="2:9" ht="19.5" customHeight="1" x14ac:dyDescent="0.2">
      <c r="B18" s="27"/>
      <c r="C18" s="28"/>
      <c r="D18" s="258" t="s">
        <v>73</v>
      </c>
      <c r="E18" s="87"/>
      <c r="F18" s="87"/>
      <c r="G18" s="87"/>
      <c r="H18" s="87"/>
      <c r="I18" s="91"/>
    </row>
    <row r="19" spans="2:9" ht="19.5" customHeight="1" x14ac:dyDescent="0.2">
      <c r="B19" s="27"/>
      <c r="C19" s="28"/>
      <c r="D19" s="258" t="s">
        <v>126</v>
      </c>
      <c r="E19" s="87"/>
      <c r="F19" s="87"/>
      <c r="G19" s="87"/>
      <c r="H19" s="87"/>
      <c r="I19" s="91"/>
    </row>
    <row r="20" spans="2:9" ht="19.5" customHeight="1" x14ac:dyDescent="0.2">
      <c r="B20" s="27"/>
      <c r="C20" s="28"/>
      <c r="D20" s="258" t="s">
        <v>127</v>
      </c>
      <c r="E20" s="87"/>
      <c r="F20" s="87"/>
      <c r="G20" s="87"/>
      <c r="H20" s="87"/>
      <c r="I20" s="91"/>
    </row>
    <row r="21" spans="2:9" ht="19.5" customHeight="1" x14ac:dyDescent="0.2">
      <c r="B21" s="27"/>
      <c r="C21" s="28"/>
      <c r="D21" s="258" t="s">
        <v>128</v>
      </c>
      <c r="E21" s="87"/>
      <c r="F21" s="87"/>
      <c r="G21" s="87"/>
      <c r="H21" s="87"/>
      <c r="I21" s="91"/>
    </row>
    <row r="22" spans="2:9" ht="19.5" customHeight="1" x14ac:dyDescent="0.2">
      <c r="B22" s="27"/>
      <c r="C22" s="28"/>
      <c r="D22" s="258" t="s">
        <v>77</v>
      </c>
      <c r="E22" s="87"/>
      <c r="F22" s="87"/>
      <c r="G22" s="87"/>
      <c r="H22" s="87"/>
      <c r="I22" s="91"/>
    </row>
    <row r="23" spans="2:9" ht="19.5" customHeight="1" x14ac:dyDescent="0.2">
      <c r="B23" s="27"/>
      <c r="C23" s="28"/>
      <c r="D23" s="258" t="s">
        <v>78</v>
      </c>
      <c r="E23" s="87"/>
      <c r="F23" s="87"/>
      <c r="G23" s="87"/>
      <c r="H23" s="87"/>
      <c r="I23" s="91"/>
    </row>
    <row r="24" spans="2:9" ht="19.5" customHeight="1" x14ac:dyDescent="0.2">
      <c r="B24" s="27"/>
      <c r="C24" s="24" t="s">
        <v>79</v>
      </c>
      <c r="D24" s="258" t="s">
        <v>80</v>
      </c>
      <c r="E24" s="87"/>
      <c r="F24" s="87"/>
      <c r="G24" s="87"/>
      <c r="H24" s="87"/>
      <c r="I24" s="91"/>
    </row>
    <row r="25" spans="2:9" ht="19.5" customHeight="1" x14ac:dyDescent="0.2">
      <c r="B25" s="27"/>
      <c r="C25" s="24" t="s">
        <v>81</v>
      </c>
      <c r="D25" s="258" t="s">
        <v>198</v>
      </c>
      <c r="E25" s="87"/>
      <c r="F25" s="87"/>
      <c r="G25" s="87"/>
      <c r="H25" s="87"/>
      <c r="I25" s="91"/>
    </row>
    <row r="26" spans="2:9" ht="12" customHeight="1" x14ac:dyDescent="0.2">
      <c r="B26" s="27"/>
      <c r="C26" s="28"/>
      <c r="D26" s="88"/>
      <c r="E26" s="87"/>
      <c r="F26" s="87"/>
      <c r="G26" s="87"/>
      <c r="H26" s="87"/>
      <c r="I26" s="91"/>
    </row>
    <row r="27" spans="2:9" ht="16.5" customHeight="1" x14ac:dyDescent="0.2">
      <c r="B27" s="27"/>
      <c r="C27" s="28" t="s">
        <v>83</v>
      </c>
      <c r="D27" s="88" t="s">
        <v>199</v>
      </c>
      <c r="E27" s="87"/>
      <c r="F27" s="87"/>
      <c r="G27" s="87"/>
      <c r="H27" s="87"/>
      <c r="I27" s="91"/>
    </row>
    <row r="28" spans="2:9" ht="15" customHeight="1" x14ac:dyDescent="0.2">
      <c r="B28" s="27"/>
      <c r="C28" s="24" t="s">
        <v>196</v>
      </c>
      <c r="D28" s="86" t="s">
        <v>197</v>
      </c>
      <c r="E28" s="87"/>
      <c r="F28" s="87"/>
      <c r="G28" s="87"/>
      <c r="H28" s="87"/>
      <c r="I28" s="91"/>
    </row>
    <row r="29" spans="2:9" ht="16.5" customHeight="1" x14ac:dyDescent="0.2">
      <c r="B29" s="27"/>
      <c r="C29" s="28"/>
      <c r="D29" s="258" t="s">
        <v>73</v>
      </c>
      <c r="E29" s="87"/>
      <c r="F29" s="87"/>
      <c r="G29" s="87"/>
      <c r="H29" s="87"/>
      <c r="I29" s="91"/>
    </row>
    <row r="30" spans="2:9" ht="16.5" customHeight="1" x14ac:dyDescent="0.2">
      <c r="B30" s="27"/>
      <c r="C30" s="28"/>
      <c r="D30" s="258" t="s">
        <v>74</v>
      </c>
      <c r="E30" s="87"/>
      <c r="F30" s="87"/>
      <c r="G30" s="87"/>
      <c r="H30" s="87"/>
      <c r="I30" s="91"/>
    </row>
    <row r="31" spans="2:9" ht="16.5" customHeight="1" x14ac:dyDescent="0.2">
      <c r="B31" s="27"/>
      <c r="C31" s="28"/>
      <c r="D31" s="258" t="s">
        <v>75</v>
      </c>
      <c r="E31" s="87"/>
      <c r="F31" s="87"/>
      <c r="G31" s="87"/>
      <c r="H31" s="87"/>
      <c r="I31" s="91"/>
    </row>
    <row r="32" spans="2:9" ht="16.5" customHeight="1" x14ac:dyDescent="0.2">
      <c r="B32" s="27"/>
      <c r="C32" s="28"/>
      <c r="D32" s="258" t="s">
        <v>87</v>
      </c>
      <c r="E32" s="87"/>
      <c r="F32" s="87"/>
      <c r="G32" s="87"/>
      <c r="H32" s="87"/>
      <c r="I32" s="91"/>
    </row>
    <row r="33" spans="2:9" ht="16.5" customHeight="1" x14ac:dyDescent="0.2">
      <c r="B33" s="27"/>
      <c r="C33" s="28"/>
      <c r="D33" s="258" t="s">
        <v>77</v>
      </c>
      <c r="E33" s="87"/>
      <c r="F33" s="87"/>
      <c r="G33" s="87"/>
      <c r="H33" s="87"/>
      <c r="I33" s="91"/>
    </row>
    <row r="34" spans="2:9" ht="16.5" customHeight="1" x14ac:dyDescent="0.2">
      <c r="B34" s="27"/>
      <c r="C34" s="28"/>
      <c r="D34" s="258" t="s">
        <v>78</v>
      </c>
      <c r="E34" s="87"/>
      <c r="F34" s="87"/>
      <c r="G34" s="87"/>
      <c r="H34" s="87"/>
      <c r="I34" s="91"/>
    </row>
    <row r="35" spans="2:9" ht="19.5" customHeight="1" x14ac:dyDescent="0.2">
      <c r="B35" s="27"/>
      <c r="C35" s="24" t="s">
        <v>79</v>
      </c>
      <c r="D35" s="258" t="s">
        <v>80</v>
      </c>
      <c r="E35" s="87"/>
      <c r="F35" s="87"/>
      <c r="G35" s="87"/>
      <c r="H35" s="87"/>
      <c r="I35" s="91"/>
    </row>
    <row r="36" spans="2:9" ht="19.5" customHeight="1" x14ac:dyDescent="0.2">
      <c r="B36" s="27"/>
      <c r="C36" s="24" t="s">
        <v>81</v>
      </c>
      <c r="D36" s="258" t="s">
        <v>198</v>
      </c>
      <c r="E36" s="87"/>
      <c r="F36" s="87"/>
      <c r="G36" s="87"/>
      <c r="H36" s="87"/>
      <c r="I36" s="91"/>
    </row>
    <row r="37" spans="2:9" ht="16.5" customHeight="1" x14ac:dyDescent="0.2">
      <c r="B37" s="27"/>
      <c r="C37" s="28"/>
      <c r="D37" s="86"/>
      <c r="E37" s="87"/>
      <c r="F37" s="87"/>
      <c r="G37" s="87"/>
      <c r="H37" s="87"/>
      <c r="I37" s="91"/>
    </row>
    <row r="38" spans="2:9" ht="16.5" customHeight="1" x14ac:dyDescent="0.2">
      <c r="B38" s="27"/>
      <c r="C38" s="28" t="s">
        <v>91</v>
      </c>
      <c r="D38" s="88" t="s">
        <v>200</v>
      </c>
      <c r="E38" s="89"/>
      <c r="F38" s="89"/>
      <c r="G38" s="89"/>
      <c r="H38" s="89"/>
      <c r="I38" s="91"/>
    </row>
    <row r="39" spans="2:9" ht="15" customHeight="1" x14ac:dyDescent="0.2">
      <c r="B39" s="27"/>
      <c r="C39" s="24" t="s">
        <v>196</v>
      </c>
      <c r="D39" s="86" t="s">
        <v>197</v>
      </c>
      <c r="E39" s="87"/>
      <c r="F39" s="87"/>
      <c r="G39" s="87"/>
      <c r="H39" s="87"/>
      <c r="I39" s="91"/>
    </row>
    <row r="40" spans="2:9" ht="16.5" customHeight="1" x14ac:dyDescent="0.2">
      <c r="B40" s="27"/>
      <c r="C40" s="28"/>
      <c r="D40" s="258" t="s">
        <v>73</v>
      </c>
      <c r="E40" s="87"/>
      <c r="F40" s="87"/>
      <c r="G40" s="87"/>
      <c r="H40" s="87"/>
      <c r="I40" s="91"/>
    </row>
    <row r="41" spans="2:9" ht="16.5" customHeight="1" x14ac:dyDescent="0.2">
      <c r="B41" s="27"/>
      <c r="C41" s="28"/>
      <c r="D41" s="258" t="s">
        <v>74</v>
      </c>
      <c r="E41" s="87"/>
      <c r="F41" s="87"/>
      <c r="G41" s="87"/>
      <c r="H41" s="87"/>
      <c r="I41" s="91"/>
    </row>
    <row r="42" spans="2:9" ht="16.5" customHeight="1" x14ac:dyDescent="0.2">
      <c r="B42" s="27"/>
      <c r="C42" s="28"/>
      <c r="D42" s="258" t="s">
        <v>75</v>
      </c>
      <c r="E42" s="87"/>
      <c r="F42" s="87"/>
      <c r="G42" s="87"/>
      <c r="H42" s="87"/>
      <c r="I42" s="91"/>
    </row>
    <row r="43" spans="2:9" ht="16.5" customHeight="1" x14ac:dyDescent="0.2">
      <c r="B43" s="27"/>
      <c r="C43" s="28"/>
      <c r="D43" s="258" t="s">
        <v>87</v>
      </c>
      <c r="E43" s="87"/>
      <c r="F43" s="87"/>
      <c r="G43" s="87"/>
      <c r="H43" s="87"/>
      <c r="I43" s="91"/>
    </row>
    <row r="44" spans="2:9" ht="16.5" customHeight="1" x14ac:dyDescent="0.2">
      <c r="B44" s="27"/>
      <c r="C44" s="28"/>
      <c r="D44" s="258" t="s">
        <v>77</v>
      </c>
      <c r="E44" s="87"/>
      <c r="F44" s="87"/>
      <c r="G44" s="87"/>
      <c r="H44" s="87"/>
      <c r="I44" s="91"/>
    </row>
    <row r="45" spans="2:9" ht="16.5" customHeight="1" x14ac:dyDescent="0.2">
      <c r="B45" s="27"/>
      <c r="C45" s="28"/>
      <c r="D45" s="258" t="s">
        <v>78</v>
      </c>
      <c r="E45" s="87"/>
      <c r="F45" s="87"/>
      <c r="G45" s="87"/>
      <c r="H45" s="87"/>
      <c r="I45" s="91"/>
    </row>
    <row r="46" spans="2:9" ht="19.5" customHeight="1" x14ac:dyDescent="0.2">
      <c r="B46" s="27"/>
      <c r="C46" s="24" t="s">
        <v>79</v>
      </c>
      <c r="D46" s="258" t="s">
        <v>80</v>
      </c>
      <c r="E46" s="87"/>
      <c r="F46" s="87"/>
      <c r="G46" s="87"/>
      <c r="H46" s="87"/>
      <c r="I46" s="91"/>
    </row>
    <row r="47" spans="2:9" ht="19.5" customHeight="1" x14ac:dyDescent="0.2">
      <c r="B47" s="27"/>
      <c r="C47" s="24" t="s">
        <v>81</v>
      </c>
      <c r="D47" s="258" t="s">
        <v>198</v>
      </c>
      <c r="E47" s="87"/>
      <c r="F47" s="87"/>
      <c r="G47" s="87"/>
      <c r="H47" s="87"/>
      <c r="I47" s="91"/>
    </row>
    <row r="48" spans="2:9" ht="16.5" customHeight="1" x14ac:dyDescent="0.2">
      <c r="B48" s="27"/>
      <c r="C48" s="28"/>
      <c r="D48" s="86"/>
      <c r="E48" s="87"/>
      <c r="F48" s="87"/>
      <c r="G48" s="87"/>
      <c r="H48" s="87"/>
      <c r="I48" s="91"/>
    </row>
    <row r="49" spans="2:9" ht="12" customHeight="1" x14ac:dyDescent="0.2">
      <c r="B49" s="27"/>
      <c r="C49" s="28" t="s">
        <v>112</v>
      </c>
      <c r="D49" s="88" t="s">
        <v>201</v>
      </c>
      <c r="E49" s="87"/>
      <c r="F49" s="87"/>
      <c r="G49" s="87"/>
      <c r="H49" s="87"/>
      <c r="I49" s="91"/>
    </row>
    <row r="50" spans="2:9" ht="15" customHeight="1" x14ac:dyDescent="0.2">
      <c r="B50" s="27"/>
      <c r="C50" s="24" t="s">
        <v>196</v>
      </c>
      <c r="D50" s="86" t="s">
        <v>197</v>
      </c>
      <c r="E50" s="87"/>
      <c r="F50" s="87"/>
      <c r="G50" s="87"/>
      <c r="H50" s="87"/>
      <c r="I50" s="91"/>
    </row>
    <row r="51" spans="2:9" ht="16.5" customHeight="1" x14ac:dyDescent="0.2">
      <c r="B51" s="27"/>
      <c r="C51" s="28"/>
      <c r="D51" s="258" t="s">
        <v>73</v>
      </c>
      <c r="E51" s="87"/>
      <c r="F51" s="87"/>
      <c r="G51" s="87"/>
      <c r="H51" s="87"/>
      <c r="I51" s="91"/>
    </row>
    <row r="52" spans="2:9" ht="16.5" customHeight="1" x14ac:dyDescent="0.2">
      <c r="B52" s="27"/>
      <c r="C52" s="28"/>
      <c r="D52" s="258" t="s">
        <v>74</v>
      </c>
      <c r="E52" s="87"/>
      <c r="F52" s="87"/>
      <c r="G52" s="87"/>
      <c r="H52" s="87"/>
      <c r="I52" s="91"/>
    </row>
    <row r="53" spans="2:9" ht="16.5" customHeight="1" x14ac:dyDescent="0.2">
      <c r="B53" s="27"/>
      <c r="C53" s="28"/>
      <c r="D53" s="258" t="s">
        <v>75</v>
      </c>
      <c r="E53" s="87"/>
      <c r="F53" s="87"/>
      <c r="G53" s="87"/>
      <c r="H53" s="87"/>
      <c r="I53" s="91"/>
    </row>
    <row r="54" spans="2:9" ht="16.5" customHeight="1" x14ac:dyDescent="0.2">
      <c r="B54" s="27"/>
      <c r="C54" s="28"/>
      <c r="D54" s="258" t="s">
        <v>87</v>
      </c>
      <c r="E54" s="87"/>
      <c r="F54" s="87"/>
      <c r="G54" s="87"/>
      <c r="H54" s="87"/>
      <c r="I54" s="91"/>
    </row>
    <row r="55" spans="2:9" ht="16.5" customHeight="1" x14ac:dyDescent="0.2">
      <c r="B55" s="27"/>
      <c r="C55" s="28"/>
      <c r="D55" s="258" t="s">
        <v>77</v>
      </c>
      <c r="E55" s="87"/>
      <c r="F55" s="87"/>
      <c r="G55" s="87"/>
      <c r="H55" s="87"/>
      <c r="I55" s="91"/>
    </row>
    <row r="56" spans="2:9" ht="16.5" customHeight="1" x14ac:dyDescent="0.2">
      <c r="B56" s="27"/>
      <c r="C56" s="28"/>
      <c r="D56" s="258" t="s">
        <v>78</v>
      </c>
      <c r="E56" s="87"/>
      <c r="F56" s="87"/>
      <c r="G56" s="87"/>
      <c r="H56" s="87"/>
      <c r="I56" s="91"/>
    </row>
    <row r="57" spans="2:9" ht="19.5" customHeight="1" x14ac:dyDescent="0.2">
      <c r="B57" s="27"/>
      <c r="C57" s="24" t="s">
        <v>79</v>
      </c>
      <c r="D57" s="258" t="s">
        <v>80</v>
      </c>
      <c r="E57" s="87"/>
      <c r="F57" s="87"/>
      <c r="G57" s="87"/>
      <c r="H57" s="87"/>
      <c r="I57" s="91"/>
    </row>
    <row r="58" spans="2:9" ht="19.5" customHeight="1" x14ac:dyDescent="0.2">
      <c r="B58" s="27"/>
      <c r="C58" s="24" t="s">
        <v>81</v>
      </c>
      <c r="D58" s="258" t="s">
        <v>198</v>
      </c>
      <c r="E58" s="87"/>
      <c r="F58" s="87"/>
      <c r="G58" s="87"/>
      <c r="H58" s="87"/>
      <c r="I58" s="91"/>
    </row>
    <row r="59" spans="2:9" ht="16.5" customHeight="1" x14ac:dyDescent="0.2">
      <c r="B59" s="27"/>
      <c r="C59" s="28"/>
      <c r="D59" s="86"/>
      <c r="E59" s="87"/>
      <c r="F59" s="87"/>
      <c r="G59" s="87"/>
      <c r="H59" s="87"/>
      <c r="I59" s="91"/>
    </row>
    <row r="60" spans="2:9" ht="12" customHeight="1" x14ac:dyDescent="0.2">
      <c r="B60" s="27"/>
      <c r="C60" s="28" t="s">
        <v>113</v>
      </c>
      <c r="D60" s="88" t="s">
        <v>202</v>
      </c>
      <c r="E60" s="87"/>
      <c r="F60" s="87"/>
      <c r="G60" s="87"/>
      <c r="H60" s="87"/>
      <c r="I60" s="91"/>
    </row>
    <row r="61" spans="2:9" ht="15" customHeight="1" x14ac:dyDescent="0.2">
      <c r="B61" s="27"/>
      <c r="C61" s="24" t="s">
        <v>196</v>
      </c>
      <c r="D61" s="86" t="s">
        <v>197</v>
      </c>
      <c r="E61" s="87"/>
      <c r="F61" s="87"/>
      <c r="G61" s="87"/>
      <c r="H61" s="87"/>
      <c r="I61" s="91"/>
    </row>
    <row r="62" spans="2:9" ht="16.5" customHeight="1" x14ac:dyDescent="0.2">
      <c r="B62" s="27"/>
      <c r="C62" s="28"/>
      <c r="D62" s="258" t="s">
        <v>73</v>
      </c>
      <c r="E62" s="87"/>
      <c r="F62" s="87"/>
      <c r="G62" s="87"/>
      <c r="H62" s="87"/>
      <c r="I62" s="91"/>
    </row>
    <row r="63" spans="2:9" ht="16.5" customHeight="1" x14ac:dyDescent="0.2">
      <c r="B63" s="27"/>
      <c r="C63" s="28"/>
      <c r="D63" s="258" t="s">
        <v>74</v>
      </c>
      <c r="E63" s="87"/>
      <c r="F63" s="87"/>
      <c r="G63" s="87"/>
      <c r="H63" s="87"/>
      <c r="I63" s="91"/>
    </row>
    <row r="64" spans="2:9" ht="16.5" customHeight="1" x14ac:dyDescent="0.2">
      <c r="B64" s="27"/>
      <c r="C64" s="28"/>
      <c r="D64" s="258" t="s">
        <v>75</v>
      </c>
      <c r="E64" s="87"/>
      <c r="F64" s="87"/>
      <c r="G64" s="87"/>
      <c r="H64" s="87"/>
      <c r="I64" s="91"/>
    </row>
    <row r="65" spans="2:9" ht="16.5" customHeight="1" x14ac:dyDescent="0.2">
      <c r="B65" s="27"/>
      <c r="C65" s="28"/>
      <c r="D65" s="258" t="s">
        <v>87</v>
      </c>
      <c r="E65" s="87"/>
      <c r="F65" s="87"/>
      <c r="G65" s="87"/>
      <c r="H65" s="87"/>
      <c r="I65" s="91"/>
    </row>
    <row r="66" spans="2:9" ht="16.5" customHeight="1" x14ac:dyDescent="0.2">
      <c r="B66" s="27"/>
      <c r="C66" s="28"/>
      <c r="D66" s="258" t="s">
        <v>77</v>
      </c>
      <c r="E66" s="87"/>
      <c r="F66" s="87"/>
      <c r="G66" s="87"/>
      <c r="H66" s="87"/>
      <c r="I66" s="91"/>
    </row>
    <row r="67" spans="2:9" ht="16.5" customHeight="1" x14ac:dyDescent="0.2">
      <c r="B67" s="27"/>
      <c r="C67" s="28"/>
      <c r="D67" s="258" t="s">
        <v>78</v>
      </c>
      <c r="E67" s="87"/>
      <c r="F67" s="87"/>
      <c r="G67" s="87"/>
      <c r="H67" s="87"/>
      <c r="I67" s="91"/>
    </row>
    <row r="68" spans="2:9" ht="19.5" customHeight="1" x14ac:dyDescent="0.2">
      <c r="B68" s="27"/>
      <c r="C68" s="24" t="s">
        <v>79</v>
      </c>
      <c r="D68" s="258" t="s">
        <v>80</v>
      </c>
      <c r="E68" s="87"/>
      <c r="F68" s="87"/>
      <c r="G68" s="87"/>
      <c r="H68" s="87"/>
      <c r="I68" s="91"/>
    </row>
    <row r="69" spans="2:9" ht="19.5" customHeight="1" x14ac:dyDescent="0.2">
      <c r="B69" s="27"/>
      <c r="C69" s="24" t="s">
        <v>81</v>
      </c>
      <c r="D69" s="258" t="s">
        <v>198</v>
      </c>
      <c r="E69" s="87"/>
      <c r="F69" s="87"/>
      <c r="G69" s="87"/>
      <c r="H69" s="87"/>
      <c r="I69" s="91"/>
    </row>
    <row r="70" spans="2:9" ht="12" customHeight="1" x14ac:dyDescent="0.2">
      <c r="B70" s="27"/>
      <c r="C70" s="24"/>
      <c r="D70" s="86"/>
      <c r="E70" s="87"/>
      <c r="F70" s="87"/>
      <c r="G70" s="87"/>
      <c r="H70" s="87"/>
      <c r="I70" s="91"/>
    </row>
    <row r="71" spans="2:9" ht="12" customHeight="1" x14ac:dyDescent="0.2">
      <c r="B71" s="27"/>
      <c r="C71" s="28" t="s">
        <v>114</v>
      </c>
      <c r="D71" s="88" t="s">
        <v>203</v>
      </c>
      <c r="E71" s="87"/>
      <c r="F71" s="87"/>
      <c r="G71" s="87"/>
      <c r="H71" s="87"/>
      <c r="I71" s="91"/>
    </row>
    <row r="72" spans="2:9" ht="15" customHeight="1" x14ac:dyDescent="0.2">
      <c r="B72" s="27"/>
      <c r="C72" s="24" t="s">
        <v>196</v>
      </c>
      <c r="D72" s="86" t="s">
        <v>197</v>
      </c>
      <c r="E72" s="87"/>
      <c r="F72" s="87"/>
      <c r="G72" s="87"/>
      <c r="H72" s="87"/>
      <c r="I72" s="91"/>
    </row>
    <row r="73" spans="2:9" ht="16.5" customHeight="1" x14ac:dyDescent="0.2">
      <c r="B73" s="27"/>
      <c r="C73" s="28"/>
      <c r="D73" s="258" t="s">
        <v>73</v>
      </c>
      <c r="E73" s="87"/>
      <c r="F73" s="87"/>
      <c r="G73" s="87"/>
      <c r="H73" s="87"/>
      <c r="I73" s="91"/>
    </row>
    <row r="74" spans="2:9" ht="16.5" customHeight="1" x14ac:dyDescent="0.2">
      <c r="B74" s="27"/>
      <c r="C74" s="28"/>
      <c r="D74" s="258" t="s">
        <v>74</v>
      </c>
      <c r="E74" s="87"/>
      <c r="F74" s="87"/>
      <c r="G74" s="87"/>
      <c r="H74" s="87"/>
      <c r="I74" s="91"/>
    </row>
    <row r="75" spans="2:9" ht="16.5" customHeight="1" x14ac:dyDescent="0.2">
      <c r="B75" s="27"/>
      <c r="C75" s="28"/>
      <c r="D75" s="258" t="s">
        <v>75</v>
      </c>
      <c r="E75" s="87"/>
      <c r="F75" s="87"/>
      <c r="G75" s="87"/>
      <c r="H75" s="87"/>
      <c r="I75" s="91"/>
    </row>
    <row r="76" spans="2:9" ht="16.5" customHeight="1" x14ac:dyDescent="0.2">
      <c r="B76" s="27"/>
      <c r="C76" s="28"/>
      <c r="D76" s="258" t="s">
        <v>87</v>
      </c>
      <c r="E76" s="87"/>
      <c r="F76" s="87"/>
      <c r="G76" s="87"/>
      <c r="H76" s="87"/>
      <c r="I76" s="91"/>
    </row>
    <row r="77" spans="2:9" ht="16.5" customHeight="1" x14ac:dyDescent="0.2">
      <c r="B77" s="27"/>
      <c r="C77" s="28"/>
      <c r="D77" s="258" t="s">
        <v>77</v>
      </c>
      <c r="E77" s="87"/>
      <c r="F77" s="87"/>
      <c r="G77" s="87"/>
      <c r="H77" s="87"/>
      <c r="I77" s="91"/>
    </row>
    <row r="78" spans="2:9" ht="16.5" customHeight="1" x14ac:dyDescent="0.2">
      <c r="B78" s="27"/>
      <c r="C78" s="28"/>
      <c r="D78" s="258" t="s">
        <v>78</v>
      </c>
      <c r="E78" s="87"/>
      <c r="F78" s="87"/>
      <c r="G78" s="87"/>
      <c r="H78" s="87"/>
      <c r="I78" s="91"/>
    </row>
    <row r="79" spans="2:9" ht="19.5" customHeight="1" x14ac:dyDescent="0.2">
      <c r="B79" s="27"/>
      <c r="C79" s="24" t="s">
        <v>79</v>
      </c>
      <c r="D79" s="258" t="s">
        <v>80</v>
      </c>
      <c r="E79" s="87"/>
      <c r="F79" s="87"/>
      <c r="G79" s="87"/>
      <c r="H79" s="87"/>
      <c r="I79" s="91"/>
    </row>
    <row r="80" spans="2:9" ht="19.5" customHeight="1" x14ac:dyDescent="0.2">
      <c r="B80" s="27"/>
      <c r="C80" s="24" t="s">
        <v>81</v>
      </c>
      <c r="D80" s="258" t="s">
        <v>198</v>
      </c>
      <c r="E80" s="87"/>
      <c r="F80" s="87"/>
      <c r="G80" s="87"/>
      <c r="H80" s="87"/>
      <c r="I80" s="91"/>
    </row>
    <row r="81" spans="2:9" ht="12" customHeight="1" x14ac:dyDescent="0.2">
      <c r="B81" s="92"/>
      <c r="C81" s="35"/>
      <c r="D81" s="38"/>
      <c r="E81" s="93"/>
      <c r="F81" s="93"/>
      <c r="G81" s="93"/>
      <c r="H81" s="93"/>
      <c r="I81" s="101"/>
    </row>
    <row r="82" spans="2:9" ht="12" customHeight="1" x14ac:dyDescent="0.2">
      <c r="B82" s="94"/>
      <c r="C82" s="41"/>
      <c r="D82" s="42" t="s">
        <v>18</v>
      </c>
      <c r="E82" s="95"/>
      <c r="F82" s="95"/>
      <c r="G82" s="95"/>
      <c r="H82" s="95"/>
      <c r="I82" s="102"/>
    </row>
    <row r="83" spans="2:9" ht="12" customHeight="1" x14ac:dyDescent="0.2">
      <c r="B83" s="96"/>
      <c r="C83" s="45"/>
      <c r="D83" s="46"/>
      <c r="E83" s="97"/>
      <c r="F83" s="97"/>
      <c r="G83" s="97"/>
      <c r="H83" s="97"/>
    </row>
    <row r="84" spans="2:9" ht="15.75" x14ac:dyDescent="0.2">
      <c r="B84" s="5909" t="s">
        <v>129</v>
      </c>
      <c r="C84" s="5909"/>
      <c r="D84" s="5909"/>
      <c r="E84" s="98"/>
      <c r="F84" s="98"/>
      <c r="G84" s="98"/>
      <c r="H84" s="98"/>
      <c r="I84" s="1"/>
    </row>
    <row r="85" spans="2:9" ht="15" x14ac:dyDescent="0.2">
      <c r="B85" s="5861" t="s">
        <v>150</v>
      </c>
      <c r="C85" s="5861"/>
      <c r="D85" s="5861"/>
      <c r="E85" s="5861"/>
      <c r="F85" s="5861"/>
      <c r="G85" s="5861"/>
      <c r="H85" s="5861"/>
      <c r="I85" s="1"/>
    </row>
    <row r="86" spans="2:9" ht="15" x14ac:dyDescent="0.2">
      <c r="B86" s="5861" t="s">
        <v>174</v>
      </c>
      <c r="C86" s="5861"/>
      <c r="D86" s="5861"/>
      <c r="E86" s="5861"/>
      <c r="F86" s="5861"/>
      <c r="G86" s="5861"/>
      <c r="H86" s="5861"/>
      <c r="I86" s="1"/>
    </row>
    <row r="87" spans="2:9" ht="15" x14ac:dyDescent="0.2">
      <c r="B87" s="49" t="s">
        <v>95</v>
      </c>
      <c r="C87" s="49"/>
      <c r="D87" s="48"/>
      <c r="E87" s="48"/>
      <c r="F87" s="48"/>
      <c r="G87" s="48"/>
      <c r="H87" s="48"/>
      <c r="I87" s="1"/>
    </row>
    <row r="88" spans="2:9" ht="15" x14ac:dyDescent="0.2">
      <c r="B88" s="5906" t="s">
        <v>204</v>
      </c>
      <c r="C88" s="5906"/>
      <c r="D88" s="5906"/>
      <c r="E88" s="5906"/>
      <c r="F88" s="5906"/>
      <c r="G88" s="5906"/>
      <c r="H88" s="5906"/>
      <c r="I88" s="5906"/>
    </row>
    <row r="89" spans="2:9" ht="15" x14ac:dyDescent="0.2">
      <c r="B89" s="49" t="s">
        <v>22</v>
      </c>
      <c r="C89" s="49"/>
      <c r="D89" s="48"/>
      <c r="E89" s="48"/>
      <c r="F89" s="48"/>
      <c r="G89" s="48"/>
      <c r="H89" s="48"/>
      <c r="I89" s="1"/>
    </row>
    <row r="90" spans="2:9" ht="15" x14ac:dyDescent="0.2">
      <c r="B90" s="49" t="s">
        <v>96</v>
      </c>
      <c r="C90" s="49"/>
      <c r="D90" s="49"/>
      <c r="E90" s="49"/>
      <c r="F90" s="49"/>
      <c r="G90" s="49"/>
      <c r="H90" s="49"/>
      <c r="I90" s="1"/>
    </row>
    <row r="91" spans="2:9" ht="15" x14ac:dyDescent="0.2">
      <c r="B91" s="49" t="s">
        <v>24</v>
      </c>
      <c r="C91" s="99"/>
      <c r="D91" s="99"/>
      <c r="E91" s="99"/>
      <c r="F91" s="99"/>
      <c r="G91" s="99"/>
      <c r="H91" s="99"/>
      <c r="I91" s="1"/>
    </row>
    <row r="92" spans="2:9" ht="15" x14ac:dyDescent="0.2">
      <c r="B92" s="5906" t="s">
        <v>205</v>
      </c>
      <c r="C92" s="5906"/>
      <c r="D92" s="5906"/>
      <c r="E92" s="5906"/>
      <c r="F92" s="5906"/>
      <c r="G92" s="5906"/>
      <c r="H92" s="5906"/>
      <c r="I92" s="5906"/>
    </row>
    <row r="93" spans="2:9" ht="15" x14ac:dyDescent="0.2">
      <c r="B93" s="49" t="s">
        <v>206</v>
      </c>
      <c r="C93" s="49"/>
      <c r="D93" s="49"/>
      <c r="E93" s="49"/>
      <c r="F93" s="49"/>
      <c r="G93" s="49"/>
      <c r="H93" s="49"/>
      <c r="I93" s="1"/>
    </row>
    <row r="94" spans="2:9" ht="20.100000000000001" customHeight="1" x14ac:dyDescent="0.2">
      <c r="B94" s="47"/>
      <c r="C94" s="59"/>
      <c r="D94" s="48"/>
      <c r="E94" s="48"/>
      <c r="F94" s="48"/>
      <c r="G94" s="48"/>
      <c r="H94" s="48"/>
    </row>
    <row r="95" spans="2:9" ht="20.100000000000001" customHeight="1" x14ac:dyDescent="0.2">
      <c r="B95" s="47"/>
      <c r="C95" s="59"/>
      <c r="D95" s="48"/>
      <c r="E95" s="48"/>
      <c r="F95" s="48"/>
      <c r="G95" s="48"/>
      <c r="H95" s="48"/>
    </row>
    <row r="96" spans="2:9" ht="20.100000000000001" customHeight="1" x14ac:dyDescent="0.2">
      <c r="B96" s="47"/>
      <c r="C96" s="59"/>
      <c r="D96" s="48"/>
      <c r="E96" s="48"/>
      <c r="F96" s="48"/>
      <c r="G96" s="48"/>
      <c r="H96" s="48"/>
    </row>
    <row r="97" spans="2:8" ht="20.100000000000001" customHeight="1" x14ac:dyDescent="0.2">
      <c r="B97" s="47"/>
      <c r="C97" s="59"/>
      <c r="D97" s="5904"/>
      <c r="E97" s="5904"/>
      <c r="F97" s="5904"/>
      <c r="G97" s="5904"/>
      <c r="H97" s="5904"/>
    </row>
    <row r="98" spans="2:8" ht="15.75" x14ac:dyDescent="0.2">
      <c r="D98" s="5905"/>
      <c r="E98" s="5905"/>
      <c r="F98" s="5905"/>
      <c r="G98" s="5905"/>
      <c r="H98" s="5905"/>
    </row>
    <row r="99" spans="2:8" ht="20.100000000000001" customHeight="1" x14ac:dyDescent="0.2">
      <c r="B99" s="100"/>
      <c r="C99" s="60"/>
      <c r="D99" s="5903"/>
      <c r="E99" s="5903"/>
      <c r="F99" s="5903"/>
      <c r="G99" s="5903"/>
      <c r="H99" s="5903"/>
    </row>
    <row r="100" spans="2:8" ht="20.100000000000001" customHeight="1" x14ac:dyDescent="0.2">
      <c r="B100" s="100"/>
      <c r="C100" s="60"/>
      <c r="D100" s="5903"/>
      <c r="E100" s="5903"/>
      <c r="F100" s="5903"/>
      <c r="G100" s="5903"/>
      <c r="H100" s="5903"/>
    </row>
    <row r="101" spans="2:8" ht="20.100000000000001" customHeight="1" x14ac:dyDescent="0.2">
      <c r="B101" s="100"/>
      <c r="C101" s="60"/>
      <c r="D101" s="5903"/>
      <c r="E101" s="5903"/>
      <c r="F101" s="5903"/>
      <c r="G101" s="5903"/>
      <c r="H101" s="5903"/>
    </row>
    <row r="102" spans="2:8" ht="20.100000000000001" customHeight="1" x14ac:dyDescent="0.2">
      <c r="B102" s="100"/>
      <c r="C102" s="60"/>
      <c r="D102" s="61"/>
      <c r="E102" s="61"/>
      <c r="F102" s="61"/>
      <c r="G102" s="61"/>
      <c r="H102" s="61"/>
    </row>
    <row r="103" spans="2:8" ht="20.100000000000001" customHeight="1" x14ac:dyDescent="0.2">
      <c r="B103" s="100"/>
      <c r="C103" s="60"/>
      <c r="D103" s="5897"/>
      <c r="E103" s="5897"/>
      <c r="F103" s="5897"/>
      <c r="G103" s="5897"/>
      <c r="H103" s="5897"/>
    </row>
    <row r="104" spans="2:8" ht="20.100000000000001" customHeight="1" x14ac:dyDescent="0.2">
      <c r="B104" s="100"/>
      <c r="C104" s="60"/>
      <c r="D104" s="5897"/>
      <c r="E104" s="5897"/>
      <c r="F104" s="5897"/>
      <c r="G104" s="5897"/>
      <c r="H104" s="5897"/>
    </row>
    <row r="105" spans="2:8" ht="20.100000000000001" customHeight="1" x14ac:dyDescent="0.2">
      <c r="B105" s="100"/>
      <c r="C105" s="60"/>
      <c r="D105" s="5897"/>
      <c r="E105" s="5897"/>
      <c r="F105" s="5897"/>
      <c r="G105" s="5897"/>
      <c r="H105" s="5897"/>
    </row>
    <row r="107" spans="2:8" ht="20.100000000000001" customHeight="1" x14ac:dyDescent="0.25">
      <c r="B107" s="2"/>
      <c r="C107" s="3"/>
      <c r="D107" s="5898"/>
      <c r="E107" s="5898"/>
      <c r="F107" s="5898"/>
      <c r="G107" s="5898"/>
      <c r="H107" s="5898"/>
    </row>
  </sheetData>
  <mergeCells count="24">
    <mergeCell ref="B88:I88"/>
    <mergeCell ref="B4:I4"/>
    <mergeCell ref="B6:D6"/>
    <mergeCell ref="B7:D7"/>
    <mergeCell ref="E7:H7"/>
    <mergeCell ref="E9:H9"/>
    <mergeCell ref="B9:C11"/>
    <mergeCell ref="E10:H10"/>
    <mergeCell ref="D104:H104"/>
    <mergeCell ref="D105:H105"/>
    <mergeCell ref="D107:H107"/>
    <mergeCell ref="D9:D11"/>
    <mergeCell ref="I9:I11"/>
    <mergeCell ref="D101:H101"/>
    <mergeCell ref="D103:H103"/>
    <mergeCell ref="D97:H97"/>
    <mergeCell ref="D98:H98"/>
    <mergeCell ref="D99:H99"/>
    <mergeCell ref="D100:H100"/>
    <mergeCell ref="B92:I92"/>
    <mergeCell ref="B12:C12"/>
    <mergeCell ref="B84:D84"/>
    <mergeCell ref="B85:H85"/>
    <mergeCell ref="B86:H86"/>
  </mergeCells>
  <printOptions horizontalCentered="1"/>
  <pageMargins left="0.71" right="0.12" top="0.24" bottom="0.75" header="0.04" footer="0.31"/>
  <pageSetup paperSize="9" scale="63" fitToHeight="2" orientation="landscape" horizontalDpi="1200" verticalDpi="12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FF00"/>
    <pageSetUpPr fitToPage="1"/>
  </sheetPr>
  <dimension ref="A1:O115"/>
  <sheetViews>
    <sheetView view="pageBreakPreview" topLeftCell="A37" zoomScale="115" zoomScaleNormal="80" workbookViewId="0">
      <selection activeCell="A104" sqref="A104"/>
    </sheetView>
  </sheetViews>
  <sheetFormatPr defaultColWidth="8.85546875" defaultRowHeight="14.25" x14ac:dyDescent="0.2"/>
  <cols>
    <col min="1" max="1" width="7.42578125" style="3" customWidth="1"/>
    <col min="2" max="2" width="5.28515625" style="4" customWidth="1"/>
    <col min="3" max="3" width="6.140625" style="4" customWidth="1"/>
    <col min="4" max="4" width="57.28515625" style="3" customWidth="1"/>
    <col min="5" max="5" width="16.28515625" style="3" customWidth="1"/>
    <col min="6" max="6" width="18.5703125" style="3" customWidth="1"/>
    <col min="7" max="7" width="15.85546875" style="3" customWidth="1"/>
    <col min="8" max="8" width="15.5703125" style="3" customWidth="1"/>
    <col min="9" max="9" width="18.28515625" style="3" customWidth="1"/>
    <col min="10" max="10" width="18" style="3" customWidth="1"/>
    <col min="11" max="13" width="17" style="3" customWidth="1"/>
    <col min="14" max="14" width="18.42578125" style="3" customWidth="1"/>
    <col min="15" max="15" width="18.140625" style="3" customWidth="1"/>
    <col min="16" max="16384" width="8.85546875" style="3"/>
  </cols>
  <sheetData>
    <row r="1" spans="2:15" ht="20.100000000000001" customHeight="1" x14ac:dyDescent="0.3">
      <c r="E1" s="5"/>
      <c r="F1" s="5"/>
      <c r="O1" s="5" t="s">
        <v>207</v>
      </c>
    </row>
    <row r="2" spans="2:15" ht="20.25" x14ac:dyDescent="0.2">
      <c r="B2" s="6" t="s">
        <v>0</v>
      </c>
      <c r="C2" s="6"/>
      <c r="D2" s="6"/>
      <c r="E2" s="7"/>
      <c r="F2" s="7"/>
      <c r="N2" s="5857" t="s">
        <v>169</v>
      </c>
      <c r="O2" s="5857"/>
    </row>
    <row r="3" spans="2:15" ht="15" x14ac:dyDescent="0.2">
      <c r="B3" s="5925"/>
      <c r="C3" s="5925"/>
      <c r="D3" s="5925"/>
      <c r="E3" s="5925"/>
      <c r="F3" s="5925"/>
      <c r="G3" s="5925"/>
      <c r="H3" s="5925"/>
      <c r="I3" s="5925"/>
      <c r="J3" s="5925"/>
      <c r="K3" s="5925"/>
      <c r="L3" s="5925"/>
      <c r="M3" s="5925"/>
      <c r="N3" s="5925"/>
      <c r="O3" s="5925"/>
    </row>
    <row r="4" spans="2:15" ht="36" customHeight="1" x14ac:dyDescent="0.2">
      <c r="B4" s="5926" t="s">
        <v>208</v>
      </c>
      <c r="C4" s="5926"/>
      <c r="D4" s="5926"/>
      <c r="E4" s="5926"/>
      <c r="F4" s="5926"/>
      <c r="G4" s="5926"/>
      <c r="H4" s="5926"/>
      <c r="I4" s="5926"/>
      <c r="J4" s="5926"/>
      <c r="K4" s="5926"/>
      <c r="L4" s="5926"/>
      <c r="M4" s="5926"/>
      <c r="N4" s="5926"/>
      <c r="O4" s="5926"/>
    </row>
    <row r="5" spans="2:15" ht="15" x14ac:dyDescent="0.2">
      <c r="B5" s="8"/>
      <c r="C5" s="8"/>
      <c r="D5" s="8"/>
      <c r="E5" s="8"/>
      <c r="F5" s="8"/>
      <c r="G5" s="8"/>
      <c r="H5" s="8"/>
      <c r="I5" s="8"/>
      <c r="J5" s="8"/>
      <c r="K5" s="8"/>
      <c r="L5" s="8"/>
      <c r="M5" s="8"/>
      <c r="N5" s="8"/>
      <c r="O5" s="8"/>
    </row>
    <row r="6" spans="2:15" ht="20.25" customHeight="1" x14ac:dyDescent="0.2">
      <c r="B6" s="5904" t="s">
        <v>209</v>
      </c>
      <c r="C6" s="5904"/>
      <c r="D6" s="5904"/>
      <c r="E6" s="10"/>
      <c r="F6" s="10"/>
    </row>
    <row r="7" spans="2:15" ht="20.25" customHeight="1" x14ac:dyDescent="0.2">
      <c r="B7" s="11" t="s">
        <v>172</v>
      </c>
      <c r="C7" s="11"/>
      <c r="D7" s="11"/>
      <c r="E7" s="9"/>
      <c r="F7" s="9"/>
      <c r="G7" s="5904"/>
      <c r="H7" s="5904"/>
      <c r="I7" s="5904"/>
      <c r="J7" s="5904"/>
      <c r="K7" s="5904"/>
      <c r="L7" s="9"/>
      <c r="M7" s="9"/>
      <c r="N7" s="5904"/>
      <c r="O7" s="5904"/>
    </row>
    <row r="8" spans="2:15" ht="20.25" customHeight="1" x14ac:dyDescent="0.2">
      <c r="B8" s="9"/>
      <c r="C8" s="9"/>
      <c r="D8" s="9"/>
      <c r="E8" s="10"/>
      <c r="F8" s="10"/>
    </row>
    <row r="9" spans="2:15" ht="18" customHeight="1" x14ac:dyDescent="0.2">
      <c r="B9" s="5911" t="s">
        <v>123</v>
      </c>
      <c r="C9" s="5912"/>
      <c r="D9" s="5899" t="s">
        <v>2</v>
      </c>
      <c r="E9" s="5920" t="s">
        <v>124</v>
      </c>
      <c r="F9" s="5920"/>
      <c r="G9" s="5921" t="s">
        <v>131</v>
      </c>
      <c r="H9" s="5922"/>
      <c r="I9" s="5922"/>
      <c r="J9" s="5923"/>
      <c r="K9" s="5920" t="s">
        <v>132</v>
      </c>
      <c r="L9" s="5920"/>
      <c r="M9" s="5920"/>
      <c r="N9" s="5924"/>
      <c r="O9" s="5794" t="s">
        <v>4</v>
      </c>
    </row>
    <row r="10" spans="2:15" s="1" customFormat="1" ht="37.5" customHeight="1" x14ac:dyDescent="0.2">
      <c r="B10" s="5913"/>
      <c r="C10" s="5914"/>
      <c r="D10" s="5795"/>
      <c r="E10" s="5864" t="s">
        <v>99</v>
      </c>
      <c r="F10" s="5866"/>
      <c r="G10" s="5864" t="s">
        <v>99</v>
      </c>
      <c r="H10" s="5865"/>
      <c r="I10" s="5865"/>
      <c r="J10" s="5866"/>
      <c r="K10" s="5842" t="s">
        <v>99</v>
      </c>
      <c r="L10" s="5842"/>
      <c r="M10" s="5842"/>
      <c r="N10" s="5864"/>
      <c r="O10" s="5795"/>
    </row>
    <row r="11" spans="2:15" s="1" customFormat="1" ht="76.5" customHeight="1" x14ac:dyDescent="0.2">
      <c r="B11" s="5915"/>
      <c r="C11" s="5916"/>
      <c r="D11" s="5872"/>
      <c r="E11" s="12" t="s">
        <v>33</v>
      </c>
      <c r="F11" s="12" t="s">
        <v>100</v>
      </c>
      <c r="G11" s="13" t="s">
        <v>5</v>
      </c>
      <c r="H11" s="12" t="s">
        <v>210</v>
      </c>
      <c r="I11" s="12" t="s">
        <v>100</v>
      </c>
      <c r="J11" s="12" t="s">
        <v>138</v>
      </c>
      <c r="K11" s="13" t="s">
        <v>5</v>
      </c>
      <c r="L11" s="12" t="s">
        <v>211</v>
      </c>
      <c r="M11" s="12" t="s">
        <v>100</v>
      </c>
      <c r="N11" s="29" t="s">
        <v>138</v>
      </c>
      <c r="O11" s="5872"/>
    </row>
    <row r="12" spans="2:15" s="2" customFormat="1" ht="20.100000000000001" customHeight="1" x14ac:dyDescent="0.25">
      <c r="B12" s="5917" t="s">
        <v>8</v>
      </c>
      <c r="C12" s="5706"/>
      <c r="D12" s="261" t="s">
        <v>9</v>
      </c>
      <c r="E12" s="261" t="s">
        <v>10</v>
      </c>
      <c r="F12" s="260" t="s">
        <v>11</v>
      </c>
      <c r="G12" s="262" t="s">
        <v>12</v>
      </c>
      <c r="H12" s="14" t="s">
        <v>13</v>
      </c>
      <c r="I12" s="30" t="s">
        <v>35</v>
      </c>
      <c r="J12" s="30" t="s">
        <v>36</v>
      </c>
      <c r="K12" s="263" t="s">
        <v>37</v>
      </c>
      <c r="L12" s="30" t="s">
        <v>38</v>
      </c>
      <c r="M12" s="31" t="s">
        <v>39</v>
      </c>
      <c r="N12" s="32" t="s">
        <v>107</v>
      </c>
      <c r="O12" s="30" t="s">
        <v>108</v>
      </c>
    </row>
    <row r="13" spans="2:15" ht="20.100000000000001" customHeight="1" x14ac:dyDescent="0.2">
      <c r="B13" s="15"/>
      <c r="C13" s="16"/>
      <c r="D13" s="17"/>
      <c r="E13" s="16"/>
      <c r="F13" s="16"/>
      <c r="G13" s="18"/>
      <c r="H13" s="18"/>
      <c r="I13" s="18"/>
      <c r="J13" s="18"/>
      <c r="K13" s="18"/>
      <c r="L13" s="18"/>
      <c r="M13" s="18"/>
      <c r="N13" s="33"/>
      <c r="O13" s="18"/>
    </row>
    <row r="14" spans="2:15" ht="20.100000000000001" customHeight="1" x14ac:dyDescent="0.2">
      <c r="B14" s="19"/>
      <c r="C14" s="20"/>
      <c r="D14" s="264" t="s">
        <v>136</v>
      </c>
      <c r="E14" s="20"/>
      <c r="F14" s="20"/>
      <c r="G14" s="22"/>
      <c r="H14" s="22"/>
      <c r="I14" s="22"/>
      <c r="J14" s="22"/>
      <c r="K14" s="22"/>
      <c r="L14" s="22"/>
      <c r="M14" s="22"/>
      <c r="N14" s="34"/>
      <c r="O14" s="22"/>
    </row>
    <row r="15" spans="2:15" ht="7.5" customHeight="1" x14ac:dyDescent="0.2">
      <c r="B15" s="23"/>
      <c r="C15" s="24"/>
      <c r="D15" s="25"/>
      <c r="E15" s="26"/>
      <c r="F15" s="26"/>
      <c r="G15" s="22"/>
      <c r="H15" s="22"/>
      <c r="I15" s="22"/>
      <c r="J15" s="22"/>
      <c r="K15" s="22"/>
      <c r="L15" s="22"/>
      <c r="M15" s="22"/>
      <c r="N15" s="34"/>
      <c r="O15" s="22"/>
    </row>
    <row r="16" spans="2:15" ht="15" customHeight="1" x14ac:dyDescent="0.2">
      <c r="B16" s="27"/>
      <c r="C16" s="28" t="s">
        <v>55</v>
      </c>
      <c r="D16" s="21" t="s">
        <v>195</v>
      </c>
      <c r="E16" s="26"/>
      <c r="F16" s="26"/>
      <c r="G16" s="22"/>
      <c r="H16" s="22"/>
      <c r="I16" s="22"/>
      <c r="J16" s="22"/>
      <c r="K16" s="22"/>
      <c r="L16" s="22"/>
      <c r="M16" s="22"/>
      <c r="N16" s="34"/>
      <c r="O16" s="22"/>
    </row>
    <row r="17" spans="2:15" ht="21" customHeight="1" x14ac:dyDescent="0.2">
      <c r="B17" s="27"/>
      <c r="C17" s="24" t="s">
        <v>196</v>
      </c>
      <c r="D17" s="25" t="s">
        <v>197</v>
      </c>
      <c r="E17" s="26"/>
      <c r="F17" s="26"/>
      <c r="G17" s="22"/>
      <c r="H17" s="22"/>
      <c r="I17" s="22"/>
      <c r="J17" s="22"/>
      <c r="K17" s="22"/>
      <c r="L17" s="22"/>
      <c r="M17" s="22"/>
      <c r="N17" s="34"/>
      <c r="O17" s="22"/>
    </row>
    <row r="18" spans="2:15" ht="21" customHeight="1" x14ac:dyDescent="0.2">
      <c r="B18" s="27"/>
      <c r="C18" s="28"/>
      <c r="D18" s="265" t="s">
        <v>73</v>
      </c>
      <c r="E18" s="26"/>
      <c r="F18" s="26"/>
      <c r="G18" s="22"/>
      <c r="H18" s="22"/>
      <c r="I18" s="22"/>
      <c r="J18" s="22"/>
      <c r="K18" s="22"/>
      <c r="L18" s="22"/>
      <c r="M18" s="22"/>
      <c r="N18" s="34"/>
      <c r="O18" s="22"/>
    </row>
    <row r="19" spans="2:15" ht="21" customHeight="1" x14ac:dyDescent="0.2">
      <c r="B19" s="27"/>
      <c r="C19" s="28"/>
      <c r="D19" s="265" t="s">
        <v>126</v>
      </c>
      <c r="E19" s="26"/>
      <c r="F19" s="26"/>
      <c r="G19" s="22"/>
      <c r="H19" s="22"/>
      <c r="I19" s="22"/>
      <c r="J19" s="22"/>
      <c r="K19" s="22"/>
      <c r="L19" s="22"/>
      <c r="M19" s="22"/>
      <c r="N19" s="34"/>
      <c r="O19" s="22"/>
    </row>
    <row r="20" spans="2:15" ht="21" customHeight="1" x14ac:dyDescent="0.2">
      <c r="B20" s="27"/>
      <c r="C20" s="28"/>
      <c r="D20" s="265" t="s">
        <v>127</v>
      </c>
      <c r="E20" s="26"/>
      <c r="F20" s="26"/>
      <c r="G20" s="22"/>
      <c r="H20" s="22"/>
      <c r="I20" s="22"/>
      <c r="J20" s="22"/>
      <c r="K20" s="22"/>
      <c r="L20" s="22"/>
      <c r="M20" s="22"/>
      <c r="N20" s="34"/>
      <c r="O20" s="22"/>
    </row>
    <row r="21" spans="2:15" ht="21" customHeight="1" x14ac:dyDescent="0.2">
      <c r="B21" s="27"/>
      <c r="C21" s="28"/>
      <c r="D21" s="265" t="s">
        <v>128</v>
      </c>
      <c r="E21" s="26"/>
      <c r="F21" s="26"/>
      <c r="G21" s="22"/>
      <c r="H21" s="22"/>
      <c r="I21" s="22"/>
      <c r="J21" s="22"/>
      <c r="K21" s="22"/>
      <c r="L21" s="22"/>
      <c r="M21" s="22"/>
      <c r="N21" s="34"/>
      <c r="O21" s="22"/>
    </row>
    <row r="22" spans="2:15" ht="21" customHeight="1" x14ac:dyDescent="0.2">
      <c r="B22" s="27"/>
      <c r="C22" s="28"/>
      <c r="D22" s="265" t="s">
        <v>77</v>
      </c>
      <c r="E22" s="26"/>
      <c r="F22" s="26"/>
      <c r="G22" s="22"/>
      <c r="H22" s="22"/>
      <c r="I22" s="22"/>
      <c r="J22" s="22"/>
      <c r="K22" s="22"/>
      <c r="L22" s="22"/>
      <c r="M22" s="22"/>
      <c r="N22" s="34"/>
      <c r="O22" s="22"/>
    </row>
    <row r="23" spans="2:15" ht="12" customHeight="1" x14ac:dyDescent="0.2">
      <c r="B23" s="27"/>
      <c r="C23" s="28"/>
      <c r="D23" s="265" t="s">
        <v>78</v>
      </c>
      <c r="E23" s="26"/>
      <c r="F23" s="26"/>
      <c r="G23" s="22"/>
      <c r="H23" s="22"/>
      <c r="I23" s="22"/>
      <c r="J23" s="22"/>
      <c r="K23" s="22"/>
      <c r="L23" s="22"/>
      <c r="M23" s="22"/>
      <c r="N23" s="34"/>
      <c r="O23" s="22"/>
    </row>
    <row r="24" spans="2:15" ht="12" customHeight="1" x14ac:dyDescent="0.2">
      <c r="B24" s="27"/>
      <c r="C24" s="24" t="s">
        <v>79</v>
      </c>
      <c r="D24" s="265" t="s">
        <v>80</v>
      </c>
      <c r="E24" s="26"/>
      <c r="F24" s="26"/>
      <c r="G24" s="22"/>
      <c r="H24" s="22"/>
      <c r="I24" s="22"/>
      <c r="J24" s="22"/>
      <c r="K24" s="22"/>
      <c r="L24" s="22"/>
      <c r="M24" s="22"/>
      <c r="N24" s="34"/>
      <c r="O24" s="22"/>
    </row>
    <row r="25" spans="2:15" ht="16.5" customHeight="1" x14ac:dyDescent="0.2">
      <c r="B25" s="27"/>
      <c r="C25" s="24" t="s">
        <v>81</v>
      </c>
      <c r="D25" s="265" t="s">
        <v>198</v>
      </c>
      <c r="E25" s="26"/>
      <c r="F25" s="26"/>
      <c r="G25" s="22"/>
      <c r="H25" s="22"/>
      <c r="I25" s="22"/>
      <c r="J25" s="22"/>
      <c r="K25" s="22"/>
      <c r="L25" s="22"/>
      <c r="M25" s="22"/>
      <c r="N25" s="34"/>
      <c r="O25" s="22"/>
    </row>
    <row r="26" spans="2:15" ht="21.75" customHeight="1" x14ac:dyDescent="0.2">
      <c r="B26" s="27"/>
      <c r="C26" s="28"/>
      <c r="D26" s="21"/>
      <c r="E26" s="26"/>
      <c r="F26" s="26"/>
      <c r="G26" s="22"/>
      <c r="H26" s="22"/>
      <c r="I26" s="22"/>
      <c r="J26" s="22"/>
      <c r="K26" s="22"/>
      <c r="L26" s="22"/>
      <c r="M26" s="22"/>
      <c r="N26" s="34"/>
      <c r="O26" s="22"/>
    </row>
    <row r="27" spans="2:15" ht="21.75" customHeight="1" x14ac:dyDescent="0.2">
      <c r="B27" s="27"/>
      <c r="C27" s="28" t="s">
        <v>83</v>
      </c>
      <c r="D27" s="21" t="s">
        <v>199</v>
      </c>
      <c r="E27" s="26"/>
      <c r="F27" s="26"/>
      <c r="G27" s="22"/>
      <c r="H27" s="22"/>
      <c r="I27" s="22"/>
      <c r="J27" s="22"/>
      <c r="K27" s="22"/>
      <c r="L27" s="22"/>
      <c r="M27" s="22"/>
      <c r="N27" s="34"/>
      <c r="O27" s="22"/>
    </row>
    <row r="28" spans="2:15" ht="21.75" customHeight="1" x14ac:dyDescent="0.2">
      <c r="B28" s="27"/>
      <c r="C28" s="24" t="s">
        <v>196</v>
      </c>
      <c r="D28" s="25" t="s">
        <v>197</v>
      </c>
      <c r="E28" s="26"/>
      <c r="F28" s="26"/>
      <c r="G28" s="22"/>
      <c r="H28" s="22"/>
      <c r="I28" s="22"/>
      <c r="J28" s="22"/>
      <c r="K28" s="22"/>
      <c r="L28" s="22"/>
      <c r="M28" s="22"/>
      <c r="N28" s="34"/>
      <c r="O28" s="22"/>
    </row>
    <row r="29" spans="2:15" ht="21.75" customHeight="1" x14ac:dyDescent="0.2">
      <c r="B29" s="27"/>
      <c r="C29" s="28"/>
      <c r="D29" s="265" t="s">
        <v>73</v>
      </c>
      <c r="E29" s="26"/>
      <c r="F29" s="26"/>
      <c r="G29" s="22"/>
      <c r="H29" s="22"/>
      <c r="I29" s="22"/>
      <c r="J29" s="22"/>
      <c r="K29" s="22"/>
      <c r="L29" s="22"/>
      <c r="M29" s="22"/>
      <c r="N29" s="34"/>
      <c r="O29" s="22"/>
    </row>
    <row r="30" spans="2:15" ht="21.75" customHeight="1" x14ac:dyDescent="0.2">
      <c r="B30" s="27"/>
      <c r="C30" s="28"/>
      <c r="D30" s="265" t="s">
        <v>74</v>
      </c>
      <c r="E30" s="26"/>
      <c r="F30" s="26"/>
      <c r="G30" s="22"/>
      <c r="H30" s="22"/>
      <c r="I30" s="22"/>
      <c r="J30" s="22"/>
      <c r="K30" s="22"/>
      <c r="L30" s="22"/>
      <c r="M30" s="22"/>
      <c r="N30" s="34"/>
      <c r="O30" s="22"/>
    </row>
    <row r="31" spans="2:15" ht="21.75" customHeight="1" x14ac:dyDescent="0.2">
      <c r="B31" s="27"/>
      <c r="C31" s="28"/>
      <c r="D31" s="265" t="s">
        <v>75</v>
      </c>
      <c r="E31" s="26"/>
      <c r="F31" s="26"/>
      <c r="G31" s="22"/>
      <c r="H31" s="22"/>
      <c r="I31" s="22"/>
      <c r="J31" s="22"/>
      <c r="K31" s="22"/>
      <c r="L31" s="22"/>
      <c r="M31" s="22"/>
      <c r="N31" s="34"/>
      <c r="O31" s="22"/>
    </row>
    <row r="32" spans="2:15" ht="12" customHeight="1" x14ac:dyDescent="0.2">
      <c r="B32" s="27"/>
      <c r="C32" s="28"/>
      <c r="D32" s="265" t="s">
        <v>87</v>
      </c>
      <c r="E32" s="26"/>
      <c r="F32" s="26"/>
      <c r="G32" s="22"/>
      <c r="H32" s="22"/>
      <c r="I32" s="22"/>
      <c r="J32" s="22"/>
      <c r="K32" s="22"/>
      <c r="L32" s="22"/>
      <c r="M32" s="22"/>
      <c r="N32" s="34"/>
      <c r="O32" s="22"/>
    </row>
    <row r="33" spans="2:15" ht="16.5" customHeight="1" x14ac:dyDescent="0.2">
      <c r="B33" s="27"/>
      <c r="C33" s="28"/>
      <c r="D33" s="265" t="s">
        <v>77</v>
      </c>
      <c r="E33" s="24"/>
      <c r="F33" s="24"/>
      <c r="G33" s="22"/>
      <c r="H33" s="22"/>
      <c r="I33" s="22"/>
      <c r="J33" s="22"/>
      <c r="K33" s="22"/>
      <c r="L33" s="22"/>
      <c r="M33" s="22"/>
      <c r="N33" s="34"/>
      <c r="O33" s="22"/>
    </row>
    <row r="34" spans="2:15" ht="12" customHeight="1" x14ac:dyDescent="0.2">
      <c r="B34" s="23"/>
      <c r="C34" s="28"/>
      <c r="D34" s="265" t="s">
        <v>78</v>
      </c>
      <c r="E34" s="26"/>
      <c r="F34" s="26"/>
      <c r="G34" s="22"/>
      <c r="H34" s="22"/>
      <c r="I34" s="22"/>
      <c r="J34" s="22"/>
      <c r="K34" s="22"/>
      <c r="L34" s="22"/>
      <c r="M34" s="22"/>
      <c r="N34" s="34"/>
      <c r="O34" s="22"/>
    </row>
    <row r="35" spans="2:15" ht="12" customHeight="1" x14ac:dyDescent="0.2">
      <c r="B35" s="23"/>
      <c r="C35" s="24" t="s">
        <v>79</v>
      </c>
      <c r="D35" s="265" t="s">
        <v>80</v>
      </c>
      <c r="E35" s="26"/>
      <c r="F35" s="26"/>
      <c r="G35" s="22"/>
      <c r="H35" s="22"/>
      <c r="I35" s="22"/>
      <c r="J35" s="22"/>
      <c r="K35" s="22"/>
      <c r="L35" s="22"/>
      <c r="M35" s="22"/>
      <c r="N35" s="34"/>
      <c r="O35" s="22"/>
    </row>
    <row r="36" spans="2:15" ht="12" customHeight="1" x14ac:dyDescent="0.2">
      <c r="B36" s="23"/>
      <c r="C36" s="24" t="s">
        <v>81</v>
      </c>
      <c r="D36" s="265" t="s">
        <v>198</v>
      </c>
      <c r="E36" s="26"/>
      <c r="F36" s="26"/>
      <c r="G36" s="22"/>
      <c r="H36" s="22"/>
      <c r="I36" s="22"/>
      <c r="J36" s="22"/>
      <c r="K36" s="22"/>
      <c r="L36" s="22"/>
      <c r="M36" s="22"/>
      <c r="N36" s="34"/>
      <c r="O36" s="22"/>
    </row>
    <row r="37" spans="2:15" ht="12" customHeight="1" x14ac:dyDescent="0.2">
      <c r="B37" s="23"/>
      <c r="C37" s="28"/>
      <c r="D37" s="25"/>
      <c r="E37" s="26"/>
      <c r="F37" s="26"/>
      <c r="G37" s="22"/>
      <c r="H37" s="22"/>
      <c r="I37" s="22"/>
      <c r="J37" s="22"/>
      <c r="K37" s="22"/>
      <c r="L37" s="22"/>
      <c r="M37" s="22"/>
      <c r="N37" s="34"/>
      <c r="O37" s="22"/>
    </row>
    <row r="38" spans="2:15" ht="12" customHeight="1" x14ac:dyDescent="0.2">
      <c r="B38" s="23"/>
      <c r="C38" s="28" t="s">
        <v>91</v>
      </c>
      <c r="D38" s="21" t="s">
        <v>200</v>
      </c>
      <c r="E38" s="26"/>
      <c r="F38" s="26"/>
      <c r="G38" s="22"/>
      <c r="H38" s="22"/>
      <c r="I38" s="22"/>
      <c r="J38" s="22"/>
      <c r="K38" s="22"/>
      <c r="L38" s="22"/>
      <c r="M38" s="22"/>
      <c r="N38" s="34"/>
      <c r="O38" s="22"/>
    </row>
    <row r="39" spans="2:15" ht="12" customHeight="1" x14ac:dyDescent="0.2">
      <c r="B39" s="23"/>
      <c r="C39" s="24" t="s">
        <v>196</v>
      </c>
      <c r="D39" s="25" t="s">
        <v>197</v>
      </c>
      <c r="E39" s="26"/>
      <c r="F39" s="26"/>
      <c r="G39" s="22"/>
      <c r="H39" s="22"/>
      <c r="I39" s="22"/>
      <c r="J39" s="22"/>
      <c r="K39" s="22"/>
      <c r="L39" s="22"/>
      <c r="M39" s="22"/>
      <c r="N39" s="34"/>
      <c r="O39" s="22"/>
    </row>
    <row r="40" spans="2:15" ht="12" customHeight="1" x14ac:dyDescent="0.2">
      <c r="B40" s="23"/>
      <c r="C40" s="28"/>
      <c r="D40" s="265" t="s">
        <v>73</v>
      </c>
      <c r="E40" s="26"/>
      <c r="F40" s="26"/>
      <c r="G40" s="22"/>
      <c r="H40" s="22"/>
      <c r="I40" s="22"/>
      <c r="J40" s="22"/>
      <c r="K40" s="22"/>
      <c r="L40" s="22"/>
      <c r="M40" s="22"/>
      <c r="N40" s="34"/>
      <c r="O40" s="22"/>
    </row>
    <row r="41" spans="2:15" ht="12" customHeight="1" x14ac:dyDescent="0.2">
      <c r="B41" s="23"/>
      <c r="C41" s="28"/>
      <c r="D41" s="265" t="s">
        <v>74</v>
      </c>
      <c r="E41" s="26"/>
      <c r="F41" s="26"/>
      <c r="G41" s="22"/>
      <c r="H41" s="22"/>
      <c r="I41" s="22"/>
      <c r="J41" s="22"/>
      <c r="K41" s="22"/>
      <c r="L41" s="22"/>
      <c r="M41" s="22"/>
      <c r="N41" s="34"/>
      <c r="O41" s="22"/>
    </row>
    <row r="42" spans="2:15" ht="12" customHeight="1" x14ac:dyDescent="0.2">
      <c r="B42" s="23"/>
      <c r="C42" s="28"/>
      <c r="D42" s="265" t="s">
        <v>75</v>
      </c>
      <c r="E42" s="26"/>
      <c r="F42" s="26"/>
      <c r="G42" s="22"/>
      <c r="H42" s="22"/>
      <c r="I42" s="22"/>
      <c r="J42" s="22"/>
      <c r="K42" s="22"/>
      <c r="L42" s="22"/>
      <c r="M42" s="22"/>
      <c r="N42" s="34"/>
      <c r="O42" s="22"/>
    </row>
    <row r="43" spans="2:15" ht="12" customHeight="1" x14ac:dyDescent="0.2">
      <c r="B43" s="23"/>
      <c r="C43" s="28"/>
      <c r="D43" s="265" t="s">
        <v>87</v>
      </c>
      <c r="E43" s="26"/>
      <c r="F43" s="26"/>
      <c r="G43" s="22"/>
      <c r="H43" s="22"/>
      <c r="I43" s="22"/>
      <c r="J43" s="22"/>
      <c r="K43" s="22"/>
      <c r="L43" s="22"/>
      <c r="M43" s="22"/>
      <c r="N43" s="34"/>
      <c r="O43" s="22"/>
    </row>
    <row r="44" spans="2:15" ht="12" customHeight="1" x14ac:dyDescent="0.2">
      <c r="B44" s="23"/>
      <c r="C44" s="28"/>
      <c r="D44" s="265" t="s">
        <v>77</v>
      </c>
      <c r="E44" s="26"/>
      <c r="F44" s="26"/>
      <c r="G44" s="22"/>
      <c r="H44" s="22"/>
      <c r="I44" s="22"/>
      <c r="J44" s="22"/>
      <c r="K44" s="22"/>
      <c r="L44" s="22"/>
      <c r="M44" s="22"/>
      <c r="N44" s="34"/>
      <c r="O44" s="22"/>
    </row>
    <row r="45" spans="2:15" ht="12" customHeight="1" x14ac:dyDescent="0.2">
      <c r="B45" s="23"/>
      <c r="C45" s="28"/>
      <c r="D45" s="265" t="s">
        <v>78</v>
      </c>
      <c r="E45" s="26"/>
      <c r="F45" s="26"/>
      <c r="G45" s="22"/>
      <c r="H45" s="22"/>
      <c r="I45" s="22"/>
      <c r="J45" s="22"/>
      <c r="K45" s="22"/>
      <c r="L45" s="22"/>
      <c r="M45" s="22"/>
      <c r="N45" s="34"/>
      <c r="O45" s="22"/>
    </row>
    <row r="46" spans="2:15" ht="12" customHeight="1" x14ac:dyDescent="0.2">
      <c r="B46" s="23"/>
      <c r="C46" s="24" t="s">
        <v>79</v>
      </c>
      <c r="D46" s="265" t="s">
        <v>80</v>
      </c>
      <c r="E46" s="26"/>
      <c r="F46" s="26"/>
      <c r="G46" s="22"/>
      <c r="H46" s="22"/>
      <c r="I46" s="22"/>
      <c r="J46" s="22"/>
      <c r="K46" s="22"/>
      <c r="L46" s="22"/>
      <c r="M46" s="22"/>
      <c r="N46" s="34"/>
      <c r="O46" s="22"/>
    </row>
    <row r="47" spans="2:15" ht="12" customHeight="1" x14ac:dyDescent="0.2">
      <c r="B47" s="23"/>
      <c r="C47" s="24" t="s">
        <v>81</v>
      </c>
      <c r="D47" s="265" t="s">
        <v>198</v>
      </c>
      <c r="E47" s="26"/>
      <c r="F47" s="26"/>
      <c r="G47" s="22"/>
      <c r="H47" s="22"/>
      <c r="I47" s="22"/>
      <c r="J47" s="22"/>
      <c r="K47" s="22"/>
      <c r="L47" s="22"/>
      <c r="M47" s="22"/>
      <c r="N47" s="34"/>
      <c r="O47" s="22"/>
    </row>
    <row r="48" spans="2:15" ht="12" customHeight="1" x14ac:dyDescent="0.2">
      <c r="B48" s="23"/>
      <c r="C48" s="28"/>
      <c r="D48" s="25"/>
      <c r="E48" s="26"/>
      <c r="F48" s="26"/>
      <c r="G48" s="22"/>
      <c r="H48" s="22"/>
      <c r="I48" s="22"/>
      <c r="J48" s="22"/>
      <c r="K48" s="22"/>
      <c r="L48" s="22"/>
      <c r="M48" s="22"/>
      <c r="N48" s="34"/>
      <c r="O48" s="22"/>
    </row>
    <row r="49" spans="2:15" ht="12" customHeight="1" x14ac:dyDescent="0.2">
      <c r="B49" s="23"/>
      <c r="C49" s="28" t="s">
        <v>112</v>
      </c>
      <c r="D49" s="21" t="s">
        <v>201</v>
      </c>
      <c r="E49" s="26"/>
      <c r="F49" s="26"/>
      <c r="G49" s="22"/>
      <c r="H49" s="22"/>
      <c r="I49" s="22"/>
      <c r="J49" s="22"/>
      <c r="K49" s="22"/>
      <c r="L49" s="22"/>
      <c r="M49" s="22"/>
      <c r="N49" s="34"/>
      <c r="O49" s="22"/>
    </row>
    <row r="50" spans="2:15" ht="12" customHeight="1" x14ac:dyDescent="0.2">
      <c r="B50" s="23"/>
      <c r="C50" s="24" t="s">
        <v>196</v>
      </c>
      <c r="D50" s="25" t="s">
        <v>197</v>
      </c>
      <c r="E50" s="26"/>
      <c r="F50" s="26"/>
      <c r="G50" s="22"/>
      <c r="H50" s="22"/>
      <c r="I50" s="22"/>
      <c r="J50" s="22"/>
      <c r="K50" s="22"/>
      <c r="L50" s="22"/>
      <c r="M50" s="22"/>
      <c r="N50" s="34"/>
      <c r="O50" s="22"/>
    </row>
    <row r="51" spans="2:15" ht="12" customHeight="1" x14ac:dyDescent="0.2">
      <c r="B51" s="23"/>
      <c r="C51" s="28"/>
      <c r="D51" s="265" t="s">
        <v>73</v>
      </c>
      <c r="E51" s="26"/>
      <c r="F51" s="26"/>
      <c r="G51" s="22"/>
      <c r="H51" s="22"/>
      <c r="I51" s="22"/>
      <c r="J51" s="22"/>
      <c r="K51" s="22"/>
      <c r="L51" s="22"/>
      <c r="M51" s="22"/>
      <c r="N51" s="34"/>
      <c r="O51" s="22"/>
    </row>
    <row r="52" spans="2:15" ht="12" customHeight="1" x14ac:dyDescent="0.2">
      <c r="B52" s="23"/>
      <c r="C52" s="28"/>
      <c r="D52" s="265" t="s">
        <v>74</v>
      </c>
      <c r="E52" s="26"/>
      <c r="F52" s="26"/>
      <c r="G52" s="22"/>
      <c r="H52" s="22"/>
      <c r="I52" s="22"/>
      <c r="J52" s="22"/>
      <c r="K52" s="22"/>
      <c r="L52" s="22"/>
      <c r="M52" s="22"/>
      <c r="N52" s="34"/>
      <c r="O52" s="22"/>
    </row>
    <row r="53" spans="2:15" ht="12" customHeight="1" x14ac:dyDescent="0.2">
      <c r="B53" s="23"/>
      <c r="C53" s="28"/>
      <c r="D53" s="265" t="s">
        <v>75</v>
      </c>
      <c r="E53" s="26"/>
      <c r="F53" s="26"/>
      <c r="G53" s="22"/>
      <c r="H53" s="22"/>
      <c r="I53" s="22"/>
      <c r="J53" s="22"/>
      <c r="K53" s="22"/>
      <c r="L53" s="22"/>
      <c r="M53" s="22"/>
      <c r="N53" s="34"/>
      <c r="O53" s="22"/>
    </row>
    <row r="54" spans="2:15" ht="12" customHeight="1" x14ac:dyDescent="0.2">
      <c r="B54" s="23"/>
      <c r="C54" s="28"/>
      <c r="D54" s="265" t="s">
        <v>87</v>
      </c>
      <c r="E54" s="26"/>
      <c r="F54" s="26"/>
      <c r="G54" s="22"/>
      <c r="H54" s="22"/>
      <c r="I54" s="22"/>
      <c r="J54" s="22"/>
      <c r="K54" s="22"/>
      <c r="L54" s="22"/>
      <c r="M54" s="22"/>
      <c r="N54" s="34"/>
      <c r="O54" s="22"/>
    </row>
    <row r="55" spans="2:15" ht="12" customHeight="1" x14ac:dyDescent="0.2">
      <c r="B55" s="23"/>
      <c r="C55" s="28"/>
      <c r="D55" s="265" t="s">
        <v>77</v>
      </c>
      <c r="E55" s="26"/>
      <c r="F55" s="26"/>
      <c r="G55" s="22"/>
      <c r="H55" s="22"/>
      <c r="I55" s="22"/>
      <c r="J55" s="22"/>
      <c r="K55" s="22"/>
      <c r="L55" s="22"/>
      <c r="M55" s="22"/>
      <c r="N55" s="34"/>
      <c r="O55" s="22"/>
    </row>
    <row r="56" spans="2:15" ht="12" customHeight="1" x14ac:dyDescent="0.2">
      <c r="B56" s="23"/>
      <c r="C56" s="28"/>
      <c r="D56" s="265" t="s">
        <v>78</v>
      </c>
      <c r="E56" s="26"/>
      <c r="F56" s="26"/>
      <c r="G56" s="22"/>
      <c r="H56" s="22"/>
      <c r="I56" s="22"/>
      <c r="J56" s="22"/>
      <c r="K56" s="22"/>
      <c r="L56" s="22"/>
      <c r="M56" s="22"/>
      <c r="N56" s="34"/>
      <c r="O56" s="22"/>
    </row>
    <row r="57" spans="2:15" ht="12" customHeight="1" x14ac:dyDescent="0.2">
      <c r="B57" s="23"/>
      <c r="C57" s="24" t="s">
        <v>79</v>
      </c>
      <c r="D57" s="265" t="s">
        <v>80</v>
      </c>
      <c r="E57" s="26"/>
      <c r="F57" s="26"/>
      <c r="G57" s="22"/>
      <c r="H57" s="22"/>
      <c r="I57" s="22"/>
      <c r="J57" s="22"/>
      <c r="K57" s="22"/>
      <c r="L57" s="22"/>
      <c r="M57" s="22"/>
      <c r="N57" s="34"/>
      <c r="O57" s="22"/>
    </row>
    <row r="58" spans="2:15" ht="12" customHeight="1" x14ac:dyDescent="0.2">
      <c r="B58" s="23"/>
      <c r="C58" s="24" t="s">
        <v>81</v>
      </c>
      <c r="D58" s="265" t="s">
        <v>198</v>
      </c>
      <c r="E58" s="26"/>
      <c r="F58" s="26"/>
      <c r="G58" s="22"/>
      <c r="H58" s="22"/>
      <c r="I58" s="22"/>
      <c r="J58" s="22"/>
      <c r="K58" s="22"/>
      <c r="L58" s="22"/>
      <c r="M58" s="22"/>
      <c r="N58" s="34"/>
      <c r="O58" s="22"/>
    </row>
    <row r="59" spans="2:15" ht="12" customHeight="1" x14ac:dyDescent="0.2">
      <c r="B59" s="23"/>
      <c r="C59" s="28"/>
      <c r="D59" s="25"/>
      <c r="E59" s="26"/>
      <c r="F59" s="26"/>
      <c r="G59" s="22"/>
      <c r="H59" s="22"/>
      <c r="I59" s="22"/>
      <c r="J59" s="22"/>
      <c r="K59" s="22"/>
      <c r="L59" s="22"/>
      <c r="M59" s="22"/>
      <c r="N59" s="34"/>
      <c r="O59" s="22"/>
    </row>
    <row r="60" spans="2:15" ht="12" customHeight="1" x14ac:dyDescent="0.2">
      <c r="B60" s="23"/>
      <c r="C60" s="28" t="s">
        <v>113</v>
      </c>
      <c r="D60" s="21" t="s">
        <v>202</v>
      </c>
      <c r="E60" s="26"/>
      <c r="F60" s="26"/>
      <c r="G60" s="22"/>
      <c r="H60" s="22"/>
      <c r="I60" s="22"/>
      <c r="J60" s="22"/>
      <c r="K60" s="22"/>
      <c r="L60" s="22"/>
      <c r="M60" s="22"/>
      <c r="N60" s="34"/>
      <c r="O60" s="22"/>
    </row>
    <row r="61" spans="2:15" ht="12" customHeight="1" x14ac:dyDescent="0.2">
      <c r="B61" s="23"/>
      <c r="C61" s="24" t="s">
        <v>196</v>
      </c>
      <c r="D61" s="25" t="s">
        <v>197</v>
      </c>
      <c r="E61" s="26"/>
      <c r="F61" s="26"/>
      <c r="G61" s="22"/>
      <c r="H61" s="22"/>
      <c r="I61" s="22"/>
      <c r="J61" s="22"/>
      <c r="K61" s="22"/>
      <c r="L61" s="22"/>
      <c r="M61" s="22"/>
      <c r="N61" s="34"/>
      <c r="O61" s="22"/>
    </row>
    <row r="62" spans="2:15" ht="12" customHeight="1" x14ac:dyDescent="0.2">
      <c r="B62" s="23"/>
      <c r="C62" s="28"/>
      <c r="D62" s="265" t="s">
        <v>73</v>
      </c>
      <c r="E62" s="26"/>
      <c r="F62" s="26"/>
      <c r="G62" s="22"/>
      <c r="H62" s="22"/>
      <c r="I62" s="22"/>
      <c r="J62" s="22"/>
      <c r="K62" s="22"/>
      <c r="L62" s="22"/>
      <c r="M62" s="22"/>
      <c r="N62" s="34"/>
      <c r="O62" s="22"/>
    </row>
    <row r="63" spans="2:15" ht="12" customHeight="1" x14ac:dyDescent="0.2">
      <c r="B63" s="23"/>
      <c r="C63" s="28"/>
      <c r="D63" s="265" t="s">
        <v>74</v>
      </c>
      <c r="E63" s="26"/>
      <c r="F63" s="26"/>
      <c r="G63" s="22"/>
      <c r="H63" s="22"/>
      <c r="I63" s="22"/>
      <c r="J63" s="22"/>
      <c r="K63" s="22"/>
      <c r="L63" s="22"/>
      <c r="M63" s="22"/>
      <c r="N63" s="34"/>
      <c r="O63" s="22"/>
    </row>
    <row r="64" spans="2:15" ht="12" customHeight="1" x14ac:dyDescent="0.2">
      <c r="B64" s="23"/>
      <c r="C64" s="28"/>
      <c r="D64" s="265" t="s">
        <v>75</v>
      </c>
      <c r="E64" s="26"/>
      <c r="F64" s="26"/>
      <c r="G64" s="22"/>
      <c r="H64" s="22"/>
      <c r="I64" s="22"/>
      <c r="J64" s="22"/>
      <c r="K64" s="22"/>
      <c r="L64" s="22"/>
      <c r="M64" s="22"/>
      <c r="N64" s="34"/>
      <c r="O64" s="22"/>
    </row>
    <row r="65" spans="2:15" ht="12" customHeight="1" x14ac:dyDescent="0.2">
      <c r="B65" s="23"/>
      <c r="C65" s="28"/>
      <c r="D65" s="265" t="s">
        <v>87</v>
      </c>
      <c r="E65" s="26"/>
      <c r="F65" s="26"/>
      <c r="G65" s="22"/>
      <c r="H65" s="22"/>
      <c r="I65" s="22"/>
      <c r="J65" s="22"/>
      <c r="K65" s="22"/>
      <c r="L65" s="22"/>
      <c r="M65" s="22"/>
      <c r="N65" s="34"/>
      <c r="O65" s="22"/>
    </row>
    <row r="66" spans="2:15" ht="12" customHeight="1" x14ac:dyDescent="0.2">
      <c r="B66" s="23"/>
      <c r="C66" s="28"/>
      <c r="D66" s="265" t="s">
        <v>77</v>
      </c>
      <c r="E66" s="26"/>
      <c r="F66" s="26"/>
      <c r="G66" s="22"/>
      <c r="H66" s="22"/>
      <c r="I66" s="22"/>
      <c r="J66" s="22"/>
      <c r="K66" s="22"/>
      <c r="L66" s="22"/>
      <c r="M66" s="22"/>
      <c r="N66" s="34"/>
      <c r="O66" s="22"/>
    </row>
    <row r="67" spans="2:15" ht="12" customHeight="1" x14ac:dyDescent="0.2">
      <c r="B67" s="23"/>
      <c r="C67" s="28"/>
      <c r="D67" s="265" t="s">
        <v>78</v>
      </c>
      <c r="E67" s="26"/>
      <c r="F67" s="26"/>
      <c r="G67" s="22"/>
      <c r="H67" s="22"/>
      <c r="I67" s="22"/>
      <c r="J67" s="22"/>
      <c r="K67" s="22"/>
      <c r="L67" s="22"/>
      <c r="M67" s="22"/>
      <c r="N67" s="34"/>
      <c r="O67" s="22"/>
    </row>
    <row r="68" spans="2:15" ht="12" customHeight="1" x14ac:dyDescent="0.2">
      <c r="B68" s="23"/>
      <c r="C68" s="24" t="s">
        <v>79</v>
      </c>
      <c r="D68" s="265" t="s">
        <v>80</v>
      </c>
      <c r="E68" s="26"/>
      <c r="F68" s="26"/>
      <c r="G68" s="22"/>
      <c r="H68" s="22"/>
      <c r="I68" s="22"/>
      <c r="J68" s="22"/>
      <c r="K68" s="22"/>
      <c r="L68" s="22"/>
      <c r="M68" s="22"/>
      <c r="N68" s="34"/>
      <c r="O68" s="22"/>
    </row>
    <row r="69" spans="2:15" ht="12" customHeight="1" x14ac:dyDescent="0.2">
      <c r="B69" s="23"/>
      <c r="C69" s="24" t="s">
        <v>81</v>
      </c>
      <c r="D69" s="265" t="s">
        <v>198</v>
      </c>
      <c r="E69" s="26"/>
      <c r="F69" s="26"/>
      <c r="G69" s="22"/>
      <c r="H69" s="22"/>
      <c r="I69" s="22"/>
      <c r="J69" s="22"/>
      <c r="K69" s="22"/>
      <c r="L69" s="22"/>
      <c r="M69" s="22"/>
      <c r="N69" s="34"/>
      <c r="O69" s="22"/>
    </row>
    <row r="70" spans="2:15" ht="12" customHeight="1" x14ac:dyDescent="0.2">
      <c r="B70" s="23"/>
      <c r="C70" s="24"/>
      <c r="D70" s="25"/>
      <c r="E70" s="26"/>
      <c r="F70" s="26"/>
      <c r="G70" s="22"/>
      <c r="H70" s="22"/>
      <c r="I70" s="22"/>
      <c r="J70" s="22"/>
      <c r="K70" s="22"/>
      <c r="L70" s="22"/>
      <c r="M70" s="22"/>
      <c r="N70" s="34"/>
      <c r="O70" s="22"/>
    </row>
    <row r="71" spans="2:15" ht="12" customHeight="1" x14ac:dyDescent="0.2">
      <c r="B71" s="23"/>
      <c r="C71" s="28" t="s">
        <v>114</v>
      </c>
      <c r="D71" s="21" t="s">
        <v>203</v>
      </c>
      <c r="E71" s="26"/>
      <c r="F71" s="26"/>
      <c r="G71" s="22"/>
      <c r="H71" s="22"/>
      <c r="I71" s="22"/>
      <c r="J71" s="22"/>
      <c r="K71" s="22"/>
      <c r="L71" s="22"/>
      <c r="M71" s="22"/>
      <c r="N71" s="34"/>
      <c r="O71" s="22"/>
    </row>
    <row r="72" spans="2:15" ht="12" customHeight="1" x14ac:dyDescent="0.2">
      <c r="B72" s="23"/>
      <c r="C72" s="24" t="s">
        <v>196</v>
      </c>
      <c r="D72" s="25" t="s">
        <v>197</v>
      </c>
      <c r="E72" s="26"/>
      <c r="F72" s="26"/>
      <c r="G72" s="22"/>
      <c r="H72" s="22"/>
      <c r="I72" s="22"/>
      <c r="J72" s="22"/>
      <c r="K72" s="22"/>
      <c r="L72" s="22"/>
      <c r="M72" s="22"/>
      <c r="N72" s="34"/>
      <c r="O72" s="22"/>
    </row>
    <row r="73" spans="2:15" ht="12" customHeight="1" x14ac:dyDescent="0.2">
      <c r="B73" s="23"/>
      <c r="C73" s="28"/>
      <c r="D73" s="265" t="s">
        <v>73</v>
      </c>
      <c r="E73" s="26"/>
      <c r="F73" s="26"/>
      <c r="G73" s="22"/>
      <c r="H73" s="22"/>
      <c r="I73" s="22"/>
      <c r="J73" s="22"/>
      <c r="K73" s="22"/>
      <c r="L73" s="22"/>
      <c r="M73" s="22"/>
      <c r="N73" s="34"/>
      <c r="O73" s="22"/>
    </row>
    <row r="74" spans="2:15" ht="12" customHeight="1" x14ac:dyDescent="0.2">
      <c r="B74" s="23"/>
      <c r="C74" s="28"/>
      <c r="D74" s="265" t="s">
        <v>74</v>
      </c>
      <c r="E74" s="26"/>
      <c r="F74" s="26"/>
      <c r="G74" s="22"/>
      <c r="H74" s="22"/>
      <c r="I74" s="22"/>
      <c r="J74" s="22"/>
      <c r="K74" s="22"/>
      <c r="L74" s="22"/>
      <c r="M74" s="22"/>
      <c r="N74" s="34"/>
      <c r="O74" s="22"/>
    </row>
    <row r="75" spans="2:15" ht="12" customHeight="1" x14ac:dyDescent="0.2">
      <c r="B75" s="23"/>
      <c r="C75" s="28"/>
      <c r="D75" s="265" t="s">
        <v>75</v>
      </c>
      <c r="E75" s="26"/>
      <c r="F75" s="26"/>
      <c r="G75" s="22"/>
      <c r="H75" s="22"/>
      <c r="I75" s="22"/>
      <c r="J75" s="22"/>
      <c r="K75" s="22"/>
      <c r="L75" s="22"/>
      <c r="M75" s="22"/>
      <c r="N75" s="34"/>
      <c r="O75" s="22"/>
    </row>
    <row r="76" spans="2:15" ht="12" customHeight="1" x14ac:dyDescent="0.2">
      <c r="B76" s="23"/>
      <c r="C76" s="28"/>
      <c r="D76" s="265" t="s">
        <v>87</v>
      </c>
      <c r="E76" s="26"/>
      <c r="F76" s="26"/>
      <c r="G76" s="22"/>
      <c r="H76" s="22"/>
      <c r="I76" s="22"/>
      <c r="J76" s="22"/>
      <c r="K76" s="22"/>
      <c r="L76" s="22"/>
      <c r="M76" s="22"/>
      <c r="N76" s="34"/>
      <c r="O76" s="22"/>
    </row>
    <row r="77" spans="2:15" ht="12" customHeight="1" x14ac:dyDescent="0.2">
      <c r="B77" s="23"/>
      <c r="C77" s="28"/>
      <c r="D77" s="265" t="s">
        <v>77</v>
      </c>
      <c r="E77" s="26"/>
      <c r="F77" s="26"/>
      <c r="G77" s="22"/>
      <c r="H77" s="22"/>
      <c r="I77" s="22"/>
      <c r="J77" s="22"/>
      <c r="K77" s="22"/>
      <c r="L77" s="22"/>
      <c r="M77" s="22"/>
      <c r="N77" s="34"/>
      <c r="O77" s="22"/>
    </row>
    <row r="78" spans="2:15" ht="12" customHeight="1" x14ac:dyDescent="0.2">
      <c r="B78" s="23"/>
      <c r="C78" s="28"/>
      <c r="D78" s="265" t="s">
        <v>78</v>
      </c>
      <c r="E78" s="26"/>
      <c r="F78" s="26"/>
      <c r="G78" s="22"/>
      <c r="H78" s="22"/>
      <c r="I78" s="22"/>
      <c r="J78" s="22"/>
      <c r="K78" s="22"/>
      <c r="L78" s="22"/>
      <c r="M78" s="22"/>
      <c r="N78" s="34"/>
      <c r="O78" s="22"/>
    </row>
    <row r="79" spans="2:15" ht="12" customHeight="1" x14ac:dyDescent="0.2">
      <c r="B79" s="23"/>
      <c r="C79" s="24" t="s">
        <v>79</v>
      </c>
      <c r="D79" s="265" t="s">
        <v>80</v>
      </c>
      <c r="E79" s="26"/>
      <c r="F79" s="26"/>
      <c r="G79" s="22"/>
      <c r="H79" s="22"/>
      <c r="I79" s="22"/>
      <c r="J79" s="22"/>
      <c r="K79" s="22"/>
      <c r="L79" s="22"/>
      <c r="M79" s="22"/>
      <c r="N79" s="34"/>
      <c r="O79" s="22"/>
    </row>
    <row r="80" spans="2:15" ht="12" customHeight="1" x14ac:dyDescent="0.2">
      <c r="B80" s="23"/>
      <c r="C80" s="24" t="s">
        <v>81</v>
      </c>
      <c r="D80" s="265" t="s">
        <v>198</v>
      </c>
      <c r="E80" s="26"/>
      <c r="F80" s="26"/>
      <c r="G80" s="22"/>
      <c r="H80" s="22"/>
      <c r="I80" s="22"/>
      <c r="J80" s="22"/>
      <c r="K80" s="22"/>
      <c r="L80" s="22"/>
      <c r="M80" s="22"/>
      <c r="N80" s="34"/>
      <c r="O80" s="22"/>
    </row>
    <row r="81" spans="1:15" ht="12" customHeight="1" x14ac:dyDescent="0.2">
      <c r="B81" s="23"/>
      <c r="C81" s="35"/>
      <c r="D81" s="36"/>
      <c r="E81" s="26"/>
      <c r="F81" s="26"/>
      <c r="G81" s="22"/>
      <c r="H81" s="22"/>
      <c r="I81" s="22"/>
      <c r="J81" s="22"/>
      <c r="K81" s="22"/>
      <c r="L81" s="22"/>
      <c r="M81" s="22"/>
      <c r="N81" s="34"/>
      <c r="O81" s="22"/>
    </row>
    <row r="82" spans="1:15" ht="12" customHeight="1" x14ac:dyDescent="0.2">
      <c r="B82" s="23"/>
      <c r="C82" s="24"/>
      <c r="D82" s="25"/>
      <c r="E82" s="26"/>
      <c r="F82" s="26"/>
      <c r="G82" s="22"/>
      <c r="H82" s="22"/>
      <c r="I82" s="22"/>
      <c r="J82" s="22"/>
      <c r="K82" s="22"/>
      <c r="L82" s="22"/>
      <c r="M82" s="22"/>
      <c r="N82" s="34"/>
      <c r="O82" s="22"/>
    </row>
    <row r="83" spans="1:15" ht="12" customHeight="1" x14ac:dyDescent="0.2">
      <c r="B83" s="37"/>
      <c r="C83" s="35"/>
      <c r="D83" s="36"/>
      <c r="E83" s="38"/>
      <c r="F83" s="38"/>
      <c r="G83" s="39"/>
      <c r="H83" s="39"/>
      <c r="I83" s="39"/>
      <c r="J83" s="39"/>
      <c r="K83" s="39"/>
      <c r="L83" s="39"/>
      <c r="M83" s="39"/>
      <c r="N83" s="63"/>
      <c r="O83" s="39"/>
    </row>
    <row r="84" spans="1:15" ht="12" customHeight="1" x14ac:dyDescent="0.2">
      <c r="B84" s="40"/>
      <c r="C84" s="41"/>
      <c r="D84" s="42" t="s">
        <v>18</v>
      </c>
      <c r="E84" s="43"/>
      <c r="F84" s="43"/>
      <c r="G84" s="44"/>
      <c r="H84" s="44"/>
      <c r="I84" s="44"/>
      <c r="J84" s="44"/>
      <c r="K84" s="44"/>
      <c r="L84" s="44"/>
      <c r="M84" s="44"/>
      <c r="N84" s="64"/>
      <c r="O84" s="65"/>
    </row>
    <row r="85" spans="1:15" ht="12" customHeight="1" x14ac:dyDescent="0.2">
      <c r="B85" s="45"/>
      <c r="C85" s="45"/>
      <c r="D85" s="46"/>
      <c r="E85" s="46"/>
      <c r="F85" s="46"/>
    </row>
    <row r="86" spans="1:15" ht="14.1" customHeight="1" x14ac:dyDescent="0.2">
      <c r="B86" s="5918" t="s">
        <v>129</v>
      </c>
      <c r="C86" s="5918"/>
      <c r="D86" s="5918"/>
      <c r="E86" s="46"/>
      <c r="F86" s="46"/>
    </row>
    <row r="87" spans="1:15" ht="15" x14ac:dyDescent="0.2">
      <c r="B87" s="5861" t="s">
        <v>44</v>
      </c>
      <c r="C87" s="5861"/>
      <c r="D87" s="5861"/>
      <c r="E87" s="5861"/>
      <c r="F87" s="48"/>
      <c r="G87" s="1"/>
      <c r="H87" s="1"/>
      <c r="I87" s="1"/>
      <c r="J87" s="1"/>
      <c r="K87" s="1"/>
      <c r="L87" s="1"/>
      <c r="M87" s="1"/>
      <c r="N87" s="1"/>
      <c r="O87" s="1"/>
    </row>
    <row r="88" spans="1:15" ht="15" x14ac:dyDescent="0.2">
      <c r="B88" s="5861" t="s">
        <v>184</v>
      </c>
      <c r="C88" s="5861"/>
      <c r="D88" s="5861"/>
      <c r="E88" s="5861"/>
      <c r="F88" s="5861"/>
      <c r="G88" s="5861"/>
      <c r="H88" s="5861"/>
      <c r="I88" s="48"/>
      <c r="J88" s="48"/>
      <c r="K88" s="1"/>
      <c r="L88" s="1"/>
      <c r="M88" s="1"/>
      <c r="N88" s="1"/>
      <c r="O88" s="1"/>
    </row>
    <row r="89" spans="1:15" ht="15" x14ac:dyDescent="0.2">
      <c r="B89" s="49" t="s">
        <v>95</v>
      </c>
      <c r="C89" s="49"/>
      <c r="D89" s="48"/>
      <c r="E89" s="48"/>
      <c r="F89" s="48"/>
      <c r="G89" s="1"/>
      <c r="H89" s="1"/>
      <c r="I89" s="1"/>
      <c r="J89" s="1"/>
      <c r="K89" s="1"/>
      <c r="L89" s="1"/>
      <c r="M89" s="1"/>
      <c r="N89" s="1"/>
      <c r="O89" s="1"/>
    </row>
    <row r="90" spans="1:15" ht="15" x14ac:dyDescent="0.2">
      <c r="B90" s="5906" t="s">
        <v>212</v>
      </c>
      <c r="C90" s="5906"/>
      <c r="D90" s="5906"/>
      <c r="E90" s="5906"/>
      <c r="F90" s="5906"/>
      <c r="G90" s="5906"/>
      <c r="H90" s="5906"/>
      <c r="I90" s="5906"/>
      <c r="J90" s="5906"/>
      <c r="K90" s="5906"/>
      <c r="L90" s="5906"/>
      <c r="M90" s="5906"/>
      <c r="N90" s="5906"/>
      <c r="O90" s="5906"/>
    </row>
    <row r="91" spans="1:15" ht="15.75" x14ac:dyDescent="0.2">
      <c r="A91" s="50"/>
      <c r="B91" s="5919" t="s">
        <v>45</v>
      </c>
      <c r="C91" s="5919"/>
      <c r="D91" s="5919"/>
      <c r="E91" s="5919"/>
      <c r="F91" s="5919"/>
      <c r="G91" s="5919"/>
      <c r="H91" s="5919"/>
      <c r="I91" s="5919"/>
      <c r="J91" s="66"/>
      <c r="K91" s="67"/>
      <c r="L91" s="56"/>
      <c r="M91" s="56"/>
      <c r="N91" s="56"/>
      <c r="O91" s="1"/>
    </row>
    <row r="92" spans="1:15" ht="15.75" x14ac:dyDescent="0.2">
      <c r="A92" s="50"/>
      <c r="B92" s="51" t="s">
        <v>213</v>
      </c>
      <c r="C92" s="52"/>
      <c r="D92" s="52"/>
      <c r="E92" s="52"/>
      <c r="F92" s="52"/>
      <c r="G92" s="52"/>
      <c r="H92" s="52"/>
      <c r="I92" s="54"/>
      <c r="J92" s="57"/>
      <c r="K92" s="54"/>
      <c r="L92" s="56"/>
      <c r="M92" s="56"/>
      <c r="N92" s="56"/>
      <c r="O92" s="1"/>
    </row>
    <row r="93" spans="1:15" ht="15.75" x14ac:dyDescent="0.2">
      <c r="A93" s="53" t="s">
        <v>119</v>
      </c>
      <c r="B93" s="52"/>
      <c r="C93" s="52"/>
      <c r="D93" s="52"/>
      <c r="E93" s="52"/>
      <c r="F93" s="52"/>
      <c r="G93" s="52"/>
      <c r="H93" s="54"/>
      <c r="I93" s="57"/>
      <c r="J93" s="54"/>
      <c r="K93" s="56"/>
      <c r="L93" s="56"/>
      <c r="M93" s="56"/>
      <c r="N93" s="56"/>
      <c r="O93" s="1"/>
    </row>
    <row r="94" spans="1:15" ht="15.75" x14ac:dyDescent="0.2">
      <c r="A94" s="53" t="s">
        <v>214</v>
      </c>
      <c r="B94" s="52"/>
      <c r="C94" s="52"/>
      <c r="D94" s="52"/>
      <c r="E94" s="52"/>
      <c r="F94" s="52"/>
      <c r="G94" s="52"/>
      <c r="H94" s="54"/>
      <c r="I94" s="57"/>
      <c r="J94" s="54"/>
      <c r="K94" s="56"/>
      <c r="L94" s="56"/>
      <c r="M94" s="56"/>
      <c r="N94" s="56"/>
      <c r="O94" s="1"/>
    </row>
    <row r="95" spans="1:15" ht="15.75" x14ac:dyDescent="0.2">
      <c r="A95" s="50"/>
      <c r="B95" s="51" t="s">
        <v>47</v>
      </c>
      <c r="C95" s="51"/>
      <c r="D95" s="51"/>
      <c r="E95" s="51"/>
      <c r="F95" s="51"/>
      <c r="G95" s="51"/>
      <c r="H95" s="51"/>
      <c r="I95" s="51"/>
      <c r="J95" s="66"/>
      <c r="K95" s="52"/>
      <c r="L95" s="51"/>
      <c r="M95" s="51"/>
      <c r="N95" s="51"/>
      <c r="O95" s="1"/>
    </row>
    <row r="96" spans="1:15" ht="15.75" x14ac:dyDescent="0.2">
      <c r="A96" s="50"/>
      <c r="B96" s="51" t="s">
        <v>186</v>
      </c>
      <c r="C96" s="55"/>
      <c r="D96" s="55"/>
      <c r="E96" s="55"/>
      <c r="F96" s="55"/>
      <c r="G96" s="55"/>
      <c r="H96" s="55"/>
      <c r="I96" s="55"/>
      <c r="J96" s="68"/>
      <c r="K96" s="52"/>
      <c r="L96" s="69"/>
      <c r="M96" s="69"/>
      <c r="N96" s="69"/>
      <c r="O96" s="1"/>
    </row>
    <row r="97" spans="1:15" ht="15.75" x14ac:dyDescent="0.2">
      <c r="A97" s="50"/>
      <c r="B97" s="51" t="s">
        <v>187</v>
      </c>
      <c r="C97" s="55"/>
      <c r="D97" s="55"/>
      <c r="E97" s="55"/>
      <c r="F97" s="55"/>
      <c r="G97" s="55"/>
      <c r="H97" s="55"/>
      <c r="I97" s="55"/>
      <c r="J97" s="68"/>
      <c r="K97" s="70"/>
      <c r="L97" s="51"/>
      <c r="M97" s="51"/>
      <c r="N97" s="51"/>
      <c r="O97" s="1"/>
    </row>
    <row r="98" spans="1:15" ht="15.75" x14ac:dyDescent="0.2">
      <c r="A98" s="50"/>
      <c r="B98" s="51" t="s">
        <v>215</v>
      </c>
      <c r="C98" s="51"/>
      <c r="D98" s="51"/>
      <c r="E98" s="51"/>
      <c r="F98" s="51"/>
      <c r="G98" s="51"/>
      <c r="H98" s="51"/>
      <c r="I98" s="51"/>
      <c r="J98" s="66"/>
      <c r="K98" s="52"/>
      <c r="L98" s="56"/>
      <c r="M98" s="56"/>
      <c r="N98" s="56"/>
      <c r="O98" s="1"/>
    </row>
    <row r="99" spans="1:15" ht="15.75" x14ac:dyDescent="0.2">
      <c r="A99" s="50"/>
      <c r="B99" s="51" t="s">
        <v>216</v>
      </c>
      <c r="C99" s="55"/>
      <c r="D99" s="55"/>
      <c r="E99" s="51"/>
      <c r="F99" s="51"/>
      <c r="G99" s="51"/>
      <c r="H99" s="51"/>
      <c r="I99" s="51"/>
      <c r="J99" s="66"/>
      <c r="K99" s="71"/>
      <c r="L99" s="71"/>
      <c r="M99" s="71"/>
      <c r="N99" s="71"/>
      <c r="O99" s="1"/>
    </row>
    <row r="100" spans="1:15" ht="15.75" x14ac:dyDescent="0.2">
      <c r="A100" s="50"/>
      <c r="B100" s="51" t="s">
        <v>189</v>
      </c>
      <c r="C100" s="51"/>
      <c r="D100" s="51"/>
      <c r="E100" s="51"/>
      <c r="F100" s="51"/>
      <c r="G100" s="51"/>
      <c r="H100" s="51"/>
      <c r="I100" s="51"/>
      <c r="J100" s="66"/>
      <c r="K100" s="71"/>
      <c r="L100" s="71"/>
      <c r="M100" s="71"/>
      <c r="N100" s="71"/>
      <c r="O100" s="1"/>
    </row>
    <row r="101" spans="1:15" ht="15.75" x14ac:dyDescent="0.2">
      <c r="A101" s="50"/>
      <c r="B101" s="51" t="s">
        <v>190</v>
      </c>
      <c r="C101" s="55"/>
      <c r="D101" s="55"/>
      <c r="E101" s="56"/>
      <c r="F101" s="56"/>
      <c r="G101" s="56"/>
      <c r="H101" s="56"/>
      <c r="I101" s="56"/>
      <c r="J101" s="72"/>
      <c r="K101" s="71"/>
      <c r="L101" s="71"/>
      <c r="M101" s="71"/>
      <c r="N101" s="71"/>
      <c r="O101" s="1"/>
    </row>
    <row r="102" spans="1:15" ht="15.75" x14ac:dyDescent="0.2">
      <c r="A102" s="50"/>
      <c r="B102" s="51" t="s">
        <v>217</v>
      </c>
      <c r="C102" s="57"/>
      <c r="D102" s="52"/>
      <c r="E102" s="52"/>
      <c r="F102" s="52"/>
      <c r="G102" s="52"/>
      <c r="H102" s="52"/>
      <c r="I102" s="71"/>
      <c r="J102" s="73"/>
      <c r="K102" s="71"/>
      <c r="L102" s="71"/>
      <c r="M102" s="71"/>
      <c r="N102" s="71"/>
      <c r="O102" s="1"/>
    </row>
    <row r="103" spans="1:15" ht="15.75" x14ac:dyDescent="0.2">
      <c r="A103" s="58"/>
      <c r="B103" s="51" t="s">
        <v>122</v>
      </c>
      <c r="C103" s="51"/>
      <c r="D103" s="51"/>
      <c r="E103" s="51"/>
      <c r="F103" s="52"/>
      <c r="G103" s="52"/>
      <c r="H103" s="52"/>
      <c r="I103" s="52"/>
      <c r="J103" s="52"/>
      <c r="K103" s="52"/>
      <c r="L103" s="71"/>
      <c r="M103" s="71"/>
      <c r="N103" s="74"/>
      <c r="O103" s="1"/>
    </row>
    <row r="104" spans="1:15" ht="20.100000000000001" customHeight="1" x14ac:dyDescent="0.2">
      <c r="A104" s="50"/>
      <c r="B104" s="59"/>
      <c r="C104" s="59"/>
      <c r="D104" s="48"/>
      <c r="E104" s="48"/>
      <c r="F104" s="48"/>
      <c r="M104" s="50"/>
    </row>
    <row r="105" spans="1:15" ht="20.100000000000001" customHeight="1" x14ac:dyDescent="0.2">
      <c r="B105" s="59"/>
      <c r="C105" s="59"/>
      <c r="D105" s="5904"/>
      <c r="E105" s="5904"/>
      <c r="F105" s="5904"/>
      <c r="G105" s="5904"/>
      <c r="H105" s="5904"/>
      <c r="I105" s="5904"/>
      <c r="J105" s="5904"/>
      <c r="K105" s="5904"/>
      <c r="L105" s="5904"/>
      <c r="M105" s="5904"/>
      <c r="N105" s="5904"/>
    </row>
    <row r="106" spans="1:15" ht="15.75" x14ac:dyDescent="0.2">
      <c r="D106" s="5905"/>
      <c r="E106" s="5905"/>
      <c r="F106" s="5905"/>
      <c r="G106" s="5905"/>
      <c r="H106" s="5905"/>
      <c r="I106" s="5905"/>
      <c r="J106" s="5905"/>
      <c r="K106" s="5905"/>
      <c r="L106" s="5905"/>
      <c r="M106" s="5905"/>
      <c r="N106" s="5905"/>
    </row>
    <row r="107" spans="1:15" ht="20.100000000000001" customHeight="1" x14ac:dyDescent="0.2">
      <c r="B107" s="60"/>
      <c r="C107" s="60"/>
      <c r="D107" s="5903"/>
      <c r="E107" s="5903"/>
      <c r="F107" s="5903"/>
      <c r="G107" s="5903"/>
      <c r="H107" s="5903"/>
      <c r="I107" s="5903"/>
      <c r="J107" s="5903"/>
      <c r="K107" s="5903"/>
      <c r="L107" s="5903"/>
      <c r="M107" s="5903"/>
      <c r="N107" s="5903"/>
    </row>
    <row r="108" spans="1:15" ht="20.100000000000001" customHeight="1" x14ac:dyDescent="0.2">
      <c r="B108" s="60"/>
      <c r="C108" s="60"/>
      <c r="D108" s="5903"/>
      <c r="E108" s="5903"/>
      <c r="F108" s="5903"/>
      <c r="G108" s="5903"/>
      <c r="H108" s="5903"/>
      <c r="I108" s="5903"/>
      <c r="J108" s="5903"/>
      <c r="K108" s="5903"/>
      <c r="L108" s="5903"/>
      <c r="M108" s="5903"/>
      <c r="N108" s="5903"/>
    </row>
    <row r="109" spans="1:15" ht="20.100000000000001" customHeight="1" x14ac:dyDescent="0.2">
      <c r="B109" s="60"/>
      <c r="C109" s="60"/>
      <c r="D109" s="5903"/>
      <c r="E109" s="5903"/>
      <c r="F109" s="5903"/>
      <c r="G109" s="5903"/>
      <c r="H109" s="5903"/>
      <c r="I109" s="5903"/>
      <c r="J109" s="5903"/>
      <c r="K109" s="5903"/>
      <c r="L109" s="5903"/>
      <c r="M109" s="5903"/>
      <c r="N109" s="5903"/>
    </row>
    <row r="110" spans="1:15" ht="20.100000000000001" customHeight="1" x14ac:dyDescent="0.2">
      <c r="B110" s="60"/>
      <c r="C110" s="60"/>
      <c r="D110" s="61"/>
      <c r="E110" s="61"/>
      <c r="F110" s="61"/>
    </row>
    <row r="111" spans="1:15" ht="20.100000000000001" customHeight="1" x14ac:dyDescent="0.2">
      <c r="B111" s="60"/>
      <c r="C111" s="60"/>
      <c r="D111" s="5897"/>
      <c r="E111" s="5897"/>
      <c r="F111" s="61"/>
    </row>
    <row r="112" spans="1:15" ht="20.100000000000001" customHeight="1" x14ac:dyDescent="0.2">
      <c r="B112" s="60"/>
      <c r="C112" s="60"/>
      <c r="D112" s="5897"/>
      <c r="E112" s="5897"/>
      <c r="F112" s="61"/>
    </row>
    <row r="113" spans="2:6" ht="20.100000000000001" customHeight="1" x14ac:dyDescent="0.2">
      <c r="B113" s="60"/>
      <c r="C113" s="60"/>
      <c r="D113" s="5897"/>
      <c r="E113" s="5897"/>
      <c r="F113" s="61"/>
    </row>
    <row r="114" spans="2:6" ht="20.100000000000001" customHeight="1" x14ac:dyDescent="0.2"/>
    <row r="115" spans="2:6" ht="20.100000000000001" customHeight="1" x14ac:dyDescent="0.2">
      <c r="B115" s="3"/>
      <c r="C115" s="3"/>
      <c r="D115" s="5898"/>
      <c r="E115" s="5898"/>
      <c r="F115" s="62"/>
    </row>
  </sheetData>
  <mergeCells count="30">
    <mergeCell ref="N2:O2"/>
    <mergeCell ref="B3:O3"/>
    <mergeCell ref="B4:O4"/>
    <mergeCell ref="B6:D6"/>
    <mergeCell ref="G7:K7"/>
    <mergeCell ref="N7:O7"/>
    <mergeCell ref="B9:C11"/>
    <mergeCell ref="D105:N105"/>
    <mergeCell ref="D106:N106"/>
    <mergeCell ref="D107:N107"/>
    <mergeCell ref="D108:N108"/>
    <mergeCell ref="B12:C12"/>
    <mergeCell ref="B86:D86"/>
    <mergeCell ref="B87:E87"/>
    <mergeCell ref="B88:H88"/>
    <mergeCell ref="B90:O90"/>
    <mergeCell ref="B91:I91"/>
    <mergeCell ref="E9:F9"/>
    <mergeCell ref="G9:J9"/>
    <mergeCell ref="K9:N9"/>
    <mergeCell ref="E10:F10"/>
    <mergeCell ref="G10:J10"/>
    <mergeCell ref="D112:E112"/>
    <mergeCell ref="D113:E113"/>
    <mergeCell ref="D115:E115"/>
    <mergeCell ref="D9:D11"/>
    <mergeCell ref="O9:O11"/>
    <mergeCell ref="D109:N109"/>
    <mergeCell ref="D111:E111"/>
    <mergeCell ref="K10:N10"/>
  </mergeCells>
  <printOptions horizontalCentered="1"/>
  <pageMargins left="0.2" right="0.12" top="0.35" bottom="0.31" header="0.31" footer="0.31"/>
  <pageSetup paperSize="9" scale="54"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Worksheets</vt:lpstr>
      </vt:variant>
      <vt:variant>
        <vt:i4>20</vt:i4>
      </vt:variant>
      <vt:variant>
        <vt:lpstr>Named Ranges</vt:lpstr>
      </vt:variant>
      <vt:variant>
        <vt:i4>22</vt:i4>
      </vt:variant>
    </vt:vector>
  </HeadingPairs>
  <TitlesOfParts>
    <vt:vector size="42" baseType="lpstr">
      <vt:lpstr>A.1</vt:lpstr>
      <vt:lpstr>A.2</vt:lpstr>
      <vt:lpstr>A.3</vt:lpstr>
      <vt:lpstr>A.4 </vt:lpstr>
      <vt:lpstr>A.5 </vt:lpstr>
      <vt:lpstr>A.6 </vt:lpstr>
      <vt:lpstr>A.7 </vt:lpstr>
      <vt:lpstr>A.8 </vt:lpstr>
      <vt:lpstr>A.9 </vt:lpstr>
      <vt:lpstr>A.10</vt:lpstr>
      <vt:lpstr>%ALOKASI PEND,KESEH</vt:lpstr>
      <vt:lpstr>% REALISASI </vt:lpstr>
      <vt:lpstr>Sheet2</vt:lpstr>
      <vt:lpstr>B.1</vt:lpstr>
      <vt:lpstr>Sheet1</vt:lpstr>
      <vt:lpstr>B.2</vt:lpstr>
      <vt:lpstr>B.3</vt:lpstr>
      <vt:lpstr>B.4</vt:lpstr>
      <vt:lpstr>B.5</vt:lpstr>
      <vt:lpstr>B.6</vt:lpstr>
      <vt:lpstr>A.1!Print_Area</vt:lpstr>
      <vt:lpstr>A.2!Print_Area</vt:lpstr>
      <vt:lpstr>A.3!Print_Area</vt:lpstr>
      <vt:lpstr>'A.4 '!Print_Area</vt:lpstr>
      <vt:lpstr>'A.5 '!Print_Area</vt:lpstr>
      <vt:lpstr>'A.6 '!Print_Area</vt:lpstr>
      <vt:lpstr>B.1!Print_Area</vt:lpstr>
      <vt:lpstr>B.2!Print_Area</vt:lpstr>
      <vt:lpstr>B.3!Print_Area</vt:lpstr>
      <vt:lpstr>B.4!Print_Area</vt:lpstr>
      <vt:lpstr>B.5!Print_Area</vt:lpstr>
      <vt:lpstr>A.10!Print_Titles</vt:lpstr>
      <vt:lpstr>A.3!Print_Titles</vt:lpstr>
      <vt:lpstr>'A.4 '!Print_Titles</vt:lpstr>
      <vt:lpstr>'A.5 '!Print_Titles</vt:lpstr>
      <vt:lpstr>'A.6 '!Print_Titles</vt:lpstr>
      <vt:lpstr>'A.7 '!Print_Titles</vt:lpstr>
      <vt:lpstr>'A.8 '!Print_Titles</vt:lpstr>
      <vt:lpstr>'A.9 '!Print_Titles</vt:lpstr>
      <vt:lpstr>B.4!Print_Titles</vt:lpstr>
      <vt:lpstr>B.5!Print_Titles</vt:lpstr>
      <vt:lpstr>B.6!Print_Titles</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Rivan</dc:creator>
  <cp:lastModifiedBy>ismail - [2010]</cp:lastModifiedBy>
  <cp:revision>1</cp:revision>
  <cp:lastPrinted>2019-08-07T04:15:14Z</cp:lastPrinted>
  <dcterms:created xsi:type="dcterms:W3CDTF">2014-03-06T13:36:20Z</dcterms:created>
  <dcterms:modified xsi:type="dcterms:W3CDTF">2020-09-28T02:31:12Z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1033-10.2.0.5811</vt:lpwstr>
  </property>
</Properties>
</file>